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S:\Accepted\2022\01 June 15, 2022\22-476 Epoca Neighborhood L Apartments\"/>
    </mc:Choice>
  </mc:AlternateContent>
  <xr:revisionPtr revIDLastSave="0" documentId="13_ncr:1_{81A25804-FF66-40F7-8CFF-20D2CD1523F8}" xr6:coauthVersionLast="47" xr6:coauthVersionMax="47" xr10:uidLastSave="{00000000-0000-0000-0000-000000000000}"/>
  <bookViews>
    <workbookView xWindow="-120" yWindow="-120" windowWidth="29040" windowHeight="15840" tabRatio="905" firstSheet="6"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3" l="1"/>
  <c r="H9" i="4"/>
  <c r="A94" i="11"/>
  <c r="AG67" i="7"/>
  <c r="AG66" i="7"/>
  <c r="AG65" i="7"/>
  <c r="AE67" i="7"/>
  <c r="AE66" i="7"/>
  <c r="AE65" i="7"/>
  <c r="AC67" i="7"/>
  <c r="AC66" i="7"/>
  <c r="AC65" i="7"/>
  <c r="AA67" i="7"/>
  <c r="AA66" i="7"/>
  <c r="AA65" i="7"/>
  <c r="Y67" i="7"/>
  <c r="Y66" i="7"/>
  <c r="Y65" i="7"/>
  <c r="W67" i="7"/>
  <c r="W66" i="7"/>
  <c r="W65" i="7"/>
  <c r="U67" i="7"/>
  <c r="U66" i="7"/>
  <c r="U65" i="7"/>
  <c r="S67" i="7"/>
  <c r="S66" i="7"/>
  <c r="S65" i="7"/>
  <c r="Q67" i="7"/>
  <c r="Q66" i="7"/>
  <c r="Q65" i="7"/>
  <c r="O67" i="7"/>
  <c r="O66" i="7"/>
  <c r="O65" i="7"/>
  <c r="M67" i="7"/>
  <c r="M66" i="7"/>
  <c r="M65" i="7"/>
  <c r="K67" i="7"/>
  <c r="K66" i="7"/>
  <c r="K65" i="7"/>
  <c r="I67" i="7"/>
  <c r="I66" i="7"/>
  <c r="I65" i="7"/>
  <c r="G67" i="7"/>
  <c r="G66" i="7"/>
  <c r="G65" i="7"/>
  <c r="E67" i="7"/>
  <c r="E66" i="7"/>
  <c r="E65" i="7"/>
  <c r="A65" i="7"/>
  <c r="E55" i="7"/>
  <c r="AG28" i="7"/>
  <c r="AE28" i="7"/>
  <c r="AC28" i="7"/>
  <c r="AA28" i="7"/>
  <c r="Y28" i="7"/>
  <c r="W28" i="7"/>
  <c r="U28" i="7"/>
  <c r="S28" i="7"/>
  <c r="Q28" i="7"/>
  <c r="O28" i="7"/>
  <c r="M28" i="7"/>
  <c r="K28" i="7"/>
  <c r="I28" i="7"/>
  <c r="G28" i="7"/>
  <c r="AB71" i="15"/>
  <c r="AD182" i="20"/>
  <c r="G99" i="13"/>
  <c r="G92" i="13"/>
  <c r="G91" i="13"/>
  <c r="G90" i="13"/>
  <c r="G89" i="13"/>
  <c r="G86" i="13"/>
  <c r="G85" i="13"/>
  <c r="G84" i="13"/>
  <c r="G80" i="13"/>
  <c r="G79" i="13"/>
  <c r="G66" i="13"/>
  <c r="G65" i="13"/>
  <c r="G53" i="13"/>
  <c r="G52" i="13"/>
  <c r="G51" i="13"/>
  <c r="G50" i="13"/>
  <c r="G46" i="13"/>
  <c r="G45" i="13"/>
  <c r="G43" i="13"/>
  <c r="G41" i="13"/>
  <c r="G40" i="13"/>
  <c r="G37" i="13"/>
  <c r="G36" i="13"/>
  <c r="G35" i="13"/>
  <c r="G34" i="13"/>
  <c r="G33" i="13"/>
  <c r="G32" i="13"/>
  <c r="G31" i="13"/>
  <c r="G30" i="13"/>
  <c r="G29" i="13"/>
  <c r="D99" i="13"/>
  <c r="D95" i="13"/>
  <c r="D94" i="13"/>
  <c r="D93" i="13"/>
  <c r="D92" i="13"/>
  <c r="D91" i="13"/>
  <c r="D90" i="13"/>
  <c r="D89" i="13"/>
  <c r="D88" i="13"/>
  <c r="D87" i="13"/>
  <c r="D86" i="13"/>
  <c r="D85" i="13"/>
  <c r="D84" i="13"/>
  <c r="D83" i="13"/>
  <c r="D80" i="13"/>
  <c r="D79" i="13"/>
  <c r="D75" i="13"/>
  <c r="D66" i="13"/>
  <c r="D65" i="13"/>
  <c r="D58" i="13"/>
  <c r="D57" i="13"/>
  <c r="D56" i="13"/>
  <c r="D53" i="13"/>
  <c r="D52" i="13"/>
  <c r="D51" i="13"/>
  <c r="D50" i="13"/>
  <c r="D49" i="13"/>
  <c r="D48" i="13"/>
  <c r="D47" i="13"/>
  <c r="D46" i="13"/>
  <c r="D45" i="13"/>
  <c r="D43" i="13"/>
  <c r="D40" i="13"/>
  <c r="D37" i="13"/>
  <c r="D36" i="13"/>
  <c r="D35" i="13"/>
  <c r="D34" i="13"/>
  <c r="D33" i="13"/>
  <c r="D32" i="13"/>
  <c r="D31" i="13"/>
  <c r="D30" i="13"/>
  <c r="D29" i="13"/>
  <c r="D6" i="13"/>
  <c r="D5" i="13"/>
  <c r="S92" i="4"/>
  <c r="S89" i="4"/>
  <c r="S66" i="4"/>
  <c r="S99" i="4"/>
  <c r="S86" i="4"/>
  <c r="S85" i="4"/>
  <c r="S84" i="4"/>
  <c r="S80" i="4"/>
  <c r="S79" i="4"/>
  <c r="S53" i="4"/>
  <c r="S52" i="4"/>
  <c r="S51" i="4"/>
  <c r="S50" i="4"/>
  <c r="S48" i="4"/>
  <c r="S47" i="4"/>
  <c r="S46" i="4"/>
  <c r="S43" i="4"/>
  <c r="S40" i="4"/>
  <c r="S37" i="4"/>
  <c r="S36" i="4"/>
  <c r="S35" i="4"/>
  <c r="S34" i="4"/>
  <c r="S33" i="4"/>
  <c r="S32" i="4"/>
  <c r="S31" i="4"/>
  <c r="S30" i="4"/>
  <c r="S29" i="4"/>
  <c r="F33" i="4"/>
  <c r="C33" i="4"/>
  <c r="I37" i="4"/>
  <c r="J45" i="4"/>
  <c r="K99" i="4"/>
  <c r="G9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AA933" i="3"/>
  <c r="AA916" i="3"/>
  <c r="AA915" i="3"/>
  <c r="AH736" i="3"/>
  <c r="AH733" i="3"/>
  <c r="AH732" i="3"/>
  <c r="AH735" i="3" s="1"/>
  <c r="AH731" i="3"/>
  <c r="AH734" i="3" s="1"/>
  <c r="Y736" i="3"/>
  <c r="Y735" i="3"/>
  <c r="Y733" i="3"/>
  <c r="Y732" i="3"/>
  <c r="Y729" i="3"/>
  <c r="Y730" i="3" s="1"/>
  <c r="K735" i="3"/>
  <c r="K736" i="3" s="1"/>
  <c r="K732" i="3"/>
  <c r="K733" i="3" s="1"/>
  <c r="K729" i="3"/>
  <c r="K730" i="3" s="1"/>
  <c r="AO642" i="3"/>
  <c r="AO640" i="3"/>
  <c r="AO639" i="3"/>
  <c r="AO638" i="3"/>
  <c r="C642" i="3"/>
  <c r="H316" i="3" l="1"/>
  <c r="H314" i="3"/>
  <c r="H313" i="3"/>
  <c r="H312" i="3"/>
  <c r="H311" i="3"/>
  <c r="H310" i="3"/>
  <c r="L4" i="25"/>
  <c r="AD1036" i="3"/>
  <c r="AN28" i="25"/>
  <c r="AH28" i="25"/>
  <c r="AB28" i="25"/>
  <c r="V28" i="25"/>
  <c r="P28" i="25"/>
  <c r="AN27" i="25" a="1"/>
  <c r="AN27" i="25" s="1"/>
  <c r="AH27" i="25" a="1"/>
  <c r="AH27" i="25" s="1"/>
  <c r="AB27" i="25" a="1"/>
  <c r="AB27" i="25" s="1"/>
  <c r="V27" i="25" a="1"/>
  <c r="V27" i="25" s="1"/>
  <c r="P27" i="25" a="1"/>
  <c r="P27" i="25" s="1"/>
  <c r="J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B90" i="11"/>
  <c r="B91" i="11"/>
  <c r="B92" i="11"/>
  <c r="B97" i="11" s="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9" i="11" s="1"/>
  <c r="B38" i="11"/>
  <c r="C24" i="11"/>
  <c r="C25" i="11"/>
  <c r="C26" i="11"/>
  <c r="B25" i="11"/>
  <c r="B26" i="11"/>
  <c r="D70" i="4"/>
  <c r="C70" i="4"/>
  <c r="B70" i="13" s="1"/>
  <c r="C54" i="11"/>
  <c r="B54" i="11"/>
  <c r="AV109" i="20" a="1"/>
  <c r="AV109" i="20"/>
  <c r="AV108" i="20" a="1"/>
  <c r="AV108" i="20"/>
  <c r="AV107" i="20" a="1"/>
  <c r="AV107" i="20"/>
  <c r="AW107" i="20" s="1"/>
  <c r="AV106" i="20" a="1"/>
  <c r="AV106" i="20"/>
  <c r="AV105" i="20" a="1"/>
  <c r="AV105" i="20"/>
  <c r="AW105" i="20" s="1"/>
  <c r="AV104" i="20" a="1"/>
  <c r="AV104" i="20"/>
  <c r="AV110"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T789" i="20" s="1"/>
  <c r="AO59" i="20"/>
  <c r="AO58" i="20"/>
  <c r="AO57" i="20"/>
  <c r="AO60" i="20" s="1"/>
  <c r="AK72" i="20" s="1"/>
  <c r="AO29" i="20"/>
  <c r="AO28" i="20"/>
  <c r="AO27" i="20"/>
  <c r="AO26" i="20"/>
  <c r="AO25" i="20"/>
  <c r="AO24" i="20"/>
  <c r="AO23" i="20"/>
  <c r="AO20" i="20"/>
  <c r="AO21" i="20"/>
  <c r="AO15" i="20"/>
  <c r="AO14" i="20"/>
  <c r="AO13" i="20"/>
  <c r="AO12" i="20"/>
  <c r="AO30" i="20"/>
  <c r="AP590" i="20"/>
  <c r="AQ590" i="20"/>
  <c r="AK750" i="20"/>
  <c r="T793" i="20"/>
  <c r="AF793" i="20"/>
  <c r="AO16" i="20"/>
  <c r="T794" i="20"/>
  <c r="AF794" i="20"/>
  <c r="AO32" i="20"/>
  <c r="AK51" i="20"/>
  <c r="T784" i="20"/>
  <c r="AF784"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AD68" i="15"/>
  <c r="B5" i="8"/>
  <c r="F5" i="8" s="1"/>
  <c r="B6" i="8"/>
  <c r="F6" i="8"/>
  <c r="B7" i="8"/>
  <c r="F7" i="8"/>
  <c r="B8" i="8"/>
  <c r="F8" i="8"/>
  <c r="B9" i="8"/>
  <c r="F9" i="8" s="1"/>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D7" i="13" s="1"/>
  <c r="C8" i="4"/>
  <c r="B8" i="13" s="1"/>
  <c r="B9" i="13"/>
  <c r="B10" i="13"/>
  <c r="B13" i="13"/>
  <c r="B14" i="13"/>
  <c r="B15" i="13"/>
  <c r="B4" i="13"/>
  <c r="D4" i="13" s="1"/>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96" i="4" s="1"/>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37" i="4"/>
  <c r="R35" i="4"/>
  <c r="R34" i="4"/>
  <c r="R38" i="4" s="1"/>
  <c r="R33" i="4"/>
  <c r="R32" i="4"/>
  <c r="R31" i="4"/>
  <c r="R30" i="4"/>
  <c r="R29" i="4"/>
  <c r="R27" i="4"/>
  <c r="R25" i="4"/>
  <c r="R23" i="4"/>
  <c r="R22" i="4"/>
  <c r="R21" i="4"/>
  <c r="R26" i="4" s="1"/>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D48" i="11" s="1"/>
  <c r="B49" i="11"/>
  <c r="B50" i="11"/>
  <c r="B51" i="11"/>
  <c r="D51" i="11"/>
  <c r="B52" i="11"/>
  <c r="B53" i="11"/>
  <c r="C48" i="11"/>
  <c r="C49" i="11"/>
  <c r="D49" i="11" s="1"/>
  <c r="C50" i="11"/>
  <c r="C51" i="11"/>
  <c r="C52" i="11"/>
  <c r="C53" i="11"/>
  <c r="B57" i="11"/>
  <c r="C57" i="11"/>
  <c r="B58" i="11"/>
  <c r="C58" i="11"/>
  <c r="C63" i="11" s="1"/>
  <c r="B59" i="11"/>
  <c r="D59" i="11" s="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BN610" i="3"/>
  <c r="DX610" i="3" s="1"/>
  <c r="BN611" i="3"/>
  <c r="DX611" i="3"/>
  <c r="BN612" i="3"/>
  <c r="DX612" i="3" s="1"/>
  <c r="BN613" i="3"/>
  <c r="DX613" i="3" s="1"/>
  <c r="BN614" i="3"/>
  <c r="DX614" i="3" s="1"/>
  <c r="BN615" i="3"/>
  <c r="DX615" i="3"/>
  <c r="BN616" i="3"/>
  <c r="DX616" i="3" s="1"/>
  <c r="BN617" i="3"/>
  <c r="DX617" i="3" s="1"/>
  <c r="BN618" i="3"/>
  <c r="DX618" i="3" s="1"/>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s="1"/>
  <c r="BS612" i="3"/>
  <c r="EC612" i="3" s="1"/>
  <c r="BS613" i="3"/>
  <c r="EC613" i="3" s="1"/>
  <c r="BS614" i="3"/>
  <c r="EC614" i="3"/>
  <c r="BS615" i="3"/>
  <c r="EC615" i="3" s="1"/>
  <c r="BS616" i="3"/>
  <c r="EC616" i="3" s="1"/>
  <c r="BS617" i="3"/>
  <c r="EC617" i="3" s="1"/>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c r="BX614" i="3"/>
  <c r="EH614" i="3" s="1"/>
  <c r="BX615" i="3"/>
  <c r="EH615" i="3" s="1"/>
  <c r="BX616" i="3"/>
  <c r="EH616" i="3" s="1"/>
  <c r="BX617" i="3"/>
  <c r="EH617" i="3"/>
  <c r="BX618" i="3"/>
  <c r="EH618" i="3" s="1"/>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c r="CC613" i="3"/>
  <c r="EM613" i="3" s="1"/>
  <c r="CC614" i="3"/>
  <c r="EM614" i="3" s="1"/>
  <c r="CC615" i="3"/>
  <c r="EM615" i="3" s="1"/>
  <c r="CC616" i="3"/>
  <c r="EM616" i="3"/>
  <c r="CC617" i="3"/>
  <c r="EM617" i="3" s="1"/>
  <c r="CC618" i="3"/>
  <c r="EM618" i="3" s="1"/>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c r="CM612" i="3"/>
  <c r="EW612" i="3" s="1"/>
  <c r="CM613" i="3"/>
  <c r="EW613" i="3" s="1"/>
  <c r="CM614" i="3"/>
  <c r="EW614" i="3" s="1"/>
  <c r="CM615" i="3"/>
  <c r="EW615" i="3"/>
  <c r="CM616" i="3"/>
  <c r="EW616" i="3" s="1"/>
  <c r="CM617" i="3"/>
  <c r="EW617" i="3" s="1"/>
  <c r="CM618" i="3"/>
  <c r="EW618" i="3" s="1"/>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s="1"/>
  <c r="CH612" i="3"/>
  <c r="ER612" i="3" s="1"/>
  <c r="CH613" i="3"/>
  <c r="ER613" i="3" s="1"/>
  <c r="CH614" i="3"/>
  <c r="ER614" i="3"/>
  <c r="CH615" i="3"/>
  <c r="ER615" i="3" s="1"/>
  <c r="CH616" i="3"/>
  <c r="ER616" i="3" s="1"/>
  <c r="CH617" i="3"/>
  <c r="ER617" i="3" s="1"/>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4" s="1"/>
  <c r="C62" i="4"/>
  <c r="B62" i="13" s="1"/>
  <c r="C77" i="4"/>
  <c r="B77" i="13" s="1"/>
  <c r="C96" i="4"/>
  <c r="B96" i="13" s="1"/>
  <c r="B104" i="13"/>
  <c r="D8" i="4"/>
  <c r="D11" i="4"/>
  <c r="D26" i="4"/>
  <c r="D38" i="4"/>
  <c r="D42" i="4"/>
  <c r="D54" i="4"/>
  <c r="D62" i="4"/>
  <c r="D77" i="4"/>
  <c r="D96" i="4"/>
  <c r="D104" i="4"/>
  <c r="B104" i="4"/>
  <c r="AO649" i="3"/>
  <c r="AO651" i="3" s="1"/>
  <c r="AM572" i="3" s="1"/>
  <c r="AM576" i="3" s="1"/>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CX635" i="3" s="1"/>
  <c r="DC611" i="3"/>
  <c r="DH611" i="3"/>
  <c r="DM611" i="3"/>
  <c r="DR611" i="3"/>
  <c r="CS612" i="3"/>
  <c r="CX612" i="3"/>
  <c r="DC612" i="3"/>
  <c r="DH612" i="3"/>
  <c r="DM612" i="3"/>
  <c r="DR612" i="3"/>
  <c r="CS613" i="3"/>
  <c r="CX613" i="3"/>
  <c r="DC613" i="3"/>
  <c r="DH613" i="3"/>
  <c r="DM613" i="3"/>
  <c r="DR613" i="3"/>
  <c r="DR635" i="3" s="1"/>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96" i="3" s="1"/>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c r="E6" i="21"/>
  <c r="E92" i="20"/>
  <c r="B77" i="4"/>
  <c r="DC658" i="3"/>
  <c r="DH658" i="3"/>
  <c r="DM658" i="3"/>
  <c r="CS658" i="3"/>
  <c r="DR658" i="3"/>
  <c r="CX658" i="3"/>
  <c r="B27" i="11"/>
  <c r="D50" i="11"/>
  <c r="C27" i="11"/>
  <c r="EH635" i="3"/>
  <c r="EM635" i="3"/>
  <c r="ER635" i="3"/>
  <c r="EW635" i="3"/>
  <c r="DX635" i="3"/>
  <c r="AM734" i="3"/>
  <c r="I63" i="13"/>
  <c r="I97" i="13"/>
  <c r="I105" i="13"/>
  <c r="I107" i="13"/>
  <c r="B81" i="13"/>
  <c r="D54" i="11"/>
  <c r="D53" i="11"/>
  <c r="J63" i="13"/>
  <c r="J97" i="13"/>
  <c r="J105" i="13"/>
  <c r="J107" i="13"/>
  <c r="L12" i="4"/>
  <c r="R970" i="3"/>
  <c r="R973" i="3"/>
  <c r="R971" i="3"/>
  <c r="AD1035" i="3" s="1"/>
  <c r="AD1037" i="3" s="1"/>
  <c r="E4" i="21" s="1"/>
  <c r="R972" i="3"/>
  <c r="R969" i="3"/>
  <c r="AM729" i="3"/>
  <c r="AG444" i="3"/>
  <c r="AI27" i="15"/>
  <c r="AM732" i="3"/>
  <c r="D93" i="11"/>
  <c r="D5" i="11"/>
  <c r="D70" i="11"/>
  <c r="D80" i="11"/>
  <c r="D52" i="11"/>
  <c r="I12" i="4"/>
  <c r="G12" i="4"/>
  <c r="D46" i="11"/>
  <c r="D6" i="11"/>
  <c r="L63" i="4"/>
  <c r="L97" i="4"/>
  <c r="L105" i="4"/>
  <c r="Q12" i="4"/>
  <c r="B11" i="4"/>
  <c r="O63" i="4"/>
  <c r="O97" i="4"/>
  <c r="O105" i="4"/>
  <c r="D18" i="11"/>
  <c r="B8" i="4"/>
  <c r="N158" i="25" s="1"/>
  <c r="D10" i="11"/>
  <c r="G63" i="13"/>
  <c r="G97" i="13" s="1"/>
  <c r="G105" i="13" s="1"/>
  <c r="G107" i="13" s="1"/>
  <c r="D61" i="11"/>
  <c r="D57" i="11"/>
  <c r="D20" i="11"/>
  <c r="D8" i="11"/>
  <c r="D85" i="11"/>
  <c r="B43" i="11"/>
  <c r="D102" i="11"/>
  <c r="D94" i="11"/>
  <c r="K12" i="4"/>
  <c r="C43" i="11"/>
  <c r="C12" i="13"/>
  <c r="D63" i="4"/>
  <c r="D97" i="4"/>
  <c r="D105" i="4"/>
  <c r="B78" i="11"/>
  <c r="D7" i="11"/>
  <c r="F63" i="4"/>
  <c r="F97" i="4" s="1"/>
  <c r="J12" i="4"/>
  <c r="D22" i="11"/>
  <c r="O12" i="4"/>
  <c r="I63" i="4"/>
  <c r="I97" i="4"/>
  <c r="I105" i="4" s="1"/>
  <c r="D95" i="11"/>
  <c r="D25" i="11"/>
  <c r="B82" i="11"/>
  <c r="D82" i="11" s="1"/>
  <c r="B11" i="13"/>
  <c r="D12" i="4"/>
  <c r="R77" i="4"/>
  <c r="H12" i="4"/>
  <c r="C82" i="11"/>
  <c r="B9" i="11"/>
  <c r="D23" i="11"/>
  <c r="D19" i="11"/>
  <c r="D89" i="11"/>
  <c r="D73" i="11"/>
  <c r="D44" i="11"/>
  <c r="D35" i="11"/>
  <c r="D76" i="11"/>
  <c r="D31" i="11"/>
  <c r="D32" i="11"/>
  <c r="D15" i="11"/>
  <c r="D63" i="13"/>
  <c r="D97" i="13" s="1"/>
  <c r="D105" i="13" s="1"/>
  <c r="D14" i="11"/>
  <c r="Q63" i="4"/>
  <c r="Q97" i="4"/>
  <c r="Q105" i="4"/>
  <c r="C105" i="11"/>
  <c r="D105" i="11" s="1"/>
  <c r="D87" i="11"/>
  <c r="N63" i="4"/>
  <c r="N97" i="4"/>
  <c r="N105" i="4"/>
  <c r="N12" i="4"/>
  <c r="F12" i="4"/>
  <c r="D60" i="11"/>
  <c r="M12" i="4"/>
  <c r="R8" i="4"/>
  <c r="R12" i="4" s="1"/>
  <c r="D84" i="11"/>
  <c r="D74" i="11"/>
  <c r="D38" i="11"/>
  <c r="R42" i="4"/>
  <c r="P63" i="4"/>
  <c r="P97" i="4"/>
  <c r="P105" i="4"/>
  <c r="B38" i="4"/>
  <c r="C9" i="11"/>
  <c r="D12" i="13"/>
  <c r="D58" i="11"/>
  <c r="D100" i="11"/>
  <c r="D62" i="11"/>
  <c r="D24" i="11"/>
  <c r="D101" i="11"/>
  <c r="D90" i="11"/>
  <c r="D66" i="11"/>
  <c r="C63" i="13"/>
  <c r="C97" i="13"/>
  <c r="C105" i="13"/>
  <c r="D75" i="11"/>
  <c r="B71" i="11"/>
  <c r="D28" i="11"/>
  <c r="D103" i="11"/>
  <c r="C78" i="11"/>
  <c r="D42" i="11"/>
  <c r="D21" i="11"/>
  <c r="D16" i="11"/>
  <c r="B12" i="11"/>
  <c r="D81" i="11"/>
  <c r="D86" i="11"/>
  <c r="F63" i="13"/>
  <c r="F97" i="13"/>
  <c r="F105" i="13"/>
  <c r="F107" i="13"/>
  <c r="AM733" i="3"/>
  <c r="AM731" i="3"/>
  <c r="AM730" i="3"/>
  <c r="AM728" i="3"/>
  <c r="AB48" i="15"/>
  <c r="AD193" i="20"/>
  <c r="AD194" i="20"/>
  <c r="B42" i="4"/>
  <c r="D77" i="11"/>
  <c r="D47" i="11"/>
  <c r="C71" i="11"/>
  <c r="M63" i="4"/>
  <c r="M97" i="4"/>
  <c r="M105" i="4"/>
  <c r="S63" i="4"/>
  <c r="E63" i="13" s="1"/>
  <c r="G63" i="4"/>
  <c r="G97" i="4"/>
  <c r="G105" i="4"/>
  <c r="D91" i="11"/>
  <c r="J63" i="4"/>
  <c r="J97" i="4" s="1"/>
  <c r="J105" i="4" s="1"/>
  <c r="D41" i="11"/>
  <c r="C12" i="11"/>
  <c r="K63" i="4"/>
  <c r="K97" i="4"/>
  <c r="K105" i="4"/>
  <c r="B62" i="4"/>
  <c r="B105" i="11"/>
  <c r="U39" i="7"/>
  <c r="U42" i="7" s="1"/>
  <c r="S39" i="7"/>
  <c r="S42" i="7"/>
  <c r="E42" i="7"/>
  <c r="I39" i="7"/>
  <c r="I42" i="7" s="1"/>
  <c r="K39" i="7"/>
  <c r="K42" i="7" s="1"/>
  <c r="W39" i="7"/>
  <c r="W42" i="7"/>
  <c r="Y39" i="7"/>
  <c r="Y42" i="7" s="1"/>
  <c r="AD7" i="15"/>
  <c r="C63" i="4"/>
  <c r="C97" i="4" s="1"/>
  <c r="E63" i="4"/>
  <c r="G39" i="7"/>
  <c r="G42" i="7" s="1"/>
  <c r="O39" i="7"/>
  <c r="O42" i="7" s="1"/>
  <c r="BN644" i="3"/>
  <c r="BR645" i="3"/>
  <c r="CM644" i="3"/>
  <c r="CQ645" i="3"/>
  <c r="AE39" i="7"/>
  <c r="AE42" i="7" s="1"/>
  <c r="AA39" i="7"/>
  <c r="AA42" i="7" s="1"/>
  <c r="CH644" i="3"/>
  <c r="CL645" i="3"/>
  <c r="BS644" i="3"/>
  <c r="BW645" i="3"/>
  <c r="AG39" i="7"/>
  <c r="AG42" i="7" s="1"/>
  <c r="Q39" i="7"/>
  <c r="Q42" i="7" s="1"/>
  <c r="AC39" i="7"/>
  <c r="AC42" i="7" s="1"/>
  <c r="BX644" i="3"/>
  <c r="CB645" i="3"/>
  <c r="Y7" i="15"/>
  <c r="AI11" i="15"/>
  <c r="AI23" i="15"/>
  <c r="AI26" i="15"/>
  <c r="T7" i="15"/>
  <c r="K27" i="7"/>
  <c r="O27" i="7"/>
  <c r="I27" i="7"/>
  <c r="W27" i="7"/>
  <c r="S27" i="7"/>
  <c r="Y27" i="7"/>
  <c r="AC27" i="7"/>
  <c r="AG27" i="7"/>
  <c r="M27" i="7"/>
  <c r="G27" i="7"/>
  <c r="AA27" i="7"/>
  <c r="Q27" i="7"/>
  <c r="U27" i="7"/>
  <c r="CC635" i="3"/>
  <c r="EM657" i="3" s="1"/>
  <c r="CM635" i="3"/>
  <c r="BX658" i="3"/>
  <c r="CB659" i="3"/>
  <c r="I30" i="8"/>
  <c r="Z807" i="3"/>
  <c r="E6" i="7" s="1"/>
  <c r="G6" i="7" s="1"/>
  <c r="I6" i="7" s="1"/>
  <c r="K6" i="7" s="1"/>
  <c r="AC882" i="3"/>
  <c r="AC776" i="3"/>
  <c r="AC881" i="3"/>
  <c r="AC883" i="3" s="1"/>
  <c r="BA995" i="3"/>
  <c r="CS635" i="3"/>
  <c r="AC796" i="3"/>
  <c r="BS635" i="3"/>
  <c r="EC639" i="3" s="1"/>
  <c r="BN658" i="3"/>
  <c r="CC644" i="3"/>
  <c r="CG645" i="3"/>
  <c r="CH658" i="3"/>
  <c r="CL659" i="3"/>
  <c r="CM658" i="3"/>
  <c r="CQ659" i="3"/>
  <c r="CC658" i="3"/>
  <c r="CG659" i="3"/>
  <c r="DC635" i="3"/>
  <c r="DM635" i="3"/>
  <c r="BG243" i="3"/>
  <c r="BO245" i="3"/>
  <c r="T266" i="3"/>
  <c r="BS658" i="3"/>
  <c r="BW659" i="3"/>
  <c r="CH635" i="3"/>
  <c r="T753" i="3"/>
  <c r="Y798" i="3" s="1"/>
  <c r="F30" i="8"/>
  <c r="D104" i="11"/>
  <c r="E12" i="4"/>
  <c r="B96" i="4"/>
  <c r="T63" i="4"/>
  <c r="T97" i="4"/>
  <c r="D11" i="11"/>
  <c r="C12" i="4"/>
  <c r="B12" i="13" s="1"/>
  <c r="DR660" i="3"/>
  <c r="E15" i="21"/>
  <c r="EW650" i="3"/>
  <c r="CQ637" i="3"/>
  <c r="BR659" i="3"/>
  <c r="CS661" i="3"/>
  <c r="CS660" i="3"/>
  <c r="CS645" i="3"/>
  <c r="D43" i="11"/>
  <c r="EW659" i="3"/>
  <c r="EW658" i="3"/>
  <c r="EW654" i="3"/>
  <c r="EW641" i="3"/>
  <c r="EC656" i="3"/>
  <c r="EW653" i="3"/>
  <c r="EW661" i="3"/>
  <c r="EM644" i="3"/>
  <c r="ER646" i="3"/>
  <c r="ER650" i="3"/>
  <c r="ER641" i="3"/>
  <c r="EC647" i="3"/>
  <c r="EW644" i="3"/>
  <c r="EM643" i="3"/>
  <c r="ER645" i="3"/>
  <c r="EM652" i="3"/>
  <c r="ER654" i="3"/>
  <c r="EC651" i="3"/>
  <c r="EW657" i="3"/>
  <c r="ER649" i="3"/>
  <c r="EC655" i="3"/>
  <c r="ER652" i="3"/>
  <c r="EM651" i="3"/>
  <c r="ER653" i="3"/>
  <c r="EC642" i="3"/>
  <c r="EM660" i="3"/>
  <c r="EW648" i="3"/>
  <c r="ER640" i="3"/>
  <c r="EC645" i="3"/>
  <c r="EM639" i="3"/>
  <c r="ER657" i="3"/>
  <c r="EW660" i="3"/>
  <c r="EM642" i="3"/>
  <c r="ER660" i="3"/>
  <c r="EC641" i="3"/>
  <c r="EM659" i="3"/>
  <c r="EW639" i="3"/>
  <c r="EC646" i="3"/>
  <c r="EW656" i="3"/>
  <c r="EM638" i="3"/>
  <c r="EM647" i="3"/>
  <c r="ER643" i="3"/>
  <c r="EC649" i="3"/>
  <c r="EW638" i="3"/>
  <c r="EC658" i="3"/>
  <c r="EW647" i="3"/>
  <c r="ER642" i="3"/>
  <c r="EC644" i="3"/>
  <c r="EM646" i="3"/>
  <c r="ER656" i="3"/>
  <c r="EC661" i="3"/>
  <c r="EM655" i="3"/>
  <c r="ER651" i="3"/>
  <c r="EC640" i="3"/>
  <c r="EM658" i="3"/>
  <c r="EC662" i="3"/>
  <c r="EC657" i="3"/>
  <c r="ER647" i="3"/>
  <c r="EC652" i="3"/>
  <c r="EM654" i="3"/>
  <c r="EC638" i="3"/>
  <c r="ER638" i="3"/>
  <c r="EM641" i="3"/>
  <c r="ER659" i="3"/>
  <c r="EC648" i="3"/>
  <c r="EW645" i="3"/>
  <c r="EW646" i="3"/>
  <c r="EW651" i="3"/>
  <c r="EM645" i="3"/>
  <c r="ER655" i="3"/>
  <c r="EW643" i="3"/>
  <c r="CS644" i="3"/>
  <c r="D78" i="11"/>
  <c r="AI28" i="15"/>
  <c r="T27" i="15"/>
  <c r="AD27" i="15"/>
  <c r="Y27" i="15"/>
  <c r="D71" i="11"/>
  <c r="B12" i="4"/>
  <c r="D9" i="11"/>
  <c r="B13" i="11"/>
  <c r="D12" i="11"/>
  <c r="C13" i="11"/>
  <c r="D26" i="11"/>
  <c r="D27" i="11"/>
  <c r="B63" i="13"/>
  <c r="CC663" i="3"/>
  <c r="AB972" i="3" s="1"/>
  <c r="AJ972" i="3" s="1"/>
  <c r="CM663" i="3"/>
  <c r="Y11" i="15"/>
  <c r="Y23" i="15" s="1"/>
  <c r="Y26" i="15" s="1"/>
  <c r="Y28" i="15" s="1"/>
  <c r="Y799" i="3"/>
  <c r="Z816" i="3" s="1"/>
  <c r="E4" i="7"/>
  <c r="E5" i="7" s="1"/>
  <c r="C30" i="8"/>
  <c r="CH663" i="3"/>
  <c r="H63" i="13"/>
  <c r="T105" i="4"/>
  <c r="H97" i="13"/>
  <c r="D96" i="11"/>
  <c r="G4" i="7"/>
  <c r="I4" i="7" s="1"/>
  <c r="K4" i="7" s="1"/>
  <c r="G5" i="7"/>
  <c r="T107" i="4"/>
  <c r="H105" i="13"/>
  <c r="H107" i="13"/>
  <c r="AD11" i="15"/>
  <c r="AD23" i="15"/>
  <c r="AD26" i="15"/>
  <c r="AD28" i="15"/>
  <c r="AP83" i="20"/>
  <c r="I5" i="7"/>
  <c r="AJ1015" i="3"/>
  <c r="AJ1011" i="3"/>
  <c r="AJ1008" i="3"/>
  <c r="AZ846" i="3" s="1"/>
  <c r="AJ1020" i="3"/>
  <c r="AJ977" i="3"/>
  <c r="AJ986" i="3"/>
  <c r="AJ995" i="3"/>
  <c r="AJ992" i="3"/>
  <c r="M4" i="7"/>
  <c r="O4" i="7" s="1"/>
  <c r="AZ849" i="3"/>
  <c r="K5" i="7"/>
  <c r="H63" i="4" l="1"/>
  <c r="H97" i="4" s="1"/>
  <c r="H105" i="4" s="1"/>
  <c r="D13" i="11"/>
  <c r="I57" i="7"/>
  <c r="K52" i="7"/>
  <c r="AP581" i="20"/>
  <c r="AQ581" i="20" s="1"/>
  <c r="AS577" i="20" s="1"/>
  <c r="AS573" i="20" s="1"/>
  <c r="AK684" i="20" s="1"/>
  <c r="T798" i="20" s="1"/>
  <c r="AF798" i="20" s="1"/>
  <c r="AK551" i="20"/>
  <c r="T797" i="20" s="1"/>
  <c r="T796" i="20"/>
  <c r="T788" i="20"/>
  <c r="AF788" i="20" s="1"/>
  <c r="AK166" i="20"/>
  <c r="AK174" i="20"/>
  <c r="T791" i="20" s="1"/>
  <c r="AF791" i="20" s="1"/>
  <c r="T785" i="20"/>
  <c r="AF785" i="20" s="1"/>
  <c r="S97" i="4"/>
  <c r="R54" i="4"/>
  <c r="F99" i="4"/>
  <c r="D92" i="11"/>
  <c r="N157" i="25"/>
  <c r="N164" i="25" s="1"/>
  <c r="C97" i="11"/>
  <c r="D97" i="11" s="1"/>
  <c r="B70" i="4"/>
  <c r="R70" i="4"/>
  <c r="E97" i="4"/>
  <c r="B63" i="11"/>
  <c r="D63" i="11" s="1"/>
  <c r="B55" i="11"/>
  <c r="C55" i="11"/>
  <c r="D55" i="11" s="1"/>
  <c r="B54" i="13"/>
  <c r="B63" i="4"/>
  <c r="B64" i="11"/>
  <c r="B98" i="11" s="1"/>
  <c r="B106" i="11" s="1"/>
  <c r="C39" i="11"/>
  <c r="B97" i="13"/>
  <c r="C105" i="4"/>
  <c r="B97" i="4"/>
  <c r="R63" i="4"/>
  <c r="G14" i="7"/>
  <c r="E21" i="7"/>
  <c r="E34" i="7" s="1"/>
  <c r="G9" i="7"/>
  <c r="I8" i="7"/>
  <c r="K8" i="7" s="1"/>
  <c r="BK635" i="3"/>
  <c r="X1031" i="3" s="1"/>
  <c r="V29" i="25"/>
  <c r="J24" i="25"/>
  <c r="DH635" i="3"/>
  <c r="J23" i="25"/>
  <c r="AG1028" i="3"/>
  <c r="BH687" i="3"/>
  <c r="BI687" i="3" s="1"/>
  <c r="BH674" i="3"/>
  <c r="BI674" i="3" s="1"/>
  <c r="BH684" i="3"/>
  <c r="BI684" i="3" s="1"/>
  <c r="BH685" i="3"/>
  <c r="BI685" i="3" s="1"/>
  <c r="BH681" i="3"/>
  <c r="BI681" i="3" s="1"/>
  <c r="BH683" i="3"/>
  <c r="BI683" i="3" s="1"/>
  <c r="BH679" i="3"/>
  <c r="BI679" i="3" s="1"/>
  <c r="BH680" i="3"/>
  <c r="BI680" i="3" s="1"/>
  <c r="BH671" i="3"/>
  <c r="BH673" i="3"/>
  <c r="BI673" i="3" s="1"/>
  <c r="BH686" i="3"/>
  <c r="BI686" i="3" s="1"/>
  <c r="BH672" i="3"/>
  <c r="BI672" i="3" s="1"/>
  <c r="BH677" i="3"/>
  <c r="BI677" i="3" s="1"/>
  <c r="BH689" i="3"/>
  <c r="BI689" i="3" s="1"/>
  <c r="BH690" i="3"/>
  <c r="BI690" i="3" s="1"/>
  <c r="BH682" i="3"/>
  <c r="BI682" i="3" s="1"/>
  <c r="BH692" i="3"/>
  <c r="BI692" i="3" s="1"/>
  <c r="BH691" i="3"/>
  <c r="BI691" i="3" s="1"/>
  <c r="BH675" i="3"/>
  <c r="BI675" i="3" s="1"/>
  <c r="BH694" i="3"/>
  <c r="BI694" i="3" s="1"/>
  <c r="BH688" i="3"/>
  <c r="BI688" i="3" s="1"/>
  <c r="BH678" i="3"/>
  <c r="BI678" i="3" s="1"/>
  <c r="BH695" i="3"/>
  <c r="BI695" i="3" s="1"/>
  <c r="BH693" i="3"/>
  <c r="BI693" i="3" s="1"/>
  <c r="K7" i="7"/>
  <c r="M6" i="7"/>
  <c r="EC643" i="3"/>
  <c r="EC663" i="3" s="1"/>
  <c r="J118" i="20" s="1"/>
  <c r="J121" i="20" s="1"/>
  <c r="J124" i="20" s="1"/>
  <c r="ER658" i="3"/>
  <c r="ER662" i="3"/>
  <c r="ER661" i="3"/>
  <c r="ER648" i="3"/>
  <c r="CL637" i="3"/>
  <c r="ER644" i="3"/>
  <c r="EW640" i="3"/>
  <c r="AB29" i="25"/>
  <c r="J21" i="25"/>
  <c r="EW662" i="3"/>
  <c r="EW649" i="3"/>
  <c r="EW652" i="3"/>
  <c r="EW655" i="3"/>
  <c r="E93" i="20"/>
  <c r="BA987" i="3"/>
  <c r="AH29" i="25"/>
  <c r="EM662" i="3"/>
  <c r="EM650" i="3"/>
  <c r="CG637" i="3"/>
  <c r="EM653" i="3"/>
  <c r="EM649" i="3"/>
  <c r="EM656" i="3"/>
  <c r="AN29" i="25"/>
  <c r="M5" i="7"/>
  <c r="BS663" i="3"/>
  <c r="AB970" i="3" s="1"/>
  <c r="AJ970" i="3" s="1"/>
  <c r="E12" i="21"/>
  <c r="I12" i="21" s="1"/>
  <c r="EC659" i="3"/>
  <c r="EC650" i="3"/>
  <c r="EC653" i="3"/>
  <c r="EM640" i="3"/>
  <c r="J20" i="25"/>
  <c r="EC654" i="3"/>
  <c r="BW637" i="3"/>
  <c r="E14" i="21"/>
  <c r="EC635" i="3"/>
  <c r="O5" i="7"/>
  <c r="Q4" i="7"/>
  <c r="EC660" i="3"/>
  <c r="BG635" i="3"/>
  <c r="X1027" i="3" s="1"/>
  <c r="BG728" i="3"/>
  <c r="AW109" i="20"/>
  <c r="AW106" i="20"/>
  <c r="AW104" i="20"/>
  <c r="AW108" i="20"/>
  <c r="J22" i="25"/>
  <c r="J25" i="25"/>
  <c r="AB973" i="3"/>
  <c r="AJ973" i="3" s="1"/>
  <c r="EM661" i="3"/>
  <c r="EM648" i="3"/>
  <c r="BH676" i="3"/>
  <c r="BI676" i="3" s="1"/>
  <c r="ER639" i="3"/>
  <c r="ER663" i="3" s="1"/>
  <c r="Y118" i="20" s="1"/>
  <c r="Y121" i="20" s="1"/>
  <c r="Y124" i="20" s="1"/>
  <c r="EW642" i="3"/>
  <c r="J19" i="25"/>
  <c r="P29" i="25"/>
  <c r="BN635" i="3"/>
  <c r="DX645" i="3" s="1"/>
  <c r="BX635" i="3"/>
  <c r="EH642" i="3" s="1"/>
  <c r="E7" i="7"/>
  <c r="AZ854" i="3"/>
  <c r="G7" i="7"/>
  <c r="G10" i="7" s="1"/>
  <c r="I7" i="7"/>
  <c r="I9" i="7"/>
  <c r="E9" i="7"/>
  <c r="E10" i="7" s="1"/>
  <c r="K57" i="7" l="1"/>
  <c r="M52" i="7"/>
  <c r="AS575" i="20"/>
  <c r="AK553" i="20"/>
  <c r="T795" i="20" s="1"/>
  <c r="AF795" i="20" s="1"/>
  <c r="S105" i="4"/>
  <c r="E97" i="13"/>
  <c r="R97" i="4"/>
  <c r="E99" i="4"/>
  <c r="F104" i="4"/>
  <c r="F105" i="4" s="1"/>
  <c r="D39" i="11"/>
  <c r="C64" i="11"/>
  <c r="AG252" i="20"/>
  <c r="AC454" i="3"/>
  <c r="B105" i="13"/>
  <c r="B105" i="4"/>
  <c r="E36" i="7"/>
  <c r="I14" i="7"/>
  <c r="G21" i="7"/>
  <c r="G34" i="7" s="1"/>
  <c r="G36" i="7" s="1"/>
  <c r="K9" i="7"/>
  <c r="K10" i="7" s="1"/>
  <c r="M8" i="7"/>
  <c r="BH715" i="3"/>
  <c r="BI715" i="3" s="1"/>
  <c r="BH719" i="3"/>
  <c r="BI719" i="3" s="1"/>
  <c r="BH726" i="3"/>
  <c r="BI726" i="3" s="1"/>
  <c r="BH725" i="3"/>
  <c r="BI725" i="3" s="1"/>
  <c r="BH717" i="3"/>
  <c r="BI717" i="3" s="1"/>
  <c r="BH711" i="3"/>
  <c r="BI711" i="3" s="1"/>
  <c r="BH727" i="3"/>
  <c r="BI727" i="3" s="1"/>
  <c r="BH716" i="3"/>
  <c r="BI716" i="3" s="1"/>
  <c r="BH706" i="3"/>
  <c r="BI706" i="3" s="1"/>
  <c r="BH714" i="3"/>
  <c r="BI714" i="3" s="1"/>
  <c r="BH722" i="3"/>
  <c r="BI722" i="3" s="1"/>
  <c r="BH723" i="3"/>
  <c r="BI723" i="3" s="1"/>
  <c r="BH708" i="3"/>
  <c r="BI708" i="3" s="1"/>
  <c r="BH705" i="3"/>
  <c r="BI705" i="3" s="1"/>
  <c r="BH724" i="3"/>
  <c r="BI724" i="3" s="1"/>
  <c r="BH709" i="3"/>
  <c r="BI709" i="3" s="1"/>
  <c r="BH718" i="3"/>
  <c r="BI718" i="3" s="1"/>
  <c r="BH703" i="3"/>
  <c r="BH712" i="3"/>
  <c r="BI712" i="3" s="1"/>
  <c r="BH713" i="3"/>
  <c r="BI713" i="3" s="1"/>
  <c r="BH721" i="3"/>
  <c r="BI721" i="3" s="1"/>
  <c r="BH720" i="3"/>
  <c r="BI720" i="3" s="1"/>
  <c r="DX643" i="3"/>
  <c r="E11" i="21"/>
  <c r="DX658" i="3"/>
  <c r="DX654" i="3"/>
  <c r="DX649" i="3"/>
  <c r="DX652" i="3"/>
  <c r="DX648" i="3"/>
  <c r="BR637" i="3"/>
  <c r="DX660" i="3"/>
  <c r="BN663" i="3"/>
  <c r="AB969" i="3" s="1"/>
  <c r="DX647" i="3"/>
  <c r="DX655" i="3"/>
  <c r="DX644" i="3"/>
  <c r="DX641" i="3"/>
  <c r="DX640" i="3"/>
  <c r="DX657" i="3"/>
  <c r="DX659" i="3"/>
  <c r="DX651" i="3"/>
  <c r="DX662" i="3"/>
  <c r="CM636" i="3"/>
  <c r="DX661" i="3"/>
  <c r="DX642" i="3"/>
  <c r="DX656" i="3"/>
  <c r="DX653" i="3"/>
  <c r="DX650" i="3"/>
  <c r="DX639" i="3"/>
  <c r="DX646" i="3"/>
  <c r="EH659" i="3"/>
  <c r="EH652" i="3"/>
  <c r="EH657" i="3"/>
  <c r="EH656" i="3"/>
  <c r="EH639" i="3"/>
  <c r="EH649" i="3"/>
  <c r="EH648" i="3"/>
  <c r="EH641" i="3"/>
  <c r="EH644" i="3"/>
  <c r="EH653" i="3"/>
  <c r="EH662" i="3"/>
  <c r="E13" i="21"/>
  <c r="I13" i="21" s="1"/>
  <c r="EH638" i="3"/>
  <c r="EH654" i="3"/>
  <c r="EH651" i="3"/>
  <c r="CB637" i="3"/>
  <c r="EH658" i="3"/>
  <c r="EH655" i="3"/>
  <c r="BX663" i="3"/>
  <c r="AB971" i="3" s="1"/>
  <c r="AJ971" i="3" s="1"/>
  <c r="EH647" i="3"/>
  <c r="EH660" i="3"/>
  <c r="EH650" i="3"/>
  <c r="EH661" i="3"/>
  <c r="I1027" i="3"/>
  <c r="I1031" i="3"/>
  <c r="BA990" i="3" s="1"/>
  <c r="AJ1028" i="3" s="1"/>
  <c r="AP768" i="20" s="1"/>
  <c r="DX638" i="3"/>
  <c r="EH640" i="3"/>
  <c r="M7" i="7"/>
  <c r="O6" i="7"/>
  <c r="EH645" i="3"/>
  <c r="EH646" i="3"/>
  <c r="BA989" i="3"/>
  <c r="AJ1024" i="3" s="1"/>
  <c r="AP767" i="20" s="1"/>
  <c r="AG1024" i="3"/>
  <c r="EW663" i="3"/>
  <c r="AD118" i="20" s="1"/>
  <c r="AD121" i="20" s="1"/>
  <c r="AD124" i="20" s="1"/>
  <c r="J29" i="25"/>
  <c r="AT19" i="25" s="1"/>
  <c r="AT25" i="25"/>
  <c r="BH707" i="3"/>
  <c r="BI707" i="3" s="1"/>
  <c r="BH696" i="3"/>
  <c r="BI671" i="3"/>
  <c r="BI696" i="3" s="1"/>
  <c r="AH753" i="3" s="1"/>
  <c r="AT22" i="25"/>
  <c r="Q5" i="7"/>
  <c r="S4" i="7"/>
  <c r="EH643" i="3"/>
  <c r="EM663" i="3"/>
  <c r="T118" i="20" s="1"/>
  <c r="T121" i="20" s="1"/>
  <c r="T124" i="20" s="1"/>
  <c r="AW110" i="20"/>
  <c r="BH710" i="3"/>
  <c r="BI710" i="3" s="1"/>
  <c r="AT21" i="25"/>
  <c r="BH704" i="3"/>
  <c r="BI704" i="3" s="1"/>
  <c r="E48" i="7"/>
  <c r="E44" i="7"/>
  <c r="I10" i="7"/>
  <c r="M57" i="7" l="1"/>
  <c r="O52" i="7"/>
  <c r="E105" i="13"/>
  <c r="S107" i="4"/>
  <c r="E104" i="4"/>
  <c r="E105" i="4" s="1"/>
  <c r="R99" i="4"/>
  <c r="R104" i="4" s="1"/>
  <c r="R105" i="4" s="1"/>
  <c r="D64" i="11"/>
  <c r="C98" i="11"/>
  <c r="AC453" i="3"/>
  <c r="AB47" i="15"/>
  <c r="AB49" i="15" s="1"/>
  <c r="N154" i="25"/>
  <c r="N155" i="25" s="1"/>
  <c r="AB249" i="20"/>
  <c r="AG251" i="20" s="1"/>
  <c r="AG253" i="20" s="1"/>
  <c r="AK256" i="20" s="1"/>
  <c r="T792" i="20" s="1"/>
  <c r="AF792" i="20" s="1"/>
  <c r="G44" i="7"/>
  <c r="G46" i="7" s="1"/>
  <c r="G48" i="7"/>
  <c r="K14" i="7"/>
  <c r="I21" i="7"/>
  <c r="I34" i="7" s="1"/>
  <c r="I36" i="7" s="1"/>
  <c r="M9" i="7"/>
  <c r="M10" i="7" s="1"/>
  <c r="O8" i="7"/>
  <c r="U4" i="7"/>
  <c r="S5" i="7"/>
  <c r="Q6" i="7"/>
  <c r="O7" i="7"/>
  <c r="AU40" i="25"/>
  <c r="AU44" i="25"/>
  <c r="AU46" i="25"/>
  <c r="AT28" i="25"/>
  <c r="AT29" i="25"/>
  <c r="N165" i="25"/>
  <c r="AU43" i="25"/>
  <c r="AU37" i="25"/>
  <c r="AU45" i="25"/>
  <c r="AU39" i="25"/>
  <c r="AU41" i="25"/>
  <c r="AU47" i="25"/>
  <c r="AU42" i="25"/>
  <c r="AU38" i="25"/>
  <c r="AU36" i="25"/>
  <c r="AT24" i="25"/>
  <c r="AT23" i="25"/>
  <c r="AT27" i="25"/>
  <c r="AT26" i="25"/>
  <c r="EH663" i="3"/>
  <c r="O118" i="20" s="1"/>
  <c r="O121" i="20" s="1"/>
  <c r="O124" i="20" s="1"/>
  <c r="CS637" i="3"/>
  <c r="DX663" i="3"/>
  <c r="E118" i="20" s="1"/>
  <c r="E121" i="20" s="1"/>
  <c r="E124" i="20" s="1"/>
  <c r="I11" i="21"/>
  <c r="E16" i="21"/>
  <c r="E91" i="20"/>
  <c r="E94" i="20" s="1"/>
  <c r="AP94" i="20" s="1"/>
  <c r="AK97" i="20" s="1"/>
  <c r="T786" i="20" s="1"/>
  <c r="AF786" i="20" s="1"/>
  <c r="E81" i="20"/>
  <c r="E82" i="20" s="1"/>
  <c r="E83" i="20" s="1"/>
  <c r="BH728" i="3"/>
  <c r="BI703" i="3"/>
  <c r="BI728" i="3" s="1"/>
  <c r="AM753" i="3" s="1"/>
  <c r="AB974" i="3"/>
  <c r="AJ969" i="3"/>
  <c r="AJ975" i="3" s="1"/>
  <c r="AP765" i="20" s="1"/>
  <c r="AP769" i="20" s="1"/>
  <c r="AT20" i="25"/>
  <c r="E59" i="7"/>
  <c r="E47" i="7"/>
  <c r="E46" i="7"/>
  <c r="O57" i="7" l="1"/>
  <c r="Q52" i="7"/>
  <c r="G47" i="7"/>
  <c r="G59" i="7"/>
  <c r="E126" i="20"/>
  <c r="E127" i="20" s="1"/>
  <c r="AK131" i="20" s="1"/>
  <c r="T787" i="20" s="1"/>
  <c r="AF787" i="20" s="1"/>
  <c r="AF766" i="20"/>
  <c r="AC455" i="3"/>
  <c r="E107" i="13"/>
  <c r="T11" i="15" s="1"/>
  <c r="T23" i="15" s="1"/>
  <c r="C106" i="11"/>
  <c r="D106" i="11" s="1"/>
  <c r="D98" i="11"/>
  <c r="I44" i="7"/>
  <c r="I48" i="7"/>
  <c r="K21" i="7"/>
  <c r="K34" i="7" s="1"/>
  <c r="K36" i="7" s="1"/>
  <c r="M14" i="7"/>
  <c r="Q8" i="7"/>
  <c r="O9" i="7"/>
  <c r="O10" i="7"/>
  <c r="B1039" i="3"/>
  <c r="AJ1032" i="3"/>
  <c r="T24" i="15" s="1"/>
  <c r="I15" i="21"/>
  <c r="I14" i="21"/>
  <c r="I16" i="21"/>
  <c r="O756" i="3"/>
  <c r="CS663" i="3"/>
  <c r="U588" i="20" s="1"/>
  <c r="P420" i="3"/>
  <c r="S6" i="7"/>
  <c r="Q7" i="7"/>
  <c r="W4" i="7"/>
  <c r="U5" i="7"/>
  <c r="G61" i="7"/>
  <c r="G69" i="7"/>
  <c r="E61" i="7"/>
  <c r="I59" i="7"/>
  <c r="I47" i="7"/>
  <c r="I46" i="7"/>
  <c r="Q57" i="7" l="1"/>
  <c r="S52" i="7"/>
  <c r="T26" i="15"/>
  <c r="T28" i="15" s="1"/>
  <c r="T29" i="15" s="1"/>
  <c r="Y64" i="15"/>
  <c r="Y68" i="15" s="1"/>
  <c r="K48" i="7"/>
  <c r="K44" i="7"/>
  <c r="M21" i="7"/>
  <c r="M34" i="7" s="1"/>
  <c r="M36" i="7" s="1"/>
  <c r="O14" i="7"/>
  <c r="S8" i="7"/>
  <c r="Q9" i="7"/>
  <c r="Q10" i="7" s="1"/>
  <c r="AP772" i="20"/>
  <c r="AP771" i="20" s="1"/>
  <c r="AP774" i="20" s="1"/>
  <c r="AF767" i="20" s="1"/>
  <c r="AF768" i="20" s="1"/>
  <c r="AK774" i="20" s="1"/>
  <c r="T799" i="20" s="1"/>
  <c r="AF799" i="20" s="1"/>
  <c r="AF801" i="20" s="1"/>
  <c r="U6" i="7"/>
  <c r="S7" i="7"/>
  <c r="Y4" i="7"/>
  <c r="W5" i="7"/>
  <c r="AD38" i="15"/>
  <c r="AD40" i="15" s="1"/>
  <c r="G71" i="7"/>
  <c r="E69" i="7"/>
  <c r="E71" i="7" s="1"/>
  <c r="I61" i="7"/>
  <c r="U52" i="7" l="1"/>
  <c r="S57" i="7"/>
  <c r="Y38" i="15"/>
  <c r="Y40" i="15" s="1"/>
  <c r="Y41" i="15" s="1"/>
  <c r="Q14" i="7"/>
  <c r="O21" i="7"/>
  <c r="O34" i="7" s="1"/>
  <c r="O36" i="7" s="1"/>
  <c r="M44" i="7"/>
  <c r="M48" i="7"/>
  <c r="K46" i="7"/>
  <c r="K59" i="7"/>
  <c r="K47" i="7"/>
  <c r="U8" i="7"/>
  <c r="S9" i="7"/>
  <c r="S10" i="7"/>
  <c r="W6" i="7"/>
  <c r="U7" i="7"/>
  <c r="AA4" i="7"/>
  <c r="Y5" i="7"/>
  <c r="I69" i="7"/>
  <c r="I71" i="7" s="1"/>
  <c r="W52" i="7" l="1"/>
  <c r="U57" i="7"/>
  <c r="K61" i="7"/>
  <c r="K69" i="7"/>
  <c r="M47" i="7"/>
  <c r="M46" i="7"/>
  <c r="M59" i="7"/>
  <c r="O44" i="7"/>
  <c r="O48" i="7"/>
  <c r="S14" i="7"/>
  <c r="Q21" i="7"/>
  <c r="Q34" i="7" s="1"/>
  <c r="Q36" i="7" s="1"/>
  <c r="W8" i="7"/>
  <c r="U9" i="7"/>
  <c r="U10" i="7" s="1"/>
  <c r="AA5" i="7"/>
  <c r="AC4" i="7"/>
  <c r="Y6" i="7"/>
  <c r="W7" i="7"/>
  <c r="Y52" i="7" l="1"/>
  <c r="W57" i="7"/>
  <c r="K71" i="7"/>
  <c r="O46" i="7"/>
  <c r="O47" i="7"/>
  <c r="O59" i="7"/>
  <c r="M61" i="7"/>
  <c r="U14" i="7"/>
  <c r="S21" i="7"/>
  <c r="S34" i="7" s="1"/>
  <c r="S36" i="7" s="1"/>
  <c r="Q44" i="7"/>
  <c r="Q48" i="7"/>
  <c r="Y8" i="7"/>
  <c r="W9" i="7"/>
  <c r="W10" i="7" s="1"/>
  <c r="AA6" i="7"/>
  <c r="Y7" i="7"/>
  <c r="AE4" i="7"/>
  <c r="AC5" i="7"/>
  <c r="Y57" i="7" l="1"/>
  <c r="AA52" i="7"/>
  <c r="O61" i="7"/>
  <c r="U21" i="7"/>
  <c r="U34" i="7" s="1"/>
  <c r="U36" i="7" s="1"/>
  <c r="W14" i="7"/>
  <c r="Q46" i="7"/>
  <c r="Q59" i="7"/>
  <c r="Q47" i="7"/>
  <c r="M69" i="7"/>
  <c r="M71" i="7" s="1"/>
  <c r="S48" i="7"/>
  <c r="S44" i="7"/>
  <c r="Y9" i="7"/>
  <c r="Y10" i="7" s="1"/>
  <c r="AA8" i="7"/>
  <c r="AC6" i="7"/>
  <c r="AA7" i="7"/>
  <c r="AE5" i="7"/>
  <c r="AG4" i="7"/>
  <c r="AG5" i="7" s="1"/>
  <c r="AA57" i="7" l="1"/>
  <c r="AC52" i="7"/>
  <c r="S46" i="7"/>
  <c r="S59" i="7"/>
  <c r="S47" i="7"/>
  <c r="U44" i="7"/>
  <c r="U48" i="7"/>
  <c r="Q61" i="7"/>
  <c r="Y14" i="7"/>
  <c r="W21" i="7"/>
  <c r="W34" i="7" s="1"/>
  <c r="W36" i="7" s="1"/>
  <c r="O69" i="7"/>
  <c r="O71" i="7" s="1"/>
  <c r="AA9" i="7"/>
  <c r="AC8" i="7"/>
  <c r="AA10" i="7"/>
  <c r="AE6" i="7"/>
  <c r="AC7" i="7"/>
  <c r="AC57" i="7" l="1"/>
  <c r="AE52" i="7"/>
  <c r="S61" i="7"/>
  <c r="U46" i="7"/>
  <c r="U59" i="7"/>
  <c r="U47" i="7"/>
  <c r="W48" i="7"/>
  <c r="W44" i="7"/>
  <c r="Y21" i="7"/>
  <c r="Y34" i="7" s="1"/>
  <c r="Y36" i="7" s="1"/>
  <c r="AA14" i="7"/>
  <c r="Q69" i="7"/>
  <c r="Q71" i="7" s="1"/>
  <c r="AE8" i="7"/>
  <c r="AC9" i="7"/>
  <c r="AC10" i="7"/>
  <c r="AG6" i="7"/>
  <c r="AG7" i="7" s="1"/>
  <c r="AE7" i="7"/>
  <c r="AE57" i="7" l="1"/>
  <c r="AG52" i="7"/>
  <c r="AG57" i="7" s="1"/>
  <c r="U61" i="7"/>
  <c r="U69" i="7"/>
  <c r="S69" i="7"/>
  <c r="S71" i="7" s="1"/>
  <c r="Y44" i="7"/>
  <c r="Y48" i="7"/>
  <c r="AC14" i="7"/>
  <c r="AA21" i="7"/>
  <c r="AA34" i="7" s="1"/>
  <c r="AA36" i="7" s="1"/>
  <c r="W47" i="7"/>
  <c r="W46" i="7"/>
  <c r="W59" i="7"/>
  <c r="AG8" i="7"/>
  <c r="AG9" i="7" s="1"/>
  <c r="AE9" i="7"/>
  <c r="AE10" i="7" s="1"/>
  <c r="U71" i="7" l="1"/>
  <c r="Y46" i="7"/>
  <c r="Y47" i="7"/>
  <c r="Y59" i="7"/>
  <c r="W61" i="7"/>
  <c r="AA48" i="7"/>
  <c r="AA44" i="7"/>
  <c r="AE14" i="7"/>
  <c r="AC21" i="7"/>
  <c r="AC34" i="7" s="1"/>
  <c r="AC36" i="7" s="1"/>
  <c r="AG10" i="7"/>
  <c r="Y61" i="7" l="1"/>
  <c r="Y69" i="7"/>
  <c r="Y71" i="7" s="1"/>
  <c r="AC44" i="7"/>
  <c r="AC48" i="7"/>
  <c r="W69" i="7"/>
  <c r="W71" i="7" s="1"/>
  <c r="AG14" i="7"/>
  <c r="AG21" i="7" s="1"/>
  <c r="AG34" i="7" s="1"/>
  <c r="AG36" i="7" s="1"/>
  <c r="AE21" i="7"/>
  <c r="AE34" i="7" s="1"/>
  <c r="AE36" i="7" s="1"/>
  <c r="AA47" i="7"/>
  <c r="AA59" i="7"/>
  <c r="AA46" i="7"/>
  <c r="AG48" i="7" l="1"/>
  <c r="AG44" i="7"/>
  <c r="AG46" i="7" s="1"/>
  <c r="AA61" i="7"/>
  <c r="AA69" i="7"/>
  <c r="AC59" i="7"/>
  <c r="AC47" i="7"/>
  <c r="AC46" i="7"/>
  <c r="AE48" i="7"/>
  <c r="AE44" i="7"/>
  <c r="AG47" i="7"/>
  <c r="AG59" i="7"/>
  <c r="AA71" i="7" l="1"/>
  <c r="AE46" i="7"/>
  <c r="AE47" i="7"/>
  <c r="AE59" i="7"/>
  <c r="AC69" i="7"/>
  <c r="AC61" i="7"/>
  <c r="AG61" i="7"/>
  <c r="AC71" i="7" l="1"/>
  <c r="AE61" i="7"/>
  <c r="AG69" i="7"/>
  <c r="AG71" i="7" s="1"/>
  <c r="AE69" i="7" l="1"/>
  <c r="AE71" i="7" s="1"/>
  <c r="P203" i="3"/>
  <c r="M26" i="3"/>
  <c r="E18" i="21"/>
  <c r="E7" i="21"/>
  <c r="E3" i="21"/>
  <c r="P204" i="3"/>
  <c r="M27" i="3"/>
  <c r="AB59" i="15"/>
  <c r="AB76" i="15"/>
  <c r="AB77" i="15"/>
  <c r="AB78" i="15"/>
  <c r="AB50" i="15"/>
  <c r="AB54" i="15"/>
  <c r="AB55" i="15"/>
  <c r="AB56" i="15"/>
  <c r="AB57" i="15"/>
  <c r="AB80" i="15"/>
  <c r="J8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<sst xmlns="http://schemas.openxmlformats.org/spreadsheetml/2006/main" count="5060" uniqueCount="2647">
  <si>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</si>
  <si>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</si>
  <si>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</si>
  <si>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</si>
  <si>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</si>
  <si>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</si>
  <si>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</si>
  <si>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</si>
  <si>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</si>
  <si>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</si>
  <si>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</si>
  <si>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</si>
  <si>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</si>
  <si>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</si>
  <si>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</si>
  <si>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</si>
  <si>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</si>
  <si>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</si>
  <si>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</si>
  <si>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</si>
  <si>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</si>
  <si>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</si>
  <si>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</si>
  <si>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</si>
  <si>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</si>
  <si>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</si>
  <si>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</si>
  <si>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</si>
  <si>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</si>
  <si>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</si>
  <si>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</si>
  <si>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</si>
  <si>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</si>
  <si>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</si>
  <si>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</si>
  <si>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</si>
  <si>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</si>
  <si>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</si>
  <si>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</si>
  <si>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</si>
  <si>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</si>
  <si>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</si>
  <si>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</si>
  <si>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</si>
  <si>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</si>
  <si>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</si>
  <si>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</si>
  <si>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</si>
  <si>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</si>
  <si>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</si>
  <si>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</si>
  <si>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</si>
  <si>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</si>
  <si>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</si>
  <si>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</si>
  <si>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</si>
  <si>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</si>
  <si>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</si>
  <si>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</si>
  <si>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</si>
  <si>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</si>
  <si>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</si>
  <si>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</si>
  <si>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</si>
  <si>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</si>
  <si>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</si>
  <si>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</si>
  <si>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</si>
  <si>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</si>
  <si>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</si>
  <si>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</si>
  <si>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</si>
  <si>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</si>
  <si>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</si>
  <si>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</si>
  <si>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</si>
  <si>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</si>
  <si>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</si>
  <si>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</si>
  <si>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</si>
  <si>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</si>
  <si>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</si>
  <si>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</si>
  <si>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</si>
  <si>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</si>
  <si>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</si>
  <si>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</si>
  <si>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</si>
  <si>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</si>
  <si>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</si>
  <si>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</si>
  <si>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</si>
  <si>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</si>
  <si>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</si>
  <si>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</si>
  <si>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</si>
  <si>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</si>
  <si>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</si>
  <si>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</si>
  <si>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</si>
  <si>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</si>
  <si>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</si>
  <si>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</si>
  <si>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</si>
  <si>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</si>
  <si>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</si>
  <si>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</si>
  <si>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</si>
  <si>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</si>
  <si>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</si>
  <si>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</si>
  <si>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</si>
  <si>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</si>
  <si>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</si>
  <si>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</si>
  <si>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</si>
  <si>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</si>
  <si>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</si>
  <si>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</si>
  <si>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</si>
  <si>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</si>
  <si>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</si>
  <si>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</si>
  <si>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</si>
  <si>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</si>
  <si>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</si>
  <si>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</si>
  <si>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</si>
  <si>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</si>
  <si>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</si>
  <si>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</si>
  <si>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</si>
  <si>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</si>
  <si>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</si>
  <si>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</si>
  <si>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</si>
  <si>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</si>
  <si>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</si>
  <si>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</si>
  <si>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</si>
  <si>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</si>
  <si>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</si>
  <si>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</si>
  <si>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</si>
  <si>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</si>
  <si>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</si>
  <si>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</si>
  <si>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</si>
  <si>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</si>
  <si>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</si>
  <si>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</si>
  <si>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</si>
  <si>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</si>
  <si>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</si>
  <si>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</si>
  <si>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</si>
  <si>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</si>
  <si>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</si>
  <si>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</si>
  <si>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</si>
  <si>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</si>
  <si>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</si>
  <si>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</si>
  <si>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</si>
  <si>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</si>
  <si>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</si>
  <si>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</si>
  <si>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</si>
  <si>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</si>
  <si>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</si>
  <si>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</si>
  <si>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</si>
  <si>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</si>
  <si>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</si>
  <si>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</si>
  <si>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</si>
  <si>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</si>
  <si>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</si>
  <si>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</si>
  <si>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</si>
  <si>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</si>
  <si>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</si>
  <si>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</si>
  <si>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</si>
  <si>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</si>
  <si>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</si>
  <si>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</si>
  <si>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</si>
  <si>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</si>
  <si>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</si>
  <si>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</si>
  <si>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</si>
  <si>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</si>
  <si>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</si>
  <si>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</si>
  <si>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</si>
  <si>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</si>
  <si>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</si>
  <si>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</si>
  <si>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</si>
  <si>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</si>
  <si>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</si>
  <si>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</si>
  <si>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</si>
  <si>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</si>
  <si>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</si>
  <si>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</si>
  <si>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</si>
  <si>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</si>
  <si>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</si>
  <si>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</si>
  <si>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</si>
  <si>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</si>
  <si>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</si>
  <si>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</si>
  <si>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</si>
  <si>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</si>
  <si>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</si>
  <si>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</si>
  <si>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</si>
  <si>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</si>
  <si>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</si>
  <si>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</si>
  <si>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</si>
  <si>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</si>
  <si>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</si>
  <si>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</si>
  <si>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</si>
  <si>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</si>
  <si>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</si>
  <si>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</si>
  <si>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</si>
  <si>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</si>
  <si>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</si>
  <si>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</si>
  <si>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</si>
  <si>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</si>
  <si>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</si>
  <si>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</si>
  <si>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</si>
  <si>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</si>
  <si>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</si>
  <si>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</si>
  <si>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</si>
  <si>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</si>
  <si>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</si>
  <si>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</si>
  <si>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</si>
  <si>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</si>
  <si>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</si>
  <si>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</si>
  <si>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</si>
  <si>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</si>
  <si>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</si>
  <si>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</si>
  <si>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</si>
  <si>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</si>
  <si>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</si>
  <si>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</si>
  <si>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</si>
  <si>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</si>
  <si>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</si>
  <si>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</si>
  <si>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</si>
  <si>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</si>
  <si>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</si>
  <si>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</si>
  <si>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</si>
  <si>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</si>
  <si>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</si>
  <si>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</si>
  <si>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</si>
  <si>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</si>
  <si>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</si>
  <si>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</si>
  <si>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</si>
  <si>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</si>
  <si>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</si>
  <si>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</si>
  <si>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</si>
  <si>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</si>
  <si>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</si>
  <si>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</si>
  <si>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</si>
  <si>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</si>
  <si>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</si>
  <si>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</si>
  <si>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</si>
  <si>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</si>
  <si>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</si>
  <si>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</si>
  <si>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</si>
  <si>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</si>
  <si>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</si>
  <si>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</si>
  <si>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</si>
  <si>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</si>
  <si>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</si>
  <si>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</si>
  <si>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</si>
  <si>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</si>
  <si>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</si>
  <si>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</si>
  <si>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</si>
  <si>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</si>
  <si>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</si>
  <si>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</si>
  <si>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</si>
  <si>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</si>
  <si>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</si>
  <si>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</si>
  <si>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</si>
  <si>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</si>
  <si>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</si>
  <si>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</si>
  <si>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</si>
  <si>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</si>
  <si>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</si>
  <si>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</si>
  <si>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</si>
  <si>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</si>
  <si>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</si>
  <si>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</si>
  <si>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</si>
  <si>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</si>
  <si>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</si>
  <si>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</si>
  <si>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</si>
  <si>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</si>
  <si>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</si>
  <si>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</si>
  <si>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</si>
  <si>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</si>
  <si>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</si>
  <si>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</si>
  <si>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</si>
  <si>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</si>
  <si>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</si>
  <si>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</si>
  <si>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</si>
  <si>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</si>
  <si>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</si>
  <si>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</si>
  <si>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</si>
  <si>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</si>
  <si>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</si>
  <si>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</si>
  <si>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</si>
  <si>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</si>
  <si>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</si>
  <si>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</si>
  <si>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</si>
  <si>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</si>
  <si>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</si>
  <si>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</si>
  <si>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</si>
  <si>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</si>
  <si>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</si>
  <si>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</si>
  <si>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</si>
  <si>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</si>
  <si>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</si>
  <si>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</si>
  <si>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</si>
  <si>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</si>
  <si>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</si>
  <si>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</si>
  <si>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</si>
  <si>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</si>
  <si>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</si>
  <si>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</si>
  <si>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</si>
  <si>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</si>
  <si>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</si>
  <si>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</si>
  <si>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</si>
  <si>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</si>
  <si>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</si>
  <si>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</si>
  <si>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</si>
  <si>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</si>
  <si>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</si>
  <si>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</si>
  <si>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</si>
  <si>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</si>
  <si>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</si>
  <si>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</si>
  <si>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</si>
  <si>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</si>
  <si>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</si>
  <si>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</si>
  <si>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</si>
  <si>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</si>
  <si>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</si>
  <si>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</si>
  <si>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</si>
  <si>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</si>
  <si>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</si>
  <si>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</si>
  <si>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</si>
  <si>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</si>
  <si>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</si>
  <si>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</si>
  <si>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</si>
  <si>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</si>
  <si>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</si>
  <si>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</si>
  <si>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</si>
  <si>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</si>
  <si>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</si>
  <si>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</si>
  <si>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</si>
  <si>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</si>
  <si>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</si>
  <si>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</si>
  <si>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</si>
  <si>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</si>
  <si>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</si>
  <si>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</si>
  <si>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</si>
  <si>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</si>
  <si>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</si>
  <si>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</si>
  <si>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</si>
  <si>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</si>
  <si>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</si>
  <si>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</si>
  <si>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</si>
  <si>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</si>
  <si>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</si>
  <si>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</si>
  <si>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</si>
  <si>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</si>
  <si>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</si>
  <si>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</si>
  <si>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</si>
  <si>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</si>
  <si>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</si>
  <si>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</si>
  <si>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</si>
  <si>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</si>
  <si>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</si>
  <si>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</si>
  <si>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</si>
  <si>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</si>
  <si>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</si>
  <si>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</si>
  <si>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</si>
  <si>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</si>
  <si>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</si>
  <si>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</si>
  <si>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</si>
  <si>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</si>
  <si>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</si>
  <si>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</si>
  <si>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</si>
  <si>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</si>
  <si>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</si>
  <si>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</si>
  <si>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</si>
  <si>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</si>
  <si>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</si>
  <si>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</si>
  <si>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</si>
  <si>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</si>
  <si>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</si>
  <si>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</si>
  <si>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</si>
  <si>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</si>
  <si>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</si>
  <si>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</si>
  <si>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</si>
  <si>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</si>
  <si>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</si>
  <si>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</si>
  <si>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</si>
  <si>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</si>
  <si>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</si>
  <si>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</si>
  <si>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</si>
  <si>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</si>
  <si>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</si>
  <si>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</si>
  <si>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</si>
  <si>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</si>
  <si>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</si>
  <si>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</si>
  <si>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</si>
  <si>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</si>
  <si>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</si>
  <si>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</si>
  <si>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</si>
  <si>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</si>
  <si>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</si>
  <si>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</si>
  <si>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</si>
  <si>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</si>
  <si>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</si>
  <si>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</si>
  <si>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</si>
  <si>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</si>
  <si>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</si>
  <si>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</si>
  <si>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</si>
  <si>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</si>
  <si>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</si>
  <si>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</si>
  <si>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</si>
  <si>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</si>
  <si>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</si>
  <si>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</si>
  <si>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</si>
  <si>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</si>
  <si>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</si>
  <si>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</si>
  <si>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</si>
  <si>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</si>
  <si>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</si>
  <si>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</si>
  <si>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</si>
  <si>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</si>
  <si>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Not Applicable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</si>
  <si>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</si>
  <si>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</si>
  <si>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</si>
  <si>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Provided</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</si>
  <si>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</si>
  <si>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</si>
  <si>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</si>
  <si>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</si>
  <si>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</si>
  <si>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</si>
  <si>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</si>
  <si>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</si>
  <si>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</si>
  <si>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</si>
  <si>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</si>
  <si>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</si>
  <si>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</si>
  <si>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</si>
  <si>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</si>
  <si>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</si>
  <si>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</si>
  <si>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</si>
  <si>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</si>
  <si>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</si>
  <si>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</si>
  <si>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</si>
  <si>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</si>
  <si>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</si>
  <si>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</si>
  <si>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</si>
  <si>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</si>
  <si>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</si>
  <si>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</si>
  <si>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</si>
  <si>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</si>
  <si>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</si>
  <si>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</si>
  <si>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</si>
  <si>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</si>
  <si>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</si>
  <si>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</si>
  <si>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</si>
  <si>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</si>
  <si>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</si>
  <si>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</si>
  <si>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</si>
  <si>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</si>
  <si>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</si>
  <si>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</si>
  <si>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</si>
  <si>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</si>
  <si>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</si>
  <si>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</si>
  <si>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</si>
  <si>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</si>
  <si>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</si>
  <si>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</si>
  <si>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</si>
  <si>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</si>
  <si>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</si>
  <si>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</si>
  <si>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</si>
  <si>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</si>
  <si>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</si>
  <si>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</si>
  <si>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</si>
  <si>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</si>
  <si>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</si>
  <si>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</si>
  <si>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</si>
  <si>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</si>
  <si>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</si>
  <si>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</si>
  <si>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</si>
  <si>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</si>
  <si>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</si>
  <si>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</si>
  <si>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</si>
  <si>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</si>
  <si>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</si>
  <si>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</si>
  <si>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</si>
  <si>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</si>
  <si>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</si>
  <si>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</si>
  <si>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</si>
  <si>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</si>
  <si>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</si>
  <si>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</si>
  <si>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</si>
  <si>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</si>
  <si>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</si>
  <si>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</si>
  <si>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</si>
  <si>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</si>
  <si>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</si>
  <si>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</si>
  <si>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</si>
  <si>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</si>
  <si>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</si>
  <si>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</si>
  <si>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</si>
  <si>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</si>
  <si>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</si>
  <si>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</si>
  <si>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</si>
  <si>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</si>
  <si>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</si>
  <si>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</si>
  <si>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</si>
  <si>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</si>
  <si>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</si>
  <si>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</si>
  <si>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</si>
  <si>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</si>
  <si>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</si>
  <si>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</si>
  <si>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</si>
  <si>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</si>
  <si>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</si>
  <si>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</si>
  <si>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</si>
  <si>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</si>
  <si>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</si>
  <si>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</si>
  <si>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</si>
  <si>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</si>
  <si>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</si>
  <si>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</si>
  <si>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</si>
  <si>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</si>
  <si>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</si>
  <si>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</si>
  <si>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</si>
  <si>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</si>
  <si>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</si>
  <si>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</si>
  <si>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</si>
  <si>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</si>
  <si>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</si>
  <si>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</si>
  <si>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</si>
  <si>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</si>
  <si>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</si>
  <si>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</si>
  <si>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</si>
  <si>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</si>
  <si>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</si>
  <si>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</si>
  <si>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</si>
  <si>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</si>
  <si>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</si>
  <si>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</si>
  <si>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</si>
  <si>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</si>
  <si>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</si>
  <si>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</si>
  <si>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</si>
  <si>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</si>
  <si>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</si>
  <si>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</si>
  <si>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</si>
  <si>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</si>
  <si>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</si>
  <si>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</si>
  <si>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</si>
  <si>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</si>
  <si>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</si>
  <si>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</si>
  <si>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</si>
  <si>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</si>
  <si>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</si>
  <si>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</si>
  <si>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</si>
  <si>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</si>
  <si>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</si>
  <si>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</si>
  <si>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</si>
  <si>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</si>
  <si>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</si>
  <si>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</si>
  <si>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</si>
  <si>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</si>
  <si>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</si>
  <si>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</si>
  <si>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</si>
  <si>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</si>
  <si>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</si>
  <si>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</si>
  <si>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</si>
  <si>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</si>
  <si>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</si>
  <si>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</si>
  <si>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</si>
  <si>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</si>
  <si>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</si>
  <si>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</si>
  <si>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</si>
  <si>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</si>
  <si>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</si>
  <si>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</si>
  <si>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</si>
  <si>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</si>
  <si>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</si>
  <si>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</si>
  <si>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</si>
  <si>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</si>
  <si>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</si>
  <si>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</si>
  <si>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</si>
  <si>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</si>
  <si>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</si>
  <si>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</si>
  <si>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</si>
  <si>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</si>
  <si>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</si>
  <si>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</si>
  <si>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</si>
  <si>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</si>
  <si>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</si>
  <si>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</si>
  <si>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</si>
  <si>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</si>
  <si>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</si>
  <si>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</si>
  <si>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</si>
  <si>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</si>
  <si>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</si>
  <si>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</si>
  <si>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</si>
  <si>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</si>
  <si>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</si>
  <si>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</si>
  <si>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</si>
  <si>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</si>
  <si>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</si>
  <si>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</si>
  <si>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</si>
  <si>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</si>
  <si>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</si>
  <si>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</si>
  <si>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</si>
  <si>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</si>
  <si>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</si>
  <si>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</si>
  <si>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</si>
  <si>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</si>
  <si>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</si>
  <si>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</si>
  <si>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</si>
  <si>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</si>
  <si>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</si>
  <si>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</si>
  <si>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</si>
  <si>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</si>
  <si>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</si>
  <si>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</si>
  <si>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</si>
  <si>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</si>
  <si>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</si>
  <si>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</si>
  <si>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</si>
  <si>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</si>
  <si>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</si>
  <si>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</si>
  <si>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</si>
  <si>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</si>
  <si>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</si>
  <si>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</si>
  <si>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</si>
  <si>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</si>
  <si>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</si>
  <si>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</si>
  <si>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</si>
  <si>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</si>
  <si>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</si>
  <si>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</si>
  <si>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</si>
  <si>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</si>
  <si>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</si>
  <si>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</si>
  <si>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</si>
  <si>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</si>
  <si>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</si>
  <si>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</si>
  <si>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</si>
  <si>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</si>
  <si>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</si>
  <si>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</si>
  <si>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</si>
  <si>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CR Epoca L Communities LP</t>
  </si>
  <si>
    <t>PROJECT NAME:</t>
  </si>
  <si>
    <t xml:space="preserve">Epoca Neighborhood L Apartments </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</si>
  <si>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</si>
  <si>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</si>
  <si>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</si>
  <si>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</si>
  <si>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</si>
  <si>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</si>
  <si>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</si>
  <si>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</si>
  <si>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</si>
  <si>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</si>
  <si>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</si>
  <si>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</si>
  <si>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</si>
  <si>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</si>
  <si>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</si>
  <si>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</si>
  <si>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</si>
  <si>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</si>
  <si>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</si>
  <si>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</si>
  <si>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</si>
  <si>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</si>
  <si>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</si>
  <si>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</si>
  <si>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</si>
  <si>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</si>
  <si>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</si>
  <si>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</si>
  <si>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</si>
  <si>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</si>
  <si>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</si>
  <si>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</si>
  <si>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</si>
  <si>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</si>
  <si>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</si>
  <si>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</si>
  <si>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</si>
  <si>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</si>
  <si>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</si>
  <si>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</si>
  <si>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</si>
  <si>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</si>
  <si>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</si>
  <si>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</si>
  <si>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</si>
  <si>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</si>
  <si>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</si>
  <si>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</si>
  <si>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</si>
  <si>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</si>
  <si>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</si>
  <si>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</si>
  <si>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</si>
  <si>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</si>
  <si>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</si>
  <si>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</si>
  <si>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</si>
  <si>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</si>
  <si>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</si>
  <si>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</si>
  <si>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</si>
  <si>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</si>
  <si>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</si>
  <si>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</si>
  <si>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</si>
  <si>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</si>
  <si>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</si>
  <si>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</si>
  <si>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</si>
  <si>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</si>
  <si>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</si>
  <si>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</si>
  <si>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</si>
  <si>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</si>
  <si>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</si>
  <si>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</si>
  <si>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</si>
  <si>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</si>
  <si>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</si>
  <si>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</si>
  <si>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</si>
  <si>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</si>
  <si>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</si>
  <si>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</si>
  <si>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</si>
  <si>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</si>
  <si>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</si>
  <si>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</si>
  <si>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</si>
  <si>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</si>
  <si>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San Diego</t>
  </si>
  <si>
    <t>City Manager:</t>
  </si>
  <si>
    <t>Colin Miller</t>
  </si>
  <si>
    <t>Title:</t>
  </si>
  <si>
    <t>Vice President Multihousign Finance</t>
  </si>
  <si>
    <t xml:space="preserve">Mailing Address: </t>
  </si>
  <si>
    <t>1122 Broadway, Suite 300</t>
  </si>
  <si>
    <t xml:space="preserve">City: </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</si>
  <si>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</si>
  <si>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</si>
  <si>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</si>
  <si>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</si>
  <si>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</si>
  <si>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</si>
  <si>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</si>
  <si>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</si>
  <si>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</si>
  <si>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</si>
  <si>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</si>
  <si>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</si>
  <si>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</si>
  <si>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</si>
  <si>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</si>
  <si>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</si>
  <si>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</si>
  <si>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</si>
  <si>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</si>
  <si>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</si>
  <si>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</si>
  <si>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</si>
  <si>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</si>
  <si>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</si>
  <si>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</si>
  <si>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</si>
  <si>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</si>
  <si>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</si>
  <si>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</si>
  <si>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</si>
  <si>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</si>
  <si>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</si>
  <si>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</si>
  <si>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</si>
  <si>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</si>
  <si>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</si>
  <si>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</si>
  <si>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</si>
  <si>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</si>
  <si>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</si>
  <si>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</si>
  <si>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</si>
  <si>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</si>
  <si>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</si>
  <si>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</si>
  <si>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</si>
  <si>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</si>
  <si>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</si>
  <si>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</si>
  <si>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</si>
  <si>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</si>
  <si>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</si>
  <si>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</si>
  <si>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</si>
  <si>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</si>
  <si>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</si>
  <si>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</si>
  <si>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</si>
  <si>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</si>
  <si>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</si>
  <si>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</si>
  <si>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</si>
  <si>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</si>
  <si>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</si>
  <si>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</si>
  <si>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</si>
  <si>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</si>
  <si>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</si>
  <si>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</si>
  <si>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</si>
  <si>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</si>
  <si>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</si>
  <si>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</si>
  <si>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</si>
  <si>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</si>
  <si>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</si>
  <si>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</si>
  <si>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</si>
  <si>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</si>
  <si>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</si>
  <si>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</si>
  <si>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</si>
  <si>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</si>
  <si>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</si>
  <si>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</si>
  <si>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</si>
  <si>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</si>
  <si>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West of Cactus Road and North of Siempre Viva Road</t>
  </si>
  <si>
    <t>Federal and State:</t>
  </si>
  <si>
    <t>NEVADA</t>
  </si>
  <si>
    <t>Nevada</t>
  </si>
  <si>
    <t>If address is not established, enter detailed description (i.e. NW corner of 26th and Elm)</t>
  </si>
  <si>
    <t>ORANGE</t>
  </si>
  <si>
    <t>Orange</t>
  </si>
  <si>
    <t>646-100-71</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</si>
  <si>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</si>
  <si>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</si>
  <si>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</si>
  <si>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</si>
  <si>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</si>
  <si>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</si>
  <si>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</si>
  <si>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</si>
  <si>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</si>
  <si>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</si>
  <si>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</si>
  <si>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</si>
  <si>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</si>
  <si>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</si>
  <si>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</si>
  <si>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</si>
  <si>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</si>
  <si>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</si>
  <si>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</si>
  <si>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</si>
  <si>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</si>
  <si>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</si>
  <si>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</si>
  <si>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</si>
  <si>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</si>
  <si>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</si>
  <si>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</si>
  <si>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</si>
  <si>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</si>
  <si>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</si>
  <si>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</si>
  <si>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</si>
  <si>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</si>
  <si>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</si>
  <si>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</si>
  <si>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</si>
  <si>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</si>
  <si>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</si>
  <si>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</si>
  <si>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</si>
  <si>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</si>
  <si>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</si>
  <si>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</si>
  <si>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</si>
  <si>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</si>
  <si>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</si>
  <si>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</si>
  <si>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</si>
  <si>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</si>
  <si>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</si>
  <si>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</si>
  <si>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</si>
  <si>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</si>
  <si>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</si>
  <si>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</si>
  <si>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</si>
  <si>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</si>
  <si>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</si>
  <si>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</si>
  <si>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</si>
  <si>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</si>
  <si>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</si>
  <si>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</si>
  <si>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</si>
  <si>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</si>
  <si>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</si>
  <si>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</si>
  <si>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</si>
  <si>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</si>
  <si>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</si>
  <si>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</si>
  <si>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</si>
  <si>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</si>
  <si>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</si>
  <si>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</si>
  <si>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</si>
  <si>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</si>
  <si>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</si>
  <si>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</si>
  <si>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</si>
  <si>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</si>
  <si>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</si>
  <si>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</si>
  <si>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</si>
  <si>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</si>
  <si>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</si>
  <si>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</si>
  <si>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</si>
  <si>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</si>
  <si>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</si>
  <si>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</si>
  <si>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</si>
  <si>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</si>
  <si>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</si>
  <si>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</si>
  <si>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</si>
  <si>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</si>
  <si>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</si>
  <si>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</si>
  <si>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</si>
  <si>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</si>
  <si>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</si>
  <si>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</si>
  <si>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</si>
  <si>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</si>
  <si>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</si>
  <si>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</si>
  <si>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</si>
  <si>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</si>
  <si>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</si>
  <si>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</si>
  <si>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</si>
  <si>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</si>
  <si>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</si>
  <si>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</si>
  <si>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</si>
  <si>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</si>
  <si>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</si>
  <si>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</si>
  <si>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</si>
  <si>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</si>
  <si>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</si>
  <si>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</si>
  <si>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</si>
  <si>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</si>
  <si>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</si>
  <si>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</si>
  <si>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</si>
  <si>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</si>
  <si>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</si>
  <si>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444 West Beech Street, Suite 300</t>
  </si>
  <si>
    <t>State:</t>
  </si>
  <si>
    <t>CA</t>
  </si>
  <si>
    <t>Contact Person:</t>
  </si>
  <si>
    <t>Dan Gabriel</t>
  </si>
  <si>
    <t>Phone:</t>
  </si>
  <si>
    <t>858-490-2303</t>
  </si>
  <si>
    <t>Ext.:</t>
  </si>
  <si>
    <t>Fax:</t>
  </si>
  <si>
    <t xml:space="preserve">Email: </t>
  </si>
  <si>
    <t>dannyg@colrich.com</t>
  </si>
  <si>
    <t>both nonprofits</t>
  </si>
  <si>
    <t>Legal Status of Applicant:</t>
  </si>
  <si>
    <t>Parent Company:</t>
  </si>
  <si>
    <t>Colrich Multifamily Investments, LLC</t>
  </si>
  <si>
    <t>If Other, Specify:</t>
  </si>
  <si>
    <t>both for-profit</t>
  </si>
  <si>
    <t>General Partner(s) Information (post-closing GPs):</t>
  </si>
  <si>
    <t>D(1)</t>
  </si>
  <si>
    <t>General Partner Name:</t>
  </si>
  <si>
    <t>Pacific Housing, Inc.</t>
  </si>
  <si>
    <t>Managing GP</t>
  </si>
  <si>
    <t>2115 J Street, Ste. 201</t>
  </si>
  <si>
    <t>OWNERSHIP</t>
  </si>
  <si>
    <t>INTEREST (%):</t>
  </si>
  <si>
    <t>Nonprofit</t>
  </si>
  <si>
    <t>Mark A. Wiese</t>
  </si>
  <si>
    <t>currently exists</t>
  </si>
  <si>
    <t>916-638-5200</t>
  </si>
  <si>
    <t>to be formed</t>
  </si>
  <si>
    <t>For Profit</t>
  </si>
  <si>
    <t>mwiese@pacifichousing.org</t>
  </si>
  <si>
    <t>Nonprofit/For Profit:</t>
  </si>
  <si>
    <t>D(2)</t>
  </si>
  <si>
    <t>General Partner Name:*</t>
  </si>
  <si>
    <t>CR Epoca L GP, LLC</t>
  </si>
  <si>
    <t>Administrative GP</t>
  </si>
  <si>
    <t>Colrich California Realty,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</si>
  <si>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</si>
  <si>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</si>
  <si>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</si>
  <si>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</si>
  <si>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</si>
  <si>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</si>
  <si>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</si>
  <si>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</si>
  <si>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</si>
  <si>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</si>
  <si>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AGP</t>
  </si>
  <si>
    <t>(e.g., General Partner, Consultant, etc.)</t>
  </si>
  <si>
    <t>II. APPLICATION - SECTION 4: DEVELOPMENT TEAM INFORMATION</t>
  </si>
  <si>
    <t>Indicate and List All Development Team Members</t>
  </si>
  <si>
    <t>Developer:</t>
  </si>
  <si>
    <t>Architect:</t>
  </si>
  <si>
    <t>DAHLIN GROUP ARCHITECTURE | PLANNING</t>
  </si>
  <si>
    <t>Address:</t>
  </si>
  <si>
    <t>501 West Broadway, Suite 1080</t>
  </si>
  <si>
    <t>City, State, Zip</t>
  </si>
  <si>
    <t>San Diego, CA, 92101</t>
  </si>
  <si>
    <t>City, State, Zip:</t>
  </si>
  <si>
    <t>SEAN WHITACRE</t>
  </si>
  <si>
    <t>858-350-0589</t>
  </si>
  <si>
    <t>Email:</t>
  </si>
  <si>
    <t>Attorney:</t>
  </si>
  <si>
    <t>Elkins Kalt Weintraub Reuben Gartside LLP</t>
  </si>
  <si>
    <t>General Contractor:</t>
  </si>
  <si>
    <t>ColRich California Construction</t>
  </si>
  <si>
    <t>10345 W. Olympic Boulevard</t>
  </si>
  <si>
    <t>444 W Beech St Suite 300</t>
  </si>
  <si>
    <t>Los Angeles, CA, 90064</t>
  </si>
  <si>
    <t>Frederick W. Gartside</t>
  </si>
  <si>
    <t>(310) 746-4405</t>
  </si>
  <si>
    <t>fgartside@elkinskalt.com</t>
  </si>
  <si>
    <t>Tax Professional:</t>
  </si>
  <si>
    <t>Dauby O'Connor &amp; Zaleski, LLC</t>
  </si>
  <si>
    <t>Energy Consultant:</t>
  </si>
  <si>
    <t>Harris &amp; Sloan</t>
  </si>
  <si>
    <t>501 Congressional Blvd</t>
  </si>
  <si>
    <t>2295 Gateway Oaks Drive, Suite 200</t>
  </si>
  <si>
    <t>Carmel, IN 46032</t>
  </si>
  <si>
    <t>Sacramento, CA, 95833</t>
  </si>
  <si>
    <t>Rob Doyle</t>
  </si>
  <si>
    <t>Daniella Montoya</t>
  </si>
  <si>
    <t>916-570-1447</t>
  </si>
  <si>
    <t>rdoyle@doz.net</t>
  </si>
  <si>
    <t>dmontoya@harrisandsloan.com</t>
  </si>
  <si>
    <t>CPA:</t>
  </si>
  <si>
    <t>Investor:</t>
  </si>
  <si>
    <t>Candeur Group</t>
  </si>
  <si>
    <t>50 California Street, Suite 3200</t>
  </si>
  <si>
    <t>San Francisco, CA,94111</t>
  </si>
  <si>
    <t>Catherine Talbot</t>
  </si>
  <si>
    <t>415-710-6870</t>
  </si>
  <si>
    <t>Consultant:</t>
  </si>
  <si>
    <t>MirKa Investments, LLC</t>
  </si>
  <si>
    <t>Market Analyst:</t>
  </si>
  <si>
    <t>Kinetic Valuation Group, Inc</t>
  </si>
  <si>
    <t>300 B Street, Suite 300</t>
  </si>
  <si>
    <t>PO Box 68</t>
  </si>
  <si>
    <t>Corona Del Mar, CA</t>
  </si>
  <si>
    <t>Kursat Misirlioglu</t>
  </si>
  <si>
    <t>Jay Worthman</t>
  </si>
  <si>
    <t>619-599-3852</t>
  </si>
  <si>
    <t>402-202-0771</t>
  </si>
  <si>
    <t>kursatm@mirkainvest.com</t>
  </si>
  <si>
    <t>Jay@kvgteam.com</t>
  </si>
  <si>
    <t>Appraiser:</t>
  </si>
  <si>
    <t>CNA Consultant:</t>
  </si>
  <si>
    <t>Bond Issuer:</t>
  </si>
  <si>
    <t>CalHFA</t>
  </si>
  <si>
    <t>Prop. Mgmt. Co.:</t>
  </si>
  <si>
    <t>Greystar</t>
  </si>
  <si>
    <t>500 Capitol Mall, Suite 1400, MS-990</t>
  </si>
  <si>
    <t xml:space="preserve">620 Newport Center Drive, 15th Floor </t>
  </si>
  <si>
    <t>Sacramento, CA, 95814</t>
  </si>
  <si>
    <t>Newport Beach, CA 92660</t>
  </si>
  <si>
    <t>Kevin Brown</t>
  </si>
  <si>
    <t>Mike Clow</t>
  </si>
  <si>
    <t>224-723-7535</t>
  </si>
  <si>
    <t>kbrown@calhfa.ca.gov</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</si>
  <si>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</si>
  <si>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</si>
  <si>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</si>
  <si>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</si>
  <si>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</si>
  <si>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</si>
  <si>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</si>
  <si>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</si>
  <si>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</si>
  <si>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</si>
  <si>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</si>
  <si>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</si>
  <si>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</si>
  <si>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</si>
  <si>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</si>
  <si>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</si>
  <si>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</si>
  <si>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</si>
  <si>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</si>
  <si>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</si>
  <si>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</si>
  <si>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</si>
  <si>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</si>
  <si>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</si>
  <si>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</si>
  <si>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</si>
  <si>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</si>
  <si>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</si>
  <si>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</si>
  <si>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</si>
  <si>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</si>
  <si>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</si>
  <si>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</si>
  <si>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</si>
  <si>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</si>
  <si>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CR Lumina Group, LLC</t>
  </si>
  <si>
    <t>Signatory of Seller:</t>
  </si>
  <si>
    <t>Seller Principal:</t>
  </si>
  <si>
    <t>Manager</t>
  </si>
  <si>
    <t>Seller Address:</t>
  </si>
  <si>
    <t xml:space="preserve">444 West Beech Street, Suite 300 </t>
  </si>
  <si>
    <t>San Diego, CA 92101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</si>
  <si>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</si>
  <si>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</si>
  <si>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</si>
  <si>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</si>
  <si>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</si>
  <si>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</si>
  <si>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</si>
  <si>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</si>
  <si>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</si>
  <si>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</si>
  <si>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</si>
  <si>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</si>
  <si>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</si>
  <si>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</si>
  <si>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</si>
  <si>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</si>
  <si>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</si>
  <si>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</si>
  <si>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</si>
  <si>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</si>
  <si>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</si>
  <si>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</si>
  <si>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</si>
  <si>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</si>
  <si>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</si>
  <si>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</si>
  <si>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</si>
  <si>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</si>
  <si>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</si>
  <si>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</si>
  <si>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</si>
  <si>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</si>
  <si>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</si>
  <si>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</si>
  <si>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</si>
  <si>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</si>
  <si>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</si>
  <si>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</si>
  <si>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</si>
  <si>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</si>
  <si>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</si>
  <si>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</si>
  <si>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</si>
  <si>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</si>
  <si>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</si>
  <si>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</si>
  <si>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</si>
  <si>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</si>
  <si>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</si>
  <si>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</si>
  <si>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</si>
  <si>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</si>
  <si>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</si>
  <si>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</si>
  <si>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</si>
  <si>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</si>
  <si>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</si>
  <si>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</si>
  <si>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</si>
  <si>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</si>
  <si>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</si>
  <si>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</si>
  <si>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</si>
  <si>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</si>
  <si>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</si>
  <si>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</si>
  <si>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</si>
  <si>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</si>
  <si>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</si>
  <si>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</si>
  <si>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</si>
  <si>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</si>
  <si>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</si>
  <si>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</si>
  <si>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</si>
  <si>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</si>
  <si>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</si>
  <si>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</si>
  <si>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</si>
  <si>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</si>
  <si>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</si>
  <si>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</si>
  <si>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</si>
  <si>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</si>
  <si>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</si>
  <si>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</si>
  <si>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</si>
  <si>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</si>
  <si>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</si>
  <si>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</si>
  <si>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</si>
  <si>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</si>
  <si>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</si>
  <si>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</si>
  <si>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</si>
  <si>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</si>
  <si>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</si>
  <si>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</si>
  <si>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</si>
  <si>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</si>
  <si>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</si>
  <si>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RM-2-5 and 28.8 unit per acre without affordable density bonus</t>
  </si>
  <si>
    <t>Proposed Zoning and Maximum Density</t>
  </si>
  <si>
    <t>RM-2-5 and 78.4 unit per acre, including affordable density bonus /100%</t>
  </si>
  <si>
    <t>Occupancy restrictions that run with the land due to CUP’s or density bonuses?</t>
  </si>
  <si>
    <t>(if yes, explain here)</t>
  </si>
  <si>
    <t>Subject to Inclusionary Zoning?</t>
  </si>
  <si>
    <t>yes</t>
  </si>
  <si>
    <t>Building Height Requirements</t>
  </si>
  <si>
    <t>Required Parking Ratio</t>
  </si>
  <si>
    <t>152 per 120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</si>
  <si>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</si>
  <si>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</si>
  <si>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</si>
  <si>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</si>
  <si>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</si>
  <si>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</si>
  <si>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</si>
  <si>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</si>
  <si>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</si>
  <si>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</si>
  <si>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</si>
  <si>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</si>
  <si>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</si>
  <si>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</si>
  <si>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</si>
  <si>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</si>
  <si>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</si>
  <si>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</si>
  <si>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</si>
  <si>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</si>
  <si>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</si>
  <si>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</si>
  <si>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</si>
  <si>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</si>
  <si>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</si>
  <si>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</si>
  <si>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</si>
  <si>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</si>
  <si>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</si>
  <si>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</si>
  <si>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</si>
  <si>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</si>
  <si>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</si>
  <si>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</si>
  <si>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</si>
  <si>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</si>
  <si>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</si>
  <si>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</si>
  <si>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</si>
  <si>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</si>
  <si>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</si>
  <si>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</si>
  <si>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</si>
  <si>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</si>
  <si>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PW Bank/Tax Exempt New Bonds - Construction Loan </t>
  </si>
  <si>
    <t>Fixed</t>
  </si>
  <si>
    <t xml:space="preserve">PW Bank/Tax Exempt Recycled Bonds - Construction Loan </t>
  </si>
  <si>
    <t>PWB/Taxable Construction Loan</t>
  </si>
  <si>
    <t>Tax Credit Equity - Candeur</t>
  </si>
  <si>
    <t>Deferred Developer Fee</t>
  </si>
  <si>
    <t>6)</t>
  </si>
  <si>
    <t>Master Developer Land Note</t>
  </si>
  <si>
    <t>7)</t>
  </si>
  <si>
    <t>Solar Equity</t>
  </si>
  <si>
    <t>8)</t>
  </si>
  <si>
    <t>GP Contribution of Developer Fee</t>
  </si>
  <si>
    <t>9)</t>
  </si>
  <si>
    <t>Deferred Costs</t>
  </si>
  <si>
    <t>10)</t>
  </si>
  <si>
    <t>11)</t>
  </si>
  <si>
    <t>12)</t>
  </si>
  <si>
    <t>Total Funds For Construction:</t>
  </si>
  <si>
    <t>Lender/Source:</t>
  </si>
  <si>
    <t>110 West A Street, Suite 1300</t>
  </si>
  <si>
    <t>Contact Name:</t>
  </si>
  <si>
    <t>Christopher A. Walby</t>
  </si>
  <si>
    <t xml:space="preserve"> 760-518-4987</t>
  </si>
  <si>
    <t>Type of Financing:</t>
  </si>
  <si>
    <t>Tax-Exempt New Bonds/Private</t>
  </si>
  <si>
    <t>Tax-Exempt Recycled Bonds/Private</t>
  </si>
  <si>
    <t>Variable Rate Index (if applicable):</t>
  </si>
  <si>
    <t>Is the Lender/Source Committed?</t>
  </si>
  <si>
    <t>Taxable Bonds/Private</t>
  </si>
  <si>
    <t>Tax Equity/Private</t>
  </si>
  <si>
    <t>Soft/Private</t>
  </si>
  <si>
    <t>ITC/Private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</si>
  <si>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</si>
  <si>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</si>
  <si>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</si>
  <si>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</si>
  <si>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</si>
  <si>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</si>
  <si>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</si>
  <si>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</si>
  <si>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</si>
  <si>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</si>
  <si>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</si>
  <si>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</si>
  <si>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</si>
  <si>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</si>
  <si>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</si>
  <si>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</si>
  <si>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</si>
  <si>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</si>
  <si>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PW Bank Permanent Loan</t>
  </si>
  <si>
    <t>TOTAL LI Bedrooms</t>
  </si>
  <si>
    <t>Deferred</t>
  </si>
  <si>
    <t>Residual</t>
  </si>
  <si>
    <t>manager(s)</t>
  </si>
  <si>
    <t>Residual Receipt Loans Accrued Interest</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</si>
  <si>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</si>
  <si>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</si>
  <si>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</si>
  <si>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</si>
  <si>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</si>
  <si>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</si>
  <si>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</si>
  <si>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</si>
  <si>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</si>
  <si>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</si>
  <si>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</si>
  <si>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</si>
  <si>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</si>
  <si>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</si>
  <si>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</si>
  <si>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</si>
  <si>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</si>
  <si>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</si>
  <si>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</si>
  <si>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</si>
  <si>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</si>
  <si>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</si>
  <si>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</si>
  <si>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</si>
  <si>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</si>
  <si>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</si>
  <si>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</si>
  <si>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</si>
  <si>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</si>
  <si>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</si>
  <si>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</si>
  <si>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</si>
  <si>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</si>
  <si>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</si>
  <si>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</si>
  <si>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</si>
  <si>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</si>
  <si>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</si>
  <si>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</si>
  <si>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</si>
  <si>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</si>
  <si>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</si>
  <si>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</si>
  <si>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</si>
  <si>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</si>
  <si>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</si>
  <si>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</si>
  <si>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</si>
  <si>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</si>
  <si>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</si>
  <si>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</si>
  <si>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</si>
  <si>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</si>
  <si>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</si>
  <si>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</si>
  <si>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</si>
  <si>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</si>
  <si>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</si>
  <si>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</si>
  <si>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</si>
  <si>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</si>
  <si>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</si>
  <si>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</si>
  <si>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</si>
  <si>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</si>
  <si>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</si>
  <si>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</si>
  <si>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</si>
  <si>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</si>
  <si>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</si>
  <si>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</si>
  <si>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</si>
  <si>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</si>
  <si>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</si>
  <si>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</si>
  <si>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</si>
  <si>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</si>
  <si>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fees, app</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</si>
  <si>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</si>
  <si>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</si>
  <si>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</si>
  <si>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</si>
  <si>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</si>
  <si>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</si>
  <si>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</si>
  <si>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</si>
  <si>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</si>
  <si>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</si>
  <si>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</si>
  <si>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</si>
  <si>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</si>
  <si>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</si>
  <si>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</si>
  <si>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</si>
  <si>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</si>
  <si>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</si>
  <si>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</si>
  <si>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</si>
  <si>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Energy Commission- DuctTesters Inc.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</si>
  <si>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</si>
  <si>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</si>
  <si>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</si>
  <si>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</si>
  <si>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</si>
  <si>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</si>
  <si>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</si>
  <si>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</si>
  <si>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</si>
  <si>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</si>
  <si>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</si>
  <si>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</si>
  <si>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</si>
  <si>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</si>
  <si>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</si>
  <si>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</si>
  <si>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</si>
  <si>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</si>
  <si>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</si>
  <si>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</si>
  <si>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Benefits, Taxes</t>
  </si>
  <si>
    <t>Total Payroll / Payroll Taxes:</t>
  </si>
  <si>
    <t>Total Insurance:</t>
  </si>
  <si>
    <t>Painting:</t>
  </si>
  <si>
    <t>Repairs:</t>
  </si>
  <si>
    <t>Trash Removal:</t>
  </si>
  <si>
    <t>Exterminating:</t>
  </si>
  <si>
    <t>Grounds:</t>
  </si>
  <si>
    <t>Elevator:</t>
  </si>
  <si>
    <t>Total Maintenance:</t>
  </si>
  <si>
    <t>Other Operating</t>
  </si>
  <si>
    <t>Taxes (HOA, CFD)</t>
  </si>
  <si>
    <t>Expenses</t>
  </si>
  <si>
    <t>Other OPEX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</si>
  <si>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</si>
  <si>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</si>
  <si>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</si>
  <si>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</si>
  <si>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</si>
  <si>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</si>
  <si>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</si>
  <si>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</si>
  <si>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</si>
  <si>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</si>
  <si>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</si>
  <si>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</si>
  <si>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</si>
  <si>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</si>
  <si>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</si>
  <si>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</si>
  <si>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</si>
  <si>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</si>
  <si>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</si>
  <si>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</si>
  <si>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</si>
  <si>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</si>
  <si>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</si>
  <si>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</si>
  <si>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</si>
  <si>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</si>
  <si>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</si>
  <si>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</si>
  <si>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</si>
  <si>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</si>
  <si>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</si>
  <si>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</si>
  <si>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</si>
  <si>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</si>
  <si>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</si>
  <si>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</si>
  <si>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</si>
  <si>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</si>
  <si>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</si>
  <si>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</si>
  <si>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</si>
  <si>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</si>
  <si>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</si>
  <si>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</si>
  <si>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</si>
  <si>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</si>
  <si>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</si>
  <si>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</si>
  <si>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</si>
  <si>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</si>
  <si>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</si>
  <si>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</si>
  <si>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</si>
  <si>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</si>
  <si>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</si>
  <si>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</si>
  <si>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</si>
  <si>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</si>
  <si>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</si>
  <si>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</si>
  <si>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</si>
  <si>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</si>
  <si>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</si>
  <si>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</si>
  <si>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</si>
  <si>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</si>
  <si>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</si>
  <si>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</si>
  <si>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</si>
  <si>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</si>
  <si>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</si>
  <si>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</si>
  <si>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</si>
  <si>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</si>
  <si>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</si>
  <si>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</si>
  <si>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</si>
  <si>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</si>
  <si>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</si>
  <si>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</si>
  <si>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</si>
  <si>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</si>
  <si>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</si>
  <si>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</si>
  <si>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</si>
  <si>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</si>
  <si>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</si>
  <si>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</si>
  <si>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</si>
  <si>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</si>
  <si>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</si>
  <si>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</si>
  <si>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</si>
  <si>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</si>
  <si>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</si>
  <si>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</si>
  <si>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</si>
  <si>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</si>
  <si>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</si>
  <si>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</si>
  <si>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</si>
  <si>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</si>
  <si>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</si>
  <si>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</si>
  <si>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</si>
  <si>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</si>
  <si>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</si>
  <si>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</si>
  <si>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</si>
  <si>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</si>
  <si>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</si>
  <si>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</si>
  <si>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</si>
  <si>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</si>
  <si>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</si>
  <si>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</si>
  <si>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</si>
  <si>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</si>
  <si>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</si>
  <si>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</si>
  <si>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</si>
  <si>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</si>
  <si>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</si>
  <si>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</si>
  <si>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</si>
  <si>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</si>
  <si>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</si>
  <si>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</si>
  <si>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</si>
  <si>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</si>
  <si>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</si>
  <si>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</si>
  <si>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</si>
  <si>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</si>
  <si>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</si>
  <si>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</si>
  <si>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</si>
  <si>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</si>
  <si>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</si>
  <si>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</si>
  <si>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</si>
  <si>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</si>
  <si>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</si>
  <si>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</si>
  <si>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</si>
  <si>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</si>
  <si>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</si>
  <si>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</si>
  <si>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</si>
  <si>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</si>
  <si>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</si>
  <si>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</si>
  <si>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</si>
  <si>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</si>
  <si>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</si>
  <si>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</si>
  <si>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</si>
  <si>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</si>
  <si>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</si>
  <si>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</si>
  <si>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</si>
  <si>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</si>
  <si>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</si>
  <si>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</si>
  <si>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</si>
  <si>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</si>
  <si>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</si>
  <si>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</si>
  <si>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</si>
  <si>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</si>
  <si>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</si>
  <si>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</si>
  <si>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</si>
  <si>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</si>
  <si>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</si>
  <si>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</si>
  <si>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</si>
  <si>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</si>
  <si>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</si>
  <si>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</si>
  <si>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</si>
  <si>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</si>
  <si>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</si>
  <si>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</si>
  <si>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</si>
  <si>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</si>
  <si>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</si>
  <si>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</si>
  <si>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</si>
  <si>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 Fee, Construction Management and Monitoring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</si>
  <si>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</si>
  <si>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</si>
  <si>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</si>
  <si>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</si>
  <si>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</si>
  <si>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</si>
  <si>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</si>
  <si>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</si>
  <si>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</si>
  <si>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</si>
  <si>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</si>
  <si>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</si>
  <si>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</si>
  <si>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</si>
  <si>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</si>
  <si>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</si>
  <si>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</si>
  <si>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</si>
  <si>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</si>
  <si>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</si>
  <si>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</si>
  <si>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</si>
  <si>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</si>
  <si>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</si>
  <si>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</si>
  <si>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</si>
  <si>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</si>
  <si>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</si>
  <si>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</si>
  <si>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</si>
  <si>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</si>
  <si>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MGP Services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</si>
  <si>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</si>
  <si>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</si>
  <si>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</si>
  <si>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</si>
  <si>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</si>
  <si>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</si>
  <si>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</si>
  <si>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</si>
  <si>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</si>
  <si>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</si>
  <si>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</si>
  <si>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</si>
  <si>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</si>
  <si>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</si>
  <si>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</si>
  <si>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</si>
  <si>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</si>
  <si>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</si>
  <si>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</si>
  <si>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</si>
  <si>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</si>
  <si>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</si>
  <si>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</si>
  <si>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</si>
  <si>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</si>
  <si>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</si>
  <si>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</si>
  <si>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</si>
  <si>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</si>
  <si>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</si>
  <si>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</si>
  <si>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</si>
  <si>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</si>
  <si>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</si>
  <si>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</si>
  <si>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</si>
  <si>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</si>
  <si>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</si>
  <si>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</si>
  <si>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</si>
  <si>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</si>
  <si>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</si>
  <si>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</si>
  <si>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</si>
  <si>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</si>
  <si>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</si>
  <si>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</si>
  <si>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</si>
  <si>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</si>
  <si>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</si>
  <si>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</si>
  <si>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</si>
  <si>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</si>
  <si>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</si>
  <si>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</si>
  <si>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</si>
  <si>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</si>
  <si>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</si>
  <si>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</si>
  <si>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</si>
  <si>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</si>
  <si>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</si>
  <si>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</si>
  <si>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</si>
  <si>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</si>
  <si>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</si>
  <si>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</si>
  <si>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</si>
  <si>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</si>
  <si>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</si>
  <si>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</si>
  <si>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</si>
  <si>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</si>
  <si>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</si>
  <si>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</si>
  <si>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</si>
  <si>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</si>
  <si>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</si>
  <si>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</si>
  <si>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</si>
  <si>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</si>
  <si>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</si>
  <si>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</si>
  <si>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</si>
  <si>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</si>
  <si>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</si>
  <si>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</si>
  <si>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</si>
  <si>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</si>
  <si>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</si>
  <si>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</si>
  <si>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</si>
  <si>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</si>
  <si>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</si>
  <si>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</si>
  <si>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</si>
  <si>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</si>
  <si>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</si>
  <si>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</si>
  <si>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</si>
  <si>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</si>
  <si>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</si>
  <si>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</si>
  <si>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</si>
  <si>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</si>
  <si>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</si>
  <si>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</si>
  <si>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</si>
  <si>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</si>
  <si>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</si>
  <si>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</si>
  <si>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</si>
  <si>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</si>
  <si>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</si>
  <si>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</si>
  <si>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</si>
  <si>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</si>
  <si>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</si>
  <si>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</si>
  <si>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</si>
  <si>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</si>
  <si>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</si>
  <si>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</si>
  <si>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</si>
  <si>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</si>
  <si>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</si>
  <si>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</si>
  <si>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</si>
  <si>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</si>
  <si>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</si>
  <si>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</si>
  <si>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</si>
  <si>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</si>
  <si>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</si>
  <si>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</si>
  <si>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</si>
  <si>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</si>
  <si>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</si>
  <si>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</si>
  <si>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</si>
  <si>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</si>
  <si>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</si>
  <si>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</si>
  <si>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</si>
  <si>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</si>
  <si>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</si>
  <si>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</si>
  <si>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</si>
  <si>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</si>
  <si>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</si>
  <si>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</si>
  <si>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</si>
  <si>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</si>
  <si>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</si>
  <si>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</si>
  <si>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</si>
  <si>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</si>
  <si>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</si>
  <si>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</si>
  <si>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</si>
  <si>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</si>
  <si>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</si>
  <si>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</si>
  <si>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</si>
  <si>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</si>
  <si>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</si>
  <si>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</si>
  <si>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</si>
  <si>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</si>
  <si>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</si>
  <si>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</si>
  <si>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</si>
  <si>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</si>
  <si>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</si>
  <si>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</si>
  <si>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</si>
  <si>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</si>
  <si>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</si>
  <si>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</si>
  <si>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</si>
  <si>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</si>
  <si>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</si>
  <si>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</si>
  <si>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</si>
  <si>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</si>
  <si>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</si>
  <si>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</si>
  <si>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</si>
  <si>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</si>
  <si>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</si>
  <si>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</si>
  <si>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</si>
  <si>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</si>
  <si>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</si>
  <si>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</si>
  <si>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</si>
  <si>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</si>
  <si>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</si>
  <si>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</si>
  <si>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</si>
  <si>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</si>
  <si>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</si>
  <si>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</si>
  <si>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</si>
  <si>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</si>
  <si>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</si>
  <si>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</si>
  <si>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</si>
  <si>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</si>
  <si>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</si>
  <si>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</si>
  <si>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</si>
  <si>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</si>
  <si>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</si>
  <si>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</si>
  <si>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</si>
  <si>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</si>
  <si>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</si>
  <si>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</si>
  <si>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</si>
  <si>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</si>
  <si>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</si>
  <si>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</si>
  <si>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</si>
  <si>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</si>
  <si>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</si>
  <si>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</si>
  <si>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</si>
  <si>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</si>
  <si>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</si>
  <si>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</si>
  <si>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</si>
  <si>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</si>
  <si>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</si>
  <si>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</si>
  <si>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</si>
  <si>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</si>
  <si>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</si>
  <si>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</si>
  <si>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</si>
  <si>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</si>
  <si>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</si>
  <si>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</si>
  <si>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</si>
  <si>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</si>
  <si>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</si>
  <si>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</si>
  <si>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</si>
  <si>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</si>
  <si>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</si>
  <si>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</si>
  <si>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</si>
  <si>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</si>
  <si>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</si>
  <si>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</si>
  <si>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</si>
  <si>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</si>
  <si>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</si>
  <si>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</si>
  <si>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</si>
  <si>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</si>
  <si>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</si>
  <si>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</si>
  <si>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</si>
  <si>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</si>
  <si>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</si>
  <si>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</si>
  <si>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</si>
  <si>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</si>
  <si>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</si>
  <si>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</si>
  <si>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</si>
  <si>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</si>
  <si>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</si>
  <si>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</si>
  <si>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</si>
  <si>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</si>
  <si>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</si>
  <si>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</si>
  <si>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</si>
  <si>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</si>
  <si>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</si>
  <si>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</si>
  <si>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</si>
  <si>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</si>
  <si>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</si>
  <si>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</si>
  <si>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</si>
  <si>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</si>
  <si>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</si>
  <si>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</si>
  <si>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</si>
  <si>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</si>
  <si>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</si>
  <si>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</si>
  <si>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</si>
  <si>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</si>
  <si>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</si>
  <si>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</si>
  <si>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</si>
  <si>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</si>
  <si>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</si>
  <si>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</si>
  <si>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</si>
  <si>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</si>
  <si>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</si>
  <si>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</si>
  <si>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</si>
  <si>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</si>
  <si>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</si>
  <si>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</si>
  <si>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</si>
  <si>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</si>
  <si>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</si>
  <si>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</si>
  <si>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</si>
  <si>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</si>
  <si>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</si>
  <si>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</si>
  <si>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</si>
  <si>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</si>
  <si>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</si>
  <si>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</si>
  <si>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</si>
  <si>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</si>
  <si>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</si>
  <si>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</si>
  <si>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</si>
  <si>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</si>
  <si>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</si>
  <si>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</si>
  <si>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</si>
  <si>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</si>
  <si>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</si>
  <si>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</si>
  <si>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</si>
  <si>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</si>
  <si>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</si>
  <si>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</si>
  <si>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</si>
  <si>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</si>
  <si>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</si>
  <si>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</si>
  <si>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</si>
  <si>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</si>
  <si>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</si>
  <si>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</si>
  <si>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</si>
  <si>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</si>
  <si>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</si>
  <si>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</si>
  <si>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</si>
  <si>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</si>
  <si>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</si>
  <si>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</si>
  <si>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</si>
  <si>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</si>
  <si>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</si>
  <si>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</si>
  <si>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</si>
  <si>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</si>
  <si>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</si>
  <si>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</si>
  <si>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</si>
  <si>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</si>
  <si>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</si>
  <si>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</si>
  <si>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</si>
  <si>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</si>
  <si>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</si>
  <si>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</si>
  <si>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</si>
  <si>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</si>
  <si>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</si>
  <si>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</si>
  <si>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</si>
  <si>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</si>
  <si>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</si>
  <si>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</si>
  <si>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</si>
  <si>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</si>
  <si>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</si>
  <si>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</si>
  <si>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</si>
  <si>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</si>
  <si>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</si>
  <si>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</si>
  <si>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</si>
  <si>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</si>
  <si>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</si>
  <si>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</si>
  <si>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</si>
  <si>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</si>
  <si>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</si>
  <si>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</si>
  <si>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</si>
  <si>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</si>
  <si>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</si>
  <si>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</si>
  <si>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</si>
  <si>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</si>
  <si>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</si>
  <si>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</si>
  <si>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</si>
  <si>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</si>
  <si>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</si>
  <si>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</si>
  <si>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</si>
  <si>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</si>
  <si>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</si>
  <si>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</si>
  <si>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</si>
  <si>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</si>
  <si>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</si>
  <si>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</si>
  <si>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</si>
  <si>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</si>
  <si>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</si>
  <si>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</si>
  <si>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</si>
  <si>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</si>
  <si>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</si>
  <si>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</si>
  <si>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</si>
  <si>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</si>
  <si>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each 2 Low-Income Units (2 points)</t>
  </si>
  <si>
    <t>At least one pass per Low-Income Unit  (3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</si>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</sst>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style="thin">
        <color indexed="64"/>
      </bottom>
      <diagonal/>
    </border>
  </borders>
  <cellStyleXfs count="17158">
    <xf numFmtId="0" fontId="0" fillId="0" borderId="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4" fillId="37" borderId="18" applyNumberFormat="0" applyAlignment="0" applyProtection="0"/>
    <xf numFmtId="0" fontId="74" fillId="37" borderId="18" applyNumberFormat="0" applyAlignment="0" applyProtection="0"/>
    <xf numFmtId="0" fontId="75" fillId="38"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9"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1"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21" fillId="0" borderId="0"/>
    <xf numFmtId="0" fontId="63"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63"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86" fillId="37" borderId="25" applyNumberFormat="0" applyAlignment="0" applyProtection="0"/>
    <xf numFmtId="0" fontId="86" fillId="37"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8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0" fontId="19" fillId="0" borderId="0" xfId="544" applyFont="1" applyAlignment="1">
      <alignment horizontal="right" vertical="top" wrapText="1"/>
    </xf>
    <xf numFmtId="0" fontId="21" fillId="0" borderId="0" xfId="544" applyAlignment="1">
      <alignment horizontal="left" vertical="center"/>
    </xf>
    <xf numFmtId="0" fontId="21"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3" fontId="55" fillId="0" borderId="6" xfId="0" applyNumberFormat="1" applyFont="1" applyBorder="1"/>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0" fontId="17" fillId="0" borderId="11" xfId="253" applyFont="1" applyBorder="1" applyAlignment="1" applyProtection="1">
      <alignment horizontal="center" wrapText="1"/>
      <protection locked="0"/>
    </xf>
    <xf numFmtId="168" fontId="17" fillId="0" borderId="0" xfId="271" applyNumberFormat="1" applyFont="1" applyProtection="1">
      <protection locked="0"/>
    </xf>
    <xf numFmtId="3" fontId="17" fillId="10" borderId="11" xfId="271" applyNumberFormat="1" applyFont="1" applyFill="1" applyBorder="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3"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70" applyFont="1" applyBorder="1" applyAlignment="1">
      <alignment vertical="top" wrapText="1"/>
    </xf>
    <xf numFmtId="0" fontId="26" fillId="0" borderId="0" xfId="570" applyFont="1" applyAlignment="1">
      <alignment vertical="top" wrapText="1"/>
    </xf>
    <xf numFmtId="0" fontId="44" fillId="2" borderId="11" xfId="570" applyFont="1" applyFill="1" applyBorder="1" applyAlignment="1">
      <alignment horizontal="left" vertical="top" wrapText="1"/>
    </xf>
    <xf numFmtId="6" fontId="42" fillId="4" borderId="11" xfId="570" applyNumberFormat="1" applyFont="1" applyFill="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6" fontId="42" fillId="0" borderId="11" xfId="570" applyNumberFormat="1" applyFont="1" applyBorder="1" applyAlignment="1">
      <alignment vertical="top" wrapText="1"/>
    </xf>
    <xf numFmtId="6" fontId="42" fillId="5" borderId="11" xfId="570" applyNumberFormat="1" applyFont="1" applyFill="1" applyBorder="1" applyAlignment="1" applyProtection="1">
      <alignment vertical="top" wrapText="1"/>
      <protection locked="0"/>
    </xf>
    <xf numFmtId="6" fontId="42" fillId="6" borderId="11" xfId="570" applyNumberFormat="1" applyFont="1" applyFill="1" applyBorder="1" applyAlignment="1">
      <alignment horizontal="center" vertical="top" wrapText="1"/>
    </xf>
    <xf numFmtId="0" fontId="42" fillId="0" borderId="11" xfId="570" applyFont="1" applyBorder="1" applyAlignment="1">
      <alignment horizontal="right" vertical="top" wrapText="1"/>
    </xf>
    <xf numFmtId="0" fontId="43" fillId="0" borderId="11" xfId="570" applyFont="1" applyBorder="1" applyAlignment="1">
      <alignment horizontal="right" vertical="top" wrapText="1"/>
    </xf>
    <xf numFmtId="0" fontId="42" fillId="0" borderId="11" xfId="570" applyFont="1" applyBorder="1" applyAlignment="1">
      <alignment horizontal="right" vertical="top"/>
    </xf>
    <xf numFmtId="6" fontId="43" fillId="0" borderId="11" xfId="570" applyNumberFormat="1" applyFont="1" applyBorder="1" applyAlignment="1">
      <alignment vertical="top" wrapText="1"/>
    </xf>
    <xf numFmtId="0" fontId="43" fillId="0" borderId="8" xfId="570" applyFont="1" applyBorder="1" applyAlignment="1">
      <alignment vertical="top" wrapText="1"/>
    </xf>
    <xf numFmtId="0" fontId="43" fillId="0" borderId="0" xfId="570" applyFont="1" applyAlignment="1">
      <alignment vertical="top" wrapText="1"/>
    </xf>
    <xf numFmtId="0" fontId="15" fillId="0" borderId="11" xfId="570" applyFont="1" applyBorder="1" applyAlignment="1">
      <alignment horizontal="right" vertical="top" wrapText="1"/>
    </xf>
    <xf numFmtId="0" fontId="43" fillId="0" borderId="0" xfId="570" applyFont="1" applyAlignment="1">
      <alignment horizontal="left" vertical="top"/>
    </xf>
    <xf numFmtId="6" fontId="42" fillId="0" borderId="0" xfId="570" applyNumberFormat="1" applyFont="1" applyAlignment="1">
      <alignment horizontal="left" vertical="top"/>
    </xf>
    <xf numFmtId="0" fontId="92" fillId="0" borderId="0" xfId="570" applyFont="1" applyAlignment="1">
      <alignment horizontal="left" vertical="top"/>
    </xf>
    <xf numFmtId="6" fontId="42" fillId="0" borderId="0" xfId="570" applyNumberFormat="1" applyFont="1" applyAlignment="1">
      <alignment vertical="top" wrapText="1"/>
    </xf>
    <xf numFmtId="0" fontId="42" fillId="0" borderId="0" xfId="570" applyFont="1" applyAlignment="1">
      <alignment horizontal="left" vertical="top"/>
    </xf>
    <xf numFmtId="0" fontId="42" fillId="0" borderId="12" xfId="570" applyFont="1" applyBorder="1" applyAlignment="1">
      <alignment vertical="top" wrapText="1"/>
    </xf>
    <xf numFmtId="0" fontId="19" fillId="0" borderId="0" xfId="570" applyFont="1" applyAlignment="1">
      <alignment horizontal="left" vertical="top"/>
    </xf>
    <xf numFmtId="0" fontId="95" fillId="0" borderId="0" xfId="570" applyFont="1" applyAlignment="1">
      <alignment horizontal="left" vertical="top"/>
    </xf>
    <xf numFmtId="0" fontId="51" fillId="0" borderId="0" xfId="570" applyFont="1" applyAlignment="1">
      <alignment horizontal="left" vertical="center"/>
    </xf>
    <xf numFmtId="0" fontId="27" fillId="0" borderId="0" xfId="570" applyFont="1" applyAlignment="1">
      <alignment vertical="top" wrapText="1"/>
    </xf>
    <xf numFmtId="0" fontId="27" fillId="0" borderId="12" xfId="570" applyFont="1" applyBorder="1" applyAlignment="1">
      <alignment vertical="top" wrapText="1"/>
    </xf>
    <xf numFmtId="0" fontId="27" fillId="0" borderId="8" xfId="570" applyFont="1" applyBorder="1" applyAlignment="1">
      <alignment vertical="top" wrapText="1"/>
    </xf>
    <xf numFmtId="0" fontId="42" fillId="0" borderId="0" xfId="570" applyFont="1" applyAlignment="1">
      <alignment vertical="top"/>
    </xf>
    <xf numFmtId="168" fontId="42" fillId="0" borderId="0" xfId="570" applyNumberFormat="1" applyFont="1" applyAlignment="1" applyProtection="1">
      <alignment horizontal="right" vertical="top" wrapText="1"/>
      <protection locked="0"/>
    </xf>
    <xf numFmtId="0" fontId="12" fillId="0" borderId="0" xfId="570" applyAlignment="1">
      <alignment vertical="top" wrapText="1"/>
    </xf>
    <xf numFmtId="0" fontId="12" fillId="0" borderId="0" xfId="570" applyAlignment="1">
      <alignment vertical="top"/>
    </xf>
    <xf numFmtId="0" fontId="42" fillId="0" borderId="0" xfId="570" applyFont="1" applyAlignment="1">
      <alignment horizontal="right" vertical="top" wrapText="1"/>
    </xf>
    <xf numFmtId="0" fontId="19" fillId="0" borderId="0" xfId="570" applyFont="1" applyAlignment="1">
      <alignment horizontal="left" vertical="top" wrapText="1"/>
    </xf>
    <xf numFmtId="168" fontId="42" fillId="0" borderId="0" xfId="570" applyNumberFormat="1" applyFont="1" applyAlignment="1">
      <alignment horizontal="right" vertical="top" wrapText="1"/>
    </xf>
    <xf numFmtId="0" fontId="12" fillId="0" borderId="0" xfId="570" applyAlignment="1" applyProtection="1">
      <alignment horizontal="left" vertical="top" wrapText="1"/>
      <protection locked="0"/>
    </xf>
    <xf numFmtId="0" fontId="12" fillId="0" borderId="0" xfId="570" applyAlignment="1">
      <alignment horizontal="right" vertical="top" wrapText="1"/>
    </xf>
    <xf numFmtId="0" fontId="12" fillId="0" borderId="0" xfId="570" applyAlignment="1">
      <alignment horizontal="left" vertical="top"/>
    </xf>
    <xf numFmtId="0" fontId="67" fillId="0" borderId="0" xfId="570" applyFont="1" applyAlignment="1">
      <alignment vertical="top" wrapText="1"/>
    </xf>
    <xf numFmtId="0" fontId="67" fillId="0" borderId="12" xfId="570" applyFont="1" applyBorder="1" applyAlignment="1">
      <alignment vertical="top" wrapText="1"/>
    </xf>
    <xf numFmtId="0" fontId="67" fillId="0" borderId="8" xfId="570" applyFont="1" applyBorder="1" applyAlignment="1">
      <alignment vertical="top" wrapText="1"/>
    </xf>
    <xf numFmtId="0" fontId="26" fillId="0" borderId="0" xfId="570" applyFont="1" applyAlignment="1">
      <alignment horizontal="right" vertical="top" wrapText="1"/>
    </xf>
    <xf numFmtId="0" fontId="67" fillId="0" borderId="0" xfId="570" applyFont="1" applyAlignment="1">
      <alignment horizontal="right" vertical="top" wrapText="1"/>
    </xf>
    <xf numFmtId="0" fontId="43" fillId="0" borderId="3" xfId="570" applyFont="1" applyBorder="1" applyAlignment="1">
      <alignment horizontal="left"/>
    </xf>
    <xf numFmtId="0" fontId="43" fillId="0" borderId="13" xfId="570" applyFont="1" applyBorder="1" applyAlignment="1">
      <alignment horizontal="center" wrapText="1"/>
    </xf>
    <xf numFmtId="0" fontId="43" fillId="0" borderId="8" xfId="570" applyFont="1" applyBorder="1" applyAlignment="1">
      <alignment horizontal="center" wrapText="1"/>
    </xf>
    <xf numFmtId="0" fontId="43" fillId="0" borderId="0" xfId="570" applyFont="1" applyAlignment="1">
      <alignment horizontal="center" wrapText="1"/>
    </xf>
    <xf numFmtId="0" fontId="12" fillId="0" borderId="0" xfId="570"/>
    <xf numFmtId="0" fontId="18" fillId="0" borderId="0" xfId="570" applyFont="1" applyAlignment="1">
      <alignment horizontal="center" vertical="center"/>
    </xf>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Font="1" applyAlignment="1">
      <alignment vertical="top" wrapText="1"/>
    </xf>
    <xf numFmtId="0" fontId="12" fillId="0" borderId="0" xfId="570" applyAlignment="1">
      <alignment horizontal="right"/>
    </xf>
    <xf numFmtId="0" fontId="12" fillId="0" borderId="0" xfId="570" applyAlignment="1">
      <alignment wrapText="1"/>
    </xf>
    <xf numFmtId="0" fontId="12" fillId="0" borderId="0" xfId="570" applyAlignment="1">
      <alignment vertical="center"/>
    </xf>
    <xf numFmtId="0" fontId="32" fillId="0" borderId="0" xfId="570" applyFont="1" applyAlignment="1">
      <alignment vertical="center" wrapText="1"/>
    </xf>
    <xf numFmtId="0" fontId="30" fillId="0" borderId="0" xfId="570" applyFont="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Alignment="1">
      <alignment horizontal="right"/>
    </xf>
    <xf numFmtId="168" fontId="12" fillId="0" borderId="0" xfId="570" applyNumberFormat="1" applyAlignment="1">
      <alignment horizontal="right"/>
    </xf>
    <xf numFmtId="0" fontId="93" fillId="0" borderId="0" xfId="570" applyFont="1" applyAlignment="1">
      <alignment horizontal="left" vertical="top" wrapText="1"/>
    </xf>
    <xf numFmtId="168" fontId="12" fillId="0" borderId="0" xfId="570"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3" fontId="17" fillId="10" borderId="11" xfId="271" applyNumberFormat="1" applyFont="1" applyFill="1" applyBorder="1" applyAlignment="1" applyProtection="1">
      <alignment horizontal="center"/>
      <protection locked="0"/>
    </xf>
    <xf numFmtId="0" fontId="42" fillId="0" borderId="0" xfId="570" applyFont="1" applyAlignment="1">
      <alignment horizontal="left"/>
    </xf>
    <xf numFmtId="0" fontId="12" fillId="0" borderId="3" xfId="570" applyBorder="1"/>
    <xf numFmtId="0" fontId="12" fillId="5" borderId="3" xfId="570" applyFill="1" applyBorder="1"/>
    <xf numFmtId="0" fontId="0" fillId="5" borderId="6" xfId="0" applyFill="1" applyBorder="1" applyProtection="1">
      <protection locked="0"/>
    </xf>
    <xf numFmtId="0" fontId="94" fillId="0" borderId="0" xfId="1835"/>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3"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70" applyNumberFormat="1" applyAlignment="1">
      <alignment horizontal="left"/>
    </xf>
    <xf numFmtId="0" fontId="12" fillId="0" borderId="0" xfId="570" applyAlignment="1">
      <alignment horizontal="left" vertical="top" wrapText="1"/>
    </xf>
    <xf numFmtId="0" fontId="12" fillId="0" borderId="0" xfId="570" applyAlignment="1">
      <alignment horizontal="left"/>
    </xf>
    <xf numFmtId="0" fontId="12" fillId="0" borderId="0" xfId="1193" applyAlignment="1">
      <alignment horizontal="left"/>
    </xf>
    <xf numFmtId="0" fontId="19" fillId="0" borderId="0" xfId="570" applyFont="1" applyAlignment="1">
      <alignment horizontal="left"/>
    </xf>
    <xf numFmtId="0" fontId="36" fillId="0" borderId="0" xfId="1193" applyFont="1"/>
    <xf numFmtId="0" fontId="42" fillId="0" borderId="11" xfId="0" applyFont="1" applyBorder="1" applyAlignment="1">
      <alignment horizontal="right" vertical="center"/>
    </xf>
    <xf numFmtId="0" fontId="12" fillId="0" borderId="0" xfId="1193"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70"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3"/>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70" applyAlignment="1">
      <alignment horizontal="center"/>
    </xf>
    <xf numFmtId="0" fontId="30" fillId="0" borderId="0" xfId="570" applyFont="1" applyAlignment="1">
      <alignment horizontal="left"/>
    </xf>
    <xf numFmtId="0" fontId="30" fillId="0" borderId="0" xfId="570" applyFont="1" applyAlignment="1">
      <alignment horizontal="center"/>
    </xf>
    <xf numFmtId="49" fontId="19" fillId="0" borderId="0" xfId="570" applyNumberFormat="1" applyFont="1" applyAlignment="1">
      <alignment horizontal="center"/>
    </xf>
    <xf numFmtId="0" fontId="40" fillId="0" borderId="0" xfId="570" applyFont="1" applyAlignment="1">
      <alignment horizontal="center"/>
    </xf>
    <xf numFmtId="0" fontId="12" fillId="5" borderId="6" xfId="570" applyFill="1" applyBorder="1" applyProtection="1">
      <protection locked="0"/>
    </xf>
    <xf numFmtId="0" fontId="13" fillId="0" borderId="0" xfId="244" applyAlignment="1" applyProtection="1">
      <alignment horizontal="center"/>
    </xf>
    <xf numFmtId="49" fontId="12" fillId="0" borderId="0" xfId="570" applyNumberFormat="1" applyAlignment="1">
      <alignment horizontal="center"/>
    </xf>
    <xf numFmtId="0" fontId="12" fillId="0" borderId="0" xfId="570" applyAlignment="1">
      <alignment horizontal="center" vertical="center"/>
    </xf>
    <xf numFmtId="0" fontId="12" fillId="0" borderId="0" xfId="1193" applyAlignment="1">
      <alignment horizontal="center"/>
    </xf>
    <xf numFmtId="0" fontId="19" fillId="0" borderId="0" xfId="570" applyFont="1" applyAlignment="1">
      <alignment horizontal="center"/>
    </xf>
    <xf numFmtId="0" fontId="12" fillId="0" borderId="0" xfId="570" applyAlignment="1">
      <alignment horizontal="left" indent="4"/>
    </xf>
    <xf numFmtId="0" fontId="12" fillId="0" borderId="0" xfId="570" quotePrefix="1" applyAlignment="1">
      <alignment horizontal="left"/>
    </xf>
    <xf numFmtId="0" fontId="30" fillId="0" borderId="0" xfId="570" applyFont="1"/>
    <xf numFmtId="0" fontId="12" fillId="0" borderId="0" xfId="1193" applyAlignment="1" applyProtection="1">
      <alignment horizontal="left"/>
      <protection locked="0"/>
    </xf>
    <xf numFmtId="0" fontId="12" fillId="0" borderId="0" xfId="570" applyAlignment="1" applyProtection="1">
      <alignment horizontal="left"/>
      <protection locked="0"/>
    </xf>
    <xf numFmtId="49" fontId="12" fillId="0" borderId="0" xfId="1193" applyNumberFormat="1" applyAlignment="1">
      <alignment horizontal="center"/>
    </xf>
    <xf numFmtId="0" fontId="40" fillId="0" borderId="0" xfId="1193" applyFont="1" applyAlignment="1">
      <alignment horizontal="center"/>
    </xf>
    <xf numFmtId="0" fontId="19" fillId="0" borderId="0" xfId="1193" applyFont="1" applyAlignment="1">
      <alignment horizontal="left"/>
    </xf>
    <xf numFmtId="4" fontId="12" fillId="0" borderId="0" xfId="1193" applyNumberFormat="1" applyAlignment="1">
      <alignment horizontal="left"/>
    </xf>
    <xf numFmtId="0" fontId="19" fillId="0" borderId="0" xfId="570" quotePrefix="1" applyFont="1" applyAlignment="1">
      <alignment horizontal="center"/>
    </xf>
    <xf numFmtId="49" fontId="12" fillId="0" borderId="0" xfId="570" applyNumberFormat="1"/>
    <xf numFmtId="0" fontId="38" fillId="0" borderId="0" xfId="570" applyFont="1" applyAlignment="1">
      <alignment horizontal="left"/>
    </xf>
    <xf numFmtId="4" fontId="40" fillId="0" borderId="0" xfId="570" applyNumberFormat="1" applyFont="1" applyAlignment="1">
      <alignment horizontal="center"/>
    </xf>
    <xf numFmtId="4" fontId="12" fillId="0" borderId="0" xfId="570" applyNumberFormat="1" applyAlignment="1">
      <alignment horizontal="center"/>
    </xf>
    <xf numFmtId="4" fontId="12" fillId="0" borderId="0" xfId="570" applyNumberFormat="1"/>
    <xf numFmtId="0" fontId="37" fillId="0" borderId="0" xfId="570"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70"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70" applyFont="1"/>
    <xf numFmtId="0" fontId="12" fillId="0" borderId="0" xfId="0" applyFont="1" applyAlignment="1">
      <alignment horizontal="left" vertical="top"/>
    </xf>
    <xf numFmtId="4" fontId="12" fillId="0" borderId="0" xfId="1193" applyNumberFormat="1" applyAlignment="1">
      <alignment vertical="top" wrapText="1"/>
    </xf>
    <xf numFmtId="0" fontId="19" fillId="0" borderId="16" xfId="271" applyFont="1" applyBorder="1"/>
    <xf numFmtId="0" fontId="47" fillId="0" borderId="0" xfId="570" applyFont="1"/>
    <xf numFmtId="0" fontId="32" fillId="0" borderId="0" xfId="570" applyFont="1"/>
    <xf numFmtId="0" fontId="12" fillId="0" borderId="0" xfId="1193" applyAlignment="1">
      <alignment vertical="top" wrapText="1"/>
    </xf>
    <xf numFmtId="49" fontId="12" fillId="0" borderId="0" xfId="1193"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6" applyFont="1" applyBorder="1"/>
    <xf numFmtId="0" fontId="12" fillId="0" borderId="0" xfId="4496" applyFont="1"/>
    <xf numFmtId="0" fontId="18" fillId="0" borderId="0" xfId="4496" applyFont="1" applyAlignment="1">
      <alignment horizontal="center" vertical="center"/>
    </xf>
    <xf numFmtId="0" fontId="19" fillId="0" borderId="0" xfId="4496" applyFont="1" applyAlignment="1">
      <alignment horizontal="left"/>
    </xf>
    <xf numFmtId="0" fontId="19" fillId="0" borderId="0" xfId="4496" applyFont="1"/>
    <xf numFmtId="0" fontId="22" fillId="0" borderId="0" xfId="4496" applyFont="1" applyAlignment="1">
      <alignment horizontal="center" vertical="center"/>
    </xf>
    <xf numFmtId="0" fontId="22" fillId="0" borderId="27" xfId="4496" applyFont="1" applyBorder="1" applyAlignment="1">
      <alignment horizontal="center" vertical="center"/>
    </xf>
    <xf numFmtId="0" fontId="22" fillId="0" borderId="46" xfId="4496" applyFont="1" applyBorder="1" applyAlignment="1">
      <alignment horizontal="center" vertical="center"/>
    </xf>
    <xf numFmtId="0" fontId="19" fillId="0" borderId="0" xfId="4496" applyFont="1" applyAlignment="1">
      <alignment horizontal="right"/>
    </xf>
    <xf numFmtId="0" fontId="30" fillId="0" borderId="0" xfId="4496" applyFont="1" applyAlignment="1">
      <alignment horizontal="left" vertical="center"/>
    </xf>
    <xf numFmtId="0" fontId="12" fillId="0" borderId="0" xfId="1193" quotePrefix="1" applyAlignment="1">
      <alignment horizontal="center"/>
    </xf>
    <xf numFmtId="0" fontId="37" fillId="0" borderId="0" xfId="4496" applyFont="1" applyAlignment="1">
      <alignment horizontal="left" vertical="center"/>
    </xf>
    <xf numFmtId="49" fontId="20" fillId="0" borderId="0" xfId="4496" applyNumberFormat="1" applyFont="1" applyAlignment="1">
      <alignment horizontal="left" vertical="top"/>
    </xf>
    <xf numFmtId="0" fontId="12" fillId="0" borderId="47" xfId="4496" applyFont="1" applyBorder="1" applyAlignment="1">
      <alignment horizontal="left" vertical="center"/>
    </xf>
    <xf numFmtId="0" fontId="22" fillId="0" borderId="48" xfId="4496" applyFont="1" applyBorder="1" applyAlignment="1">
      <alignment horizontal="center" vertical="center"/>
    </xf>
    <xf numFmtId="0" fontId="20" fillId="0" borderId="0" xfId="4496" applyFont="1"/>
    <xf numFmtId="0" fontId="20" fillId="0" borderId="0" xfId="4496" applyFont="1" applyAlignment="1">
      <alignment horizontal="left" vertical="top"/>
    </xf>
    <xf numFmtId="0" fontId="109" fillId="0" borderId="53" xfId="4497" applyFont="1" applyBorder="1" applyAlignment="1">
      <alignment horizontal="left" vertical="top"/>
    </xf>
    <xf numFmtId="0" fontId="108" fillId="0" borderId="0" xfId="4497" applyFont="1" applyAlignment="1">
      <alignment horizontal="left" vertical="top" wrapText="1"/>
    </xf>
    <xf numFmtId="0" fontId="108" fillId="0" borderId="54" xfId="4497" applyFont="1" applyBorder="1" applyAlignment="1">
      <alignment horizontal="left" vertical="top" wrapText="1"/>
    </xf>
    <xf numFmtId="0" fontId="12" fillId="0" borderId="0" xfId="4496" applyFont="1" applyAlignment="1">
      <alignment horizontal="left" vertical="center"/>
    </xf>
    <xf numFmtId="0" fontId="110" fillId="0" borderId="0" xfId="4497" applyFont="1" applyAlignment="1">
      <alignment vertical="center"/>
    </xf>
    <xf numFmtId="0" fontId="108" fillId="0" borderId="0" xfId="4497" applyFont="1"/>
    <xf numFmtId="0" fontId="108" fillId="0" borderId="0" xfId="4497" applyFont="1" applyAlignment="1">
      <alignment vertical="center"/>
    </xf>
    <xf numFmtId="0" fontId="111" fillId="0" borderId="0" xfId="4497" applyFont="1" applyAlignment="1">
      <alignment vertical="center"/>
    </xf>
    <xf numFmtId="0" fontId="12" fillId="0" borderId="0" xfId="4497" applyFont="1" applyAlignment="1">
      <alignment vertical="center"/>
    </xf>
    <xf numFmtId="0" fontId="20" fillId="0" borderId="3" xfId="4496" applyFont="1" applyBorder="1" applyAlignment="1">
      <alignment vertical="top" wrapText="1"/>
    </xf>
    <xf numFmtId="0" fontId="20" fillId="0" borderId="4" xfId="4496" applyFont="1" applyBorder="1" applyAlignment="1">
      <alignment vertical="top" wrapText="1"/>
    </xf>
    <xf numFmtId="164" fontId="106" fillId="0" borderId="4" xfId="4496" applyNumberFormat="1" applyBorder="1" applyAlignment="1">
      <alignment horizontal="right"/>
    </xf>
    <xf numFmtId="0" fontId="20" fillId="0" borderId="4" xfId="4496" applyFont="1" applyBorder="1"/>
    <xf numFmtId="0" fontId="19" fillId="0" borderId="5" xfId="4496" applyFont="1" applyBorder="1" applyAlignment="1">
      <alignment horizontal="right"/>
    </xf>
    <xf numFmtId="0" fontId="12" fillId="0" borderId="16" xfId="4496" applyFont="1" applyBorder="1"/>
    <xf numFmtId="0" fontId="12" fillId="0" borderId="16" xfId="4496" applyFont="1" applyBorder="1" applyAlignment="1">
      <alignment horizontal="left" vertical="top"/>
    </xf>
    <xf numFmtId="0" fontId="20" fillId="0" borderId="16" xfId="4496" applyFont="1" applyBorder="1" applyAlignment="1">
      <alignment horizontal="left" vertical="top" wrapText="1"/>
    </xf>
    <xf numFmtId="0" fontId="20" fillId="0" borderId="45" xfId="4496" applyFont="1" applyBorder="1" applyAlignment="1">
      <alignment horizontal="left" vertical="top" wrapText="1"/>
    </xf>
    <xf numFmtId="0" fontId="106" fillId="0" borderId="0" xfId="4496"/>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Alignment="1">
      <alignment horizontal="left" vertical="top" wrapText="1"/>
    </xf>
    <xf numFmtId="0" fontId="20" fillId="0" borderId="0" xfId="4496" applyFont="1" applyAlignment="1">
      <alignment horizontal="right" vertical="top"/>
    </xf>
    <xf numFmtId="0" fontId="12" fillId="0" borderId="0" xfId="4496" applyFont="1" applyAlignment="1">
      <alignment vertical="center" wrapText="1"/>
    </xf>
    <xf numFmtId="0" fontId="108" fillId="0" borderId="53" xfId="4497" applyFont="1" applyBorder="1" applyAlignment="1">
      <alignment vertical="top" wrapText="1"/>
    </xf>
    <xf numFmtId="0" fontId="108" fillId="0" borderId="0" xfId="4497" applyFont="1" applyAlignment="1">
      <alignment vertical="top" wrapText="1"/>
    </xf>
    <xf numFmtId="10" fontId="108" fillId="0" borderId="0" xfId="4497" applyNumberFormat="1" applyFont="1" applyAlignment="1">
      <alignment vertical="top" wrapText="1"/>
    </xf>
    <xf numFmtId="0" fontId="108" fillId="0" borderId="54" xfId="4497" applyFont="1" applyBorder="1" applyAlignment="1">
      <alignment vertical="top" wrapText="1"/>
    </xf>
    <xf numFmtId="0" fontId="108" fillId="0" borderId="0" xfId="4497" applyFont="1" applyAlignment="1">
      <alignment vertical="top"/>
    </xf>
    <xf numFmtId="165" fontId="108" fillId="0" borderId="0" xfId="4497" applyNumberFormat="1" applyFont="1" applyAlignment="1">
      <alignment vertical="top" wrapText="1"/>
    </xf>
    <xf numFmtId="0" fontId="19" fillId="0" borderId="57" xfId="4496" applyFont="1" applyBorder="1"/>
    <xf numFmtId="0" fontId="19" fillId="0" borderId="58" xfId="4496" applyFont="1" applyBorder="1"/>
    <xf numFmtId="0" fontId="19" fillId="0" borderId="58" xfId="4496" applyFont="1" applyBorder="1" applyAlignment="1">
      <alignment horizontal="right"/>
    </xf>
    <xf numFmtId="0" fontId="19" fillId="0" borderId="59" xfId="4496" applyFont="1" applyBorder="1" applyAlignment="1">
      <alignment horizontal="right"/>
    </xf>
    <xf numFmtId="0" fontId="108" fillId="0" borderId="53" xfId="4497" applyFont="1" applyBorder="1" applyAlignment="1">
      <alignment horizontal="left" vertical="top" wrapText="1"/>
    </xf>
    <xf numFmtId="0" fontId="108" fillId="0" borderId="0" xfId="4497" applyFont="1" applyAlignment="1">
      <alignment horizontal="left" vertical="top"/>
    </xf>
    <xf numFmtId="0" fontId="22" fillId="0" borderId="57" xfId="4496" applyFont="1" applyBorder="1" applyAlignment="1">
      <alignment horizontal="center" vertical="center"/>
    </xf>
    <xf numFmtId="0" fontId="22" fillId="0" borderId="58" xfId="4496" applyFont="1" applyBorder="1" applyAlignment="1">
      <alignment horizontal="center" vertical="center"/>
    </xf>
    <xf numFmtId="0" fontId="22" fillId="0" borderId="59" xfId="4496" applyFont="1" applyBorder="1" applyAlignment="1">
      <alignment horizontal="center" vertical="center"/>
    </xf>
    <xf numFmtId="0" fontId="19" fillId="0" borderId="0" xfId="4496" applyFont="1" applyAlignment="1">
      <alignment horizontal="center"/>
    </xf>
    <xf numFmtId="0" fontId="19" fillId="0" borderId="8" xfId="4496" applyFont="1" applyBorder="1"/>
    <xf numFmtId="0" fontId="20" fillId="0" borderId="0" xfId="4496" applyFont="1" applyAlignment="1">
      <alignment horizontal="left"/>
    </xf>
    <xf numFmtId="0" fontId="19" fillId="0" borderId="0" xfId="4496" applyFont="1" applyAlignment="1">
      <alignment horizontal="center" vertical="top"/>
    </xf>
    <xf numFmtId="0" fontId="12" fillId="0" borderId="0" xfId="4496" applyFont="1" applyAlignment="1">
      <alignment horizontal="center"/>
    </xf>
    <xf numFmtId="0" fontId="28" fillId="0" borderId="0" xfId="4496" applyFont="1"/>
    <xf numFmtId="0" fontId="20" fillId="0" borderId="8" xfId="4496" applyFont="1" applyBorder="1"/>
    <xf numFmtId="0" fontId="42" fillId="0" borderId="8" xfId="4496" applyFont="1" applyBorder="1"/>
    <xf numFmtId="1" fontId="12" fillId="0" borderId="0" xfId="1193" applyNumberFormat="1"/>
    <xf numFmtId="0" fontId="12" fillId="0" borderId="3" xfId="4496" applyFont="1" applyBorder="1"/>
    <xf numFmtId="0" fontId="12" fillId="0" borderId="4" xfId="4496" applyFont="1" applyBorder="1"/>
    <xf numFmtId="0" fontId="12" fillId="0" borderId="0" xfId="1193" applyAlignment="1">
      <alignment wrapText="1"/>
    </xf>
    <xf numFmtId="0" fontId="20" fillId="0" borderId="0" xfId="4496" applyFont="1" applyAlignment="1">
      <alignment vertical="top" wrapText="1"/>
    </xf>
    <xf numFmtId="0" fontId="20" fillId="0" borderId="0" xfId="1193" applyFont="1"/>
    <xf numFmtId="0" fontId="12" fillId="0" borderId="0" xfId="4496" applyFont="1" applyAlignment="1">
      <alignment horizontal="left"/>
    </xf>
    <xf numFmtId="0" fontId="20" fillId="0" borderId="3" xfId="4496" applyFont="1" applyBorder="1"/>
    <xf numFmtId="0" fontId="12" fillId="0" borderId="4" xfId="4496" applyFont="1" applyBorder="1" applyAlignment="1">
      <alignment horizontal="right"/>
    </xf>
    <xf numFmtId="1" fontId="12" fillId="0" borderId="0" xfId="4496" applyNumberFormat="1" applyFont="1" applyAlignment="1">
      <alignment horizontal="center"/>
    </xf>
    <xf numFmtId="0" fontId="42" fillId="0" borderId="0" xfId="4496" applyFont="1"/>
    <xf numFmtId="0" fontId="12" fillId="0" borderId="0" xfId="4496" applyFont="1" applyAlignment="1">
      <alignment horizontal="right"/>
    </xf>
    <xf numFmtId="0" fontId="20" fillId="0" borderId="0" xfId="4496" applyFont="1" applyAlignment="1">
      <alignment vertical="top"/>
    </xf>
    <xf numFmtId="0" fontId="20" fillId="0" borderId="27" xfId="4496" applyFont="1" applyBorder="1"/>
    <xf numFmtId="0" fontId="19" fillId="0" borderId="0" xfId="4496" applyFont="1" applyAlignment="1">
      <alignment vertical="top"/>
    </xf>
    <xf numFmtId="0" fontId="30" fillId="0" borderId="0" xfId="4496" applyFont="1" applyAlignment="1">
      <alignment vertical="top" wrapText="1"/>
    </xf>
    <xf numFmtId="0" fontId="19" fillId="0" borderId="0" xfId="4496" applyFont="1" applyAlignment="1">
      <alignment horizontal="left" vertical="top" wrapText="1"/>
    </xf>
    <xf numFmtId="0" fontId="12" fillId="0" borderId="0" xfId="4496" applyFont="1" applyAlignment="1">
      <alignment horizontal="left" vertical="top"/>
    </xf>
    <xf numFmtId="0" fontId="30" fillId="0" borderId="0" xfId="4496" applyFont="1" applyAlignment="1">
      <alignment vertical="top"/>
    </xf>
    <xf numFmtId="0" fontId="12" fillId="0" borderId="10" xfId="4496" applyFont="1" applyBorder="1" applyAlignment="1">
      <alignment horizontal="center"/>
    </xf>
    <xf numFmtId="0" fontId="12" fillId="0" borderId="16" xfId="4496" applyFont="1" applyBorder="1" applyAlignment="1">
      <alignment horizontal="center"/>
    </xf>
    <xf numFmtId="0" fontId="28" fillId="0" borderId="16" xfId="4496" applyFont="1" applyBorder="1"/>
    <xf numFmtId="0" fontId="20" fillId="0" borderId="16" xfId="4496" applyFont="1" applyBorder="1"/>
    <xf numFmtId="0" fontId="12" fillId="0" borderId="0" xfId="4497" applyFont="1" applyAlignment="1">
      <alignment vertical="top" wrapText="1"/>
    </xf>
    <xf numFmtId="0" fontId="19" fillId="0" borderId="0" xfId="1193" applyFont="1" applyAlignment="1">
      <alignment horizontal="right"/>
    </xf>
    <xf numFmtId="0" fontId="12" fillId="0" borderId="0" xfId="4497" applyFont="1"/>
    <xf numFmtId="0" fontId="12" fillId="0" borderId="0" xfId="4497" applyFont="1" applyAlignment="1">
      <alignment horizontal="left"/>
    </xf>
    <xf numFmtId="0" fontId="12" fillId="0" borderId="0" xfId="4497" applyFont="1" applyAlignment="1">
      <alignment horizontal="right"/>
    </xf>
    <xf numFmtId="0" fontId="20" fillId="0" borderId="0" xfId="4497" applyFont="1" applyAlignment="1">
      <alignment vertical="top" wrapText="1"/>
    </xf>
    <xf numFmtId="0" fontId="12" fillId="0" borderId="4" xfId="4497" applyFont="1" applyBorder="1"/>
    <xf numFmtId="0" fontId="19" fillId="0" borderId="4" xfId="4497" applyFont="1" applyBorder="1" applyAlignment="1">
      <alignment horizontal="right"/>
    </xf>
    <xf numFmtId="0" fontId="20" fillId="0" borderId="27" xfId="4496" applyFont="1" applyBorder="1" applyAlignment="1">
      <alignment horizontal="left" vertical="top"/>
    </xf>
    <xf numFmtId="0" fontId="12" fillId="0" borderId="27" xfId="4496" applyFont="1" applyBorder="1" applyAlignment="1">
      <alignment horizontal="left" vertical="top"/>
    </xf>
    <xf numFmtId="0" fontId="19" fillId="0" borderId="27" xfId="4496" applyFont="1" applyBorder="1" applyAlignment="1">
      <alignment horizontal="right"/>
    </xf>
    <xf numFmtId="0" fontId="12" fillId="0" borderId="27" xfId="4496" applyFont="1" applyBorder="1" applyAlignment="1">
      <alignment horizontal="center"/>
    </xf>
    <xf numFmtId="0" fontId="12" fillId="0" borderId="46" xfId="4496" applyFont="1" applyBorder="1" applyAlignment="1">
      <alignment horizontal="center"/>
    </xf>
    <xf numFmtId="164" fontId="20" fillId="0" borderId="0" xfId="4496" applyNumberFormat="1" applyFont="1" applyAlignment="1">
      <alignment horizontal="left" vertical="top" wrapText="1"/>
    </xf>
    <xf numFmtId="0" fontId="23" fillId="0" borderId="0" xfId="4496" applyFont="1"/>
    <xf numFmtId="0" fontId="20" fillId="0" borderId="0" xfId="4496" applyFont="1" applyAlignment="1">
      <alignment horizontal="right"/>
    </xf>
    <xf numFmtId="0" fontId="12" fillId="0" borderId="27" xfId="543" applyBorder="1"/>
    <xf numFmtId="0" fontId="12" fillId="0" borderId="46" xfId="543" applyBorder="1"/>
    <xf numFmtId="0" fontId="19" fillId="0" borderId="0" xfId="4496" applyFont="1" applyAlignment="1">
      <alignment horizontal="left" vertical="top"/>
    </xf>
    <xf numFmtId="1" fontId="106" fillId="0" borderId="0" xfId="4496" applyNumberFormat="1"/>
    <xf numFmtId="0" fontId="12" fillId="0" borderId="0" xfId="4496" applyFont="1" applyAlignment="1">
      <alignment vertical="top" wrapText="1"/>
    </xf>
    <xf numFmtId="0" fontId="12" fillId="0" borderId="0" xfId="4496" applyFont="1" applyAlignment="1">
      <alignment horizontal="left" vertical="top" wrapText="1"/>
    </xf>
    <xf numFmtId="0" fontId="12" fillId="0" borderId="50" xfId="4496" applyFont="1" applyBorder="1" applyAlignment="1">
      <alignment vertical="top"/>
    </xf>
    <xf numFmtId="0" fontId="12" fillId="0" borderId="51" xfId="4496" applyFont="1" applyBorder="1" applyAlignment="1">
      <alignment vertical="top"/>
    </xf>
    <xf numFmtId="0" fontId="12" fillId="0" borderId="52" xfId="4496" applyFont="1" applyBorder="1" applyAlignment="1">
      <alignment vertical="top"/>
    </xf>
    <xf numFmtId="1" fontId="20" fillId="0" borderId="8" xfId="4496" applyNumberFormat="1" applyFont="1" applyBorder="1"/>
    <xf numFmtId="0" fontId="12" fillId="0" borderId="0" xfId="543" applyAlignment="1">
      <alignment vertical="top"/>
    </xf>
    <xf numFmtId="0" fontId="20" fillId="0" borderId="51" xfId="4496" applyFont="1" applyBorder="1" applyAlignment="1">
      <alignment horizontal="left" vertical="top"/>
    </xf>
    <xf numFmtId="0" fontId="20" fillId="0" borderId="52" xfId="4496" applyFont="1" applyBorder="1" applyAlignment="1">
      <alignment horizontal="left" vertical="top"/>
    </xf>
    <xf numFmtId="0" fontId="106" fillId="0" borderId="0" xfId="4496" applyAlignment="1" applyProtection="1">
      <alignment horizontal="center"/>
      <protection locked="0"/>
    </xf>
    <xf numFmtId="0" fontId="12" fillId="0" borderId="53" xfId="4496" applyFont="1" applyBorder="1" applyAlignment="1">
      <alignment vertical="top"/>
    </xf>
    <xf numFmtId="0" fontId="12" fillId="0" borderId="54" xfId="4496" applyFont="1" applyBorder="1" applyAlignment="1">
      <alignment vertical="top" wrapText="1"/>
    </xf>
    <xf numFmtId="0" fontId="48" fillId="0" borderId="53" xfId="4496" applyFont="1" applyBorder="1"/>
    <xf numFmtId="0" fontId="20" fillId="0" borderId="54" xfId="4496" applyFont="1" applyBorder="1" applyAlignment="1">
      <alignment horizontal="left" vertical="top"/>
    </xf>
    <xf numFmtId="0" fontId="12" fillId="0" borderId="53" xfId="4496" applyFont="1" applyBorder="1" applyAlignment="1">
      <alignment vertical="center" wrapText="1"/>
    </xf>
    <xf numFmtId="0" fontId="48" fillId="0" borderId="57" xfId="4496" applyFont="1" applyBorder="1"/>
    <xf numFmtId="0" fontId="20" fillId="0" borderId="58" xfId="4496" applyFont="1" applyBorder="1" applyAlignment="1">
      <alignment horizontal="left" vertical="top"/>
    </xf>
    <xf numFmtId="0" fontId="20" fillId="0" borderId="12" xfId="4496" applyFont="1" applyBorder="1"/>
    <xf numFmtId="0" fontId="12" fillId="0" borderId="57" xfId="4496" applyFont="1" applyBorder="1" applyAlignment="1">
      <alignment vertical="center"/>
    </xf>
    <xf numFmtId="0" fontId="12" fillId="0" borderId="58" xfId="4496" applyFont="1" applyBorder="1" applyAlignment="1">
      <alignment vertical="top"/>
    </xf>
    <xf numFmtId="0" fontId="12" fillId="0" borderId="59" xfId="4496" applyFont="1" applyBorder="1" applyAlignment="1">
      <alignment vertical="top"/>
    </xf>
    <xf numFmtId="0" fontId="12" fillId="0" borderId="0" xfId="4496" applyFont="1" applyAlignment="1">
      <alignment vertical="top"/>
    </xf>
    <xf numFmtId="0" fontId="20" fillId="0" borderId="4" xfId="4496" applyFont="1" applyBorder="1" applyAlignment="1">
      <alignment horizontal="left" vertical="top"/>
    </xf>
    <xf numFmtId="0" fontId="12" fillId="0" borderId="4" xfId="4496" applyFont="1" applyBorder="1" applyAlignment="1">
      <alignment horizontal="left" vertical="top"/>
    </xf>
    <xf numFmtId="0" fontId="12" fillId="0" borderId="2" xfId="4496" applyFont="1" applyBorder="1"/>
    <xf numFmtId="0" fontId="20" fillId="0" borderId="2" xfId="4496" applyFont="1" applyBorder="1"/>
    <xf numFmtId="0" fontId="12" fillId="0" borderId="2" xfId="4496" applyFont="1" applyBorder="1" applyAlignment="1">
      <alignment horizontal="center"/>
    </xf>
    <xf numFmtId="0" fontId="20" fillId="0" borderId="7" xfId="4496" applyFont="1" applyBorder="1"/>
    <xf numFmtId="0" fontId="28" fillId="0" borderId="0" xfId="4496" applyFont="1" applyAlignment="1">
      <alignment horizontal="right"/>
    </xf>
    <xf numFmtId="0" fontId="112" fillId="0" borderId="0" xfId="4496" applyFont="1" applyAlignment="1">
      <alignment horizontal="left" vertical="top" wrapText="1"/>
    </xf>
    <xf numFmtId="0" fontId="28" fillId="0" borderId="0" xfId="4496" applyFont="1" applyAlignment="1">
      <alignment horizontal="left" vertical="top"/>
    </xf>
    <xf numFmtId="0" fontId="20" fillId="0" borderId="0" xfId="4496" quotePrefix="1" applyFont="1" applyAlignment="1">
      <alignment horizontal="right"/>
    </xf>
    <xf numFmtId="0" fontId="12" fillId="0" borderId="0" xfId="4498"/>
    <xf numFmtId="0" fontId="20" fillId="0" borderId="0" xfId="4496" applyFont="1" applyAlignment="1">
      <alignment horizontal="left" vertical="top" wrapText="1" shrinkToFit="1"/>
    </xf>
    <xf numFmtId="0" fontId="106" fillId="0" borderId="0" xfId="4496" applyAlignment="1">
      <alignment vertical="top" wrapText="1"/>
    </xf>
    <xf numFmtId="0" fontId="20" fillId="0" borderId="4" xfId="4496" applyFont="1" applyBorder="1" applyAlignment="1">
      <alignment horizontal="left" vertical="top" wrapText="1" shrinkToFit="1"/>
    </xf>
    <xf numFmtId="0" fontId="28" fillId="0" borderId="8" xfId="4496" applyFont="1" applyBorder="1"/>
    <xf numFmtId="0" fontId="20" fillId="0" borderId="0" xfId="4496" applyFont="1" applyAlignment="1">
      <alignment horizontal="center"/>
    </xf>
    <xf numFmtId="0" fontId="20" fillId="0" borderId="0" xfId="4496" quotePrefix="1" applyFont="1"/>
    <xf numFmtId="0" fontId="20" fillId="0" borderId="0" xfId="4496" applyFont="1" applyAlignment="1">
      <alignment horizontal="left" vertical="top" shrinkToFit="1"/>
    </xf>
    <xf numFmtId="0" fontId="37" fillId="0" borderId="0" xfId="4496" applyFont="1"/>
    <xf numFmtId="0" fontId="20" fillId="0" borderId="3" xfId="4496" applyFont="1" applyBorder="1" applyAlignment="1">
      <alignment horizontal="center"/>
    </xf>
    <xf numFmtId="0" fontId="106" fillId="0" borderId="8" xfId="4496" applyBorder="1"/>
    <xf numFmtId="0" fontId="19" fillId="0" borderId="8" xfId="4496" applyFont="1" applyBorder="1" applyAlignment="1">
      <alignment vertical="top"/>
    </xf>
    <xf numFmtId="0" fontId="106" fillId="0" borderId="0" xfId="4496" applyAlignment="1">
      <alignment vertical="top"/>
    </xf>
    <xf numFmtId="0" fontId="19" fillId="0" borderId="4" xfId="4496" applyFont="1" applyBorder="1" applyAlignment="1">
      <alignment horizontal="center" vertical="top"/>
    </xf>
    <xf numFmtId="0" fontId="112" fillId="0" borderId="0" xfId="4496" applyFont="1" applyAlignment="1">
      <alignment horizontal="left" vertical="top"/>
    </xf>
    <xf numFmtId="0" fontId="112" fillId="0" borderId="4" xfId="4496" applyFont="1" applyBorder="1" applyAlignment="1">
      <alignment horizontal="left" vertical="top"/>
    </xf>
    <xf numFmtId="168" fontId="12" fillId="0" borderId="0" xfId="4498" applyNumberFormat="1"/>
    <xf numFmtId="1" fontId="20" fillId="0" borderId="0" xfId="4496" applyNumberFormat="1" applyFont="1" applyAlignment="1">
      <alignment horizontal="center" vertical="top"/>
    </xf>
    <xf numFmtId="0" fontId="116" fillId="0" borderId="0" xfId="4496" applyFont="1" applyAlignment="1">
      <alignment vertical="top" wrapText="1"/>
    </xf>
    <xf numFmtId="0" fontId="116" fillId="0" borderId="0" xfId="4496" applyFont="1" applyAlignment="1">
      <alignment horizontal="left" vertical="top" wrapText="1"/>
    </xf>
    <xf numFmtId="0" fontId="20" fillId="0" borderId="6" xfId="4496" applyFont="1" applyBorder="1"/>
    <xf numFmtId="1" fontId="20" fillId="0" borderId="8" xfId="4496" applyNumberFormat="1" applyFont="1" applyBorder="1" applyAlignment="1">
      <alignment horizontal="center" vertical="top"/>
    </xf>
    <xf numFmtId="0" fontId="106" fillId="0" borderId="12" xfId="4496" applyBorder="1"/>
    <xf numFmtId="0" fontId="20" fillId="0" borderId="9" xfId="4496" applyFont="1" applyBorder="1"/>
    <xf numFmtId="0" fontId="106" fillId="0" borderId="10" xfId="4496" applyBorder="1"/>
    <xf numFmtId="0" fontId="28" fillId="0" borderId="3" xfId="4496" applyFont="1" applyBorder="1"/>
    <xf numFmtId="0" fontId="19" fillId="0" borderId="4" xfId="4496" applyFont="1" applyBorder="1"/>
    <xf numFmtId="0" fontId="106" fillId="0" borderId="12" xfId="4496" applyBorder="1" applyAlignment="1">
      <alignment vertical="top"/>
    </xf>
    <xf numFmtId="0" fontId="28" fillId="0" borderId="1" xfId="4496" applyFont="1" applyBorder="1"/>
    <xf numFmtId="0" fontId="116" fillId="0" borderId="2" xfId="4496" applyFont="1" applyBorder="1" applyAlignment="1">
      <alignment horizontal="left" wrapText="1"/>
    </xf>
    <xf numFmtId="0" fontId="116" fillId="0" borderId="2" xfId="4496" applyFont="1" applyBorder="1" applyAlignment="1">
      <alignment horizontal="left"/>
    </xf>
    <xf numFmtId="0" fontId="116" fillId="0" borderId="7" xfId="4496" applyFont="1" applyBorder="1" applyAlignment="1">
      <alignment horizontal="left" wrapText="1"/>
    </xf>
    <xf numFmtId="0" fontId="116" fillId="0" borderId="0" xfId="4496" applyFont="1" applyAlignment="1">
      <alignment horizontal="left" wrapText="1"/>
    </xf>
    <xf numFmtId="0" fontId="28" fillId="0" borderId="9" xfId="4496" applyFont="1" applyBorder="1"/>
    <xf numFmtId="0" fontId="20" fillId="0" borderId="10" xfId="4496" applyFont="1" applyBorder="1"/>
    <xf numFmtId="0" fontId="116" fillId="0" borderId="0" xfId="4496" applyFont="1" applyAlignment="1">
      <alignment wrapText="1"/>
    </xf>
    <xf numFmtId="0" fontId="28" fillId="0" borderId="9" xfId="4496" applyFont="1" applyBorder="1" applyAlignment="1">
      <alignment horizontal="center"/>
    </xf>
    <xf numFmtId="0" fontId="19" fillId="0" borderId="10" xfId="4496" applyFont="1" applyBorder="1"/>
    <xf numFmtId="0" fontId="30" fillId="0" borderId="0" xfId="4496" applyFont="1"/>
    <xf numFmtId="0" fontId="20" fillId="0" borderId="50" xfId="4496" applyFont="1" applyBorder="1"/>
    <xf numFmtId="0" fontId="20" fillId="0" borderId="51" xfId="4496" applyFont="1" applyBorder="1"/>
    <xf numFmtId="1" fontId="20" fillId="0" borderId="51" xfId="4496" quotePrefix="1" applyNumberFormat="1" applyFont="1" applyBorder="1" applyAlignment="1">
      <alignment horizontal="center" vertical="top"/>
    </xf>
    <xf numFmtId="0" fontId="19" fillId="0" borderId="51" xfId="4496" applyFont="1" applyBorder="1"/>
    <xf numFmtId="0" fontId="19" fillId="0" borderId="52" xfId="4496" applyFont="1" applyBorder="1" applyAlignment="1">
      <alignment horizontal="center"/>
    </xf>
    <xf numFmtId="0" fontId="12" fillId="0" borderId="53" xfId="4496" applyFont="1" applyBorder="1"/>
    <xf numFmtId="1" fontId="20" fillId="0" borderId="0" xfId="4496" quotePrefix="1" applyNumberFormat="1" applyFont="1" applyAlignment="1">
      <alignment horizontal="center" vertical="top"/>
    </xf>
    <xf numFmtId="0" fontId="19" fillId="0" borderId="54" xfId="4496" applyFont="1" applyBorder="1" applyAlignment="1">
      <alignment horizontal="center"/>
    </xf>
    <xf numFmtId="0" fontId="28" fillId="0" borderId="0" xfId="4496" applyFont="1" applyAlignment="1">
      <alignment vertical="top"/>
    </xf>
    <xf numFmtId="0" fontId="20" fillId="0" borderId="61" xfId="4496" applyFont="1" applyBorder="1"/>
    <xf numFmtId="0" fontId="106" fillId="0" borderId="58" xfId="4496" applyBorder="1" applyAlignment="1">
      <alignment horizontal="center"/>
    </xf>
    <xf numFmtId="1" fontId="20" fillId="0" borderId="58" xfId="4496" quotePrefix="1" applyNumberFormat="1" applyFont="1" applyBorder="1" applyAlignment="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xf numFmtId="0" fontId="19" fillId="0" borderId="58" xfId="4496" applyFont="1" applyBorder="1" applyAlignment="1">
      <alignment horizontal="center"/>
    </xf>
    <xf numFmtId="0" fontId="106" fillId="0" borderId="61" xfId="4496" applyBorder="1"/>
    <xf numFmtId="0" fontId="106" fillId="0" borderId="0" xfId="4496" applyAlignment="1">
      <alignment horizontal="center"/>
    </xf>
    <xf numFmtId="0" fontId="12" fillId="0" borderId="53" xfId="543" applyBorder="1"/>
    <xf numFmtId="0" fontId="20" fillId="0" borderId="54" xfId="4496" applyFont="1" applyBorder="1"/>
    <xf numFmtId="0" fontId="12" fillId="0" borderId="58" xfId="543" applyBorder="1"/>
    <xf numFmtId="1" fontId="20" fillId="0" borderId="58" xfId="4496" applyNumberFormat="1" applyFont="1" applyBorder="1" applyAlignment="1">
      <alignment horizontal="center" vertical="top"/>
    </xf>
    <xf numFmtId="0" fontId="28" fillId="0" borderId="58" xfId="4496" applyFont="1" applyBorder="1" applyAlignment="1">
      <alignment vertical="center"/>
    </xf>
    <xf numFmtId="0" fontId="106" fillId="0" borderId="58" xfId="4496" applyBorder="1" applyAlignment="1">
      <alignment vertical="top" wrapText="1"/>
    </xf>
    <xf numFmtId="0" fontId="12" fillId="0" borderId="58" xfId="4496" applyFont="1" applyBorder="1"/>
    <xf numFmtId="0" fontId="28" fillId="0" borderId="0" xfId="4496" applyFont="1" applyAlignment="1">
      <alignment vertical="center"/>
    </xf>
    <xf numFmtId="0" fontId="20" fillId="0" borderId="53" xfId="4496" applyFont="1" applyBorder="1"/>
    <xf numFmtId="0" fontId="12" fillId="0" borderId="57" xfId="543" applyBorder="1"/>
    <xf numFmtId="0" fontId="20" fillId="0" borderId="58" xfId="4496" applyFont="1" applyBorder="1" applyAlignment="1">
      <alignment vertical="top"/>
    </xf>
    <xf numFmtId="0" fontId="20" fillId="0" borderId="59" xfId="4496" applyFont="1" applyBorder="1"/>
    <xf numFmtId="0" fontId="20" fillId="0" borderId="57" xfId="4496" applyFont="1" applyBorder="1"/>
    <xf numFmtId="0" fontId="12" fillId="0" borderId="51" xfId="4496" applyFont="1" applyBorder="1"/>
    <xf numFmtId="0" fontId="20" fillId="0" borderId="52" xfId="4496" applyFont="1" applyBorder="1"/>
    <xf numFmtId="0" fontId="12" fillId="0" borderId="50" xfId="543" applyBorder="1"/>
    <xf numFmtId="0" fontId="12" fillId="0" borderId="51" xfId="543" applyBorder="1"/>
    <xf numFmtId="0" fontId="12" fillId="0" borderId="52" xfId="543" applyBorder="1"/>
    <xf numFmtId="0" fontId="20" fillId="0" borderId="62" xfId="4496" applyFont="1" applyBorder="1"/>
    <xf numFmtId="0" fontId="20" fillId="0" borderId="0" xfId="4496" applyFont="1" applyAlignment="1">
      <alignment wrapText="1"/>
    </xf>
    <xf numFmtId="0" fontId="19" fillId="0" borderId="54" xfId="4496" applyFont="1" applyBorder="1" applyAlignment="1">
      <alignment horizontal="center" vertical="top"/>
    </xf>
    <xf numFmtId="0" fontId="106" fillId="0" borderId="53" xfId="4496" applyBorder="1" applyAlignment="1">
      <alignment horizontal="center"/>
    </xf>
    <xf numFmtId="2" fontId="20" fillId="0" borderId="0" xfId="4496" applyNumberFormat="1" applyFont="1" applyAlignment="1">
      <alignment horizontal="right"/>
    </xf>
    <xf numFmtId="2" fontId="20" fillId="0" borderId="8" xfId="4496" applyNumberFormat="1" applyFont="1" applyBorder="1" applyAlignment="1">
      <alignment horizontal="left"/>
    </xf>
    <xf numFmtId="0" fontId="20" fillId="0" borderId="8" xfId="4496" applyFont="1" applyBorder="1" applyAlignment="1">
      <alignment horizontal="right"/>
    </xf>
    <xf numFmtId="0" fontId="115" fillId="0" borderId="0" xfId="4496" applyFont="1"/>
    <xf numFmtId="0" fontId="106" fillId="0" borderId="57" xfId="4496" applyBorder="1" applyAlignment="1">
      <alignment horizontal="center"/>
    </xf>
    <xf numFmtId="0" fontId="19" fillId="0" borderId="59" xfId="4496" applyFont="1" applyBorder="1" applyAlignment="1">
      <alignment horizontal="center"/>
    </xf>
    <xf numFmtId="9" fontId="20" fillId="0" borderId="0" xfId="4496" applyNumberFormat="1" applyFont="1" applyAlignment="1">
      <alignment horizontal="left"/>
    </xf>
    <xf numFmtId="0" fontId="12" fillId="0" borderId="17" xfId="543" applyBorder="1"/>
    <xf numFmtId="0" fontId="12" fillId="0" borderId="16" xfId="543" applyBorder="1"/>
    <xf numFmtId="0" fontId="12" fillId="0" borderId="51" xfId="4496" quotePrefix="1" applyFont="1" applyBorder="1" applyAlignment="1">
      <alignment horizontal="center" vertical="top"/>
    </xf>
    <xf numFmtId="0" fontId="20" fillId="0" borderId="53" xfId="4496" applyFont="1" applyBorder="1" applyAlignment="1">
      <alignment horizontal="left" vertical="top"/>
    </xf>
    <xf numFmtId="0" fontId="20" fillId="0" borderId="0" xfId="4496" applyFont="1" applyAlignment="1">
      <alignment horizontal="center" vertical="top"/>
    </xf>
    <xf numFmtId="0" fontId="20" fillId="0" borderId="57" xfId="4496" applyFont="1" applyBorder="1" applyAlignment="1">
      <alignment horizontal="left" vertical="top"/>
    </xf>
    <xf numFmtId="0" fontId="20" fillId="0" borderId="58" xfId="4496" applyFont="1" applyBorder="1" applyAlignment="1">
      <alignment horizontal="center" vertical="top"/>
    </xf>
    <xf numFmtId="0" fontId="106" fillId="0" borderId="58" xfId="4496" applyBorder="1"/>
    <xf numFmtId="0" fontId="19" fillId="0" borderId="58" xfId="4496" applyFont="1" applyBorder="1" applyAlignment="1">
      <alignment vertical="top"/>
    </xf>
    <xf numFmtId="0" fontId="19" fillId="0" borderId="58" xfId="4496" applyFont="1" applyBorder="1" applyAlignment="1">
      <alignment horizontal="left" vertical="top"/>
    </xf>
    <xf numFmtId="0" fontId="19" fillId="0" borderId="51" xfId="4496" applyFont="1" applyBorder="1" applyAlignment="1">
      <alignment horizontal="left" vertical="top"/>
    </xf>
    <xf numFmtId="0" fontId="19" fillId="0" borderId="53" xfId="4496" applyFont="1" applyBorder="1" applyAlignment="1">
      <alignment horizontal="left" vertical="top"/>
    </xf>
    <xf numFmtId="0" fontId="42" fillId="0" borderId="0" xfId="4496" applyFont="1" applyAlignment="1">
      <alignment horizontal="left" vertical="top"/>
    </xf>
    <xf numFmtId="0" fontId="20" fillId="0" borderId="0" xfId="4496" quotePrefix="1" applyFont="1" applyAlignment="1">
      <alignment horizontal="center" vertical="top"/>
    </xf>
    <xf numFmtId="0" fontId="43" fillId="0" borderId="0" xfId="4496" applyFont="1" applyAlignment="1">
      <alignment horizontal="center"/>
    </xf>
    <xf numFmtId="0" fontId="43" fillId="0" borderId="0" xfId="4496" applyFont="1" applyAlignment="1">
      <alignment vertical="top"/>
    </xf>
    <xf numFmtId="0" fontId="93" fillId="0" borderId="0" xfId="4496" applyFont="1"/>
    <xf numFmtId="0" fontId="42" fillId="0" borderId="0" xfId="4496" applyFont="1" applyAlignment="1">
      <alignment vertical="top"/>
    </xf>
    <xf numFmtId="0" fontId="28" fillId="0" borderId="53" xfId="4496" applyFont="1" applyBorder="1"/>
    <xf numFmtId="2" fontId="20" fillId="0" borderId="8" xfId="4496" applyNumberFormat="1" applyFont="1" applyBorder="1" applyAlignment="1">
      <alignment horizontal="right"/>
    </xf>
    <xf numFmtId="0" fontId="19" fillId="0" borderId="50" xfId="4496" applyFont="1" applyBorder="1" applyAlignment="1">
      <alignment horizontal="left" vertical="top"/>
    </xf>
    <xf numFmtId="0" fontId="42" fillId="0" borderId="51" xfId="4496" applyFont="1" applyBorder="1" applyAlignment="1">
      <alignment horizontal="left" vertical="top"/>
    </xf>
    <xf numFmtId="0" fontId="106" fillId="0" borderId="53" xfId="4496" applyBorder="1"/>
    <xf numFmtId="0" fontId="93" fillId="0" borderId="0" xfId="4496" applyFont="1" applyAlignment="1">
      <alignment horizontal="left" vertical="top"/>
    </xf>
    <xf numFmtId="1" fontId="19" fillId="0" borderId="58" xfId="4496"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6" applyFont="1" applyAlignment="1">
      <alignment wrapText="1"/>
    </xf>
    <xf numFmtId="0" fontId="28" fillId="0" borderId="0" xfId="4496" applyFont="1" applyAlignment="1">
      <alignment horizontal="center"/>
    </xf>
    <xf numFmtId="0" fontId="28" fillId="0" borderId="0" xfId="4496" applyFont="1" applyAlignment="1">
      <alignment vertical="center" wrapText="1"/>
    </xf>
    <xf numFmtId="180" fontId="20" fillId="0" borderId="0" xfId="4496" applyNumberFormat="1" applyFont="1" applyAlignment="1">
      <alignment horizontal="center"/>
    </xf>
    <xf numFmtId="1" fontId="20" fillId="0" borderId="0" xfId="4496" applyNumberFormat="1" applyFont="1" applyAlignment="1">
      <alignment horizontal="center"/>
    </xf>
    <xf numFmtId="0" fontId="19" fillId="0" borderId="51" xfId="4496" applyFont="1" applyBorder="1" applyAlignment="1">
      <alignment horizontal="center"/>
    </xf>
    <xf numFmtId="0" fontId="19" fillId="0" borderId="51" xfId="4496" applyFont="1" applyBorder="1" applyAlignment="1">
      <alignment vertical="top"/>
    </xf>
    <xf numFmtId="0" fontId="19" fillId="0" borderId="53" xfId="4496" applyFont="1" applyBorder="1"/>
    <xf numFmtId="0" fontId="12" fillId="0" borderId="54" xfId="543" applyBorder="1"/>
    <xf numFmtId="49" fontId="20" fillId="0" borderId="0" xfId="4496" applyNumberFormat="1" applyFont="1" applyAlignment="1">
      <alignment horizontal="left" vertical="center" wrapText="1"/>
    </xf>
    <xf numFmtId="0" fontId="12" fillId="0" borderId="57" xfId="4496" applyFont="1" applyBorder="1"/>
    <xf numFmtId="1" fontId="12" fillId="0" borderId="0" xfId="4496" applyNumberFormat="1" applyFont="1" applyAlignment="1">
      <alignment vertical="center"/>
    </xf>
    <xf numFmtId="0" fontId="30" fillId="0" borderId="50" xfId="4496" applyFont="1" applyBorder="1"/>
    <xf numFmtId="0" fontId="20" fillId="0" borderId="51" xfId="4496" applyFont="1" applyBorder="1" applyAlignment="1">
      <alignment horizontal="center" vertical="top"/>
    </xf>
    <xf numFmtId="0" fontId="20" fillId="0" borderId="51" xfId="4496" applyFont="1" applyBorder="1" applyAlignment="1">
      <alignment vertical="top" wrapText="1"/>
    </xf>
    <xf numFmtId="0" fontId="20" fillId="0" borderId="51" xfId="4496" applyFont="1" applyBorder="1" applyAlignment="1">
      <alignment horizontal="left" vertical="top" wrapText="1"/>
    </xf>
    <xf numFmtId="0" fontId="12" fillId="0" borderId="0" xfId="4496" quotePrefix="1" applyFont="1" applyAlignment="1">
      <alignment horizontal="center" vertical="top"/>
    </xf>
    <xf numFmtId="1" fontId="20" fillId="0" borderId="0" xfId="4496" quotePrefix="1" applyNumberFormat="1" applyFont="1" applyAlignment="1">
      <alignment wrapText="1"/>
    </xf>
    <xf numFmtId="0" fontId="20" fillId="0" borderId="6" xfId="4496" applyFont="1" applyBorder="1" applyAlignment="1">
      <alignment horizontal="right"/>
    </xf>
    <xf numFmtId="0" fontId="108" fillId="0" borderId="0" xfId="4497" applyFont="1" applyAlignment="1">
      <alignment wrapText="1"/>
    </xf>
    <xf numFmtId="0" fontId="12" fillId="0" borderId="0" xfId="4497" applyFont="1" applyAlignment="1">
      <alignment wrapText="1"/>
    </xf>
    <xf numFmtId="0" fontId="28" fillId="0" borderId="51" xfId="4496" applyFont="1" applyBorder="1" applyAlignment="1">
      <alignment vertical="top"/>
    </xf>
    <xf numFmtId="0" fontId="12" fillId="0" borderId="51" xfId="4497" applyFont="1" applyBorder="1" applyAlignment="1">
      <alignment wrapText="1"/>
    </xf>
    <xf numFmtId="0" fontId="19" fillId="0" borderId="51" xfId="4496" applyFont="1" applyBorder="1" applyAlignment="1">
      <alignment horizontal="right"/>
    </xf>
    <xf numFmtId="0" fontId="12" fillId="0" borderId="52" xfId="4496" applyFont="1" applyBorder="1" applyAlignment="1">
      <alignment horizontal="center"/>
    </xf>
    <xf numFmtId="0" fontId="12" fillId="0" borderId="53" xfId="4496" applyFont="1" applyBorder="1" applyAlignment="1">
      <alignment horizontal="left" vertical="top"/>
    </xf>
    <xf numFmtId="0" fontId="12" fillId="0" borderId="54" xfId="4496" applyFont="1" applyBorder="1" applyAlignment="1">
      <alignment horizontal="left" vertical="top"/>
    </xf>
    <xf numFmtId="0" fontId="12" fillId="0" borderId="54" xfId="4496" applyFont="1" applyBorder="1" applyAlignment="1">
      <alignment horizontal="center"/>
    </xf>
    <xf numFmtId="0" fontId="12" fillId="0" borderId="59" xfId="4496" applyFont="1" applyBorder="1" applyAlignment="1">
      <alignment horizontal="center"/>
    </xf>
    <xf numFmtId="9" fontId="12" fillId="0" borderId="0" xfId="4497" applyNumberFormat="1" applyFont="1" applyAlignment="1">
      <alignment horizontal="center"/>
    </xf>
    <xf numFmtId="1" fontId="12" fillId="0" borderId="0" xfId="543" applyNumberFormat="1"/>
    <xf numFmtId="0" fontId="20" fillId="0" borderId="1" xfId="4496" applyFont="1" applyBorder="1"/>
    <xf numFmtId="0" fontId="19" fillId="0" borderId="0" xfId="4496" applyFont="1" applyAlignment="1">
      <alignment horizontal="center" wrapText="1"/>
    </xf>
    <xf numFmtId="0" fontId="19" fillId="0" borderId="9" xfId="4496" applyFont="1" applyBorder="1" applyAlignment="1">
      <alignment horizontal="left"/>
    </xf>
    <xf numFmtId="0" fontId="19" fillId="0" borderId="3" xfId="4496" applyFont="1" applyBorder="1" applyAlignment="1">
      <alignment horizontal="left"/>
    </xf>
    <xf numFmtId="0" fontId="19" fillId="0" borderId="4" xfId="4496" applyFont="1" applyBorder="1" applyAlignment="1">
      <alignment horizontal="left"/>
    </xf>
    <xf numFmtId="0" fontId="12" fillId="0" borderId="2" xfId="4496" applyFont="1" applyBorder="1" applyAlignment="1">
      <alignment horizontal="left"/>
    </xf>
    <xf numFmtId="0" fontId="19" fillId="0" borderId="2" xfId="4496" applyFont="1" applyBorder="1" applyAlignment="1">
      <alignment horizontal="left"/>
    </xf>
    <xf numFmtId="0" fontId="19" fillId="0" borderId="5" xfId="4496" applyFont="1" applyBorder="1" applyAlignment="1">
      <alignment horizontal="left"/>
    </xf>
    <xf numFmtId="180" fontId="51" fillId="0" borderId="0" xfId="4496" applyNumberFormat="1" applyFont="1" applyAlignment="1">
      <alignment horizontal="center" vertical="center"/>
    </xf>
    <xf numFmtId="0" fontId="12" fillId="0" borderId="12" xfId="4496" applyFont="1" applyBorder="1" applyAlignment="1">
      <alignment vertical="top"/>
    </xf>
    <xf numFmtId="0" fontId="84" fillId="0" borderId="0" xfId="4497" applyFont="1"/>
    <xf numFmtId="0" fontId="84" fillId="0" borderId="0" xfId="4497" applyFont="1" applyAlignment="1">
      <alignment wrapText="1"/>
    </xf>
    <xf numFmtId="0" fontId="123" fillId="0" borderId="0" xfId="4497" applyFont="1"/>
    <xf numFmtId="181" fontId="124" fillId="0" borderId="0" xfId="4499" applyNumberFormat="1" applyFont="1"/>
    <xf numFmtId="0" fontId="125" fillId="0" borderId="0" xfId="4497" applyFont="1" applyAlignment="1">
      <alignment vertical="center" wrapText="1"/>
    </xf>
    <xf numFmtId="49" fontId="84" fillId="0" borderId="0" xfId="4497" applyNumberFormat="1" applyFont="1" applyAlignment="1">
      <alignment horizontal="center"/>
    </xf>
    <xf numFmtId="168" fontId="84" fillId="0" borderId="0" xfId="4500" applyNumberFormat="1" applyFont="1" applyFill="1" applyBorder="1" applyAlignment="1">
      <alignment vertical="center"/>
    </xf>
    <xf numFmtId="0" fontId="84" fillId="0" borderId="0" xfId="4497" applyFont="1" applyAlignment="1">
      <alignment vertical="center"/>
    </xf>
    <xf numFmtId="9" fontId="84" fillId="0" borderId="0" xfId="4500" applyFont="1" applyFill="1" applyBorder="1" applyAlignment="1">
      <alignment vertical="center"/>
    </xf>
    <xf numFmtId="9" fontId="84" fillId="0" borderId="0" xfId="4500" applyFont="1" applyBorder="1" applyAlignment="1">
      <alignment vertical="center"/>
    </xf>
    <xf numFmtId="182" fontId="84" fillId="0" borderId="0" xfId="4497" applyNumberFormat="1" applyFont="1"/>
    <xf numFmtId="0" fontId="84" fillId="0" borderId="0" xfId="4497" applyFont="1" applyAlignment="1">
      <alignment horizontal="center"/>
    </xf>
    <xf numFmtId="0" fontId="126" fillId="0" borderId="0" xfId="4497" applyFont="1"/>
    <xf numFmtId="0" fontId="127" fillId="0" borderId="0" xfId="4497" applyFont="1"/>
    <xf numFmtId="182" fontId="84" fillId="0" borderId="0" xfId="4497" applyNumberFormat="1" applyFont="1" applyAlignment="1">
      <alignment horizontal="center"/>
    </xf>
    <xf numFmtId="0" fontId="84" fillId="0" borderId="6" xfId="4497" applyFont="1" applyBorder="1" applyAlignment="1">
      <alignment horizontal="center"/>
    </xf>
    <xf numFmtId="0" fontId="84" fillId="0" borderId="0" xfId="4497" applyFont="1" applyAlignment="1">
      <alignment horizontal="left"/>
    </xf>
    <xf numFmtId="2" fontId="84" fillId="0" borderId="0" xfId="4497" applyNumberFormat="1" applyFont="1" applyAlignment="1">
      <alignment horizontal="center"/>
    </xf>
    <xf numFmtId="2" fontId="84" fillId="0" borderId="0" xfId="4497" applyNumberFormat="1" applyFont="1"/>
    <xf numFmtId="2" fontId="84" fillId="0" borderId="6" xfId="4497" applyNumberFormat="1" applyFont="1" applyBorder="1"/>
    <xf numFmtId="181" fontId="84" fillId="0" borderId="0" xfId="4497" applyNumberFormat="1" applyFont="1"/>
    <xf numFmtId="7" fontId="123" fillId="0" borderId="0" xfId="4497" applyNumberFormat="1" applyFont="1"/>
    <xf numFmtId="165" fontId="124" fillId="0" borderId="0" xfId="4500" applyNumberFormat="1" applyFont="1"/>
    <xf numFmtId="165" fontId="124" fillId="0" borderId="0" xfId="4500" applyNumberFormat="1" applyFont="1" applyFill="1" applyBorder="1"/>
    <xf numFmtId="0" fontId="37" fillId="0" borderId="0" xfId="4496" applyFont="1" applyAlignment="1">
      <alignment vertical="top" wrapText="1"/>
    </xf>
    <xf numFmtId="0" fontId="12" fillId="0" borderId="51" xfId="4496" applyFont="1" applyBorder="1" applyAlignment="1">
      <alignment horizontal="left" vertical="top" wrapText="1"/>
    </xf>
    <xf numFmtId="0" fontId="12" fillId="0" borderId="51" xfId="4496" applyFont="1" applyBorder="1" applyAlignment="1">
      <alignment horizontal="right"/>
    </xf>
    <xf numFmtId="0" fontId="12" fillId="0" borderId="52" xfId="4496" applyFont="1" applyBorder="1" applyAlignment="1">
      <alignment horizontal="right"/>
    </xf>
    <xf numFmtId="0" fontId="12" fillId="0" borderId="54" xfId="4496" applyFont="1" applyBorder="1" applyAlignment="1">
      <alignment horizontal="right"/>
    </xf>
    <xf numFmtId="0" fontId="12" fillId="0" borderId="58" xfId="4496" applyFont="1" applyBorder="1" applyAlignment="1">
      <alignment horizontal="left" vertical="top" wrapText="1"/>
    </xf>
    <xf numFmtId="0" fontId="12" fillId="0" borderId="58" xfId="4496" applyFont="1" applyBorder="1" applyAlignment="1">
      <alignment horizontal="right"/>
    </xf>
    <xf numFmtId="0" fontId="12" fillId="0" borderId="59" xfId="4496" applyFont="1" applyBorder="1" applyAlignment="1">
      <alignment horizontal="right"/>
    </xf>
    <xf numFmtId="0" fontId="37" fillId="0" borderId="0" xfId="4496" applyFont="1" applyAlignment="1">
      <alignment horizontal="left" vertical="top" wrapText="1"/>
    </xf>
    <xf numFmtId="0" fontId="12" fillId="0" borderId="0" xfId="1193" applyAlignment="1">
      <alignment horizontal="left" vertical="top"/>
    </xf>
    <xf numFmtId="0" fontId="30" fillId="0" borderId="0" xfId="1193" applyFont="1" applyAlignment="1">
      <alignment horizontal="left" vertical="top"/>
    </xf>
    <xf numFmtId="0" fontId="12" fillId="0" borderId="0" xfId="1193" applyAlignment="1">
      <alignment vertical="top"/>
    </xf>
    <xf numFmtId="168" fontId="12" fillId="0" borderId="0" xfId="1193" applyNumberFormat="1"/>
    <xf numFmtId="165" fontId="12" fillId="0" borderId="0" xfId="1193" applyNumberFormat="1"/>
    <xf numFmtId="165" fontId="12" fillId="0" borderId="0" xfId="1193" applyNumberFormat="1" applyAlignment="1">
      <alignment horizontal="right"/>
    </xf>
    <xf numFmtId="2" fontId="12" fillId="0" borderId="0" xfId="1193" applyNumberFormat="1"/>
    <xf numFmtId="6" fontId="12" fillId="0" borderId="0" xfId="1193" applyNumberFormat="1"/>
    <xf numFmtId="0" fontId="19" fillId="0" borderId="0" xfId="1193" applyFont="1"/>
    <xf numFmtId="0" fontId="37" fillId="0" borderId="0" xfId="1193" applyFont="1"/>
    <xf numFmtId="168" fontId="12" fillId="0" borderId="0" xfId="4496" applyNumberFormat="1" applyFont="1"/>
    <xf numFmtId="0" fontId="19" fillId="0" borderId="0" xfId="1193" applyFont="1" applyAlignment="1">
      <alignment vertical="center"/>
    </xf>
    <xf numFmtId="0" fontId="104" fillId="0" borderId="0" xfId="1193" applyFont="1" applyAlignment="1">
      <alignment horizontal="left"/>
    </xf>
    <xf numFmtId="0" fontId="101" fillId="0" borderId="0" xfId="1193" applyFont="1" applyAlignment="1">
      <alignment horizontal="left"/>
    </xf>
    <xf numFmtId="0" fontId="101" fillId="0" borderId="0" xfId="1193" applyFont="1" applyAlignment="1">
      <alignment horizontal="center"/>
    </xf>
    <xf numFmtId="168" fontId="12" fillId="0" borderId="0" xfId="1193" applyNumberFormat="1" applyAlignment="1">
      <alignment horizontal="center"/>
    </xf>
    <xf numFmtId="9" fontId="12" fillId="0" borderId="0" xfId="1193" applyNumberFormat="1"/>
    <xf numFmtId="0" fontId="12" fillId="0" borderId="0" xfId="1193" applyAlignment="1">
      <alignment horizontal="right"/>
    </xf>
    <xf numFmtId="0" fontId="12" fillId="0" borderId="53" xfId="4496" applyFont="1" applyBorder="1" applyAlignment="1">
      <alignment horizontal="left"/>
    </xf>
    <xf numFmtId="6" fontId="19" fillId="0" borderId="0" xfId="1193" applyNumberFormat="1" applyFont="1" applyAlignment="1">
      <alignment horizontal="right"/>
    </xf>
    <xf numFmtId="165" fontId="12" fillId="0" borderId="0" xfId="4496" applyNumberFormat="1" applyFont="1"/>
    <xf numFmtId="0" fontId="43" fillId="0" borderId="4" xfId="4496" applyFont="1" applyBorder="1"/>
    <xf numFmtId="1" fontId="84" fillId="0" borderId="0" xfId="4497" applyNumberFormat="1" applyFont="1"/>
    <xf numFmtId="1" fontId="84" fillId="0" borderId="6" xfId="4497" applyNumberFormat="1" applyFont="1" applyBorder="1"/>
    <xf numFmtId="168" fontId="84" fillId="0" borderId="0" xfId="4500" applyNumberFormat="1" applyFont="1" applyBorder="1" applyAlignment="1">
      <alignment vertical="center"/>
    </xf>
    <xf numFmtId="175" fontId="84" fillId="0" borderId="0" xfId="4500" applyNumberFormat="1" applyFont="1" applyFill="1" applyBorder="1" applyAlignment="1">
      <alignment vertical="center"/>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6" applyNumberFormat="1" applyFont="1"/>
    <xf numFmtId="165" fontId="108" fillId="0" borderId="0" xfId="4497" applyNumberFormat="1" applyFont="1" applyAlignment="1">
      <alignment horizontal="center" vertical="top" wrapText="1"/>
    </xf>
    <xf numFmtId="168" fontId="108" fillId="0" borderId="0" xfId="4497" applyNumberFormat="1" applyFont="1" applyAlignment="1">
      <alignment vertical="top" wrapText="1"/>
    </xf>
    <xf numFmtId="165" fontId="108" fillId="0" borderId="65" xfId="4497" applyNumberFormat="1" applyFont="1" applyBorder="1" applyAlignment="1">
      <alignment horizontal="center" vertical="top" wrapText="1"/>
    </xf>
    <xf numFmtId="165" fontId="108" fillId="0" borderId="53" xfId="4497" applyNumberFormat="1" applyFont="1" applyBorder="1" applyAlignment="1">
      <alignment horizontal="left" vertical="top"/>
    </xf>
    <xf numFmtId="165" fontId="108" fillId="0" borderId="53" xfId="4497" applyNumberFormat="1" applyFont="1" applyBorder="1" applyAlignment="1">
      <alignment horizontal="center" vertical="top" wrapText="1"/>
    </xf>
    <xf numFmtId="168" fontId="108" fillId="0" borderId="0" xfId="4497" applyNumberFormat="1" applyFont="1" applyAlignment="1">
      <alignment vertical="top"/>
    </xf>
    <xf numFmtId="1" fontId="108" fillId="0" borderId="0" xfId="4497" applyNumberFormat="1" applyFont="1" applyAlignment="1">
      <alignment vertical="top" wrapText="1"/>
    </xf>
    <xf numFmtId="164" fontId="20" fillId="0" borderId="0" xfId="4496"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4" fillId="0" borderId="0" xfId="4497" applyFont="1" applyAlignment="1">
      <alignment horizontal="center" vertical="center"/>
    </xf>
    <xf numFmtId="0" fontId="128" fillId="0" borderId="50" xfId="1193" applyFont="1" applyBorder="1" applyAlignment="1">
      <alignment horizontal="left"/>
    </xf>
    <xf numFmtId="0" fontId="129" fillId="0" borderId="51" xfId="4496" applyFont="1" applyBorder="1" applyAlignment="1">
      <alignment vertical="top"/>
    </xf>
    <xf numFmtId="0" fontId="128" fillId="0" borderId="51" xfId="4496" applyFont="1" applyBorder="1" applyAlignment="1">
      <alignment vertical="top" wrapText="1"/>
    </xf>
    <xf numFmtId="0" fontId="129" fillId="0" borderId="51" xfId="4496" applyFont="1" applyBorder="1"/>
    <xf numFmtId="0" fontId="129" fillId="0" borderId="53" xfId="1193" applyFont="1" applyBorder="1" applyAlignment="1">
      <alignment horizontal="left"/>
    </xf>
    <xf numFmtId="0" fontId="129" fillId="0" borderId="0" xfId="4496" applyFont="1" applyAlignment="1">
      <alignment vertical="top"/>
    </xf>
    <xf numFmtId="0" fontId="128" fillId="0" borderId="0" xfId="4496" applyFont="1" applyAlignment="1">
      <alignment vertical="top" wrapText="1"/>
    </xf>
    <xf numFmtId="0" fontId="129" fillId="0" borderId="0" xfId="4496" applyFont="1"/>
    <xf numFmtId="0" fontId="128" fillId="0" borderId="53" xfId="1193" applyFont="1" applyBorder="1" applyAlignment="1">
      <alignment horizontal="left"/>
    </xf>
    <xf numFmtId="0" fontId="128" fillId="0" borderId="57" xfId="1193" applyFont="1" applyBorder="1" applyAlignment="1">
      <alignment horizontal="left"/>
    </xf>
    <xf numFmtId="0" fontId="129" fillId="0" borderId="58" xfId="4496" applyFont="1" applyBorder="1" applyAlignment="1">
      <alignment vertical="top"/>
    </xf>
    <xf numFmtId="0" fontId="128" fillId="0" borderId="58" xfId="4496" applyFont="1" applyBorder="1" applyAlignment="1">
      <alignment vertical="top" wrapText="1"/>
    </xf>
    <xf numFmtId="0" fontId="129" fillId="0" borderId="58" xfId="4496"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5"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6" applyFont="1" applyBorder="1" applyAlignment="1">
      <alignment vertical="center" wrapText="1"/>
    </xf>
    <xf numFmtId="0" fontId="12" fillId="0" borderId="59" xfId="4496" applyFont="1" applyBorder="1" applyAlignment="1">
      <alignment vertical="center" wrapText="1"/>
    </xf>
    <xf numFmtId="0" fontId="12" fillId="0" borderId="0" xfId="4496" applyFont="1" applyAlignment="1">
      <alignment horizontal="left" vertical="center" wrapText="1"/>
    </xf>
    <xf numFmtId="168" fontId="17" fillId="44"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70" applyFont="1" applyBorder="1" applyAlignment="1">
      <alignment vertical="top"/>
    </xf>
    <xf numFmtId="184" fontId="84" fillId="0" borderId="0" xfId="4497" applyNumberFormat="1" applyFont="1" applyAlignment="1">
      <alignment vertical="center" wrapText="1"/>
    </xf>
    <xf numFmtId="164" fontId="84" fillId="0" borderId="0" xfId="4497" applyNumberFormat="1" applyFont="1" applyAlignment="1">
      <alignment vertical="center" wrapText="1"/>
    </xf>
    <xf numFmtId="164" fontId="84" fillId="0" borderId="0" xfId="4497" applyNumberFormat="1" applyFont="1" applyAlignment="1">
      <alignment wrapText="1"/>
    </xf>
    <xf numFmtId="0" fontId="22" fillId="0" borderId="0" xfId="4496" applyFont="1"/>
    <xf numFmtId="0" fontId="12" fillId="0" borderId="0" xfId="4496" applyFont="1" applyAlignment="1">
      <alignment vertical="top" wrapText="1" shrinkToFit="1"/>
    </xf>
    <xf numFmtId="0" fontId="149" fillId="0" borderId="0" xfId="4496" applyFont="1"/>
    <xf numFmtId="164" fontId="12" fillId="0" borderId="0" xfId="1193" applyNumberFormat="1" applyAlignment="1">
      <alignment horizontal="right"/>
    </xf>
    <xf numFmtId="164" fontId="12" fillId="0" borderId="0" xfId="4496" applyNumberFormat="1" applyFont="1" applyAlignment="1">
      <alignment horizontal="right"/>
    </xf>
    <xf numFmtId="0" fontId="12" fillId="0" borderId="0" xfId="4496" applyFont="1" applyAlignment="1">
      <alignment horizontal="left" vertical="top" wrapText="1" shrinkToFit="1"/>
    </xf>
    <xf numFmtId="0" fontId="12" fillId="0" borderId="6" xfId="4496" applyFont="1" applyBorder="1" applyAlignment="1">
      <alignment vertical="top" wrapText="1"/>
    </xf>
    <xf numFmtId="0" fontId="149" fillId="0" borderId="4" xfId="4496" applyFont="1" applyBorder="1"/>
    <xf numFmtId="0" fontId="12" fillId="0" borderId="4" xfId="4496" applyFont="1" applyBorder="1" applyAlignment="1">
      <alignment horizontal="left" vertical="top" wrapText="1" shrinkToFit="1"/>
    </xf>
    <xf numFmtId="0" fontId="22" fillId="0" borderId="0" xfId="4496" applyFont="1" applyAlignment="1">
      <alignment horizontal="left" vertical="top"/>
    </xf>
    <xf numFmtId="0" fontId="12" fillId="0" borderId="0" xfId="4496" applyFont="1" applyAlignment="1">
      <alignment vertical="center" wrapText="1" shrinkToFit="1"/>
    </xf>
    <xf numFmtId="0" fontId="12" fillId="0" borderId="0" xfId="4496" applyFont="1" applyAlignment="1">
      <alignment horizontal="left" vertical="top" shrinkToFit="1"/>
    </xf>
    <xf numFmtId="0" fontId="12" fillId="0" borderId="0" xfId="4496" applyFont="1" applyAlignment="1">
      <alignment horizontal="left" vertical="center" shrinkToFit="1"/>
    </xf>
    <xf numFmtId="0" fontId="22" fillId="0" borderId="4" xfId="4496" applyFont="1" applyBorder="1"/>
    <xf numFmtId="0" fontId="12" fillId="0" borderId="4" xfId="4496" applyFont="1" applyBorder="1" applyAlignment="1">
      <alignment horizontal="left" vertical="top" shrinkToFit="1"/>
    </xf>
    <xf numFmtId="0" fontId="12" fillId="0" borderId="0" xfId="4496" applyFont="1" applyAlignment="1">
      <alignment vertical="center"/>
    </xf>
    <xf numFmtId="0" fontId="18" fillId="0" borderId="0" xfId="4496" applyFont="1"/>
    <xf numFmtId="0" fontId="22" fillId="0" borderId="0" xfId="4496" applyFont="1" applyAlignment="1">
      <alignment horizontal="center"/>
    </xf>
    <xf numFmtId="0" fontId="12" fillId="0" borderId="4" xfId="4496" applyFont="1" applyBorder="1" applyAlignment="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Alignment="1">
      <alignment horizontal="left"/>
    </xf>
    <xf numFmtId="0" fontId="22" fillId="0" borderId="0" xfId="4496" applyFont="1" applyAlignment="1">
      <alignment horizontal="left"/>
    </xf>
    <xf numFmtId="0" fontId="12" fillId="0" borderId="4" xfId="4496" applyFont="1" applyBorder="1" applyAlignment="1">
      <alignment vertical="top" wrapText="1"/>
    </xf>
    <xf numFmtId="0" fontId="22" fillId="0" borderId="4" xfId="4496" applyFont="1" applyBorder="1" applyAlignment="1">
      <alignment horizontal="left" vertical="top"/>
    </xf>
    <xf numFmtId="0" fontId="12" fillId="0" borderId="0" xfId="4496" applyFont="1" applyAlignment="1">
      <alignment horizontal="left" vertical="center" wrapText="1" shrinkToFit="1"/>
    </xf>
    <xf numFmtId="0" fontId="12" fillId="0" borderId="6" xfId="4496" applyFont="1" applyBorder="1" applyAlignment="1">
      <alignment horizontal="left" vertical="top" wrapText="1"/>
    </xf>
    <xf numFmtId="2" fontId="104" fillId="0" borderId="0" xfId="0" applyNumberFormat="1" applyFont="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6" applyFont="1" applyBorder="1" applyAlignment="1">
      <alignment vertical="center"/>
    </xf>
    <xf numFmtId="0" fontId="12" fillId="0" borderId="51" xfId="4496" applyFont="1" applyBorder="1" applyAlignment="1">
      <alignment vertical="center"/>
    </xf>
    <xf numFmtId="0" fontId="12" fillId="0" borderId="52" xfId="4496" applyFont="1" applyBorder="1" applyAlignment="1">
      <alignment vertical="center"/>
    </xf>
    <xf numFmtId="0" fontId="12" fillId="0" borderId="54" xfId="4496" applyFont="1" applyBorder="1" applyAlignment="1">
      <alignment vertical="center" wrapText="1"/>
    </xf>
    <xf numFmtId="0" fontId="12" fillId="0" borderId="53" xfId="4496"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7"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3"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6" applyNumberFormat="1" applyFont="1"/>
    <xf numFmtId="10" fontId="108" fillId="0" borderId="0" xfId="4497" applyNumberFormat="1" applyFont="1" applyAlignment="1">
      <alignment horizontal="center" vertical="top" wrapText="1"/>
    </xf>
    <xf numFmtId="10" fontId="108" fillId="0" borderId="65" xfId="4497" applyNumberFormat="1" applyFont="1" applyBorder="1" applyAlignment="1">
      <alignment horizontal="center" vertical="top" wrapText="1"/>
    </xf>
    <xf numFmtId="10" fontId="108"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3" quotePrefix="1" applyNumberFormat="1" applyAlignment="1">
      <alignment horizontal="center"/>
    </xf>
    <xf numFmtId="0" fontId="108" fillId="0" borderId="0" xfId="4496" applyFont="1"/>
    <xf numFmtId="10" fontId="108" fillId="0" borderId="0" xfId="4496" applyNumberFormat="1" applyFont="1"/>
    <xf numFmtId="172" fontId="12" fillId="0" borderId="0" xfId="4496" applyNumberFormat="1" applyFont="1"/>
    <xf numFmtId="0" fontId="0" fillId="0" borderId="10" xfId="0" applyBorder="1" applyAlignment="1">
      <alignment horizontal="left"/>
    </xf>
    <xf numFmtId="1" fontId="12" fillId="0" borderId="0" xfId="1193" applyNumberFormat="1" applyAlignment="1">
      <alignment horizontal="center"/>
    </xf>
    <xf numFmtId="0" fontId="106" fillId="0" borderId="64" xfId="4496"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6" applyFont="1" applyBorder="1" applyAlignment="1">
      <alignment vertical="top"/>
    </xf>
    <xf numFmtId="168" fontId="84" fillId="0" borderId="0" xfId="4500" applyNumberFormat="1" applyFont="1" applyFill="1" applyBorder="1" applyAlignment="1" applyProtection="1">
      <alignment vertical="center"/>
    </xf>
    <xf numFmtId="0" fontId="12" fillId="0" borderId="16" xfId="570" applyBorder="1" applyAlignment="1">
      <alignment horizontal="center"/>
    </xf>
    <xf numFmtId="164" fontId="12" fillId="0" borderId="57" xfId="4496" applyNumberFormat="1" applyFont="1" applyBorder="1" applyAlignment="1">
      <alignment vertical="top" wrapText="1"/>
    </xf>
    <xf numFmtId="164" fontId="12" fillId="0" borderId="58" xfId="4496" applyNumberFormat="1" applyFont="1" applyBorder="1" applyAlignment="1">
      <alignment vertical="top" wrapText="1"/>
    </xf>
    <xf numFmtId="164" fontId="12" fillId="0" borderId="59" xfId="4496" applyNumberFormat="1" applyFont="1" applyBorder="1" applyAlignment="1">
      <alignment vertical="top" wrapText="1"/>
    </xf>
    <xf numFmtId="43" fontId="19" fillId="0" borderId="0" xfId="4505" applyFont="1" applyProtection="1"/>
    <xf numFmtId="0" fontId="19" fillId="0" borderId="0" xfId="570" applyFont="1" applyAlignment="1">
      <alignment vertical="center"/>
    </xf>
    <xf numFmtId="49" fontId="19" fillId="0" borderId="0" xfId="570" applyNumberFormat="1" applyFont="1"/>
    <xf numFmtId="4" fontId="19" fillId="0" borderId="0" xfId="570" applyNumberFormat="1" applyFont="1"/>
    <xf numFmtId="0" fontId="19" fillId="0" borderId="0" xfId="1193" applyFont="1" applyAlignment="1">
      <alignment horizontal="left" vertical="top" wrapText="1"/>
    </xf>
    <xf numFmtId="0" fontId="19" fillId="0" borderId="0" xfId="570" quotePrefix="1" applyFont="1"/>
    <xf numFmtId="0" fontId="12" fillId="0" borderId="16" xfId="570" applyBorder="1"/>
    <xf numFmtId="0" fontId="19" fillId="0" borderId="16" xfId="570" applyFont="1" applyBorder="1"/>
    <xf numFmtId="0" fontId="12" fillId="0" borderId="4" xfId="570" applyBorder="1"/>
    <xf numFmtId="0" fontId="19" fillId="0" borderId="4" xfId="570" applyFont="1" applyBorder="1"/>
    <xf numFmtId="49" fontId="12" fillId="0" borderId="4" xfId="570" applyNumberFormat="1" applyBorder="1"/>
    <xf numFmtId="49" fontId="19" fillId="0" borderId="4" xfId="570" applyNumberFormat="1" applyFont="1" applyBorder="1"/>
    <xf numFmtId="0" fontId="155"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2" fillId="0" borderId="0" xfId="8720"/>
    <xf numFmtId="0" fontId="89" fillId="0" borderId="0" xfId="8720" applyFont="1"/>
    <xf numFmtId="0" fontId="2" fillId="49" borderId="67" xfId="8720" applyFill="1" applyBorder="1"/>
    <xf numFmtId="0" fontId="2" fillId="49" borderId="0" xfId="8720" applyFill="1"/>
    <xf numFmtId="0" fontId="88" fillId="49" borderId="41" xfId="8720" applyFont="1" applyFill="1" applyBorder="1" applyAlignment="1">
      <alignment horizontal="center"/>
    </xf>
    <xf numFmtId="0" fontId="88" fillId="49" borderId="0" xfId="8720" applyFont="1" applyFill="1"/>
    <xf numFmtId="183" fontId="0" fillId="49" borderId="0" xfId="8721" applyNumberFormat="1" applyFont="1" applyFill="1" applyBorder="1" applyAlignment="1"/>
    <xf numFmtId="183" fontId="89" fillId="49" borderId="0" xfId="8721" applyNumberFormat="1" applyFont="1" applyFill="1" applyBorder="1" applyAlignment="1"/>
    <xf numFmtId="183" fontId="137" fillId="49" borderId="0" xfId="8721" applyNumberFormat="1" applyFont="1" applyFill="1" applyBorder="1" applyAlignment="1"/>
    <xf numFmtId="0" fontId="2" fillId="49" borderId="41" xfId="8720" applyFill="1" applyBorder="1"/>
    <xf numFmtId="0" fontId="89" fillId="49" borderId="0" xfId="8720" applyFont="1" applyFill="1"/>
    <xf numFmtId="0" fontId="143" fillId="49" borderId="0" xfId="8720" applyFont="1" applyFill="1"/>
    <xf numFmtId="0" fontId="88" fillId="49" borderId="41" xfId="8720" applyFont="1" applyFill="1" applyBorder="1"/>
    <xf numFmtId="0" fontId="88" fillId="0" borderId="0" xfId="8720" applyFont="1"/>
    <xf numFmtId="0" fontId="88" fillId="45" borderId="0" xfId="8720" applyFont="1" applyFill="1"/>
    <xf numFmtId="0" fontId="2" fillId="45" borderId="0" xfId="8720" applyFill="1"/>
    <xf numFmtId="0" fontId="14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34" fillId="48" borderId="4" xfId="8720" applyFont="1" applyFill="1" applyBorder="1" applyAlignment="1">
      <alignment horizontal="center"/>
    </xf>
    <xf numFmtId="0" fontId="134" fillId="48" borderId="81" xfId="8720" applyFont="1" applyFill="1" applyBorder="1" applyAlignment="1">
      <alignment horizontal="center"/>
    </xf>
    <xf numFmtId="0" fontId="88" fillId="49" borderId="67" xfId="8720" applyFont="1" applyFill="1" applyBorder="1"/>
    <xf numFmtId="49" fontId="8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48" fillId="0" borderId="0" xfId="8720" applyFont="1"/>
    <xf numFmtId="0" fontId="19" fillId="0" borderId="0" xfId="570" applyFont="1" applyAlignment="1">
      <alignment vertical="top"/>
    </xf>
    <xf numFmtId="0" fontId="13" fillId="0" borderId="0" xfId="244" applyAlignment="1"/>
    <xf numFmtId="0" fontId="12" fillId="5" borderId="0" xfId="570" applyFill="1" applyProtection="1">
      <protection locked="0"/>
    </xf>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12" fillId="0" borderId="0" xfId="0" applyFont="1" applyAlignment="1" applyProtection="1">
      <alignment horizontal="left"/>
      <protection locked="0"/>
    </xf>
    <xf numFmtId="0" fontId="12" fillId="0" borderId="3"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12" fillId="0" borderId="0" xfId="543"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5" borderId="11" xfId="0" applyFont="1" applyFill="1" applyBorder="1" applyAlignment="1" applyProtection="1">
      <alignment horizontal="right" vertical="top" wrapText="1"/>
      <protection locked="0"/>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5"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1193"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70" applyFont="1" applyAlignment="1">
      <alignment horizontal="left"/>
    </xf>
    <xf numFmtId="4" fontId="12" fillId="0" borderId="0" xfId="570" applyNumberFormat="1" applyAlignment="1">
      <alignment horizontal="left"/>
    </xf>
    <xf numFmtId="0" fontId="12" fillId="0" borderId="0" xfId="570" applyAlignment="1">
      <alignment horizontal="left" vertical="top" wrapText="1"/>
    </xf>
    <xf numFmtId="4" fontId="30" fillId="0" borderId="0" xfId="570" applyNumberFormat="1" applyFont="1" applyAlignment="1">
      <alignment horizontal="left" vertical="top" wrapText="1"/>
    </xf>
    <xf numFmtId="4" fontId="12" fillId="0" borderId="0" xfId="570"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lignment horizontal="left"/>
    </xf>
    <xf numFmtId="0" fontId="19" fillId="0" borderId="4" xfId="570"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70" applyFont="1" applyAlignment="1">
      <alignment horizontal="left" vertical="top"/>
    </xf>
    <xf numFmtId="0" fontId="12" fillId="0" borderId="0" xfId="570"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3" applyNumberFormat="1" applyAlignment="1">
      <alignment horizontal="left" vertical="top" wrapText="1"/>
    </xf>
    <xf numFmtId="0" fontId="30" fillId="0" borderId="0" xfId="0" applyFont="1" applyAlignment="1">
      <alignment horizontal="center"/>
    </xf>
    <xf numFmtId="0" fontId="0" fillId="0" borderId="0" xfId="0" applyAlignment="1"/>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3" applyNumberFormat="1" applyAlignment="1">
      <alignment horizontal="left" vertical="top" wrapText="1"/>
    </xf>
    <xf numFmtId="0" fontId="30" fillId="0" borderId="0" xfId="570" applyFont="1" applyAlignment="1">
      <alignment horizontal="left" vertical="top" wrapText="1"/>
    </xf>
    <xf numFmtId="0" fontId="12" fillId="0" borderId="0" xfId="570"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3"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3" applyFont="1" applyAlignment="1">
      <alignment horizontal="left"/>
    </xf>
    <xf numFmtId="0" fontId="19" fillId="0" borderId="0" xfId="271" applyFont="1" applyAlignment="1">
      <alignment horizontal="left" vertical="top" wrapText="1"/>
    </xf>
    <xf numFmtId="0" fontId="100" fillId="0" borderId="0" xfId="570" applyFont="1" applyAlignment="1">
      <alignment horizontal="center"/>
    </xf>
    <xf numFmtId="0" fontId="101" fillId="0" borderId="0" xfId="570" applyFont="1" applyAlignment="1"/>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Alignment="1">
      <alignment vertical="top" wrapText="1"/>
    </xf>
    <xf numFmtId="0" fontId="30" fillId="0" borderId="0" xfId="570" applyFont="1" applyAlignment="1">
      <alignment horizontal="center"/>
    </xf>
    <xf numFmtId="0" fontId="19" fillId="0" borderId="0" xfId="570" applyFont="1" applyAlignment="1">
      <alignment horizontal="center"/>
    </xf>
    <xf numFmtId="0" fontId="12" fillId="0" borderId="15" xfId="570" applyBorder="1" applyAlignment="1">
      <alignment horizontal="center" vertical="top" wrapText="1"/>
    </xf>
    <xf numFmtId="0" fontId="12" fillId="0" borderId="14" xfId="570" applyBorder="1" applyAlignment="1">
      <alignment horizontal="center" vertical="top" wrapText="1"/>
    </xf>
    <xf numFmtId="0" fontId="12" fillId="0" borderId="13" xfId="570" applyBorder="1" applyAlignment="1">
      <alignment horizontal="center" vertical="top" wrapText="1"/>
    </xf>
    <xf numFmtId="0" fontId="12" fillId="0" borderId="0" xfId="1193" applyAlignment="1" applyProtection="1">
      <alignment horizontal="left" vertical="top" wrapText="1"/>
      <protection locked="0"/>
    </xf>
    <xf numFmtId="0" fontId="12" fillId="0" borderId="27" xfId="570" applyBorder="1" applyAlignment="1">
      <alignment horizontal="left"/>
    </xf>
    <xf numFmtId="0" fontId="13" fillId="0" borderId="0" xfId="244" applyAlignment="1" applyProtection="1">
      <alignment horizontal="left" vertical="top" wrapText="1"/>
    </xf>
    <xf numFmtId="0" fontId="19" fillId="0" borderId="0" xfId="570"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70" applyAlignment="1">
      <alignment horizontal="center"/>
    </xf>
    <xf numFmtId="0" fontId="30" fillId="0" borderId="0" xfId="570" applyFont="1" applyAlignment="1">
      <alignment horizontal="left" wrapText="1"/>
    </xf>
    <xf numFmtId="0" fontId="12" fillId="0" borderId="0" xfId="570" applyAlignment="1">
      <alignment horizontal="left" vertical="center" wrapText="1"/>
    </xf>
    <xf numFmtId="0" fontId="13" fillId="0" borderId="0" xfId="244" applyNumberFormat="1" applyFill="1" applyAlignment="1" applyProtection="1">
      <alignment horizontal="left"/>
    </xf>
    <xf numFmtId="0" fontId="19" fillId="0" borderId="16" xfId="570" applyFont="1" applyBorder="1" applyAlignment="1">
      <alignment horizontal="left"/>
    </xf>
    <xf numFmtId="0" fontId="12" fillId="0" borderId="0" xfId="570"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Alignment="1">
      <alignment horizontal="left" vertical="top" wrapText="1"/>
    </xf>
    <xf numFmtId="0" fontId="19" fillId="0" borderId="0" xfId="1193"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70" applyAlignment="1">
      <alignment horizontal="left" wrapText="1"/>
    </xf>
    <xf numFmtId="0" fontId="30" fillId="0" borderId="0" xfId="0" applyFont="1" applyAlignment="1">
      <alignment horizontal="left" vertical="top"/>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2" fillId="0" borderId="0" xfId="0" applyFont="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50" borderId="4" xfId="0" applyFont="1" applyFill="1" applyBorder="1" applyAlignment="1" applyProtection="1">
      <protection locked="0"/>
    </xf>
    <xf numFmtId="0" fontId="12" fillId="46" borderId="11" xfId="0" applyFont="1" applyFill="1" applyBorder="1" applyAlignment="1">
      <alignment horizontal="center"/>
    </xf>
    <xf numFmtId="168" fontId="0" fillId="5" borderId="6"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0" fillId="0" borderId="12" xfId="0" applyBorder="1" applyAlignment="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2" fillId="5" borderId="11" xfId="0" applyFont="1" applyFill="1" applyBorder="1" applyAlignment="1" applyProtection="1">
      <alignment horizontal="center"/>
      <protection locked="0"/>
    </xf>
    <xf numFmtId="0" fontId="0" fillId="44" borderId="6" xfId="0" applyFill="1" applyBorder="1" applyAlignment="1" applyProtection="1">
      <alignment horizontal="left"/>
      <protection locked="0"/>
    </xf>
    <xf numFmtId="0" fontId="12"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0"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2" fillId="0" borderId="4" xfId="0" applyFont="1" applyBorder="1" applyAlignment="1">
      <alignment horizontal="left"/>
    </xf>
    <xf numFmtId="0" fontId="12" fillId="0" borderId="5" xfId="0" applyFont="1" applyBorder="1" applyAlignment="1">
      <alignment horizontal="lef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xf>
    <xf numFmtId="178" fontId="12" fillId="5" borderId="4"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12" fillId="46" borderId="3" xfId="0" applyFont="1" applyFill="1" applyBorder="1" applyAlignment="1">
      <alignment horizontal="center"/>
    </xf>
    <xf numFmtId="0" fontId="12" fillId="46" borderId="4" xfId="0" applyFont="1" applyFill="1" applyBorder="1" applyAlignment="1">
      <alignment horizontal="center"/>
    </xf>
    <xf numFmtId="0" fontId="12" fillId="46" borderId="5" xfId="0" applyFont="1" applyFill="1" applyBorder="1" applyAlignment="1">
      <alignment horizontal="center"/>
    </xf>
    <xf numFmtId="0" fontId="0" fillId="0" borderId="3" xfId="0"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44"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3"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0" fillId="5" borderId="4" xfId="0" applyFill="1" applyBorder="1" applyAlignment="1" applyProtection="1">
      <alignment horizontal="left"/>
      <protection locked="0"/>
    </xf>
    <xf numFmtId="0" fontId="0" fillId="44" borderId="6" xfId="0" applyFill="1" applyBorder="1" applyAlignment="1" applyProtection="1">
      <alignment horizontal="center"/>
      <protection locked="0"/>
    </xf>
    <xf numFmtId="3" fontId="0" fillId="0" borderId="6" xfId="0" applyNumberFormat="1" applyBorder="1" applyAlignment="1">
      <alignment horizontal="right"/>
    </xf>
    <xf numFmtId="0" fontId="0" fillId="0" borderId="6" xfId="0"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2" fillId="0" borderId="6" xfId="543" applyBorder="1" applyAlignment="1">
      <alignment horizontal="left"/>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0" fontId="20" fillId="5" borderId="6" xfId="0" applyFont="1" applyFill="1" applyBorder="1" applyAlignment="1" applyProtection="1">
      <alignment horizontal="left"/>
      <protection locked="0"/>
    </xf>
    <xf numFmtId="175" fontId="12" fillId="0" borderId="3" xfId="543" applyNumberFormat="1" applyBorder="1" applyAlignment="1">
      <alignment horizontal="center" vertical="center"/>
    </xf>
    <xf numFmtId="175" fontId="12" fillId="0" borderId="4" xfId="543" applyNumberFormat="1" applyBorder="1" applyAlignment="1">
      <alignment horizontal="center" vertical="center"/>
    </xf>
    <xf numFmtId="175" fontId="12" fillId="0" borderId="5" xfId="543" applyNumberFormat="1" applyBorder="1" applyAlignment="1">
      <alignment horizontal="center" vertical="center"/>
    </xf>
    <xf numFmtId="168" fontId="0" fillId="0" borderId="0" xfId="0" applyNumberFormat="1" applyAlignment="1">
      <alignment horizontal="center"/>
    </xf>
    <xf numFmtId="0" fontId="12" fillId="0" borderId="0" xfId="543" applyAlignment="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168" fontId="12" fillId="0" borderId="0" xfId="543" applyNumberFormat="1" applyAlignment="1">
      <alignment horizontal="center" vertical="center"/>
    </xf>
    <xf numFmtId="0" fontId="0" fillId="5" borderId="5" xfId="0"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44" borderId="4" xfId="0" applyFont="1" applyFill="1" applyBorder="1" applyAlignment="1" applyProtection="1">
      <alignment horizontal="left" wrapText="1"/>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0" borderId="3" xfId="0" applyFont="1" applyFill="1" applyBorder="1" applyAlignment="1" applyProtection="1">
      <protection locked="0"/>
    </xf>
    <xf numFmtId="0" fontId="12" fillId="50" borderId="106" xfId="0" applyFont="1" applyFill="1" applyBorder="1" applyAlignment="1" applyProtection="1">
      <protection locked="0"/>
    </xf>
    <xf numFmtId="0" fontId="12"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0" borderId="9" xfId="0" applyFont="1" applyFill="1" applyBorder="1" applyAlignment="1" applyProtection="1">
      <protection locked="0"/>
    </xf>
    <xf numFmtId="0" fontId="12" fillId="50" borderId="6" xfId="0" applyFont="1" applyFill="1" applyBorder="1" applyAlignment="1" applyProtection="1">
      <protection locked="0"/>
    </xf>
    <xf numFmtId="0" fontId="0" fillId="50" borderId="3" xfId="0" applyFill="1" applyBorder="1" applyAlignment="1" applyProtection="1">
      <protection locked="0"/>
    </xf>
    <xf numFmtId="0" fontId="0" fillId="50" borderId="4" xfId="0" applyFill="1" applyBorder="1" applyAlignment="1" applyProtection="1">
      <protection locked="0"/>
    </xf>
    <xf numFmtId="0" fontId="0" fillId="50" borderId="106" xfId="0" applyFill="1" applyBorder="1" applyAlignment="1" applyProtection="1">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11" xfId="0" applyFont="1" applyBorder="1" applyAlignment="1">
      <alignment horizontal="center" vertical="top" wrapText="1"/>
    </xf>
    <xf numFmtId="0" fontId="12" fillId="0" borderId="11" xfId="0" applyFont="1" applyBorder="1" applyAlignment="1">
      <alignment horizontal="center"/>
    </xf>
    <xf numFmtId="0" fontId="12" fillId="0" borderId="11" xfId="543"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0" fillId="44" borderId="4" xfId="0" applyFill="1" applyBorder="1" applyAlignment="1" applyProtection="1">
      <alignment horizontal="center"/>
      <protection locked="0"/>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49"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2" fontId="0" fillId="5" borderId="6" xfId="0" applyNumberFormat="1"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2" fontId="0" fillId="0" borderId="6" xfId="0" applyNumberFormat="1" applyBorder="1" applyAlignment="1">
      <alignment horizontal="center"/>
    </xf>
    <xf numFmtId="0" fontId="12" fillId="5" borderId="6" xfId="0" applyFont="1" applyFill="1" applyBorder="1" applyAlignment="1" applyProtection="1">
      <alignment horizontal="left"/>
      <protection locked="0"/>
    </xf>
    <xf numFmtId="0" fontId="0" fillId="50" borderId="6" xfId="0" applyFill="1" applyBorder="1" applyAlignment="1" applyProtection="1">
      <protection locked="0"/>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44" borderId="0" xfId="0" applyFont="1" applyFill="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50" borderId="6" xfId="0" applyFont="1" applyFill="1" applyBorder="1" applyAlignment="1" applyProtection="1">
      <alignment wrapText="1"/>
      <protection locked="0"/>
    </xf>
    <xf numFmtId="168" fontId="12" fillId="0" borderId="6" xfId="0" applyNumberFormat="1" applyFont="1" applyBorder="1" applyAlignment="1">
      <alignment horizontal="center"/>
    </xf>
    <xf numFmtId="0" fontId="27" fillId="0" borderId="0" xfId="0" applyFont="1" applyAlignment="1">
      <alignment horizontal="center"/>
    </xf>
    <xf numFmtId="0" fontId="12" fillId="0" borderId="6" xfId="0" applyFont="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12"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9" fillId="0" borderId="9" xfId="0" applyFont="1" applyBorder="1" applyAlignment="1">
      <alignment horizontal="right"/>
    </xf>
    <xf numFmtId="0" fontId="19" fillId="0" borderId="10" xfId="0" applyFont="1" applyBorder="1" applyAlignment="1">
      <alignment horizontal="righ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0" xfId="0" applyFont="1" applyAlignment="1">
      <alignment horizontal="center" vertic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11"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68" fontId="0" fillId="0" borderId="11" xfId="0" applyNumberFormat="1" applyBorder="1" applyAlignment="1">
      <alignment horizontal="center"/>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Alignment="1">
      <alignment horizontal="center"/>
    </xf>
    <xf numFmtId="9" fontId="12" fillId="0" borderId="0" xfId="543" applyNumberFormat="1" applyAlignment="1">
      <alignment horizontal="center" vertical="center"/>
    </xf>
    <xf numFmtId="168" fontId="0" fillId="0" borderId="11" xfId="0" applyNumberFormat="1" applyBorder="1" applyAlignment="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Border="1" applyAlignment="1">
      <alignment horizontal="center"/>
    </xf>
    <xf numFmtId="0" fontId="0" fillId="0" borderId="9" xfId="0" applyBorder="1" applyAlignment="1">
      <alignment horizontal="left"/>
    </xf>
    <xf numFmtId="168" fontId="12"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2"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2" fillId="11" borderId="3" xfId="543" applyNumberFormat="1" applyFill="1" applyBorder="1" applyAlignment="1">
      <alignment horizontal="center"/>
    </xf>
    <xf numFmtId="168" fontId="12" fillId="11" borderId="4" xfId="543" applyNumberFormat="1" applyFill="1" applyBorder="1" applyAlignment="1">
      <alignment horizontal="center"/>
    </xf>
    <xf numFmtId="168" fontId="12" fillId="11" borderId="5" xfId="543" applyNumberFormat="1" applyFill="1" applyBorder="1" applyAlignment="1">
      <alignment horizontal="center"/>
    </xf>
    <xf numFmtId="175" fontId="42" fillId="5" borderId="3" xfId="0" applyNumberFormat="1" applyFont="1" applyFill="1" applyBorder="1" applyAlignment="1" applyProtection="1">
      <alignment horizontal="center"/>
      <protection locked="0"/>
    </xf>
    <xf numFmtId="175" fontId="42" fillId="5" borderId="4" xfId="0" applyNumberFormat="1" applyFont="1" applyFill="1" applyBorder="1" applyAlignment="1" applyProtection="1">
      <alignment horizontal="center"/>
      <protection locked="0"/>
    </xf>
    <xf numFmtId="175" fontId="42" fillId="5" borderId="5" xfId="0" applyNumberFormat="1" applyFont="1" applyFill="1" applyBorder="1" applyAlignment="1" applyProtection="1">
      <alignment horizontal="center"/>
      <protection locked="0"/>
    </xf>
    <xf numFmtId="3" fontId="35" fillId="11" borderId="6" xfId="543" applyNumberFormat="1" applyFont="1" applyFill="1" applyBorder="1" applyAlignment="1">
      <alignment horizontal="left" vertical="center" wrapText="1"/>
    </xf>
    <xf numFmtId="168" fontId="21" fillId="0" borderId="0" xfId="544" applyNumberFormat="1" applyAlignment="1">
      <alignment horizontal="right" vertical="center" wrapText="1"/>
    </xf>
    <xf numFmtId="175" fontId="21" fillId="0" borderId="0" xfId="544" applyNumberFormat="1" applyAlignment="1">
      <alignment horizontal="center"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wrapText="1"/>
    </xf>
    <xf numFmtId="0" fontId="28" fillId="0" borderId="2"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9" xfId="0" applyFont="1" applyBorder="1" applyAlignment="1">
      <alignment horizontal="center" wrapText="1"/>
    </xf>
    <xf numFmtId="0" fontId="28" fillId="0" borderId="6" xfId="0" applyFont="1" applyBorder="1" applyAlignment="1">
      <alignment horizontal="center" wrapText="1"/>
    </xf>
    <xf numFmtId="0" fontId="28" fillId="0" borderId="10" xfId="0" applyFont="1" applyBorder="1" applyAlignment="1">
      <alignment horizontal="center" wrapText="1"/>
    </xf>
    <xf numFmtId="180" fontId="0" fillId="0" borderId="6" xfId="0" applyNumberFormat="1" applyBorder="1" applyAlignment="1">
      <alignment horizontal="center"/>
    </xf>
    <xf numFmtId="0" fontId="43" fillId="0" borderId="1" xfId="0" applyFont="1" applyBorder="1" applyAlignment="1">
      <alignment horizontal="center" wrapText="1"/>
    </xf>
    <xf numFmtId="0" fontId="43" fillId="0" borderId="2" xfId="0" applyFont="1" applyBorder="1" applyAlignment="1">
      <alignment horizontal="center" wrapText="1"/>
    </xf>
    <xf numFmtId="0" fontId="43" fillId="0" borderId="7" xfId="0" applyFont="1" applyBorder="1" applyAlignment="1">
      <alignment horizontal="center" wrapText="1"/>
    </xf>
    <xf numFmtId="0" fontId="43" fillId="0" borderId="8" xfId="0" applyFont="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0" borderId="9" xfId="0" applyFont="1" applyBorder="1" applyAlignment="1">
      <alignment horizontal="center" wrapText="1"/>
    </xf>
    <xf numFmtId="0" fontId="43" fillId="0" borderId="6" xfId="0" applyFont="1" applyBorder="1" applyAlignment="1">
      <alignment horizontal="center" wrapText="1"/>
    </xf>
    <xf numFmtId="0" fontId="43" fillId="0" borderId="10" xfId="0" applyFont="1" applyBorder="1" applyAlignment="1">
      <alignment horizontal="center" wrapText="1"/>
    </xf>
    <xf numFmtId="0" fontId="19" fillId="5" borderId="11" xfId="0" applyFont="1"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8" fillId="3" borderId="0" xfId="0" applyFont="1" applyFill="1" applyAlignment="1">
      <alignment horizontal="center" vertical="center"/>
    </xf>
    <xf numFmtId="0" fontId="21" fillId="5" borderId="6" xfId="271" applyFill="1" applyBorder="1" applyAlignment="1" applyProtection="1">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34" fillId="0" borderId="9" xfId="543" applyFont="1" applyBorder="1" applyAlignment="1">
      <alignment horizontal="center" vertical="center" wrapText="1"/>
    </xf>
    <xf numFmtId="0" fontId="34" fillId="0" borderId="6" xfId="543" applyFont="1" applyBorder="1" applyAlignment="1">
      <alignment horizontal="center" vertical="center" wrapText="1"/>
    </xf>
    <xf numFmtId="0" fontId="34" fillId="0" borderId="10" xfId="543" applyFont="1" applyBorder="1" applyAlignment="1">
      <alignment horizontal="center"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1" borderId="3" xfId="543" applyFont="1" applyFill="1" applyBorder="1" applyAlignment="1">
      <alignment horizontal="center"/>
    </xf>
    <xf numFmtId="0" fontId="19" fillId="11" borderId="4" xfId="543" applyFont="1" applyFill="1" applyBorder="1" applyAlignment="1">
      <alignment horizontal="center"/>
    </xf>
    <xf numFmtId="0" fontId="19" fillId="11"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9" fillId="0" borderId="2" xfId="0" applyNumberFormat="1" applyFont="1" applyBorder="1" applyAlignment="1">
      <alignment horizontal="center" wrapText="1"/>
    </xf>
    <xf numFmtId="172" fontId="19" fillId="0" borderId="7" xfId="0" applyNumberFormat="1" applyFont="1" applyBorder="1" applyAlignment="1">
      <alignment horizontal="center" wrapText="1"/>
    </xf>
    <xf numFmtId="172" fontId="19" fillId="0" borderId="0" xfId="0" applyNumberFormat="1" applyFont="1" applyAlignment="1">
      <alignment horizontal="center" wrapText="1"/>
    </xf>
    <xf numFmtId="172" fontId="19" fillId="0" borderId="12" xfId="0" applyNumberFormat="1" applyFont="1" applyBorder="1" applyAlignment="1">
      <alignment horizontal="center" wrapText="1"/>
    </xf>
    <xf numFmtId="172" fontId="19" fillId="0" borderId="6" xfId="0" applyNumberFormat="1" applyFont="1" applyBorder="1" applyAlignment="1">
      <alignment horizontal="center" wrapText="1"/>
    </xf>
    <xf numFmtId="172" fontId="19" fillId="0" borderId="10" xfId="0" applyNumberFormat="1" applyFont="1" applyBorder="1" applyAlignment="1">
      <alignment horizontal="center" wrapText="1"/>
    </xf>
    <xf numFmtId="0" fontId="19" fillId="0" borderId="8" xfId="0" applyFont="1" applyBorder="1" applyAlignment="1">
      <alignment horizontal="center"/>
    </xf>
    <xf numFmtId="0" fontId="19" fillId="0" borderId="12" xfId="0" applyFont="1" applyBorder="1" applyAlignment="1">
      <alignment horizont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70" applyFont="1" applyAlignment="1">
      <alignment vertical="top" wrapText="1"/>
    </xf>
    <xf numFmtId="0" fontId="12" fillId="0" borderId="0" xfId="570"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32" fillId="48" borderId="66" xfId="8720" applyFont="1" applyFill="1" applyBorder="1" applyAlignment="1">
      <alignment horizontal="center"/>
    </xf>
    <xf numFmtId="0" fontId="132" fillId="48" borderId="29" xfId="8720" applyFont="1" applyFill="1" applyBorder="1" applyAlignment="1">
      <alignment horizontal="center"/>
    </xf>
    <xf numFmtId="0" fontId="132" fillId="48" borderId="31" xfId="8720" applyFont="1" applyFill="1" applyBorder="1" applyAlignment="1">
      <alignment horizontal="center"/>
    </xf>
    <xf numFmtId="0" fontId="133" fillId="49" borderId="67" xfId="8720" applyFont="1" applyFill="1" applyBorder="1" applyAlignment="1">
      <alignment horizontal="center"/>
    </xf>
    <xf numFmtId="0" fontId="133" fillId="49" borderId="0" xfId="8720" applyFont="1" applyFill="1" applyAlignment="1">
      <alignment horizontal="center"/>
    </xf>
    <xf numFmtId="0" fontId="133" fillId="49" borderId="41" xfId="8720" applyFont="1" applyFill="1" applyBorder="1" applyAlignment="1">
      <alignment horizontal="center"/>
    </xf>
    <xf numFmtId="0" fontId="138" fillId="45" borderId="68" xfId="8720" applyFont="1" applyFill="1" applyBorder="1" applyAlignment="1">
      <alignment horizontal="center"/>
    </xf>
    <xf numFmtId="0" fontId="138" fillId="45" borderId="69" xfId="8720" applyFont="1" applyFill="1" applyBorder="1" applyAlignment="1">
      <alignment horizontal="center"/>
    </xf>
    <xf numFmtId="0" fontId="138" fillId="45" borderId="70" xfId="8720" applyFont="1" applyFill="1" applyBorder="1" applyAlignment="1">
      <alignment horizontal="center"/>
    </xf>
    <xf numFmtId="0" fontId="134" fillId="46" borderId="71" xfId="8720" applyFont="1" applyFill="1" applyBorder="1" applyAlignment="1">
      <alignment horizontal="center"/>
    </xf>
    <xf numFmtId="0" fontId="134" fillId="46" borderId="72" xfId="8720" applyFont="1" applyFill="1" applyBorder="1" applyAlignment="1">
      <alignment horizontal="center"/>
    </xf>
    <xf numFmtId="14" fontId="138" fillId="44" borderId="73" xfId="8720" applyNumberFormat="1" applyFont="1" applyFill="1" applyBorder="1" applyAlignment="1" applyProtection="1">
      <alignment horizontal="center"/>
      <protection locked="0"/>
    </xf>
    <xf numFmtId="0" fontId="138" fillId="44" borderId="69" xfId="8720" applyFont="1" applyFill="1" applyBorder="1" applyAlignment="1" applyProtection="1">
      <alignment horizontal="center"/>
      <protection locked="0"/>
    </xf>
    <xf numFmtId="0" fontId="138" fillId="44" borderId="70" xfId="8720" applyFont="1" applyFill="1" applyBorder="1" applyAlignment="1" applyProtection="1">
      <alignment horizontal="center"/>
      <protection locked="0"/>
    </xf>
    <xf numFmtId="0" fontId="134" fillId="46" borderId="74" xfId="8720" applyFont="1" applyFill="1" applyBorder="1" applyAlignment="1">
      <alignment horizontal="center"/>
    </xf>
    <xf numFmtId="0" fontId="134" fillId="46" borderId="75" xfId="8720" applyFont="1" applyFill="1" applyBorder="1" applyAlignment="1">
      <alignment horizontal="center"/>
    </xf>
    <xf numFmtId="0" fontId="88" fillId="46" borderId="68" xfId="8720" applyFont="1" applyFill="1" applyBorder="1" applyAlignment="1">
      <alignment horizontal="center"/>
    </xf>
    <xf numFmtId="0" fontId="88" fillId="46" borderId="69" xfId="8720" applyFont="1" applyFill="1" applyBorder="1" applyAlignment="1">
      <alignment horizontal="center"/>
    </xf>
    <xf numFmtId="0" fontId="88" fillId="46" borderId="70" xfId="8720" applyFont="1" applyFill="1" applyBorder="1" applyAlignment="1">
      <alignment horizontal="center"/>
    </xf>
    <xf numFmtId="14" fontId="138" fillId="44" borderId="68" xfId="8720" applyNumberFormat="1" applyFont="1" applyFill="1" applyBorder="1" applyAlignment="1" applyProtection="1">
      <alignment horizontal="center" vertical="center"/>
      <protection locked="0"/>
    </xf>
    <xf numFmtId="0" fontId="138" fillId="44" borderId="69" xfId="8720" applyFont="1" applyFill="1" applyBorder="1" applyAlignment="1" applyProtection="1">
      <alignment horizontal="center" vertical="center"/>
      <protection locked="0"/>
    </xf>
    <xf numFmtId="0" fontId="13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38" fillId="44" borderId="68" xfId="8720" applyFont="1" applyFill="1" applyBorder="1" applyAlignment="1" applyProtection="1">
      <alignment horizontal="center"/>
      <protection locked="0"/>
    </xf>
    <xf numFmtId="0" fontId="88" fillId="46" borderId="0" xfId="8720" applyFont="1" applyFill="1" applyAlignment="1">
      <alignment horizontal="center"/>
    </xf>
    <xf numFmtId="0" fontId="8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38" fillId="45" borderId="68" xfId="8720" applyFont="1" applyFill="1" applyBorder="1" applyAlignment="1">
      <alignment horizontal="left"/>
    </xf>
    <xf numFmtId="0" fontId="138" fillId="45" borderId="69" xfId="8720" applyFont="1" applyFill="1" applyBorder="1" applyAlignment="1">
      <alignment horizontal="left"/>
    </xf>
    <xf numFmtId="0" fontId="13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5" fillId="46" borderId="68" xfId="8720" applyFont="1" applyFill="1" applyBorder="1" applyAlignment="1">
      <alignment horizontal="center" wrapText="1"/>
    </xf>
    <xf numFmtId="0" fontId="135" fillId="46" borderId="69" xfId="8720" applyFont="1" applyFill="1" applyBorder="1" applyAlignment="1">
      <alignment horizontal="center" wrapText="1"/>
    </xf>
    <xf numFmtId="0" fontId="135" fillId="46" borderId="70" xfId="8720" applyFont="1" applyFill="1" applyBorder="1" applyAlignment="1">
      <alignment horizontal="center" wrapText="1"/>
    </xf>
    <xf numFmtId="0" fontId="133" fillId="46" borderId="77" xfId="8720" applyFont="1"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139" fillId="46" borderId="80" xfId="8720" applyFont="1" applyFill="1" applyBorder="1" applyAlignment="1">
      <alignment horizontal="center"/>
    </xf>
    <xf numFmtId="0" fontId="139" fillId="46" borderId="2" xfId="8720" applyFont="1" applyFill="1" applyBorder="1" applyAlignment="1">
      <alignment horizontal="center"/>
    </xf>
    <xf numFmtId="0" fontId="139" fillId="46" borderId="7" xfId="8720" applyFont="1" applyFill="1" applyBorder="1" applyAlignment="1">
      <alignment horizontal="center"/>
    </xf>
    <xf numFmtId="0" fontId="139" fillId="46" borderId="3" xfId="8720" applyFont="1" applyFill="1" applyBorder="1" applyAlignment="1">
      <alignment horizontal="center"/>
    </xf>
    <xf numFmtId="0" fontId="139" fillId="46" borderId="4" xfId="8720" applyFont="1" applyFill="1" applyBorder="1" applyAlignment="1">
      <alignment horizontal="center"/>
    </xf>
    <xf numFmtId="0" fontId="139" fillId="46" borderId="5" xfId="8720" applyFont="1" applyFill="1" applyBorder="1" applyAlignment="1">
      <alignment horizontal="center"/>
    </xf>
    <xf numFmtId="0" fontId="139" fillId="46" borderId="81" xfId="8720" applyFont="1" applyFill="1" applyBorder="1" applyAlignment="1">
      <alignment horizontal="center"/>
    </xf>
    <xf numFmtId="0" fontId="139" fillId="45" borderId="3" xfId="8720" applyFont="1" applyFill="1" applyBorder="1" applyAlignment="1">
      <alignment horizontal="center"/>
    </xf>
    <xf numFmtId="0" fontId="139" fillId="45" borderId="4" xfId="8720" applyFont="1" applyFill="1" applyBorder="1" applyAlignment="1">
      <alignment horizontal="center"/>
    </xf>
    <xf numFmtId="0" fontId="139" fillId="45" borderId="5" xfId="8720" applyFont="1" applyFill="1" applyBorder="1" applyAlignment="1">
      <alignment horizontal="center"/>
    </xf>
    <xf numFmtId="9" fontId="139" fillId="45" borderId="3" xfId="8720" applyNumberFormat="1" applyFont="1" applyFill="1" applyBorder="1" applyAlignment="1">
      <alignment horizontal="center"/>
    </xf>
    <xf numFmtId="9" fontId="139" fillId="45" borderId="4" xfId="8720" applyNumberFormat="1" applyFont="1" applyFill="1" applyBorder="1" applyAlignment="1">
      <alignment horizontal="center"/>
    </xf>
    <xf numFmtId="9" fontId="139" fillId="45" borderId="81" xfId="8720" applyNumberFormat="1" applyFont="1" applyFill="1" applyBorder="1" applyAlignment="1">
      <alignment horizontal="center"/>
    </xf>
    <xf numFmtId="9" fontId="139" fillId="44" borderId="82" xfId="8720" applyNumberFormat="1" applyFont="1" applyFill="1" applyBorder="1" applyAlignment="1">
      <alignment horizontal="center"/>
    </xf>
    <xf numFmtId="0" fontId="139" fillId="44" borderId="11" xfId="8720" applyFont="1" applyFill="1" applyBorder="1" applyAlignment="1">
      <alignment horizontal="center"/>
    </xf>
    <xf numFmtId="0" fontId="139" fillId="45" borderId="83" xfId="8720" applyFont="1" applyFill="1" applyBorder="1" applyAlignment="1">
      <alignment horizontal="center"/>
    </xf>
    <xf numFmtId="0" fontId="139" fillId="45" borderId="84" xfId="8720" applyFont="1" applyFill="1" applyBorder="1" applyAlignment="1">
      <alignment horizontal="center"/>
    </xf>
    <xf numFmtId="0" fontId="13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39" fillId="45" borderId="90" xfId="8720" applyFont="1" applyFill="1" applyBorder="1" applyAlignment="1">
      <alignment horizontal="center"/>
    </xf>
    <xf numFmtId="0" fontId="139" fillId="45" borderId="42" xfId="8720" applyFont="1" applyFill="1" applyBorder="1" applyAlignment="1">
      <alignment horizontal="center"/>
    </xf>
    <xf numFmtId="0" fontId="139" fillId="45" borderId="89" xfId="8720" applyFont="1" applyFill="1" applyBorder="1" applyAlignment="1">
      <alignment horizontal="center"/>
    </xf>
    <xf numFmtId="9" fontId="139" fillId="45" borderId="90" xfId="1023" applyFont="1" applyFill="1" applyBorder="1" applyAlignment="1">
      <alignment horizontal="center"/>
    </xf>
    <xf numFmtId="9" fontId="139" fillId="45" borderId="42" xfId="1023" applyFont="1" applyFill="1" applyBorder="1" applyAlignment="1">
      <alignment horizontal="center"/>
    </xf>
    <xf numFmtId="9" fontId="139" fillId="45" borderId="44" xfId="1023" applyFont="1" applyFill="1" applyBorder="1" applyAlignment="1">
      <alignment horizontal="center"/>
    </xf>
    <xf numFmtId="0" fontId="52" fillId="46" borderId="68" xfId="8720" applyFont="1" applyFill="1" applyBorder="1" applyAlignment="1">
      <alignment horizontal="center"/>
    </xf>
    <xf numFmtId="0" fontId="52" fillId="46" borderId="69" xfId="8720" applyFont="1" applyFill="1" applyBorder="1" applyAlignment="1">
      <alignment horizontal="center"/>
    </xf>
    <xf numFmtId="0" fontId="52" fillId="46" borderId="70" xfId="8720" applyFont="1" applyFill="1" applyBorder="1" applyAlignment="1">
      <alignment horizontal="center"/>
    </xf>
    <xf numFmtId="0" fontId="140" fillId="46" borderId="67" xfId="8720" applyFont="1" applyFill="1" applyBorder="1" applyAlignment="1">
      <alignment horizontal="center" vertical="center" wrapText="1"/>
    </xf>
    <xf numFmtId="0" fontId="140" fillId="46" borderId="0" xfId="8720" applyFont="1" applyFill="1" applyAlignment="1">
      <alignment horizontal="center" vertical="center"/>
    </xf>
    <xf numFmtId="0" fontId="140" fillId="46" borderId="41" xfId="8720" applyFont="1" applyFill="1" applyBorder="1" applyAlignment="1">
      <alignment horizontal="center" vertical="center"/>
    </xf>
    <xf numFmtId="0" fontId="140" fillId="46" borderId="67" xfId="8720" applyFont="1" applyFill="1" applyBorder="1" applyAlignment="1">
      <alignment horizontal="center" vertical="center"/>
    </xf>
    <xf numFmtId="0" fontId="134" fillId="46" borderId="67" xfId="8720" applyFont="1" applyFill="1" applyBorder="1" applyAlignment="1">
      <alignment horizontal="center" vertical="center" wrapText="1"/>
    </xf>
    <xf numFmtId="0" fontId="134" fillId="46" borderId="0" xfId="8720" applyFont="1" applyFill="1" applyAlignment="1">
      <alignment horizontal="center" vertical="center"/>
    </xf>
    <xf numFmtId="0" fontId="134" fillId="46" borderId="41" xfId="8720" applyFont="1" applyFill="1" applyBorder="1" applyAlignment="1">
      <alignment horizontal="center" vertical="center"/>
    </xf>
    <xf numFmtId="0" fontId="134" fillId="46" borderId="67" xfId="8720" applyFont="1" applyFill="1" applyBorder="1" applyAlignment="1">
      <alignment horizontal="center" vertical="center"/>
    </xf>
    <xf numFmtId="0" fontId="43" fillId="46" borderId="68" xfId="8720" applyFont="1" applyFill="1" applyBorder="1" applyAlignment="1">
      <alignment horizontal="center"/>
    </xf>
    <xf numFmtId="0" fontId="43" fillId="46" borderId="69" xfId="8720" applyFont="1" applyFill="1" applyBorder="1" applyAlignment="1">
      <alignment horizontal="center"/>
    </xf>
    <xf numFmtId="0" fontId="43" fillId="46" borderId="70" xfId="8720" applyFont="1" applyFill="1" applyBorder="1" applyAlignment="1">
      <alignment horizontal="center"/>
    </xf>
    <xf numFmtId="0" fontId="43" fillId="46" borderId="66" xfId="8720" applyFont="1" applyFill="1" applyBorder="1" applyAlignment="1">
      <alignment horizontal="center" vertical="center" wrapText="1"/>
    </xf>
    <xf numFmtId="0" fontId="134" fillId="46" borderId="29" xfId="8720" applyFont="1" applyFill="1" applyBorder="1" applyAlignment="1">
      <alignment horizontal="center" vertical="center" wrapText="1"/>
    </xf>
    <xf numFmtId="0" fontId="134" fillId="46" borderId="31" xfId="8720" applyFont="1" applyFill="1" applyBorder="1" applyAlignment="1">
      <alignment horizontal="center" vertical="center" wrapText="1"/>
    </xf>
    <xf numFmtId="0" fontId="134" fillId="46" borderId="88" xfId="8720" applyFont="1" applyFill="1" applyBorder="1" applyAlignment="1">
      <alignment horizontal="center" vertical="center" wrapText="1"/>
    </xf>
    <xf numFmtId="0" fontId="134" fillId="46" borderId="42" xfId="8720" applyFont="1" applyFill="1" applyBorder="1" applyAlignment="1">
      <alignment horizontal="center" vertical="center" wrapText="1"/>
    </xf>
    <xf numFmtId="0" fontId="134" fillId="46" borderId="44" xfId="8720" applyFont="1" applyFill="1" applyBorder="1" applyAlignment="1">
      <alignment horizontal="center" vertical="center" wrapText="1"/>
    </xf>
    <xf numFmtId="0" fontId="139" fillId="45" borderId="88" xfId="8720" applyFont="1" applyFill="1" applyBorder="1" applyAlignment="1">
      <alignment horizontal="center"/>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36" fillId="44" borderId="5" xfId="8720" applyFont="1" applyFill="1" applyBorder="1" applyAlignment="1" applyProtection="1">
      <alignment horizontal="center"/>
      <protection locked="0"/>
    </xf>
    <xf numFmtId="0" fontId="136" fillId="44" borderId="11" xfId="8720" applyFont="1" applyFill="1" applyBorder="1" applyAlignment="1" applyProtection="1">
      <alignment horizontal="center"/>
      <protection locked="0"/>
    </xf>
    <xf numFmtId="0" fontId="136" fillId="44" borderId="93" xfId="8720" applyFont="1" applyFill="1" applyBorder="1" applyAlignment="1" applyProtection="1">
      <alignment horizontal="center"/>
      <protection locked="0"/>
    </xf>
    <xf numFmtId="0" fontId="136" fillId="44" borderId="82" xfId="8720" applyFont="1" applyFill="1" applyBorder="1" applyAlignment="1" applyProtection="1">
      <alignment horizontal="center"/>
      <protection locked="0"/>
    </xf>
    <xf numFmtId="0" fontId="136" fillId="44" borderId="3" xfId="8720"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0" fontId="43" fillId="44" borderId="71" xfId="8720" applyFont="1" applyFill="1" applyBorder="1" applyAlignment="1" applyProtection="1">
      <alignment horizontal="right"/>
      <protection locked="0"/>
    </xf>
    <xf numFmtId="0" fontId="43" fillId="44" borderId="72" xfId="8720" applyFont="1" applyFill="1" applyBorder="1" applyAlignment="1" applyProtection="1">
      <alignment horizontal="right"/>
      <protection locked="0"/>
    </xf>
    <xf numFmtId="0" fontId="43" fillId="44" borderId="76" xfId="8720" applyFont="1" applyFill="1" applyBorder="1" applyAlignment="1" applyProtection="1">
      <alignment horizontal="right"/>
      <protection locked="0"/>
    </xf>
    <xf numFmtId="0" fontId="141" fillId="44" borderId="91" xfId="8720" applyFont="1" applyFill="1" applyBorder="1" applyAlignment="1" applyProtection="1">
      <alignment horizontal="center"/>
      <protection locked="0"/>
    </xf>
    <xf numFmtId="0" fontId="141" fillId="44" borderId="72" xfId="8720" applyFont="1" applyFill="1" applyBorder="1" applyAlignment="1" applyProtection="1">
      <alignment horizontal="center"/>
      <protection locked="0"/>
    </xf>
    <xf numFmtId="0" fontId="141" fillId="44" borderId="76" xfId="8720" applyFont="1" applyFill="1" applyBorder="1" applyAlignment="1" applyProtection="1">
      <alignment horizontal="center"/>
      <protection locked="0"/>
    </xf>
    <xf numFmtId="0" fontId="136" fillId="44" borderId="71" xfId="8720" applyFont="1" applyFill="1" applyBorder="1" applyAlignment="1" applyProtection="1">
      <alignment horizontal="center"/>
      <protection locked="0"/>
    </xf>
    <xf numFmtId="0" fontId="136" fillId="44" borderId="72" xfId="8720" applyFont="1" applyFill="1" applyBorder="1" applyAlignment="1" applyProtection="1">
      <alignment horizontal="center"/>
      <protection locked="0"/>
    </xf>
    <xf numFmtId="0" fontId="136" fillId="44" borderId="92" xfId="8720" applyFont="1" applyFill="1" applyBorder="1" applyAlignment="1" applyProtection="1">
      <alignment horizontal="center"/>
      <protection locked="0"/>
    </xf>
    <xf numFmtId="1" fontId="136" fillId="44" borderId="13" xfId="8720" applyNumberFormat="1" applyFont="1" applyFill="1" applyBorder="1" applyAlignment="1" applyProtection="1">
      <alignment horizontal="center"/>
      <protection locked="0"/>
    </xf>
    <xf numFmtId="1" fontId="138" fillId="45" borderId="13" xfId="8720" applyNumberFormat="1" applyFont="1" applyFill="1" applyBorder="1" applyAlignment="1">
      <alignment horizontal="center"/>
    </xf>
    <xf numFmtId="9" fontId="13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2" fillId="44" borderId="5" xfId="8720"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34" fillId="44" borderId="94" xfId="8720" applyFont="1" applyFill="1" applyBorder="1" applyAlignment="1" applyProtection="1">
      <alignment horizontal="right"/>
      <protection locked="0"/>
    </xf>
    <xf numFmtId="0" fontId="134" fillId="44" borderId="4" xfId="8720" applyFont="1" applyFill="1" applyBorder="1" applyAlignment="1" applyProtection="1">
      <alignment horizontal="right"/>
      <protection locked="0"/>
    </xf>
    <xf numFmtId="0" fontId="134" fillId="44" borderId="81" xfId="8720" applyFont="1" applyFill="1" applyBorder="1" applyAlignment="1" applyProtection="1">
      <alignment horizontal="right"/>
      <protection locked="0"/>
    </xf>
    <xf numFmtId="0" fontId="134" fillId="44" borderId="82" xfId="8720" applyFont="1" applyFill="1" applyBorder="1" applyAlignment="1" applyProtection="1">
      <alignment horizontal="right"/>
      <protection locked="0"/>
    </xf>
    <xf numFmtId="0" fontId="134" fillId="44" borderId="11" xfId="8720" applyFont="1" applyFill="1" applyBorder="1" applyAlignment="1" applyProtection="1">
      <alignment horizontal="right"/>
      <protection locked="0"/>
    </xf>
    <xf numFmtId="0" fontId="134" fillId="44" borderId="93" xfId="8720" applyFont="1" applyFill="1" applyBorder="1" applyAlignment="1" applyProtection="1">
      <alignment horizontal="right"/>
      <protection locked="0"/>
    </xf>
    <xf numFmtId="0" fontId="134" fillId="44" borderId="74" xfId="8720" applyFont="1" applyFill="1" applyBorder="1" applyAlignment="1" applyProtection="1">
      <alignment horizontal="right"/>
      <protection locked="0"/>
    </xf>
    <xf numFmtId="0" fontId="134" fillId="44" borderId="75" xfId="8720" applyFont="1" applyFill="1" applyBorder="1" applyAlignment="1" applyProtection="1">
      <alignment horizontal="right"/>
      <protection locked="0"/>
    </xf>
    <xf numFmtId="0" fontId="13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33" fillId="46" borderId="68" xfId="8720" applyFont="1" applyFill="1" applyBorder="1" applyAlignment="1">
      <alignment horizontal="center"/>
    </xf>
    <xf numFmtId="0" fontId="133" fillId="46" borderId="69" xfId="8720" applyFont="1" applyFill="1" applyBorder="1" applyAlignment="1">
      <alignment horizontal="center"/>
    </xf>
    <xf numFmtId="0" fontId="133" fillId="46" borderId="70" xfId="8720" applyFont="1" applyFill="1" applyBorder="1" applyAlignment="1">
      <alignment horizontal="center"/>
    </xf>
    <xf numFmtId="0" fontId="134" fillId="46" borderId="66" xfId="8720" applyFont="1" applyFill="1" applyBorder="1" applyAlignment="1">
      <alignment horizontal="center"/>
    </xf>
    <xf numFmtId="0" fontId="134" fillId="46" borderId="29" xfId="8720" applyFont="1" applyFill="1" applyBorder="1" applyAlignment="1">
      <alignment horizontal="center"/>
    </xf>
    <xf numFmtId="0" fontId="134" fillId="46" borderId="31" xfId="8720" applyFont="1" applyFill="1" applyBorder="1" applyAlignment="1">
      <alignment horizontal="center"/>
    </xf>
    <xf numFmtId="0" fontId="43" fillId="46" borderId="29" xfId="8720" applyFont="1" applyFill="1" applyBorder="1" applyAlignment="1">
      <alignment horizontal="center" vertical="center" wrapText="1"/>
    </xf>
    <xf numFmtId="0" fontId="43"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44" fillId="44" borderId="82" xfId="8720" applyFont="1" applyFill="1" applyBorder="1" applyAlignment="1" applyProtection="1">
      <alignment horizontal="center"/>
      <protection locked="0"/>
    </xf>
    <xf numFmtId="0" fontId="144" fillId="44" borderId="11" xfId="8720" applyFont="1" applyFill="1" applyBorder="1" applyAlignment="1" applyProtection="1">
      <alignment horizontal="center"/>
      <protection locked="0"/>
    </xf>
    <xf numFmtId="183" fontId="144" fillId="44" borderId="11" xfId="8721" applyNumberFormat="1" applyFont="1" applyFill="1" applyBorder="1" applyAlignment="1" applyProtection="1">
      <alignment horizontal="center"/>
      <protection locked="0"/>
    </xf>
    <xf numFmtId="180" fontId="144" fillId="44" borderId="11" xfId="8720" applyNumberFormat="1" applyFont="1" applyFill="1" applyBorder="1" applyAlignment="1" applyProtection="1">
      <alignment horizontal="center"/>
      <protection locked="0"/>
    </xf>
    <xf numFmtId="183" fontId="144" fillId="44" borderId="11" xfId="701" applyNumberFormat="1" applyFont="1" applyFill="1" applyBorder="1" applyAlignment="1" applyProtection="1">
      <alignment horizontal="center"/>
      <protection locked="0"/>
    </xf>
    <xf numFmtId="183" fontId="144" fillId="44" borderId="93" xfId="701" applyNumberFormat="1" applyFont="1" applyFill="1" applyBorder="1" applyAlignment="1" applyProtection="1">
      <alignment horizontal="center"/>
      <protection locked="0"/>
    </xf>
    <xf numFmtId="0" fontId="43" fillId="46" borderId="66" xfId="8720" applyFont="1" applyFill="1" applyBorder="1" applyAlignment="1">
      <alignment horizontal="center"/>
    </xf>
    <xf numFmtId="0" fontId="43" fillId="46" borderId="29" xfId="8720" applyFont="1" applyFill="1" applyBorder="1" applyAlignment="1">
      <alignment horizontal="center"/>
    </xf>
    <xf numFmtId="0" fontId="43" fillId="46" borderId="31" xfId="8720" applyFont="1" applyFill="1" applyBorder="1" applyAlignment="1">
      <alignment horizontal="center"/>
    </xf>
    <xf numFmtId="0" fontId="43" fillId="46" borderId="78" xfId="8720" applyFont="1" applyFill="1" applyBorder="1" applyAlignment="1">
      <alignment horizontal="center"/>
    </xf>
    <xf numFmtId="0" fontId="43" fillId="46" borderId="79" xfId="8720" applyFont="1" applyFill="1" applyBorder="1" applyAlignment="1">
      <alignment horizontal="center"/>
    </xf>
    <xf numFmtId="0" fontId="144" fillId="44" borderId="93" xfId="8720" applyFont="1" applyFill="1" applyBorder="1" applyAlignment="1" applyProtection="1">
      <alignment horizontal="center"/>
      <protection locked="0"/>
    </xf>
    <xf numFmtId="0" fontId="144" fillId="44" borderId="5" xfId="8720" applyFont="1" applyFill="1" applyBorder="1" applyAlignment="1" applyProtection="1">
      <alignment horizontal="center"/>
      <protection locked="0"/>
    </xf>
    <xf numFmtId="0" fontId="144" fillId="44" borderId="74" xfId="8720" applyFont="1" applyFill="1" applyBorder="1" applyAlignment="1" applyProtection="1">
      <alignment horizontal="center"/>
      <protection locked="0"/>
    </xf>
    <xf numFmtId="0" fontId="144" fillId="44" borderId="75" xfId="8720" applyFont="1" applyFill="1" applyBorder="1" applyAlignment="1" applyProtection="1">
      <alignment horizontal="center"/>
      <protection locked="0"/>
    </xf>
    <xf numFmtId="183" fontId="144" fillId="44" borderId="75" xfId="8721" applyNumberFormat="1" applyFont="1" applyFill="1" applyBorder="1" applyAlignment="1" applyProtection="1">
      <alignment horizontal="center"/>
      <protection locked="0"/>
    </xf>
    <xf numFmtId="180" fontId="144" fillId="44" borderId="75" xfId="8720" applyNumberFormat="1" applyFont="1" applyFill="1" applyBorder="1" applyAlignment="1" applyProtection="1">
      <alignment horizontal="center"/>
      <protection locked="0"/>
    </xf>
    <xf numFmtId="183" fontId="144" fillId="44" borderId="75" xfId="701" applyNumberFormat="1" applyFont="1" applyFill="1" applyBorder="1" applyAlignment="1" applyProtection="1">
      <alignment horizontal="center"/>
      <protection locked="0"/>
    </xf>
    <xf numFmtId="183" fontId="144" fillId="44" borderId="95" xfId="701" applyNumberFormat="1" applyFont="1" applyFill="1" applyBorder="1" applyAlignment="1" applyProtection="1">
      <alignment horizontal="center"/>
      <protection locked="0"/>
    </xf>
    <xf numFmtId="0" fontId="134" fillId="46" borderId="96" xfId="8720" applyFont="1" applyFill="1" applyBorder="1" applyAlignment="1">
      <alignment horizontal="center"/>
    </xf>
    <xf numFmtId="0" fontId="134" fillId="46" borderId="43" xfId="8720" applyFont="1" applyFill="1" applyBorder="1" applyAlignment="1">
      <alignment horizontal="center"/>
    </xf>
    <xf numFmtId="183" fontId="134" fillId="46" borderId="43" xfId="8721" applyNumberFormat="1" applyFont="1" applyFill="1" applyBorder="1" applyAlignment="1">
      <alignment horizontal="center"/>
    </xf>
    <xf numFmtId="180" fontId="134" fillId="46" borderId="43" xfId="8721" applyNumberFormat="1" applyFont="1" applyFill="1" applyBorder="1" applyAlignment="1">
      <alignment horizontal="center"/>
    </xf>
    <xf numFmtId="44" fontId="134" fillId="46" borderId="43" xfId="8721" applyFont="1" applyFill="1" applyBorder="1" applyAlignment="1">
      <alignment horizontal="center"/>
    </xf>
    <xf numFmtId="0" fontId="138" fillId="44" borderId="72" xfId="8720" applyFont="1" applyFill="1" applyBorder="1" applyAlignment="1" applyProtection="1">
      <alignment horizontal="center"/>
      <protection locked="0"/>
    </xf>
    <xf numFmtId="0" fontId="138" fillId="44" borderId="76" xfId="8720" applyFont="1" applyFill="1" applyBorder="1" applyAlignment="1" applyProtection="1">
      <alignment horizontal="center"/>
      <protection locked="0"/>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33" fillId="46" borderId="3"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88" fillId="46" borderId="74" xfId="8720" applyFont="1" applyFill="1" applyBorder="1" applyAlignment="1">
      <alignment horizontal="center"/>
    </xf>
    <xf numFmtId="0" fontId="88" fillId="46" borderId="75" xfId="8720" applyFont="1" applyFill="1" applyBorder="1" applyAlignment="1">
      <alignment horizontal="center"/>
    </xf>
    <xf numFmtId="14" fontId="138" fillId="44" borderId="75" xfId="8720" applyNumberFormat="1" applyFont="1" applyFill="1" applyBorder="1" applyAlignment="1" applyProtection="1">
      <alignment horizontal="center"/>
      <protection locked="0"/>
    </xf>
    <xf numFmtId="0" fontId="138" fillId="44" borderId="75" xfId="8720" applyFont="1" applyFill="1" applyBorder="1" applyAlignment="1" applyProtection="1">
      <alignment horizontal="center"/>
      <protection locked="0"/>
    </xf>
    <xf numFmtId="0" fontId="138" fillId="44" borderId="95" xfId="8720" applyFont="1" applyFill="1" applyBorder="1" applyAlignment="1" applyProtection="1">
      <alignment horizontal="center"/>
      <protection locked="0"/>
    </xf>
    <xf numFmtId="0" fontId="144" fillId="44" borderId="95" xfId="8720" applyFont="1" applyFill="1" applyBorder="1" applyAlignment="1" applyProtection="1">
      <alignment horizontal="center"/>
      <protection locked="0"/>
    </xf>
    <xf numFmtId="0" fontId="144" fillId="44" borderId="85" xfId="8720" applyFont="1" applyFill="1" applyBorder="1" applyAlignment="1" applyProtection="1">
      <alignment horizontal="center"/>
      <protection locked="0"/>
    </xf>
    <xf numFmtId="0" fontId="89" fillId="44" borderId="82" xfId="8720" applyFont="1" applyFill="1" applyBorder="1" applyAlignment="1" applyProtection="1">
      <alignment horizontal="center"/>
      <protection locked="0"/>
    </xf>
    <xf numFmtId="0" fontId="89" fillId="44" borderId="11" xfId="8720" applyFont="1" applyFill="1" applyBorder="1" applyAlignment="1" applyProtection="1">
      <alignment horizontal="center"/>
      <protection locked="0"/>
    </xf>
    <xf numFmtId="183" fontId="138" fillId="44" borderId="11" xfId="701" applyNumberFormat="1" applyFont="1" applyFill="1" applyBorder="1" applyAlignment="1" applyProtection="1">
      <alignment horizontal="center"/>
      <protection locked="0"/>
    </xf>
    <xf numFmtId="183" fontId="138" fillId="44" borderId="93" xfId="701" applyNumberFormat="1" applyFont="1" applyFill="1" applyBorder="1" applyAlignment="1" applyProtection="1">
      <alignment horizontal="center"/>
      <protection locked="0"/>
    </xf>
    <xf numFmtId="0" fontId="133" fillId="46" borderId="97" xfId="8720" applyFont="1" applyFill="1" applyBorder="1" applyAlignment="1">
      <alignment horizontal="center"/>
    </xf>
    <xf numFmtId="0" fontId="133" fillId="46" borderId="13" xfId="8720" applyFont="1" applyFill="1" applyBorder="1" applyAlignment="1">
      <alignment horizontal="center"/>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88" fillId="46" borderId="71" xfId="8720" applyFont="1" applyFill="1" applyBorder="1" applyAlignment="1">
      <alignment horizontal="center"/>
    </xf>
    <xf numFmtId="0" fontId="88" fillId="46" borderId="72"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0" fontId="133" fillId="46" borderId="76" xfId="8720" applyFont="1" applyFill="1" applyBorder="1" applyAlignment="1">
      <alignment horizontal="center"/>
    </xf>
    <xf numFmtId="0" fontId="156" fillId="44" borderId="82" xfId="8720" applyFont="1" applyFill="1" applyBorder="1" applyAlignment="1" applyProtection="1">
      <alignment horizontal="left" vertical="top"/>
      <protection locked="0"/>
    </xf>
    <xf numFmtId="0" fontId="156" fillId="44" borderId="11" xfId="8720" applyFont="1" applyFill="1" applyBorder="1" applyAlignment="1" applyProtection="1">
      <alignment horizontal="left" vertical="top"/>
      <protection locked="0"/>
    </xf>
    <xf numFmtId="0" fontId="156" fillId="44" borderId="93" xfId="8720" applyFont="1" applyFill="1" applyBorder="1" applyAlignment="1" applyProtection="1">
      <alignment horizontal="left" vertical="top"/>
      <protection locked="0"/>
    </xf>
    <xf numFmtId="0" fontId="156" fillId="44" borderId="74" xfId="8720" applyFont="1" applyFill="1" applyBorder="1" applyAlignment="1" applyProtection="1">
      <alignment horizontal="left" vertical="top"/>
      <protection locked="0"/>
    </xf>
    <xf numFmtId="0" fontId="156" fillId="44" borderId="75" xfId="8720" applyFont="1" applyFill="1" applyBorder="1" applyAlignment="1" applyProtection="1">
      <alignment horizontal="left" vertical="top"/>
      <protection locked="0"/>
    </xf>
    <xf numFmtId="0" fontId="156" fillId="44" borderId="95" xfId="8720" applyFont="1" applyFill="1" applyBorder="1" applyAlignment="1" applyProtection="1">
      <alignment horizontal="left" vertical="top"/>
      <protection locked="0"/>
    </xf>
    <xf numFmtId="183" fontId="138" fillId="44" borderId="99" xfId="701" applyNumberFormat="1" applyFont="1" applyFill="1" applyBorder="1" applyAlignment="1" applyProtection="1">
      <alignment horizontal="center"/>
      <protection locked="0"/>
    </xf>
    <xf numFmtId="183" fontId="138" fillId="44" borderId="100" xfId="701" applyNumberFormat="1" applyFont="1" applyFill="1" applyBorder="1" applyAlignment="1" applyProtection="1">
      <alignment horizontal="center"/>
      <protection locked="0"/>
    </xf>
    <xf numFmtId="0" fontId="133" fillId="46" borderId="96" xfId="8720" applyFont="1" applyFill="1" applyBorder="1" applyAlignment="1">
      <alignment horizontal="right"/>
    </xf>
    <xf numFmtId="0" fontId="133" fillId="46" borderId="43" xfId="8720" applyFont="1" applyFill="1" applyBorder="1" applyAlignment="1">
      <alignment horizontal="right"/>
    </xf>
    <xf numFmtId="44" fontId="133" fillId="46" borderId="43" xfId="8720" applyNumberFormat="1" applyFont="1" applyFill="1" applyBorder="1" applyAlignment="1">
      <alignment horizontal="center"/>
    </xf>
    <xf numFmtId="0" fontId="133" fillId="46" borderId="43" xfId="8720" applyFont="1" applyFill="1" applyBorder="1" applyAlignment="1">
      <alignment horizontal="center"/>
    </xf>
    <xf numFmtId="0" fontId="133" fillId="46" borderId="101" xfId="8720" applyFont="1" applyFill="1" applyBorder="1" applyAlignment="1">
      <alignment horizontal="center"/>
    </xf>
    <xf numFmtId="0" fontId="88" fillId="46" borderId="66" xfId="8720" applyFont="1" applyFill="1" applyBorder="1" applyAlignment="1">
      <alignment horizontal="center" wrapText="1"/>
    </xf>
    <xf numFmtId="0" fontId="88" fillId="46" borderId="29" xfId="8720" applyFont="1" applyFill="1" applyBorder="1" applyAlignment="1">
      <alignment horizontal="center" wrapText="1"/>
    </xf>
    <xf numFmtId="0" fontId="88" fillId="46" borderId="31" xfId="8720" applyFont="1" applyFill="1" applyBorder="1" applyAlignment="1">
      <alignment horizontal="center" wrapText="1"/>
    </xf>
    <xf numFmtId="0" fontId="88" fillId="46" borderId="66" xfId="8720" applyFont="1" applyFill="1" applyBorder="1" applyAlignment="1">
      <alignment horizontal="left" wrapText="1"/>
    </xf>
    <xf numFmtId="0" fontId="88" fillId="46" borderId="29" xfId="8720" applyFont="1" applyFill="1" applyBorder="1" applyAlignment="1">
      <alignment horizontal="left" wrapText="1"/>
    </xf>
    <xf numFmtId="0" fontId="88" fillId="46" borderId="67" xfId="8720" applyFont="1" applyFill="1" applyBorder="1" applyAlignment="1">
      <alignment horizontal="left" wrapText="1"/>
    </xf>
    <xf numFmtId="0" fontId="88" fillId="46" borderId="0" xfId="8720" applyFont="1" applyFill="1" applyAlignment="1">
      <alignment horizontal="left" wrapText="1"/>
    </xf>
    <xf numFmtId="0" fontId="88" fillId="46" borderId="88" xfId="8720" applyFont="1" applyFill="1" applyBorder="1" applyAlignment="1">
      <alignment horizontal="left" wrapText="1"/>
    </xf>
    <xf numFmtId="0" fontId="88" fillId="46" borderId="42" xfId="8720" applyFont="1" applyFill="1" applyBorder="1" applyAlignment="1">
      <alignment horizontal="left" wrapText="1"/>
    </xf>
    <xf numFmtId="0" fontId="138" fillId="44" borderId="29" xfId="8720" applyFont="1" applyFill="1" applyBorder="1" applyAlignment="1" applyProtection="1">
      <alignment horizontal="center"/>
      <protection locked="0"/>
    </xf>
    <xf numFmtId="0" fontId="138" fillId="44" borderId="31" xfId="8720" applyFont="1" applyFill="1" applyBorder="1" applyAlignment="1" applyProtection="1">
      <alignment horizontal="center"/>
      <protection locked="0"/>
    </xf>
    <xf numFmtId="0" fontId="138" fillId="44" borderId="0" xfId="8720" applyFont="1" applyFill="1" applyAlignment="1" applyProtection="1">
      <alignment horizontal="center"/>
      <protection locked="0"/>
    </xf>
    <xf numFmtId="0" fontId="138" fillId="44" borderId="41" xfId="8720" applyFont="1" applyFill="1" applyBorder="1" applyAlignment="1" applyProtection="1">
      <alignment horizontal="center"/>
      <protection locked="0"/>
    </xf>
    <xf numFmtId="0" fontId="138" fillId="44" borderId="42" xfId="8720" applyFont="1" applyFill="1" applyBorder="1" applyAlignment="1" applyProtection="1">
      <alignment horizontal="center"/>
      <protection locked="0"/>
    </xf>
    <xf numFmtId="0" fontId="138" fillId="44" borderId="44" xfId="8720" applyFont="1" applyFill="1" applyBorder="1" applyAlignment="1" applyProtection="1">
      <alignment horizontal="center"/>
      <protection locked="0"/>
    </xf>
    <xf numFmtId="0" fontId="88" fillId="46" borderId="66" xfId="8720" applyFont="1" applyFill="1" applyBorder="1" applyAlignment="1">
      <alignment horizontal="center"/>
    </xf>
    <xf numFmtId="0" fontId="88" fillId="46" borderId="29" xfId="8720" applyFont="1" applyFill="1" applyBorder="1" applyAlignment="1">
      <alignment horizontal="center"/>
    </xf>
    <xf numFmtId="0" fontId="88" fillId="46" borderId="31" xfId="8720" applyFont="1" applyFill="1" applyBorder="1" applyAlignment="1">
      <alignment horizontal="center"/>
    </xf>
    <xf numFmtId="0" fontId="88" fillId="46" borderId="88" xfId="8720" applyFont="1" applyFill="1" applyBorder="1" applyAlignment="1">
      <alignment horizontal="center"/>
    </xf>
    <xf numFmtId="0" fontId="88" fillId="46" borderId="42" xfId="8720" applyFont="1" applyFill="1" applyBorder="1" applyAlignment="1">
      <alignment horizontal="center"/>
    </xf>
    <xf numFmtId="0" fontId="88" fillId="46" borderId="44" xfId="8720" applyFont="1" applyFill="1" applyBorder="1" applyAlignment="1">
      <alignment horizontal="center"/>
    </xf>
    <xf numFmtId="0" fontId="88" fillId="46" borderId="82" xfId="8720" applyFont="1" applyFill="1" applyBorder="1" applyAlignment="1">
      <alignment horizontal="center"/>
    </xf>
    <xf numFmtId="0" fontId="88" fillId="46" borderId="11" xfId="8720" applyFont="1" applyFill="1" applyBorder="1" applyAlignment="1">
      <alignment horizontal="center"/>
    </xf>
    <xf numFmtId="0" fontId="88" fillId="46" borderId="72" xfId="8720" applyFont="1" applyFill="1" applyBorder="1" applyAlignment="1">
      <alignment horizontal="center" wrapText="1"/>
    </xf>
    <xf numFmtId="0" fontId="88" fillId="46" borderId="11" xfId="8720" applyFont="1" applyFill="1" applyBorder="1" applyAlignment="1">
      <alignment horizontal="center" wrapText="1"/>
    </xf>
    <xf numFmtId="0" fontId="133" fillId="46" borderId="93" xfId="8720" applyFont="1" applyFill="1" applyBorder="1" applyAlignment="1">
      <alignment horizontal="center"/>
    </xf>
    <xf numFmtId="0" fontId="88" fillId="44" borderId="97" xfId="8720" applyFont="1" applyFill="1" applyBorder="1" applyAlignment="1" applyProtection="1">
      <alignment horizontal="center"/>
      <protection locked="0"/>
    </xf>
    <xf numFmtId="0" fontId="88" fillId="44" borderId="13" xfId="8720" applyFont="1" applyFill="1" applyBorder="1" applyAlignment="1" applyProtection="1">
      <alignment horizontal="center"/>
      <protection locked="0"/>
    </xf>
    <xf numFmtId="0" fontId="156" fillId="44" borderId="66" xfId="8720" applyFont="1" applyFill="1" applyBorder="1" applyAlignment="1">
      <alignment horizontal="left" vertical="top"/>
    </xf>
    <xf numFmtId="0" fontId="156" fillId="44" borderId="29" xfId="8720" applyFont="1" applyFill="1" applyBorder="1" applyAlignment="1">
      <alignment horizontal="left" vertical="top"/>
    </xf>
    <xf numFmtId="0" fontId="156" fillId="44" borderId="31" xfId="8720" applyFont="1" applyFill="1" applyBorder="1" applyAlignment="1">
      <alignment horizontal="left" vertical="top"/>
    </xf>
    <xf numFmtId="0" fontId="156" fillId="44" borderId="88" xfId="8720" applyFont="1" applyFill="1" applyBorder="1" applyAlignment="1">
      <alignment horizontal="left" vertical="top"/>
    </xf>
    <xf numFmtId="0" fontId="156" fillId="44" borderId="42" xfId="8720" applyFont="1" applyFill="1" applyBorder="1" applyAlignment="1">
      <alignment horizontal="left" vertical="top"/>
    </xf>
    <xf numFmtId="0" fontId="156" fillId="44" borderId="44" xfId="8720" applyFont="1" applyFill="1" applyBorder="1" applyAlignment="1">
      <alignment horizontal="left" vertical="top"/>
    </xf>
    <xf numFmtId="0" fontId="88" fillId="46" borderId="102" xfId="8720" applyFont="1" applyFill="1" applyBorder="1" applyAlignment="1">
      <alignment horizontal="center"/>
    </xf>
    <xf numFmtId="0" fontId="88" fillId="46" borderId="103" xfId="8720" applyFont="1" applyFill="1" applyBorder="1" applyAlignment="1">
      <alignment horizontal="center"/>
    </xf>
    <xf numFmtId="0" fontId="88" fillId="46" borderId="104" xfId="8720" applyFont="1" applyFill="1" applyBorder="1" applyAlignment="1">
      <alignment horizontal="center"/>
    </xf>
    <xf numFmtId="0" fontId="88" fillId="44" borderId="74" xfId="8720" applyFont="1" applyFill="1" applyBorder="1" applyAlignment="1" applyProtection="1">
      <alignment horizontal="center"/>
      <protection locked="0"/>
    </xf>
    <xf numFmtId="0" fontId="88" fillId="44" borderId="75" xfId="8720" applyFont="1" applyFill="1" applyBorder="1" applyAlignment="1" applyProtection="1">
      <alignment horizontal="center"/>
      <protection locked="0"/>
    </xf>
    <xf numFmtId="0" fontId="88" fillId="44" borderId="86" xfId="8720" applyFont="1" applyFill="1" applyBorder="1" applyAlignment="1" applyProtection="1">
      <alignment horizontal="center"/>
      <protection locked="0"/>
    </xf>
    <xf numFmtId="0" fontId="88" fillId="44" borderId="95" xfId="8720" applyFont="1" applyFill="1" applyBorder="1" applyAlignment="1" applyProtection="1">
      <alignment horizontal="center"/>
      <protection locked="0"/>
    </xf>
    <xf numFmtId="0" fontId="88" fillId="44" borderId="9"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88" fillId="44" borderId="93" xfId="8720" applyFont="1" applyFill="1" applyBorder="1" applyAlignment="1" applyProtection="1">
      <alignment horizontal="center"/>
      <protection locked="0"/>
    </xf>
    <xf numFmtId="0" fontId="88" fillId="46" borderId="73" xfId="8720" applyFont="1" applyFill="1" applyBorder="1" applyAlignment="1">
      <alignment horizontal="center"/>
    </xf>
    <xf numFmtId="0" fontId="88" fillId="44" borderId="85" xfId="8720" applyFont="1" applyFill="1" applyBorder="1" applyAlignment="1" applyProtection="1">
      <alignment horizontal="center"/>
      <protection locked="0"/>
    </xf>
    <xf numFmtId="0" fontId="88" fillId="48" borderId="75" xfId="8720" applyFont="1" applyFill="1" applyBorder="1" applyAlignment="1" applyProtection="1">
      <alignment horizontal="center"/>
      <protection locked="0"/>
    </xf>
    <xf numFmtId="0" fontId="88" fillId="48" borderId="95" xfId="8720" applyFont="1" applyFill="1" applyBorder="1" applyAlignment="1" applyProtection="1">
      <alignment horizontal="center"/>
      <protection locked="0"/>
    </xf>
    <xf numFmtId="0" fontId="133" fillId="46" borderId="91" xfId="8720" applyFont="1" applyFill="1" applyBorder="1" applyAlignment="1">
      <alignment horizontal="center"/>
    </xf>
    <xf numFmtId="0" fontId="88" fillId="46" borderId="80" xfId="8720" applyFont="1" applyFill="1" applyBorder="1" applyAlignment="1">
      <alignment horizontal="center"/>
    </xf>
    <xf numFmtId="0" fontId="88" fillId="46" borderId="2" xfId="8720" applyFont="1" applyFill="1" applyBorder="1" applyAlignment="1">
      <alignment horizontal="center"/>
    </xf>
    <xf numFmtId="0" fontId="88" fillId="46" borderId="7" xfId="8720" applyFont="1" applyFill="1" applyBorder="1" applyAlignment="1">
      <alignment horizontal="center"/>
    </xf>
    <xf numFmtId="0" fontId="88" fillId="46" borderId="89" xfId="8720" applyFont="1" applyFill="1" applyBorder="1" applyAlignment="1">
      <alignment horizontal="center"/>
    </xf>
    <xf numFmtId="0" fontId="133" fillId="46" borderId="1" xfId="8720" applyFont="1" applyFill="1" applyBorder="1" applyAlignment="1">
      <alignment horizontal="center" wrapText="1"/>
    </xf>
    <xf numFmtId="0" fontId="133" fillId="46" borderId="2" xfId="8720" applyFont="1" applyFill="1" applyBorder="1" applyAlignment="1">
      <alignment horizontal="center" wrapText="1"/>
    </xf>
    <xf numFmtId="0" fontId="133" fillId="46" borderId="7" xfId="8720" applyFont="1" applyFill="1" applyBorder="1" applyAlignment="1">
      <alignment horizontal="center" wrapText="1"/>
    </xf>
    <xf numFmtId="0" fontId="133" fillId="46" borderId="9" xfId="8720" applyFont="1" applyFill="1" applyBorder="1" applyAlignment="1">
      <alignment horizontal="center" wrapText="1"/>
    </xf>
    <xf numFmtId="0" fontId="133" fillId="46" borderId="6" xfId="8720" applyFont="1" applyFill="1" applyBorder="1" applyAlignment="1">
      <alignment horizontal="center" wrapText="1"/>
    </xf>
    <xf numFmtId="0" fontId="133" fillId="46" borderId="10" xfId="8720" applyFont="1" applyFill="1" applyBorder="1" applyAlignment="1">
      <alignment horizontal="center" wrapText="1"/>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88" fillId="46" borderId="71" xfId="8720" applyFont="1" applyFill="1" applyBorder="1" applyAlignment="1">
      <alignment horizontal="left" wrapText="1"/>
    </xf>
    <xf numFmtId="0" fontId="88" fillId="46" borderId="72" xfId="8720" applyFont="1" applyFill="1" applyBorder="1" applyAlignment="1">
      <alignment horizontal="left" wrapText="1"/>
    </xf>
    <xf numFmtId="0" fontId="88" fillId="46" borderId="76" xfId="8720" applyFont="1" applyFill="1" applyBorder="1" applyAlignment="1">
      <alignment horizontal="left" wrapText="1"/>
    </xf>
    <xf numFmtId="0" fontId="88" fillId="46" borderId="82" xfId="8720" applyFont="1" applyFill="1" applyBorder="1" applyAlignment="1">
      <alignment horizontal="left" wrapText="1"/>
    </xf>
    <xf numFmtId="0" fontId="88" fillId="46" borderId="11" xfId="8720" applyFont="1" applyFill="1" applyBorder="1" applyAlignment="1">
      <alignment horizontal="left" wrapText="1"/>
    </xf>
    <xf numFmtId="0" fontId="88" fillId="46" borderId="93" xfId="8720" applyFont="1" applyFill="1" applyBorder="1" applyAlignment="1">
      <alignment horizontal="left" wrapText="1"/>
    </xf>
    <xf numFmtId="0" fontId="153" fillId="46" borderId="68" xfId="8720" applyFont="1" applyFill="1" applyBorder="1" applyAlignment="1">
      <alignment horizontal="left"/>
    </xf>
    <xf numFmtId="0" fontId="153" fillId="46" borderId="69" xfId="8720" applyFont="1" applyFill="1" applyBorder="1" applyAlignment="1">
      <alignment horizontal="left"/>
    </xf>
    <xf numFmtId="0" fontId="153" fillId="46" borderId="70" xfId="8720" applyFont="1" applyFill="1" applyBorder="1" applyAlignment="1">
      <alignment horizontal="left"/>
    </xf>
    <xf numFmtId="0" fontId="154" fillId="46" borderId="102" xfId="8720" applyFont="1" applyFill="1" applyBorder="1" applyAlignment="1">
      <alignment horizontal="left"/>
    </xf>
    <xf numFmtId="0" fontId="154" fillId="46" borderId="103" xfId="8720" applyFont="1" applyFill="1" applyBorder="1" applyAlignment="1">
      <alignment horizontal="left"/>
    </xf>
    <xf numFmtId="0" fontId="154" fillId="46" borderId="104" xfId="8720" applyFont="1" applyFill="1" applyBorder="1" applyAlignment="1">
      <alignment horizontal="left"/>
    </xf>
    <xf numFmtId="0" fontId="88" fillId="44" borderId="10" xfId="8720" applyFont="1" applyFill="1" applyBorder="1" applyAlignment="1" applyProtection="1">
      <alignment horizontal="center"/>
      <protection locked="0"/>
    </xf>
    <xf numFmtId="0" fontId="88" fillId="44" borderId="98" xfId="8720" applyFont="1" applyFill="1" applyBorder="1" applyAlignment="1" applyProtection="1">
      <alignment horizontal="center"/>
      <protection locked="0"/>
    </xf>
    <xf numFmtId="0" fontId="133" fillId="46" borderId="29" xfId="8720" applyFont="1" applyFill="1" applyBorder="1" applyAlignment="1">
      <alignment horizontal="center"/>
    </xf>
    <xf numFmtId="0" fontId="146" fillId="46" borderId="68" xfId="8720" applyFont="1" applyFill="1" applyBorder="1" applyAlignment="1">
      <alignment horizontal="center"/>
    </xf>
    <xf numFmtId="0" fontId="146" fillId="46" borderId="69" xfId="8720" applyFont="1" applyFill="1" applyBorder="1" applyAlignment="1">
      <alignment horizontal="center"/>
    </xf>
    <xf numFmtId="0" fontId="146" fillId="46" borderId="70" xfId="8720" applyFont="1" applyFill="1" applyBorder="1" applyAlignment="1">
      <alignment horizontal="center"/>
    </xf>
    <xf numFmtId="0" fontId="157" fillId="44" borderId="68" xfId="8720" applyFont="1" applyFill="1" applyBorder="1" applyAlignment="1" applyProtection="1">
      <alignment horizontal="left"/>
      <protection locked="0"/>
    </xf>
    <xf numFmtId="0" fontId="157" fillId="44" borderId="69" xfId="8720" applyFont="1" applyFill="1" applyBorder="1" applyAlignment="1" applyProtection="1">
      <alignment horizontal="left"/>
      <protection locked="0"/>
    </xf>
    <xf numFmtId="0" fontId="157" fillId="44" borderId="70" xfId="8720" applyFont="1" applyFill="1" applyBorder="1" applyAlignment="1" applyProtection="1">
      <alignment horizontal="left"/>
      <protection locked="0"/>
    </xf>
    <xf numFmtId="0" fontId="158" fillId="44" borderId="66" xfId="8720" applyFont="1" applyFill="1" applyBorder="1" applyAlignment="1" applyProtection="1">
      <alignment horizontal="left" vertical="top"/>
      <protection locked="0"/>
    </xf>
    <xf numFmtId="0" fontId="158" fillId="44" borderId="29" xfId="8720" applyFont="1" applyFill="1" applyBorder="1" applyAlignment="1" applyProtection="1">
      <alignment horizontal="left" vertical="top"/>
      <protection locked="0"/>
    </xf>
    <xf numFmtId="0" fontId="158" fillId="44" borderId="31" xfId="8720" applyFont="1" applyFill="1" applyBorder="1" applyAlignment="1" applyProtection="1">
      <alignment horizontal="left" vertical="top"/>
      <protection locked="0"/>
    </xf>
    <xf numFmtId="0" fontId="158" fillId="44" borderId="67" xfId="8720" applyFont="1" applyFill="1" applyBorder="1" applyAlignment="1" applyProtection="1">
      <alignment horizontal="left" vertical="top"/>
      <protection locked="0"/>
    </xf>
    <xf numFmtId="0" fontId="158" fillId="44" borderId="0" xfId="8720" applyFont="1" applyFill="1" applyAlignment="1" applyProtection="1">
      <alignment horizontal="left" vertical="top"/>
      <protection locked="0"/>
    </xf>
    <xf numFmtId="0" fontId="158" fillId="44" borderId="41" xfId="8720" applyFont="1" applyFill="1" applyBorder="1" applyAlignment="1" applyProtection="1">
      <alignment horizontal="left" vertical="top"/>
      <protection locked="0"/>
    </xf>
    <xf numFmtId="0" fontId="158" fillId="44" borderId="88" xfId="8720" applyFont="1" applyFill="1" applyBorder="1" applyAlignment="1" applyProtection="1">
      <alignment horizontal="left" vertical="top"/>
      <protection locked="0"/>
    </xf>
    <xf numFmtId="0" fontId="158" fillId="44" borderId="42" xfId="8720" applyFont="1" applyFill="1" applyBorder="1" applyAlignment="1" applyProtection="1">
      <alignment horizontal="left" vertical="top"/>
      <protection locked="0"/>
    </xf>
    <xf numFmtId="0" fontId="158" fillId="44" borderId="44" xfId="8720" applyFont="1" applyFill="1" applyBorder="1" applyAlignment="1" applyProtection="1">
      <alignment horizontal="left" vertical="top"/>
      <protection locked="0"/>
    </xf>
    <xf numFmtId="0" fontId="88" fillId="44" borderId="3" xfId="8720" applyFont="1" applyFill="1" applyBorder="1" applyAlignment="1" applyProtection="1">
      <alignment horizontal="center"/>
      <protection locked="0"/>
    </xf>
    <xf numFmtId="0" fontId="88" fillId="44" borderId="4" xfId="8720" applyFont="1" applyFill="1" applyBorder="1" applyAlignment="1" applyProtection="1">
      <alignment horizontal="center"/>
      <protection locked="0"/>
    </xf>
    <xf numFmtId="0" fontId="88" fillId="44" borderId="5" xfId="8720" applyFont="1" applyFill="1" applyBorder="1" applyAlignment="1" applyProtection="1">
      <alignment horizontal="center"/>
      <protection locked="0"/>
    </xf>
    <xf numFmtId="0" fontId="134" fillId="46" borderId="94" xfId="8720" applyFont="1" applyFill="1" applyBorder="1" applyAlignment="1">
      <alignment horizontal="center"/>
    </xf>
    <xf numFmtId="0" fontId="134" fillId="46" borderId="4" xfId="8720" applyFont="1" applyFill="1" applyBorder="1" applyAlignment="1">
      <alignment horizontal="center"/>
    </xf>
    <xf numFmtId="0" fontId="134" fillId="46" borderId="5" xfId="8720" applyFont="1" applyFill="1" applyBorder="1" applyAlignment="1">
      <alignment horizontal="center"/>
    </xf>
    <xf numFmtId="0" fontId="138" fillId="44" borderId="3" xfId="8720" applyFont="1" applyFill="1" applyBorder="1" applyAlignment="1" applyProtection="1">
      <alignment horizontal="center"/>
      <protection locked="0"/>
    </xf>
    <xf numFmtId="0" fontId="138" fillId="44" borderId="4" xfId="8720" applyFont="1" applyFill="1" applyBorder="1" applyAlignment="1" applyProtection="1">
      <alignment horizontal="center"/>
      <protection locked="0"/>
    </xf>
    <xf numFmtId="0" fontId="13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38" fillId="44" borderId="3" xfId="8720" applyNumberFormat="1" applyFont="1" applyFill="1" applyBorder="1" applyAlignment="1" applyProtection="1">
      <alignment horizontal="center"/>
      <protection locked="0"/>
    </xf>
    <xf numFmtId="14" fontId="138" fillId="44" borderId="4" xfId="8720" applyNumberFormat="1" applyFont="1" applyFill="1" applyBorder="1" applyAlignment="1" applyProtection="1">
      <alignment horizontal="center"/>
      <protection locked="0"/>
    </xf>
    <xf numFmtId="0" fontId="88" fillId="46" borderId="94" xfId="8720" applyFont="1" applyFill="1" applyBorder="1" applyAlignment="1">
      <alignment horizontal="center"/>
    </xf>
    <xf numFmtId="0" fontId="88" fillId="46" borderId="4" xfId="8720" applyFont="1" applyFill="1" applyBorder="1" applyAlignment="1">
      <alignment horizontal="center"/>
    </xf>
    <xf numFmtId="0" fontId="88" fillId="46" borderId="5" xfId="8720" applyFont="1" applyFill="1" applyBorder="1" applyAlignment="1">
      <alignment horizontal="center"/>
    </xf>
    <xf numFmtId="0" fontId="88" fillId="46" borderId="3"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5" xfId="8720" applyFont="1" applyFill="1" applyBorder="1" applyAlignment="1">
      <alignment horizontal="center"/>
    </xf>
    <xf numFmtId="0" fontId="88" fillId="46" borderId="86" xfId="8720" applyFont="1" applyFill="1" applyBorder="1" applyAlignment="1">
      <alignment horizontal="center"/>
    </xf>
    <xf numFmtId="0" fontId="88" fillId="46" borderId="84" xfId="8720" applyFont="1" applyFill="1" applyBorder="1" applyAlignment="1">
      <alignment horizontal="center"/>
    </xf>
    <xf numFmtId="0" fontId="88" fillId="46" borderId="87" xfId="8720" applyFont="1" applyFill="1" applyBorder="1" applyAlignment="1">
      <alignment horizontal="center"/>
    </xf>
    <xf numFmtId="183" fontId="138" fillId="44" borderId="92" xfId="8721" applyNumberFormat="1" applyFont="1" applyFill="1" applyBorder="1" applyAlignment="1" applyProtection="1">
      <alignment horizontal="center"/>
      <protection locked="0"/>
    </xf>
    <xf numFmtId="183" fontId="138" fillId="44" borderId="78" xfId="8721" applyNumberFormat="1" applyFont="1" applyFill="1" applyBorder="1" applyAlignment="1" applyProtection="1">
      <alignment horizontal="center"/>
      <protection locked="0"/>
    </xf>
    <xf numFmtId="183" fontId="138" fillId="44" borderId="79" xfId="8721" applyNumberFormat="1" applyFont="1" applyFill="1" applyBorder="1" applyAlignment="1" applyProtection="1">
      <alignment horizontal="center"/>
      <protection locked="0"/>
    </xf>
    <xf numFmtId="0" fontId="43" fillId="44" borderId="11" xfId="8720" applyFont="1" applyFill="1" applyBorder="1" applyAlignment="1" applyProtection="1">
      <alignment horizontal="center"/>
      <protection locked="0"/>
    </xf>
    <xf numFmtId="0" fontId="138" fillId="44" borderId="11" xfId="8720" applyFont="1" applyFill="1" applyBorder="1" applyAlignment="1" applyProtection="1">
      <alignment horizontal="center"/>
      <protection locked="0"/>
    </xf>
    <xf numFmtId="14" fontId="138" fillId="44" borderId="11" xfId="8720" applyNumberFormat="1" applyFont="1" applyFill="1" applyBorder="1" applyAlignment="1" applyProtection="1">
      <alignment horizontal="center"/>
      <protection locked="0"/>
    </xf>
    <xf numFmtId="183" fontId="138" fillId="44" borderId="3" xfId="8721" applyNumberFormat="1" applyFont="1" applyFill="1" applyBorder="1" applyAlignment="1" applyProtection="1">
      <alignment horizontal="center"/>
      <protection locked="0"/>
    </xf>
    <xf numFmtId="183" fontId="138" fillId="44" borderId="4" xfId="8721" applyNumberFormat="1" applyFont="1" applyFill="1" applyBorder="1" applyAlignment="1" applyProtection="1">
      <alignment horizontal="center"/>
      <protection locked="0"/>
    </xf>
    <xf numFmtId="183" fontId="138" fillId="44" borderId="81" xfId="8721"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43" fillId="44" borderId="75" xfId="8720" applyFont="1" applyFill="1" applyBorder="1" applyAlignment="1" applyProtection="1">
      <alignment horizontal="center"/>
      <protection locked="0"/>
    </xf>
    <xf numFmtId="183" fontId="138" fillId="44" borderId="86" xfId="8721" applyNumberFormat="1" applyFont="1" applyFill="1" applyBorder="1" applyAlignment="1" applyProtection="1">
      <alignment horizontal="center"/>
      <protection locked="0"/>
    </xf>
    <xf numFmtId="183" fontId="138" fillId="44" borderId="84" xfId="8721" applyNumberFormat="1" applyFont="1" applyFill="1" applyBorder="1" applyAlignment="1" applyProtection="1">
      <alignment horizontal="center"/>
      <protection locked="0"/>
    </xf>
    <xf numFmtId="183" fontId="13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33" fillId="46" borderId="71" xfId="8720" applyFont="1" applyFill="1" applyBorder="1" applyAlignment="1">
      <alignment horizontal="left"/>
    </xf>
    <xf numFmtId="0" fontId="133" fillId="46" borderId="72" xfId="8720" applyFont="1" applyFill="1" applyBorder="1" applyAlignment="1">
      <alignment horizontal="left"/>
    </xf>
    <xf numFmtId="0" fontId="133" fillId="46" borderId="76" xfId="8720" applyFont="1" applyFill="1" applyBorder="1" applyAlignment="1">
      <alignment horizontal="left"/>
    </xf>
    <xf numFmtId="0" fontId="2" fillId="44" borderId="82" xfId="8720"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168" fontId="42" fillId="44" borderId="11" xfId="8721" applyNumberFormat="1" applyFont="1" applyFill="1" applyBorder="1" applyAlignment="1" applyProtection="1">
      <alignment horizontal="center"/>
      <protection locked="0"/>
    </xf>
    <xf numFmtId="0" fontId="88" fillId="46" borderId="81" xfId="8720" applyFont="1" applyFill="1" applyBorder="1" applyAlignment="1">
      <alignment horizontal="center"/>
    </xf>
    <xf numFmtId="183" fontId="42" fillId="45" borderId="4" xfId="701" applyNumberFormat="1" applyFont="1" applyFill="1" applyBorder="1" applyAlignment="1">
      <alignment horizontal="center"/>
    </xf>
    <xf numFmtId="183" fontId="42" fillId="45" borderId="81" xfId="701" applyNumberFormat="1" applyFont="1" applyFill="1" applyBorder="1" applyAlignment="1">
      <alignment horizontal="center"/>
    </xf>
    <xf numFmtId="0" fontId="134" fillId="48" borderId="94" xfId="8720" applyFont="1" applyFill="1" applyBorder="1" applyAlignment="1">
      <alignment horizontal="center"/>
    </xf>
    <xf numFmtId="0" fontId="134" fillId="48" borderId="4" xfId="8720" applyFont="1" applyFill="1" applyBorder="1" applyAlignment="1">
      <alignment horizontal="center"/>
    </xf>
    <xf numFmtId="0" fontId="134" fillId="48" borderId="81" xfId="8720" applyFont="1" applyFill="1" applyBorder="1" applyAlignment="1">
      <alignment horizontal="center"/>
    </xf>
    <xf numFmtId="0" fontId="134" fillId="46" borderId="82" xfId="8720" applyFont="1" applyFill="1" applyBorder="1" applyAlignment="1">
      <alignment horizontal="center"/>
    </xf>
    <xf numFmtId="0" fontId="13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34" fillId="46" borderId="78" xfId="8720" applyFont="1" applyFill="1" applyBorder="1" applyAlignment="1">
      <alignment horizontal="center"/>
    </xf>
    <xf numFmtId="0" fontId="134" fillId="46" borderId="79" xfId="8720" applyFont="1" applyFill="1" applyBorder="1" applyAlignment="1">
      <alignment horizontal="center"/>
    </xf>
    <xf numFmtId="0" fontId="43" fillId="46" borderId="77" xfId="8720" applyFont="1" applyFill="1" applyBorder="1" applyAlignment="1">
      <alignment horizontal="center"/>
    </xf>
    <xf numFmtId="0" fontId="134"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33" fillId="46" borderId="83" xfId="8720" applyFont="1" applyFill="1" applyBorder="1" applyAlignment="1">
      <alignment horizontal="center"/>
    </xf>
    <xf numFmtId="0" fontId="133" fillId="46" borderId="84" xfId="8720" applyFont="1" applyFill="1" applyBorder="1" applyAlignment="1">
      <alignment horizontal="center"/>
    </xf>
    <xf numFmtId="168" fontId="152" fillId="45" borderId="11" xfId="8721" applyNumberFormat="1" applyFont="1" applyFill="1" applyBorder="1" applyAlignment="1">
      <alignment horizontal="center"/>
    </xf>
    <xf numFmtId="0" fontId="133" fillId="46" borderId="94" xfId="8720" applyFont="1" applyFill="1" applyBorder="1" applyAlignment="1">
      <alignment horizontal="center"/>
    </xf>
    <xf numFmtId="183" fontId="42" fillId="44" borderId="4" xfId="701" applyNumberFormat="1" applyFont="1" applyFill="1" applyBorder="1" applyAlignment="1" applyProtection="1">
      <alignment horizontal="center"/>
      <protection locked="0"/>
    </xf>
    <xf numFmtId="183" fontId="42" fillId="44" borderId="81" xfId="701" applyNumberFormat="1" applyFont="1" applyFill="1" applyBorder="1" applyAlignment="1" applyProtection="1">
      <alignment horizontal="center"/>
      <protection locked="0"/>
    </xf>
    <xf numFmtId="0" fontId="134" fillId="44" borderId="94" xfId="8720" applyFont="1" applyFill="1" applyBorder="1" applyAlignment="1" applyProtection="1">
      <alignment horizontal="center"/>
      <protection locked="0"/>
    </xf>
    <xf numFmtId="0" fontId="134" fillId="44" borderId="4" xfId="8720" applyFont="1" applyFill="1" applyBorder="1" applyAlignment="1" applyProtection="1">
      <alignment horizontal="center"/>
      <protection locked="0"/>
    </xf>
    <xf numFmtId="0" fontId="134" fillId="44" borderId="81" xfId="8720" applyFont="1" applyFill="1" applyBorder="1" applyAlignment="1" applyProtection="1">
      <alignment horizontal="center"/>
      <protection locked="0"/>
    </xf>
    <xf numFmtId="0" fontId="134" fillId="48" borderId="5" xfId="8720" applyFont="1" applyFill="1" applyBorder="1" applyAlignment="1">
      <alignment horizontal="center"/>
    </xf>
    <xf numFmtId="168" fontId="138" fillId="48" borderId="3" xfId="8721" applyNumberFormat="1" applyFont="1" applyFill="1" applyBorder="1" applyAlignment="1">
      <alignment horizontal="center"/>
    </xf>
    <xf numFmtId="168" fontId="138" fillId="48" borderId="4" xfId="8721" applyNumberFormat="1" applyFont="1" applyFill="1" applyBorder="1" applyAlignment="1">
      <alignment horizontal="center"/>
    </xf>
    <xf numFmtId="168" fontId="138"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34" fillId="44" borderId="82" xfId="8720" applyFont="1" applyFill="1" applyBorder="1" applyAlignment="1">
      <alignment horizontal="left"/>
    </xf>
    <xf numFmtId="0" fontId="134" fillId="44" borderId="11" xfId="8720" applyFont="1" applyFill="1" applyBorder="1" applyAlignment="1">
      <alignment horizontal="left"/>
    </xf>
    <xf numFmtId="183" fontId="42" fillId="44" borderId="11" xfId="701" applyNumberFormat="1" applyFont="1" applyFill="1" applyBorder="1" applyAlignment="1" applyProtection="1">
      <alignment horizontal="center"/>
      <protection locked="0"/>
    </xf>
    <xf numFmtId="183" fontId="42" fillId="44" borderId="93" xfId="701" applyNumberFormat="1" applyFont="1" applyFill="1" applyBorder="1" applyAlignment="1" applyProtection="1">
      <alignment horizontal="center"/>
      <protection locked="0"/>
    </xf>
    <xf numFmtId="164" fontId="42" fillId="46" borderId="72" xfId="8721" applyNumberFormat="1" applyFont="1" applyFill="1" applyBorder="1" applyAlignment="1" applyProtection="1">
      <alignment horizontal="center"/>
      <protection locked="0"/>
    </xf>
    <xf numFmtId="164" fontId="42" fillId="46" borderId="76" xfId="8721" applyNumberFormat="1" applyFont="1" applyFill="1" applyBorder="1" applyAlignment="1" applyProtection="1">
      <alignment horizontal="center"/>
      <protection locked="0"/>
    </xf>
    <xf numFmtId="0" fontId="43" fillId="44" borderId="93" xfId="8720" applyFont="1" applyFill="1" applyBorder="1" applyAlignment="1" applyProtection="1">
      <alignment horizontal="center"/>
      <protection locked="0"/>
    </xf>
    <xf numFmtId="0" fontId="43" fillId="44" borderId="94" xfId="8720" applyFont="1" applyFill="1" applyBorder="1" applyAlignment="1" applyProtection="1">
      <alignment horizontal="center"/>
      <protection locked="0"/>
    </xf>
    <xf numFmtId="0" fontId="43" fillId="44" borderId="4" xfId="8720" applyFont="1" applyFill="1" applyBorder="1" applyAlignment="1" applyProtection="1">
      <alignment horizontal="center"/>
      <protection locked="0"/>
    </xf>
    <xf numFmtId="0" fontId="147" fillId="46" borderId="67" xfId="8720" applyFont="1" applyFill="1" applyBorder="1" applyAlignment="1">
      <alignment horizontal="center"/>
    </xf>
    <xf numFmtId="0" fontId="147" fillId="46" borderId="0" xfId="8720" applyFont="1" applyFill="1" applyAlignment="1">
      <alignment horizontal="center"/>
    </xf>
    <xf numFmtId="0" fontId="147" fillId="46" borderId="12" xfId="8720" applyFont="1" applyFill="1" applyBorder="1" applyAlignment="1">
      <alignment horizontal="center"/>
    </xf>
    <xf numFmtId="183" fontId="138" fillId="45" borderId="105" xfId="701" applyNumberFormat="1" applyFont="1" applyFill="1" applyBorder="1" applyAlignment="1">
      <alignment horizontal="center"/>
    </xf>
    <xf numFmtId="183" fontId="138" fillId="45" borderId="29" xfId="701" applyNumberFormat="1" applyFont="1" applyFill="1" applyBorder="1" applyAlignment="1">
      <alignment horizontal="center"/>
    </xf>
    <xf numFmtId="183" fontId="138" fillId="45" borderId="31" xfId="701" applyNumberFormat="1" applyFont="1" applyFill="1" applyBorder="1" applyAlignment="1">
      <alignment horizontal="center"/>
    </xf>
    <xf numFmtId="0" fontId="134" fillId="44" borderId="83" xfId="8720" applyFont="1" applyFill="1" applyBorder="1" applyAlignment="1" applyProtection="1">
      <alignment horizontal="center"/>
      <protection locked="0"/>
    </xf>
    <xf numFmtId="0" fontId="134" fillId="44" borderId="84" xfId="8720" applyFont="1" applyFill="1" applyBorder="1" applyAlignment="1" applyProtection="1">
      <alignment horizontal="center"/>
      <protection locked="0"/>
    </xf>
    <xf numFmtId="0" fontId="43"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51" fillId="49" borderId="66" xfId="8720" applyFont="1" applyFill="1" applyBorder="1" applyAlignment="1">
      <alignment horizontal="center"/>
    </xf>
    <xf numFmtId="0" fontId="51" fillId="49" borderId="29" xfId="8720" applyFont="1" applyFill="1" applyBorder="1" applyAlignment="1">
      <alignment horizontal="center"/>
    </xf>
    <xf numFmtId="0" fontId="51"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88" fillId="49" borderId="67" xfId="8720" applyFont="1" applyFill="1" applyBorder="1" applyAlignment="1">
      <alignment horizontal="center"/>
    </xf>
    <xf numFmtId="0" fontId="88" fillId="49" borderId="0" xfId="8720" applyFont="1" applyFill="1" applyAlignment="1">
      <alignment horizontal="center"/>
    </xf>
    <xf numFmtId="0" fontId="88" fillId="49" borderId="41" xfId="8720" applyFont="1" applyFill="1" applyBorder="1" applyAlignment="1">
      <alignment horizontal="center"/>
    </xf>
    <xf numFmtId="0" fontId="88" fillId="49" borderId="0" xfId="8720" applyFont="1" applyFill="1" applyAlignment="1">
      <alignment horizontal="left"/>
    </xf>
    <xf numFmtId="183" fontId="138" fillId="45" borderId="75" xfId="701" applyNumberFormat="1" applyFont="1" applyFill="1" applyBorder="1" applyAlignment="1">
      <alignment horizontal="center"/>
    </xf>
    <xf numFmtId="183" fontId="138" fillId="45" borderId="95" xfId="701" applyNumberFormat="1" applyFont="1" applyFill="1" applyBorder="1" applyAlignment="1">
      <alignment horizontal="center"/>
    </xf>
    <xf numFmtId="183" fontId="43" fillId="45" borderId="75" xfId="701" applyNumberFormat="1" applyFont="1" applyFill="1" applyBorder="1" applyAlignment="1" applyProtection="1">
      <alignment horizontal="center"/>
      <protection locked="0"/>
    </xf>
    <xf numFmtId="183" fontId="43" fillId="45" borderId="95" xfId="701" applyNumberFormat="1" applyFont="1" applyFill="1" applyBorder="1" applyAlignment="1" applyProtection="1">
      <alignment horizontal="center"/>
      <protection locked="0"/>
    </xf>
    <xf numFmtId="0" fontId="88" fillId="45" borderId="0" xfId="8720" applyFont="1" applyFill="1" applyAlignment="1">
      <alignment horizontal="left"/>
    </xf>
    <xf numFmtId="0" fontId="2" fillId="44" borderId="68" xfId="8720"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88" fillId="45" borderId="0" xfId="4504" applyFont="1" applyFill="1" applyBorder="1" applyAlignment="1">
      <alignment horizontal="left" vertical="top"/>
    </xf>
    <xf numFmtId="0" fontId="88" fillId="49" borderId="0" xfId="8720" applyFont="1" applyFill="1" applyAlignment="1">
      <alignment horizontal="left" vertical="top" wrapText="1"/>
    </xf>
    <xf numFmtId="0" fontId="88" fillId="49" borderId="42" xfId="8720" applyFont="1" applyFill="1" applyBorder="1" applyAlignment="1">
      <alignment horizontal="center"/>
    </xf>
    <xf numFmtId="164" fontId="12" fillId="0" borderId="50" xfId="4496" applyNumberFormat="1" applyFont="1" applyBorder="1" applyAlignment="1">
      <alignment horizontal="center" vertical="top" wrapText="1"/>
    </xf>
    <xf numFmtId="164" fontId="12" fillId="0" borderId="51" xfId="4496" applyNumberFormat="1" applyFont="1" applyBorder="1" applyAlignment="1">
      <alignment horizontal="center" vertical="top" wrapText="1"/>
    </xf>
    <xf numFmtId="164" fontId="12" fillId="0" borderId="52" xfId="4496" applyNumberFormat="1" applyFont="1" applyBorder="1" applyAlignment="1">
      <alignment horizontal="center" vertical="top" wrapText="1"/>
    </xf>
    <xf numFmtId="164" fontId="12" fillId="0" borderId="53" xfId="4496" applyNumberFormat="1" applyFont="1" applyBorder="1" applyAlignment="1">
      <alignment horizontal="center" vertical="top" wrapText="1"/>
    </xf>
    <xf numFmtId="164" fontId="12" fillId="0" borderId="0" xfId="4496" applyNumberFormat="1" applyFont="1" applyAlignment="1">
      <alignment horizontal="center" vertical="top" wrapText="1"/>
    </xf>
    <xf numFmtId="164" fontId="12" fillId="0" borderId="54" xfId="4496" applyNumberFormat="1" applyFont="1" applyBorder="1" applyAlignment="1">
      <alignment horizontal="center" vertical="top" wrapText="1"/>
    </xf>
    <xf numFmtId="164" fontId="12" fillId="0" borderId="57" xfId="4496" applyNumberFormat="1" applyFont="1" applyBorder="1" applyAlignment="1">
      <alignment horizontal="center" vertical="top" wrapText="1"/>
    </xf>
    <xf numFmtId="164" fontId="12" fillId="0" borderId="58" xfId="4496" applyNumberFormat="1" applyFont="1" applyBorder="1" applyAlignment="1">
      <alignment horizontal="center" vertical="top" wrapText="1"/>
    </xf>
    <xf numFmtId="164" fontId="12" fillId="0" borderId="59" xfId="4496" applyNumberFormat="1" applyFont="1" applyBorder="1" applyAlignment="1">
      <alignment horizontal="center" vertical="top" wrapText="1"/>
    </xf>
    <xf numFmtId="0" fontId="12" fillId="46" borderId="11" xfId="4496" applyFont="1" applyFill="1" applyBorder="1" applyAlignment="1">
      <alignment horizontal="center"/>
    </xf>
    <xf numFmtId="4" fontId="20" fillId="0" borderId="3" xfId="4496" applyNumberFormat="1" applyFont="1" applyBorder="1" applyAlignment="1">
      <alignment horizontal="center"/>
    </xf>
    <xf numFmtId="4" fontId="20" fillId="0" borderId="4" xfId="4496" applyNumberFormat="1" applyFont="1" applyBorder="1" applyAlignment="1">
      <alignment horizontal="center"/>
    </xf>
    <xf numFmtId="4" fontId="20" fillId="0" borderId="5" xfId="4496" applyNumberFormat="1" applyFont="1" applyBorder="1" applyAlignment="1">
      <alignment horizontal="center"/>
    </xf>
    <xf numFmtId="165" fontId="108" fillId="0" borderId="3" xfId="4497" applyNumberFormat="1" applyFont="1" applyBorder="1" applyAlignment="1">
      <alignment horizontal="center" vertical="top" wrapText="1"/>
    </xf>
    <xf numFmtId="165" fontId="108" fillId="0" borderId="4" xfId="4497" applyNumberFormat="1" applyFont="1" applyBorder="1" applyAlignment="1">
      <alignment horizontal="center" vertical="top" wrapText="1"/>
    </xf>
    <xf numFmtId="165" fontId="108" fillId="0" borderId="5" xfId="4497" applyNumberFormat="1" applyFont="1" applyBorder="1" applyAlignment="1">
      <alignment horizontal="center" vertical="top" wrapText="1"/>
    </xf>
    <xf numFmtId="3" fontId="12" fillId="44" borderId="6" xfId="1193" applyNumberFormat="1" applyFill="1" applyBorder="1" applyAlignment="1" applyProtection="1">
      <alignment horizontal="right"/>
      <protection locked="0"/>
    </xf>
    <xf numFmtId="168" fontId="12" fillId="0" borderId="0" xfId="1193" applyNumberFormat="1" applyAlignment="1">
      <alignment horizontal="right"/>
    </xf>
    <xf numFmtId="0" fontId="129" fillId="0" borderId="0" xfId="1193" applyFont="1" applyAlignment="1">
      <alignment horizontal="center"/>
    </xf>
    <xf numFmtId="168" fontId="12" fillId="44" borderId="6" xfId="543" applyNumberFormat="1" applyFill="1" applyBorder="1" applyAlignment="1" applyProtection="1">
      <alignment horizontal="center"/>
      <protection locked="0"/>
    </xf>
    <xf numFmtId="168" fontId="12" fillId="5" borderId="4" xfId="1193" applyNumberFormat="1" applyFill="1" applyBorder="1" applyAlignment="1" applyProtection="1">
      <alignment horizontal="center"/>
      <protection locked="0"/>
    </xf>
    <xf numFmtId="4" fontId="20" fillId="0" borderId="0" xfId="4496" applyNumberFormat="1" applyFont="1" applyAlignment="1">
      <alignment horizontal="center"/>
    </xf>
    <xf numFmtId="4" fontId="20" fillId="0" borderId="6" xfId="4496" applyNumberFormat="1" applyFont="1" applyBorder="1" applyAlignment="1">
      <alignment horizontal="center"/>
    </xf>
    <xf numFmtId="1" fontId="12" fillId="5" borderId="2" xfId="1193" applyNumberFormat="1" applyFill="1" applyBorder="1" applyAlignment="1" applyProtection="1">
      <alignment horizontal="center"/>
      <protection locked="0"/>
    </xf>
    <xf numFmtId="168" fontId="12" fillId="0" borderId="6" xfId="1193" applyNumberFormat="1" applyBorder="1" applyAlignment="1">
      <alignment horizontal="right"/>
    </xf>
    <xf numFmtId="168" fontId="12" fillId="0" borderId="4" xfId="1193" applyNumberFormat="1" applyBorder="1" applyAlignment="1">
      <alignment horizontal="right"/>
    </xf>
    <xf numFmtId="0" fontId="12" fillId="0" borderId="53" xfId="4496" applyFont="1" applyBorder="1" applyAlignment="1">
      <alignment horizontal="left" vertical="top" wrapText="1"/>
    </xf>
    <xf numFmtId="0" fontId="12" fillId="0" borderId="0" xfId="4496" applyFont="1" applyAlignment="1">
      <alignment horizontal="left" vertical="top" wrapText="1"/>
    </xf>
    <xf numFmtId="0" fontId="12" fillId="0" borderId="54" xfId="4496" applyFont="1" applyBorder="1" applyAlignment="1">
      <alignment horizontal="left" vertical="top" wrapText="1"/>
    </xf>
    <xf numFmtId="0" fontId="12" fillId="0" borderId="57" xfId="4496" applyFont="1" applyBorder="1" applyAlignment="1">
      <alignment horizontal="left" vertical="top" wrapText="1"/>
    </xf>
    <xf numFmtId="0" fontId="12" fillId="0" borderId="58" xfId="4496" applyFont="1" applyBorder="1" applyAlignment="1">
      <alignment horizontal="left" vertical="top" wrapText="1"/>
    </xf>
    <xf numFmtId="168" fontId="12" fillId="0" borderId="6" xfId="4497" applyNumberFormat="1" applyFont="1" applyBorder="1" applyAlignment="1">
      <alignment horizontal="center"/>
    </xf>
    <xf numFmtId="168" fontId="12" fillId="0" borderId="4" xfId="4497" applyNumberFormat="1" applyFont="1" applyBorder="1" applyAlignment="1">
      <alignment horizontal="center"/>
    </xf>
    <xf numFmtId="9" fontId="12" fillId="0" borderId="4" xfId="4497" applyNumberFormat="1" applyFont="1" applyBorder="1" applyAlignment="1">
      <alignment horizontal="center"/>
    </xf>
    <xf numFmtId="0" fontId="12" fillId="0" borderId="3" xfId="4496" applyFon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0" fontId="19" fillId="0" borderId="0" xfId="4496" applyFont="1" applyAlignment="1">
      <alignment horizontal="center"/>
    </xf>
    <xf numFmtId="0" fontId="20" fillId="0" borderId="51" xfId="4496" applyFont="1" applyBorder="1" applyAlignment="1">
      <alignment horizontal="left" vertical="top" wrapText="1"/>
    </xf>
    <xf numFmtId="0" fontId="20" fillId="0" borderId="0" xfId="4496" applyFont="1" applyAlignment="1">
      <alignment horizontal="left" vertical="top" wrapText="1"/>
    </xf>
    <xf numFmtId="10" fontId="20" fillId="0" borderId="2" xfId="4496" applyNumberFormat="1" applyFont="1" applyBorder="1" applyAlignment="1">
      <alignment horizontal="center"/>
    </xf>
    <xf numFmtId="0" fontId="20" fillId="0" borderId="0" xfId="4496" applyFont="1" applyAlignment="1">
      <alignment horizontal="center"/>
    </xf>
    <xf numFmtId="9" fontId="20" fillId="5" borderId="6" xfId="4496" applyNumberFormat="1" applyFont="1" applyFill="1" applyBorder="1" applyAlignment="1">
      <alignment horizontal="left"/>
    </xf>
    <xf numFmtId="0" fontId="11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lignment horizontal="center"/>
    </xf>
    <xf numFmtId="0" fontId="106" fillId="5" borderId="55" xfId="4496" applyFill="1" applyBorder="1" applyAlignment="1" applyProtection="1">
      <alignment horizontal="center"/>
      <protection locked="0"/>
    </xf>
    <xf numFmtId="0" fontId="106" fillId="5" borderId="6" xfId="4496" applyFill="1" applyBorder="1" applyAlignment="1" applyProtection="1">
      <alignment horizontal="center"/>
      <protection locked="0"/>
    </xf>
    <xf numFmtId="0" fontId="19" fillId="0" borderId="54" xfId="4496" applyFont="1" applyBorder="1" applyAlignment="1">
      <alignment horizontal="center"/>
    </xf>
    <xf numFmtId="0" fontId="12" fillId="5" borderId="6" xfId="4496" applyFont="1" applyFill="1" applyBorder="1" applyAlignment="1" applyProtection="1">
      <alignment horizontal="center" vertical="center" wrapText="1" shrinkToFit="1"/>
      <protection locked="0"/>
    </xf>
    <xf numFmtId="0" fontId="104" fillId="0" borderId="4" xfId="1193" applyFont="1" applyBorder="1" applyAlignment="1">
      <alignment horizontal="left"/>
    </xf>
    <xf numFmtId="0" fontId="129" fillId="0" borderId="6" xfId="1193" applyFont="1" applyBorder="1" applyAlignment="1">
      <alignment horizontal="center"/>
    </xf>
    <xf numFmtId="0" fontId="12" fillId="0" borderId="6" xfId="1193" applyBorder="1" applyAlignment="1">
      <alignment horizontal="left"/>
    </xf>
    <xf numFmtId="9" fontId="12" fillId="5" borderId="4" xfId="1193" applyNumberFormat="1" applyFill="1" applyBorder="1" applyAlignment="1" applyProtection="1">
      <alignment horizontal="left"/>
      <protection locked="0"/>
    </xf>
    <xf numFmtId="0" fontId="12" fillId="0" borderId="6" xfId="1193" applyBorder="1" applyAlignment="1">
      <alignment horizontal="right"/>
    </xf>
    <xf numFmtId="168" fontId="12" fillId="44" borderId="6" xfId="1193" applyNumberFormat="1" applyFill="1" applyBorder="1" applyAlignment="1" applyProtection="1">
      <alignment horizontal="right"/>
      <protection locked="0"/>
    </xf>
    <xf numFmtId="0" fontId="19" fillId="0" borderId="4" xfId="4496" applyFont="1" applyBorder="1" applyAlignment="1">
      <alignment horizontal="left"/>
    </xf>
    <xf numFmtId="0" fontId="19" fillId="0" borderId="5" xfId="4496" applyFont="1" applyBorder="1" applyAlignment="1">
      <alignment horizontal="left"/>
    </xf>
    <xf numFmtId="1" fontId="19" fillId="0" borderId="11" xfId="4496" applyNumberFormat="1" applyFont="1" applyBorder="1" applyAlignment="1">
      <alignment horizontal="center"/>
    </xf>
    <xf numFmtId="0" fontId="19" fillId="0" borderId="3" xfId="4496" applyFont="1" applyBorder="1" applyAlignment="1">
      <alignment horizontal="center" wrapText="1"/>
    </xf>
    <xf numFmtId="0" fontId="19" fillId="0" borderId="4" xfId="4496" applyFont="1" applyBorder="1" applyAlignment="1">
      <alignment horizontal="center" wrapText="1"/>
    </xf>
    <xf numFmtId="0" fontId="19" fillId="0" borderId="5" xfId="4496" applyFont="1" applyBorder="1" applyAlignment="1">
      <alignment horizontal="center" wrapText="1"/>
    </xf>
    <xf numFmtId="0" fontId="12" fillId="0" borderId="4" xfId="4496" applyFont="1" applyBorder="1" applyAlignment="1">
      <alignment horizontal="left"/>
    </xf>
    <xf numFmtId="0" fontId="12" fillId="0" borderId="5" xfId="4496" applyFont="1" applyBorder="1" applyAlignment="1">
      <alignment horizontal="left"/>
    </xf>
    <xf numFmtId="1" fontId="12" fillId="0" borderId="11" xfId="4496" applyNumberFormat="1" applyFont="1" applyBorder="1" applyAlignment="1">
      <alignment horizontal="center"/>
    </xf>
    <xf numFmtId="0" fontId="12" fillId="0" borderId="11" xfId="4496" applyFont="1" applyBorder="1" applyAlignment="1">
      <alignment horizontal="center"/>
    </xf>
    <xf numFmtId="1" fontId="12" fillId="47" borderId="11" xfId="4496" applyNumberFormat="1" applyFont="1" applyFill="1" applyBorder="1" applyAlignment="1">
      <alignment horizontal="center"/>
    </xf>
    <xf numFmtId="0" fontId="19" fillId="0" borderId="3" xfId="4496" applyFont="1" applyBorder="1" applyAlignment="1">
      <alignment horizontal="center"/>
    </xf>
    <xf numFmtId="0" fontId="19" fillId="0" borderId="4" xfId="4496" applyFont="1" applyBorder="1" applyAlignment="1">
      <alignment horizontal="center"/>
    </xf>
    <xf numFmtId="0" fontId="19" fillId="0" borderId="5" xfId="4496" applyFont="1" applyBorder="1" applyAlignment="1">
      <alignment horizontal="center"/>
    </xf>
    <xf numFmtId="0" fontId="19" fillId="0" borderId="4" xfId="4496" applyFont="1" applyBorder="1" applyAlignment="1"/>
    <xf numFmtId="0" fontId="19" fillId="0" borderId="5" xfId="4496" applyFont="1" applyBorder="1" applyAlignment="1"/>
    <xf numFmtId="0" fontId="19" fillId="0" borderId="3" xfId="4496" applyFont="1" applyBorder="1" applyAlignment="1">
      <alignment horizontal="left"/>
    </xf>
    <xf numFmtId="0" fontId="12" fillId="5" borderId="11" xfId="4496" applyFont="1" applyFill="1" applyBorder="1" applyAlignment="1" applyProtection="1">
      <alignment horizontal="center"/>
      <protection locked="0"/>
    </xf>
    <xf numFmtId="164" fontId="51" fillId="0" borderId="1" xfId="4496" applyNumberFormat="1" applyFont="1" applyBorder="1" applyAlignment="1">
      <alignment horizontal="right" vertical="center"/>
    </xf>
    <xf numFmtId="164" fontId="51" fillId="0" borderId="2" xfId="4496" applyNumberFormat="1" applyFont="1" applyBorder="1" applyAlignment="1">
      <alignment horizontal="right" vertical="center"/>
    </xf>
    <xf numFmtId="164" fontId="51" fillId="0" borderId="7" xfId="4496" applyNumberFormat="1" applyFont="1" applyBorder="1" applyAlignment="1">
      <alignment horizontal="right" vertical="center"/>
    </xf>
    <xf numFmtId="164" fontId="51" fillId="0" borderId="9" xfId="4496" applyNumberFormat="1" applyFont="1" applyBorder="1" applyAlignment="1">
      <alignment horizontal="right" vertical="center"/>
    </xf>
    <xf numFmtId="164" fontId="51" fillId="0" borderId="6" xfId="4496" applyNumberFormat="1" applyFont="1" applyBorder="1" applyAlignment="1">
      <alignment horizontal="right" vertical="center"/>
    </xf>
    <xf numFmtId="164" fontId="51" fillId="0" borderId="10" xfId="4496" applyNumberFormat="1" applyFont="1" applyBorder="1" applyAlignment="1">
      <alignment horizontal="right" vertical="center"/>
    </xf>
    <xf numFmtId="180" fontId="51" fillId="0" borderId="1" xfId="4496" applyNumberFormat="1" applyFont="1" applyBorder="1" applyAlignment="1">
      <alignment horizontal="center" vertical="center"/>
    </xf>
    <xf numFmtId="180" fontId="51" fillId="0" borderId="2" xfId="4496" applyNumberFormat="1" applyFont="1" applyBorder="1" applyAlignment="1">
      <alignment horizontal="center" vertical="center"/>
    </xf>
    <xf numFmtId="180" fontId="51" fillId="0" borderId="7" xfId="4496" applyNumberFormat="1" applyFont="1" applyBorder="1" applyAlignment="1">
      <alignment horizontal="center" vertical="center"/>
    </xf>
    <xf numFmtId="180" fontId="51" fillId="0" borderId="9" xfId="4496" applyNumberFormat="1" applyFont="1" applyBorder="1" applyAlignment="1">
      <alignment horizontal="center" vertical="center"/>
    </xf>
    <xf numFmtId="180" fontId="51" fillId="0" borderId="6" xfId="4496" applyNumberFormat="1" applyFont="1" applyBorder="1" applyAlignment="1">
      <alignment horizontal="center" vertical="center"/>
    </xf>
    <xf numFmtId="180" fontId="51" fillId="0" borderId="10" xfId="4496" applyNumberFormat="1" applyFont="1" applyBorder="1" applyAlignment="1">
      <alignment horizontal="center" vertical="center"/>
    </xf>
    <xf numFmtId="1" fontId="19" fillId="0" borderId="4" xfId="4496" applyNumberFormat="1" applyFont="1" applyBorder="1" applyAlignment="1">
      <alignment horizontal="center" wrapText="1"/>
    </xf>
    <xf numFmtId="0" fontId="12" fillId="0" borderId="50" xfId="4497" applyFont="1" applyBorder="1" applyAlignment="1">
      <alignment horizontal="left" wrapText="1"/>
    </xf>
    <xf numFmtId="0" fontId="12" fillId="0" borderId="51" xfId="4497" applyFont="1" applyBorder="1" applyAlignment="1">
      <alignment horizontal="left" wrapText="1"/>
    </xf>
    <xf numFmtId="0" fontId="12" fillId="0" borderId="52" xfId="4497" applyFont="1" applyBorder="1" applyAlignment="1">
      <alignment horizontal="left" wrapText="1"/>
    </xf>
    <xf numFmtId="0" fontId="12" fillId="0" borderId="53" xfId="4497" applyFont="1" applyBorder="1" applyAlignment="1">
      <alignment horizontal="left" wrapText="1"/>
    </xf>
    <xf numFmtId="0" fontId="12" fillId="0" borderId="0" xfId="4497" applyFont="1" applyAlignment="1">
      <alignment horizontal="left" wrapText="1"/>
    </xf>
    <xf numFmtId="0" fontId="12" fillId="0" borderId="54" xfId="4497" applyFont="1" applyBorder="1" applyAlignment="1">
      <alignment horizontal="left" wrapText="1"/>
    </xf>
    <xf numFmtId="0" fontId="12" fillId="0" borderId="57" xfId="4497" applyFont="1" applyBorder="1" applyAlignment="1">
      <alignment horizontal="left" wrapText="1"/>
    </xf>
    <xf numFmtId="0" fontId="12" fillId="0" borderId="58" xfId="4497" applyFont="1" applyBorder="1" applyAlignment="1">
      <alignment horizontal="left" wrapText="1"/>
    </xf>
    <xf numFmtId="0" fontId="12" fillId="0" borderId="59" xfId="4497" applyFont="1" applyBorder="1" applyAlignment="1">
      <alignment horizontal="left" wrapText="1"/>
    </xf>
    <xf numFmtId="1" fontId="12" fillId="0" borderId="4" xfId="4497" applyNumberFormat="1" applyFont="1" applyBorder="1" applyAlignment="1">
      <alignment horizontal="center"/>
    </xf>
    <xf numFmtId="1" fontId="12" fillId="0" borderId="5" xfId="4497" applyNumberFormat="1" applyFont="1" applyBorder="1" applyAlignment="1">
      <alignment horizontal="center"/>
    </xf>
    <xf numFmtId="49" fontId="18" fillId="3" borderId="2" xfId="4496" applyNumberFormat="1" applyFont="1" applyFill="1" applyBorder="1" applyAlignment="1">
      <alignment horizontal="center" vertical="center" wrapText="1"/>
    </xf>
    <xf numFmtId="49" fontId="18" fillId="3" borderId="2" xfId="4496" applyNumberFormat="1" applyFont="1" applyFill="1" applyBorder="1" applyAlignment="1">
      <alignment horizontal="center" vertical="center"/>
    </xf>
    <xf numFmtId="49" fontId="18" fillId="3" borderId="0" xfId="4496" applyNumberFormat="1" applyFont="1" applyFill="1" applyAlignment="1">
      <alignment horizontal="center" vertical="center"/>
    </xf>
    <xf numFmtId="0" fontId="19" fillId="0" borderId="1" xfId="4496" applyFont="1" applyBorder="1" applyAlignment="1">
      <alignment horizontal="center" wrapText="1"/>
    </xf>
    <xf numFmtId="0" fontId="19" fillId="0" borderId="2" xfId="4496" applyFont="1" applyBorder="1" applyAlignment="1">
      <alignment horizontal="center" wrapText="1"/>
    </xf>
    <xf numFmtId="0" fontId="19" fillId="0" borderId="7" xfId="4496" applyFont="1" applyBorder="1" applyAlignment="1">
      <alignment horizontal="center" wrapText="1"/>
    </xf>
    <xf numFmtId="0" fontId="19" fillId="0" borderId="9" xfId="4496" applyFont="1" applyBorder="1" applyAlignment="1">
      <alignment horizontal="center" wrapText="1"/>
    </xf>
    <xf numFmtId="0" fontId="19" fillId="0" borderId="6" xfId="4496" applyFont="1" applyBorder="1" applyAlignment="1">
      <alignment horizontal="center" wrapText="1"/>
    </xf>
    <xf numFmtId="0" fontId="19" fillId="0" borderId="10" xfId="4496" applyFont="1" applyBorder="1" applyAlignment="1">
      <alignment horizontal="center" wrapText="1"/>
    </xf>
    <xf numFmtId="0" fontId="106" fillId="5" borderId="55" xfId="4496" applyFill="1" applyBorder="1" applyAlignment="1">
      <alignment horizontal="center"/>
    </xf>
    <xf numFmtId="0" fontId="106" fillId="5" borderId="6" xfId="4496" applyFill="1" applyBorder="1" applyAlignment="1">
      <alignment horizontal="center"/>
    </xf>
    <xf numFmtId="0" fontId="20" fillId="5" borderId="0" xfId="4496" applyFont="1" applyFill="1" applyAlignment="1">
      <alignment horizontal="left" vertical="top" wrapText="1"/>
    </xf>
    <xf numFmtId="0" fontId="20" fillId="5" borderId="58" xfId="4496" applyFont="1" applyFill="1" applyBorder="1" applyAlignment="1">
      <alignment horizontal="left" vertical="top" wrapText="1"/>
    </xf>
    <xf numFmtId="0" fontId="19" fillId="0" borderId="0" xfId="4496" applyFont="1" applyAlignment="1">
      <alignment horizontal="right"/>
    </xf>
    <xf numFmtId="0" fontId="108" fillId="0" borderId="50" xfId="4497" applyFont="1" applyBorder="1" applyAlignment="1">
      <alignment horizontal="left" wrapText="1"/>
    </xf>
    <xf numFmtId="0" fontId="108" fillId="0" borderId="51" xfId="4497" applyFont="1" applyBorder="1" applyAlignment="1">
      <alignment horizontal="left" wrapText="1"/>
    </xf>
    <xf numFmtId="0" fontId="108" fillId="0" borderId="52" xfId="4497" applyFont="1" applyBorder="1" applyAlignment="1">
      <alignment horizontal="left" wrapText="1"/>
    </xf>
    <xf numFmtId="0" fontId="108" fillId="0" borderId="57" xfId="4497" applyFont="1" applyBorder="1" applyAlignment="1">
      <alignment horizontal="left" wrapText="1"/>
    </xf>
    <xf numFmtId="0" fontId="108" fillId="0" borderId="58" xfId="4497" applyFont="1" applyBorder="1" applyAlignment="1">
      <alignment horizontal="left" wrapText="1"/>
    </xf>
    <xf numFmtId="0" fontId="108" fillId="0" borderId="59" xfId="4497" applyFont="1" applyBorder="1" applyAlignment="1">
      <alignment horizontal="left" wrapText="1"/>
    </xf>
    <xf numFmtId="0" fontId="106" fillId="5" borderId="50" xfId="4496" applyFill="1" applyBorder="1" applyAlignment="1">
      <alignment horizontal="center"/>
    </xf>
    <xf numFmtId="0" fontId="106" fillId="5" borderId="51" xfId="4496" applyFill="1" applyBorder="1" applyAlignment="1">
      <alignment horizontal="center"/>
    </xf>
    <xf numFmtId="0" fontId="106" fillId="0" borderId="53" xfId="4496" applyBorder="1" applyAlignment="1">
      <alignment horizontal="center"/>
    </xf>
    <xf numFmtId="0" fontId="106" fillId="0" borderId="0" xfId="4496" applyAlignment="1">
      <alignment horizontal="center"/>
    </xf>
    <xf numFmtId="0" fontId="20" fillId="5" borderId="0" xfId="4496" applyFont="1" applyFill="1" applyAlignment="1">
      <alignment horizontal="left" vertical="top"/>
    </xf>
    <xf numFmtId="0" fontId="106" fillId="5" borderId="53" xfId="4496" applyFill="1" applyBorder="1" applyAlignment="1">
      <alignment horizontal="center"/>
    </xf>
    <xf numFmtId="0" fontId="106" fillId="5" borderId="0" xfId="4496" applyFill="1" applyAlignment="1">
      <alignment horizontal="center"/>
    </xf>
    <xf numFmtId="0" fontId="20" fillId="0" borderId="58" xfId="4496" applyFont="1" applyBorder="1" applyAlignment="1">
      <alignment horizontal="left" vertical="top" wrapText="1"/>
    </xf>
    <xf numFmtId="0" fontId="42" fillId="0" borderId="51" xfId="4496" applyFont="1" applyBorder="1" applyAlignment="1">
      <alignment horizontal="left" wrapText="1"/>
    </xf>
    <xf numFmtId="0" fontId="42" fillId="0" borderId="0" xfId="4496" applyFont="1" applyAlignment="1">
      <alignment horizontal="left" wrapText="1"/>
    </xf>
    <xf numFmtId="0" fontId="20" fillId="5" borderId="58" xfId="4496" applyFont="1" applyFill="1" applyBorder="1" applyAlignment="1">
      <alignment horizontal="left"/>
    </xf>
    <xf numFmtId="0" fontId="42" fillId="0" borderId="51" xfId="4496" applyFont="1" applyBorder="1" applyAlignment="1">
      <alignment horizontal="left" vertical="top" wrapText="1"/>
    </xf>
    <xf numFmtId="0" fontId="42" fillId="0" borderId="0" xfId="4496" applyFont="1" applyAlignment="1">
      <alignment horizontal="left" vertical="top" wrapText="1"/>
    </xf>
    <xf numFmtId="9" fontId="20" fillId="5" borderId="58" xfId="4496" applyNumberFormat="1" applyFont="1" applyFill="1" applyBorder="1" applyAlignment="1">
      <alignment horizontal="left"/>
    </xf>
    <xf numFmtId="0" fontId="20" fillId="5" borderId="6" xfId="4496" applyFont="1" applyFill="1" applyBorder="1" applyAlignment="1">
      <alignment horizontal="left"/>
    </xf>
    <xf numFmtId="0" fontId="106" fillId="5" borderId="63" xfId="4496" applyFill="1" applyBorder="1" applyAlignment="1">
      <alignment horizontal="center"/>
    </xf>
    <xf numFmtId="0" fontId="106" fillId="5" borderId="64" xfId="4496" applyFill="1" applyBorder="1" applyAlignment="1">
      <alignment horizontal="center"/>
    </xf>
    <xf numFmtId="0" fontId="19" fillId="0" borderId="51" xfId="4496" applyFont="1" applyBorder="1" applyAlignment="1">
      <alignment horizontal="center" vertical="top"/>
    </xf>
    <xf numFmtId="0" fontId="19" fillId="0" borderId="52" xfId="4496" applyFont="1" applyBorder="1" applyAlignment="1">
      <alignment horizontal="center" vertical="top"/>
    </xf>
    <xf numFmtId="0" fontId="19" fillId="0" borderId="0" xfId="4496" applyFont="1" applyAlignment="1">
      <alignment horizontal="center" vertical="top"/>
    </xf>
    <xf numFmtId="0" fontId="19" fillId="0" borderId="54" xfId="4496" applyFont="1" applyBorder="1" applyAlignment="1">
      <alignment horizontal="center" vertical="top"/>
    </xf>
    <xf numFmtId="0" fontId="106" fillId="5" borderId="63" xfId="4496" applyFill="1" applyBorder="1" applyAlignment="1" applyProtection="1">
      <alignment horizontal="center"/>
      <protection locked="0"/>
    </xf>
    <xf numFmtId="0" fontId="106" fillId="5" borderId="64" xfId="4496" applyFill="1" applyBorder="1" applyAlignment="1" applyProtection="1">
      <alignment horizontal="center"/>
      <protection locked="0"/>
    </xf>
    <xf numFmtId="0" fontId="116" fillId="0" borderId="0" xfId="4496" applyFont="1" applyAlignment="1">
      <alignment horizontal="left" vertical="center" wrapText="1"/>
    </xf>
    <xf numFmtId="0" fontId="19" fillId="0" borderId="0" xfId="4496" applyFont="1" applyAlignment="1">
      <alignment horizontal="left" vertical="top" wrapText="1"/>
    </xf>
    <xf numFmtId="0" fontId="12" fillId="0" borderId="0" xfId="4496" applyFont="1" applyAlignment="1">
      <alignment horizontal="left" vertical="top" wrapText="1" shrinkToFit="1"/>
    </xf>
    <xf numFmtId="44" fontId="12" fillId="0" borderId="0" xfId="708" applyFont="1" applyFill="1" applyBorder="1" applyAlignment="1" applyProtection="1">
      <alignment horizontal="left" vertical="top" wrapText="1"/>
    </xf>
    <xf numFmtId="0" fontId="12" fillId="5" borderId="6" xfId="4496" applyFont="1" applyFill="1" applyBorder="1" applyAlignment="1" applyProtection="1">
      <alignment horizontal="center"/>
      <protection locked="0"/>
    </xf>
    <xf numFmtId="0" fontId="12" fillId="0" borderId="0" xfId="4496" applyFont="1" applyAlignment="1">
      <alignment horizontal="left" vertical="center" wrapText="1" shrinkToFit="1"/>
    </xf>
    <xf numFmtId="0" fontId="12" fillId="5" borderId="6" xfId="12934" applyFill="1" applyBorder="1" applyAlignment="1" applyProtection="1">
      <alignment horizontal="left" wrapText="1" shrinkToFit="1"/>
      <protection locked="0"/>
    </xf>
    <xf numFmtId="0" fontId="12" fillId="44" borderId="6" xfId="1193" applyFill="1" applyBorder="1" applyAlignment="1" applyProtection="1">
      <alignment horizontal="left" vertical="top"/>
      <protection locked="0"/>
    </xf>
    <xf numFmtId="0" fontId="12" fillId="0" borderId="50" xfId="4496" applyFont="1" applyBorder="1" applyAlignment="1">
      <alignment horizontal="left" vertical="center" wrapText="1"/>
    </xf>
    <xf numFmtId="0" fontId="12" fillId="0" borderId="51" xfId="4496" applyFont="1" applyBorder="1" applyAlignment="1">
      <alignment horizontal="left" vertical="center" wrapText="1"/>
    </xf>
    <xf numFmtId="0" fontId="12" fillId="0" borderId="52" xfId="4496" applyFont="1" applyBorder="1" applyAlignment="1">
      <alignment horizontal="left" vertical="center" wrapText="1"/>
    </xf>
    <xf numFmtId="0" fontId="12" fillId="0" borderId="53" xfId="4496" applyFont="1" applyBorder="1" applyAlignment="1">
      <alignment horizontal="left" vertical="center" wrapText="1"/>
    </xf>
    <xf numFmtId="0" fontId="12" fillId="0" borderId="0" xfId="4496" applyFont="1" applyAlignment="1">
      <alignment horizontal="left" vertical="center" wrapText="1"/>
    </xf>
    <xf numFmtId="0" fontId="12" fillId="0" borderId="54" xfId="4496" applyFont="1" applyBorder="1" applyAlignment="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9" xfId="4496" applyFont="1" applyBorder="1" applyAlignment="1">
      <alignment horizontal="left" vertical="top" wrapText="1"/>
    </xf>
    <xf numFmtId="0" fontId="12" fillId="0" borderId="4" xfId="4497" applyFont="1" applyBorder="1" applyAlignment="1">
      <alignment horizontal="center"/>
    </xf>
    <xf numFmtId="0" fontId="12" fillId="0" borderId="5" xfId="4497" applyFont="1" applyBorder="1" applyAlignment="1">
      <alignment horizontal="center"/>
    </xf>
    <xf numFmtId="0" fontId="12" fillId="0" borderId="50" xfId="4496" applyFont="1" applyBorder="1" applyAlignment="1">
      <alignment horizontal="left" vertical="top" wrapText="1"/>
    </xf>
    <xf numFmtId="0" fontId="12" fillId="0" borderId="51" xfId="4496" applyFont="1" applyBorder="1" applyAlignment="1">
      <alignment horizontal="left" vertical="top" wrapText="1"/>
    </xf>
    <xf numFmtId="0" fontId="12" fillId="0" borderId="52" xfId="4496" applyFont="1" applyBorder="1" applyAlignment="1">
      <alignment horizontal="left" vertical="top" wrapText="1"/>
    </xf>
    <xf numFmtId="0" fontId="19" fillId="0" borderId="0" xfId="4496" applyFont="1" applyAlignment="1">
      <alignment horizontal="left" vertical="top"/>
    </xf>
    <xf numFmtId="0" fontId="106" fillId="0" borderId="0" xfId="4496" applyAlignment="1" applyProtection="1">
      <alignment horizontal="center"/>
      <protection locked="0"/>
    </xf>
    <xf numFmtId="9" fontId="12" fillId="0" borderId="4" xfId="543" applyNumberFormat="1" applyBorder="1" applyAlignment="1">
      <alignment horizontal="center"/>
    </xf>
    <xf numFmtId="168" fontId="12" fillId="0" borderId="6" xfId="4496" applyNumberFormat="1" applyFont="1" applyBorder="1" applyAlignment="1">
      <alignment horizontal="right"/>
    </xf>
    <xf numFmtId="168" fontId="104" fillId="0" borderId="6" xfId="4496" applyNumberFormat="1" applyFont="1" applyBorder="1" applyAlignment="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Border="1" applyAlignment="1">
      <alignment horizontal="right"/>
    </xf>
    <xf numFmtId="6" fontId="12" fillId="0" borderId="4" xfId="1193" applyNumberFormat="1" applyBorder="1" applyAlignment="1">
      <alignment horizontal="right"/>
    </xf>
    <xf numFmtId="6" fontId="12" fillId="0" borderId="5" xfId="1193" applyNumberFormat="1" applyBorder="1" applyAlignment="1">
      <alignment horizontal="right"/>
    </xf>
    <xf numFmtId="168" fontId="12" fillId="0" borderId="4" xfId="4496" applyNumberFormat="1" applyFont="1" applyBorder="1" applyAlignment="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Border="1" applyAlignment="1">
      <alignment horizontal="right"/>
    </xf>
    <xf numFmtId="168" fontId="12" fillId="0" borderId="2" xfId="1193" applyNumberFormat="1" applyBorder="1" applyAlignment="1">
      <alignment horizontal="right"/>
    </xf>
    <xf numFmtId="0" fontId="12" fillId="5" borderId="6" xfId="1193" applyFill="1" applyBorder="1" applyAlignment="1" applyProtection="1">
      <alignment horizontal="left"/>
      <protection locked="0"/>
    </xf>
    <xf numFmtId="165" fontId="12" fillId="0" borderId="0" xfId="1193" applyNumberFormat="1" applyAlignment="1">
      <alignment horizontal="right"/>
    </xf>
    <xf numFmtId="2" fontId="12" fillId="0" borderId="0" xfId="1193" applyNumberFormat="1" applyAlignment="1">
      <alignment horizontal="right"/>
    </xf>
    <xf numFmtId="1" fontId="12" fillId="0" borderId="3" xfId="4496" applyNumberFormat="1" applyFont="1" applyBorder="1" applyAlignment="1">
      <alignment horizontal="center"/>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0" fontId="20" fillId="5" borderId="6" xfId="4496" applyFont="1" applyFill="1" applyBorder="1" applyAlignment="1" applyProtection="1">
      <alignment horizontal="left"/>
      <protection locked="0"/>
    </xf>
    <xf numFmtId="0" fontId="12" fillId="0" borderId="0" xfId="4496" applyFont="1" applyAlignment="1">
      <alignment horizontal="left"/>
    </xf>
    <xf numFmtId="0" fontId="12" fillId="5" borderId="6" xfId="4496" applyFont="1" applyFill="1" applyBorder="1" applyAlignment="1" applyProtection="1">
      <alignment horizontal="left"/>
      <protection locked="0"/>
    </xf>
    <xf numFmtId="0" fontId="42" fillId="5" borderId="6" xfId="4496" applyFont="1" applyFill="1" applyBorder="1" applyAlignment="1" applyProtection="1">
      <alignment horizontal="left"/>
      <protection locked="0"/>
    </xf>
    <xf numFmtId="0" fontId="12" fillId="5" borderId="6" xfId="12934" applyFill="1" applyBorder="1" applyAlignment="1" applyProtection="1">
      <alignment horizontal="left"/>
      <protection locked="0"/>
    </xf>
    <xf numFmtId="0" fontId="12" fillId="0" borderId="0" xfId="1193" applyAlignment="1">
      <alignment horizontal="right"/>
    </xf>
    <xf numFmtId="9" fontId="12" fillId="0" borderId="6" xfId="1193" applyNumberFormat="1" applyBorder="1" applyAlignment="1">
      <alignment horizontal="center"/>
    </xf>
    <xf numFmtId="9" fontId="12" fillId="0" borderId="6" xfId="1193" quotePrefix="1" applyNumberFormat="1" applyBorder="1" applyAlignment="1">
      <alignment horizontal="center"/>
    </xf>
    <xf numFmtId="9" fontId="12" fillId="0" borderId="0" xfId="1193" quotePrefix="1" applyNumberFormat="1" applyAlignment="1">
      <alignment horizontal="center"/>
    </xf>
    <xf numFmtId="1" fontId="12" fillId="5" borderId="4" xfId="1193" applyNumberFormat="1" applyFill="1" applyBorder="1" applyAlignment="1" applyProtection="1">
      <alignment horizontal="center"/>
      <protection locked="0"/>
    </xf>
    <xf numFmtId="165" fontId="108" fillId="0" borderId="55" xfId="4497" applyNumberFormat="1" applyFont="1" applyBorder="1" applyAlignment="1">
      <alignment horizontal="center" vertical="top" wrapText="1"/>
    </xf>
    <xf numFmtId="165" fontId="108" fillId="0" borderId="6" xfId="4497" applyNumberFormat="1" applyFont="1" applyBorder="1" applyAlignment="1">
      <alignment horizontal="center" vertical="top" wrapText="1"/>
    </xf>
    <xf numFmtId="1" fontId="108" fillId="0" borderId="55" xfId="4497" applyNumberFormat="1" applyFont="1" applyBorder="1" applyAlignment="1">
      <alignment horizontal="center" vertical="top" wrapText="1"/>
    </xf>
    <xf numFmtId="1" fontId="108" fillId="0" borderId="6" xfId="4497" applyNumberFormat="1" applyFont="1" applyBorder="1" applyAlignment="1">
      <alignment horizontal="center" vertical="top" wrapText="1"/>
    </xf>
    <xf numFmtId="168" fontId="108" fillId="44" borderId="55" xfId="4497" applyNumberFormat="1" applyFont="1" applyFill="1" applyBorder="1" applyAlignment="1" applyProtection="1">
      <alignment horizontal="center" vertical="top" wrapText="1"/>
      <protection locked="0"/>
    </xf>
    <xf numFmtId="168" fontId="108" fillId="44" borderId="6" xfId="4497" applyNumberFormat="1" applyFont="1" applyFill="1" applyBorder="1" applyAlignment="1" applyProtection="1">
      <alignment horizontal="center" vertical="top" wrapText="1"/>
      <protection locked="0"/>
    </xf>
    <xf numFmtId="168" fontId="108" fillId="0" borderId="55" xfId="4497" applyNumberFormat="1" applyFont="1" applyBorder="1" applyAlignment="1">
      <alignment horizontal="center" vertical="top"/>
    </xf>
    <xf numFmtId="168" fontId="108" fillId="0" borderId="6" xfId="4497" applyNumberFormat="1" applyFont="1" applyBorder="1" applyAlignment="1">
      <alignment horizontal="center" vertical="top"/>
    </xf>
    <xf numFmtId="0" fontId="108" fillId="5" borderId="60" xfId="4497" applyFont="1" applyFill="1" applyBorder="1" applyAlignment="1" applyProtection="1">
      <alignment horizontal="center"/>
      <protection locked="0"/>
    </xf>
    <xf numFmtId="0" fontId="108" fillId="5" borderId="4" xfId="4497" applyFont="1" applyFill="1" applyBorder="1" applyAlignment="1" applyProtection="1">
      <alignment horizontal="center"/>
      <protection locked="0"/>
    </xf>
    <xf numFmtId="0" fontId="108" fillId="5" borderId="6" xfId="4497" applyFont="1" applyFill="1" applyBorder="1" applyAlignment="1" applyProtection="1">
      <alignment horizontal="center"/>
      <protection locked="0"/>
    </xf>
    <xf numFmtId="0" fontId="12" fillId="0" borderId="57" xfId="4496" applyFont="1" applyBorder="1" applyAlignment="1">
      <alignment horizontal="left" vertical="center" wrapText="1"/>
    </xf>
    <xf numFmtId="0" fontId="12" fillId="0" borderId="58" xfId="4496" applyFont="1" applyBorder="1" applyAlignment="1">
      <alignment horizontal="left" vertical="center" wrapText="1"/>
    </xf>
    <xf numFmtId="0" fontId="12" fillId="0" borderId="59" xfId="4496" applyFont="1" applyBorder="1" applyAlignment="1">
      <alignment horizontal="left" vertical="center" wrapText="1"/>
    </xf>
    <xf numFmtId="0" fontId="108" fillId="5" borderId="55" xfId="4497" applyFont="1" applyFill="1" applyBorder="1" applyAlignment="1" applyProtection="1">
      <alignment horizontal="center"/>
      <protection locked="0"/>
    </xf>
    <xf numFmtId="0" fontId="108" fillId="0" borderId="55" xfId="4497" applyFont="1" applyBorder="1" applyAlignment="1">
      <alignment horizontal="center" vertical="top" wrapText="1"/>
    </xf>
    <xf numFmtId="0" fontId="108" fillId="0" borderId="6" xfId="4497" applyFont="1" applyBorder="1" applyAlignment="1">
      <alignment horizontal="center" vertical="top" wrapText="1"/>
    </xf>
    <xf numFmtId="0" fontId="108" fillId="0" borderId="50" xfId="4497" applyFont="1" applyBorder="1" applyAlignment="1">
      <alignment horizontal="left" vertical="top" wrapText="1"/>
    </xf>
    <xf numFmtId="0" fontId="108" fillId="0" borderId="51" xfId="4497" applyFont="1" applyBorder="1" applyAlignment="1">
      <alignment horizontal="left" vertical="top" wrapText="1"/>
    </xf>
    <xf numFmtId="0" fontId="108" fillId="0" borderId="52" xfId="4497" applyFont="1" applyBorder="1" applyAlignment="1">
      <alignment horizontal="left" vertical="top" wrapText="1"/>
    </xf>
    <xf numFmtId="0" fontId="108" fillId="0" borderId="53" xfId="4497" applyFont="1" applyBorder="1" applyAlignment="1">
      <alignment horizontal="left" vertical="top" wrapText="1"/>
    </xf>
    <xf numFmtId="0" fontId="108" fillId="0" borderId="0" xfId="4497" applyFont="1" applyAlignment="1">
      <alignment horizontal="left" vertical="top" wrapText="1"/>
    </xf>
    <xf numFmtId="0" fontId="108" fillId="0" borderId="54" xfId="4497" applyFont="1" applyBorder="1" applyAlignment="1">
      <alignment horizontal="left" vertical="top" wrapText="1"/>
    </xf>
    <xf numFmtId="165" fontId="108" fillId="0" borderId="60" xfId="4497" applyNumberFormat="1" applyFont="1" applyBorder="1" applyAlignment="1">
      <alignment horizontal="center" vertical="top" wrapText="1"/>
    </xf>
    <xf numFmtId="0" fontId="18" fillId="3" borderId="2" xfId="4496" applyFont="1" applyFill="1" applyBorder="1" applyAlignment="1">
      <alignment horizontal="center" vertical="center"/>
    </xf>
    <xf numFmtId="0" fontId="18" fillId="3" borderId="16" xfId="4496" applyFont="1" applyFill="1" applyBorder="1" applyAlignment="1">
      <alignment horizontal="center" vertical="center"/>
    </xf>
    <xf numFmtId="0" fontId="19" fillId="0" borderId="48" xfId="4496" applyFont="1" applyBorder="1" applyAlignment="1">
      <alignment horizontal="left" vertical="top"/>
    </xf>
    <xf numFmtId="0" fontId="19" fillId="0" borderId="49" xfId="4496" applyFont="1" applyBorder="1" applyAlignment="1">
      <alignment horizontal="left" vertical="top"/>
    </xf>
    <xf numFmtId="0" fontId="108" fillId="0" borderId="0" xfId="4497" applyFont="1" applyAlignment="1">
      <alignment horizontal="left" vertical="center" wrapText="1"/>
    </xf>
    <xf numFmtId="0" fontId="108" fillId="44" borderId="55" xfId="4497" applyFont="1" applyFill="1" applyBorder="1" applyAlignment="1" applyProtection="1">
      <alignment horizontal="left" vertical="top" wrapText="1"/>
      <protection locked="0"/>
    </xf>
    <xf numFmtId="0" fontId="108" fillId="44" borderId="6" xfId="4497" applyFont="1" applyFill="1" applyBorder="1" applyAlignment="1" applyProtection="1">
      <alignment horizontal="left" vertical="top" wrapText="1"/>
      <protection locked="0"/>
    </xf>
    <xf numFmtId="0" fontId="108" fillId="44" borderId="56" xfId="4497" applyFont="1" applyFill="1" applyBorder="1" applyAlignment="1" applyProtection="1">
      <alignment horizontal="left" vertical="top" wrapText="1"/>
      <protection locked="0"/>
    </xf>
    <xf numFmtId="0" fontId="12" fillId="0" borderId="50" xfId="4496" applyFont="1" applyBorder="1" applyAlignment="1">
      <alignment vertical="center" wrapText="1"/>
    </xf>
    <xf numFmtId="0" fontId="12" fillId="0" borderId="51" xfId="4496" applyFont="1" applyBorder="1" applyAlignment="1">
      <alignment vertical="center" wrapText="1"/>
    </xf>
    <xf numFmtId="0" fontId="12" fillId="0" borderId="52" xfId="4496" applyFont="1" applyBorder="1" applyAlignment="1">
      <alignment vertical="center" wrapText="1"/>
    </xf>
    <xf numFmtId="0" fontId="12" fillId="0" borderId="57" xfId="4496" applyFont="1" applyBorder="1" applyAlignment="1">
      <alignment vertical="center" wrapText="1"/>
    </xf>
    <xf numFmtId="0" fontId="12" fillId="0" borderId="58" xfId="4496" applyFont="1" applyBorder="1" applyAlignment="1">
      <alignment vertical="center" wrapText="1"/>
    </xf>
    <xf numFmtId="0" fontId="12" fillId="0" borderId="59" xfId="4496" applyFont="1" applyBorder="1" applyAlignment="1">
      <alignment vertical="center" wrapText="1"/>
    </xf>
    <xf numFmtId="0" fontId="108" fillId="0" borderId="57" xfId="4497" applyFont="1" applyBorder="1" applyAlignment="1">
      <alignment horizontal="left" vertical="top" wrapText="1"/>
    </xf>
    <xf numFmtId="0" fontId="108" fillId="0" borderId="58" xfId="4497" applyFont="1" applyBorder="1" applyAlignment="1">
      <alignment horizontal="left" vertical="top" wrapText="1"/>
    </xf>
    <xf numFmtId="0" fontId="108" fillId="0" borderId="59" xfId="4497" applyFont="1" applyBorder="1" applyAlignment="1">
      <alignment horizontal="left" vertical="top" wrapText="1"/>
    </xf>
    <xf numFmtId="10" fontId="108" fillId="0" borderId="3" xfId="4497" applyNumberFormat="1" applyFont="1" applyBorder="1" applyAlignment="1">
      <alignment horizontal="center" vertical="top" wrapText="1"/>
    </xf>
    <xf numFmtId="10" fontId="108" fillId="0" borderId="4" xfId="4497" applyNumberFormat="1" applyFont="1" applyBorder="1" applyAlignment="1">
      <alignment horizontal="center" vertical="top" wrapText="1"/>
    </xf>
    <xf numFmtId="10" fontId="108" fillId="0" borderId="5" xfId="4497" applyNumberFormat="1" applyFont="1" applyBorder="1" applyAlignment="1">
      <alignment horizontal="center" vertical="top" wrapText="1"/>
    </xf>
    <xf numFmtId="49" fontId="122" fillId="3" borderId="0" xfId="1193" applyNumberFormat="1" applyFont="1" applyFill="1" applyAlignment="1">
      <alignment horizontal="center" vertical="center"/>
    </xf>
    <xf numFmtId="0" fontId="84" fillId="0" borderId="0" xfId="4497" applyFont="1" applyAlignment="1">
      <alignment horizontal="center" vertical="center"/>
    </xf>
    <xf numFmtId="0" fontId="84" fillId="0" borderId="0" xfId="4497" applyFont="1" applyAlignment="1">
      <alignment horizontal="left" vertical="top" wrapText="1"/>
    </xf>
    <xf numFmtId="168" fontId="12" fillId="2" borderId="3" xfId="570" applyNumberFormat="1" applyFill="1" applyBorder="1" applyAlignment="1">
      <alignment horizontal="center"/>
    </xf>
    <xf numFmtId="168" fontId="12" fillId="2" borderId="4" xfId="570" applyNumberFormat="1" applyFill="1" applyBorder="1" applyAlignment="1">
      <alignment horizontal="center"/>
    </xf>
    <xf numFmtId="168" fontId="12" fillId="2" borderId="5"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Border="1" applyAlignment="1">
      <alignment horizontal="center"/>
    </xf>
    <xf numFmtId="168" fontId="12" fillId="0" borderId="11" xfId="570" applyNumberFormat="1" applyBorder="1" applyAlignment="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79" fontId="19" fillId="0" borderId="0" xfId="570" applyNumberFormat="1" applyFont="1" applyAlignment="1">
      <alignment horizontal="center" wrapText="1"/>
    </xf>
    <xf numFmtId="0" fontId="19" fillId="0" borderId="16" xfId="271" applyFont="1" applyBorder="1" applyAlignment="1">
      <alignment horizontal="center"/>
    </xf>
    <xf numFmtId="164" fontId="19" fillId="0" borderId="0" xfId="570" applyNumberFormat="1" applyFont="1" applyAlignment="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42" fillId="0" borderId="0" xfId="570" applyFont="1" applyAlignment="1">
      <alignment horizontal="left"/>
    </xf>
    <xf numFmtId="0" fontId="12" fillId="0" borderId="3" xfId="570" applyBorder="1" applyAlignment="1">
      <alignment horizontal="right"/>
    </xf>
    <xf numFmtId="0" fontId="12" fillId="0" borderId="4" xfId="570" applyBorder="1" applyAlignment="1">
      <alignment horizontal="right"/>
    </xf>
    <xf numFmtId="0" fontId="12" fillId="0" borderId="5" xfId="570"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right"/>
    </xf>
    <xf numFmtId="168" fontId="12" fillId="0" borderId="4" xfId="570" applyNumberFormat="1" applyBorder="1" applyAlignment="1">
      <alignment horizontal="right"/>
    </xf>
    <xf numFmtId="168" fontId="12" fillId="0" borderId="5" xfId="570" applyNumberFormat="1" applyBorder="1" applyAlignment="1">
      <alignment horizontal="right"/>
    </xf>
    <xf numFmtId="9" fontId="12" fillId="0" borderId="5" xfId="570" applyNumberFormat="1" applyBorder="1" applyAlignment="1">
      <alignment horizontal="center"/>
    </xf>
    <xf numFmtId="9" fontId="12" fillId="0" borderId="11" xfId="570" applyNumberFormat="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Border="1" applyAlignment="1">
      <alignment horizontal="left"/>
    </xf>
    <xf numFmtId="0" fontId="19" fillId="0" borderId="5" xfId="570" applyFont="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Border="1" applyAlignment="1">
      <alignment horizontal="center"/>
    </xf>
    <xf numFmtId="168" fontId="12" fillId="0" borderId="15" xfId="570" applyNumberFormat="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Border="1" applyAlignment="1">
      <alignment horizontal="center"/>
    </xf>
    <xf numFmtId="5" fontId="12" fillId="0" borderId="11" xfId="570" applyNumberFormat="1" applyBorder="1" applyAlignment="1">
      <alignment horizontal="center"/>
    </xf>
    <xf numFmtId="5" fontId="12" fillId="0" borderId="3" xfId="570" applyNumberFormat="1" applyBorder="1" applyAlignment="1">
      <alignment horizontal="center"/>
    </xf>
    <xf numFmtId="5" fontId="12" fillId="0" borderId="4" xfId="570" applyNumberFormat="1" applyBorder="1" applyAlignment="1">
      <alignment horizontal="center"/>
    </xf>
    <xf numFmtId="9" fontId="12" fillId="0" borderId="9" xfId="570" applyNumberFormat="1" applyBorder="1" applyAlignment="1">
      <alignment horizontal="center" vertical="center"/>
    </xf>
    <xf numFmtId="9" fontId="12" fillId="0" borderId="6" xfId="570" applyNumberFormat="1" applyBorder="1" applyAlignment="1">
      <alignment horizontal="center" vertical="center"/>
    </xf>
    <xf numFmtId="9" fontId="12" fillId="0" borderId="10" xfId="570" applyNumberFormat="1" applyBorder="1" applyAlignment="1">
      <alignment horizontal="center" vertical="center"/>
    </xf>
    <xf numFmtId="168" fontId="12" fillId="0" borderId="11" xfId="570" applyNumberFormat="1" applyBorder="1" applyAlignment="1">
      <alignment horizontal="right"/>
    </xf>
    <xf numFmtId="0" fontId="19" fillId="0" borderId="6" xfId="570" applyFont="1" applyBorder="1" applyAlignment="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93" fillId="0" borderId="0" xfId="570" applyFont="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Border="1" applyAlignment="1" applyProtection="1">
      <alignment horizontal="center"/>
      <protection locked="0"/>
    </xf>
    <xf numFmtId="168" fontId="12" fillId="0" borderId="11" xfId="570" applyNumberFormat="1" applyBorder="1" applyAlignment="1"/>
    <xf numFmtId="168" fontId="12" fillId="0" borderId="3" xfId="570" applyNumberFormat="1" applyBorder="1" applyAlignment="1"/>
    <xf numFmtId="168" fontId="12" fillId="0" borderId="4" xfId="570" applyNumberFormat="1" applyBorder="1" applyAlignment="1"/>
    <xf numFmtId="168" fontId="12" fillId="0" borderId="5" xfId="570" applyNumberFormat="1" applyBorder="1" applyAlignment="1"/>
    <xf numFmtId="168" fontId="12" fillId="0" borderId="11" xfId="570" applyNumberFormat="1" applyBorder="1" applyAlignment="1">
      <alignment wrapText="1"/>
    </xf>
    <xf numFmtId="9" fontId="12" fillId="0" borderId="15" xfId="570" applyNumberFormat="1" applyBorder="1" applyAlignment="1">
      <alignment horizontal="center"/>
    </xf>
    <xf numFmtId="0" fontId="12" fillId="0" borderId="11" xfId="570" applyBorder="1" applyAlignment="1">
      <alignment horizontal="center"/>
    </xf>
    <xf numFmtId="0" fontId="93" fillId="0" borderId="0" xfId="0" applyFont="1" applyAlignment="1">
      <alignment horizontal="left" vertical="top" wrapText="1"/>
    </xf>
    <xf numFmtId="3" fontId="12"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lignment horizontal="center"/>
    </xf>
  </cellXfs>
  <cellStyles count="17158">
    <cellStyle name="20% - Accent1" xfId="1" builtinId="30" customBuiltin="1"/>
    <cellStyle name="20% - Accent1 10" xfId="4506" xr:uid="{00000000-0005-0000-0000-000001000000}"/>
    <cellStyle name="20% - Accent1 10 2" xfId="12941" xr:uid="{BD280CC9-575E-447D-A7E3-CB0B3D705518}"/>
    <cellStyle name="20% - Accent1 11" xfId="8723" xr:uid="{3F8CBECD-29DD-4CD2-AEEB-2C906DEC3BED}"/>
    <cellStyle name="20% - Accent1 2" xfId="2" xr:uid="{00000000-0005-0000-0000-000002000000}"/>
    <cellStyle name="20% - Accent1 2 10" xfId="8724" xr:uid="{E8ADAB10-E0D6-4FCA-8951-B7E3696674F9}"/>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2 2 2" xfId="15503" xr:uid="{9D2EA3DD-1A93-448E-9283-2BDA56F5CC52}"/>
    <cellStyle name="20% - Accent1 2 2 2 2 2 3" xfId="11285" xr:uid="{4BC6399E-F36E-4EDC-9F72-4B38C914B55A}"/>
    <cellStyle name="20% - Accent1 2 2 2 2 3" xfId="4923" xr:uid="{00000000-0005-0000-0000-000008000000}"/>
    <cellStyle name="20% - Accent1 2 2 2 2 3 2" xfId="13358" xr:uid="{6E98C57B-3DEE-4CA9-ABE9-EF347350163E}"/>
    <cellStyle name="20% - Accent1 2 2 2 2 4" xfId="9140" xr:uid="{8DD988CB-D5DE-4CCB-89F6-4E47DA3AF003}"/>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2 2 2" xfId="15916" xr:uid="{D42E0596-26B1-44BE-8208-D6276A57FB56}"/>
    <cellStyle name="20% - Accent1 2 2 2 3 2 3" xfId="11698" xr:uid="{1480738D-F12B-4F6D-BF6B-80805320BB8D}"/>
    <cellStyle name="20% - Accent1 2 2 2 3 3" xfId="5336" xr:uid="{00000000-0005-0000-0000-00000C000000}"/>
    <cellStyle name="20% - Accent1 2 2 2 3 3 2" xfId="13771" xr:uid="{E0A0DFB1-297F-49A4-B18D-F0BA4478E9B4}"/>
    <cellStyle name="20% - Accent1 2 2 2 3 4" xfId="9553" xr:uid="{500B5222-6B6E-4B55-AFD1-CC00203685FA}"/>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2 2 2" xfId="16329" xr:uid="{0BA5B7D0-DAA0-40CA-95A8-1171D3BDD9B0}"/>
    <cellStyle name="20% - Accent1 2 2 2 4 2 3" xfId="12111" xr:uid="{1CFB3EF8-1283-41B6-B768-38D08D6BE1CA}"/>
    <cellStyle name="20% - Accent1 2 2 2 4 3" xfId="5749" xr:uid="{00000000-0005-0000-0000-000010000000}"/>
    <cellStyle name="20% - Accent1 2 2 2 4 3 2" xfId="14184" xr:uid="{963B6FFF-1D73-492E-B02E-1B8C7D1EE0EC}"/>
    <cellStyle name="20% - Accent1 2 2 2 4 4" xfId="9966" xr:uid="{E0C80A8A-6271-4BB3-B571-DAFFCFA2DA0A}"/>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2 2 2" xfId="16742" xr:uid="{5FE2938C-0679-4543-8CDC-D32EBA83DA63}"/>
    <cellStyle name="20% - Accent1 2 2 2 5 2 3" xfId="12524" xr:uid="{766601D9-9322-4A13-8ED9-DAA4F1F94A1B}"/>
    <cellStyle name="20% - Accent1 2 2 2 5 3" xfId="6162" xr:uid="{00000000-0005-0000-0000-000014000000}"/>
    <cellStyle name="20% - Accent1 2 2 2 5 3 2" xfId="14597" xr:uid="{EF9F1EFA-FE9F-4AE2-BF04-527F0FCFC9C6}"/>
    <cellStyle name="20% - Accent1 2 2 2 5 4" xfId="10379" xr:uid="{43E74475-1A93-4903-A734-31A60607EBDB}"/>
    <cellStyle name="20% - Accent1 2 2 2 6" xfId="2268" xr:uid="{00000000-0005-0000-0000-000015000000}"/>
    <cellStyle name="20% - Accent1 2 2 2 6 2" xfId="6575" xr:uid="{00000000-0005-0000-0000-000016000000}"/>
    <cellStyle name="20% - Accent1 2 2 2 6 2 2" xfId="15010" xr:uid="{950B69EC-E5E8-4AC1-BD7C-7892A51A62C5}"/>
    <cellStyle name="20% - Accent1 2 2 2 6 3" xfId="10792" xr:uid="{36300569-150A-428B-9DD6-2374433A8F8C}"/>
    <cellStyle name="20% - Accent1 2 2 2 7" xfId="4509" xr:uid="{00000000-0005-0000-0000-000017000000}"/>
    <cellStyle name="20% - Accent1 2 2 2 7 2" xfId="12944" xr:uid="{920CF2BE-5796-4A70-9E37-B32760753F95}"/>
    <cellStyle name="20% - Accent1 2 2 2 8" xfId="8726" xr:uid="{C3E9E14D-9957-4B40-85D1-010E00C1337F}"/>
    <cellStyle name="20% - Accent1 2 2 3" xfId="573" xr:uid="{00000000-0005-0000-0000-000018000000}"/>
    <cellStyle name="20% - Accent1 2 2 3 2" xfId="2844" xr:uid="{00000000-0005-0000-0000-000019000000}"/>
    <cellStyle name="20% - Accent1 2 2 3 2 2" xfId="7067" xr:uid="{00000000-0005-0000-0000-00001A000000}"/>
    <cellStyle name="20% - Accent1 2 2 3 2 2 2" xfId="15502" xr:uid="{20EC1EE2-E099-43AC-B82F-5BF3C3B5135B}"/>
    <cellStyle name="20% - Accent1 2 2 3 2 3" xfId="11284" xr:uid="{E8FCC195-498A-423E-8611-E2C2F7445B52}"/>
    <cellStyle name="20% - Accent1 2 2 3 3" xfId="4922" xr:uid="{00000000-0005-0000-0000-00001B000000}"/>
    <cellStyle name="20% - Accent1 2 2 3 3 2" xfId="13357" xr:uid="{892E95F0-307A-48EA-B57D-C9032857E183}"/>
    <cellStyle name="20% - Accent1 2 2 3 4" xfId="9139" xr:uid="{C9F9F16D-FFD5-4CA9-8F58-893E1C9FD657}"/>
    <cellStyle name="20% - Accent1 2 2 4" xfId="1026" xr:uid="{00000000-0005-0000-0000-00001C000000}"/>
    <cellStyle name="20% - Accent1 2 2 4 2" xfId="3257" xr:uid="{00000000-0005-0000-0000-00001D000000}"/>
    <cellStyle name="20% - Accent1 2 2 4 2 2" xfId="7480" xr:uid="{00000000-0005-0000-0000-00001E000000}"/>
    <cellStyle name="20% - Accent1 2 2 4 2 2 2" xfId="15915" xr:uid="{B567386C-4860-4930-9BD5-256F9C32FFB1}"/>
    <cellStyle name="20% - Accent1 2 2 4 2 3" xfId="11697" xr:uid="{85C71001-483C-41C2-9206-5820BADBEB90}"/>
    <cellStyle name="20% - Accent1 2 2 4 3" xfId="5335" xr:uid="{00000000-0005-0000-0000-00001F000000}"/>
    <cellStyle name="20% - Accent1 2 2 4 3 2" xfId="13770" xr:uid="{65F0E0C1-1C29-4547-80F5-8CBE85460491}"/>
    <cellStyle name="20% - Accent1 2 2 4 4" xfId="9552" xr:uid="{60D68CA1-1A08-4FFE-A9EB-14F9C2216929}"/>
    <cellStyle name="20% - Accent1 2 2 5" xfId="1440" xr:uid="{00000000-0005-0000-0000-000020000000}"/>
    <cellStyle name="20% - Accent1 2 2 5 2" xfId="3670" xr:uid="{00000000-0005-0000-0000-000021000000}"/>
    <cellStyle name="20% - Accent1 2 2 5 2 2" xfId="7893" xr:uid="{00000000-0005-0000-0000-000022000000}"/>
    <cellStyle name="20% - Accent1 2 2 5 2 2 2" xfId="16328" xr:uid="{6E92EF78-D7FD-4198-88A3-444D500B9D0C}"/>
    <cellStyle name="20% - Accent1 2 2 5 2 3" xfId="12110" xr:uid="{825EBC57-D18A-4430-A5C0-00F861DE4584}"/>
    <cellStyle name="20% - Accent1 2 2 5 3" xfId="5748" xr:uid="{00000000-0005-0000-0000-000023000000}"/>
    <cellStyle name="20% - Accent1 2 2 5 3 2" xfId="14183" xr:uid="{C6AD0A56-EA22-4194-81E1-D1266525BD59}"/>
    <cellStyle name="20% - Accent1 2 2 5 4" xfId="9965" xr:uid="{666DCAFC-2183-4919-BA23-0077A9C8BFCB}"/>
    <cellStyle name="20% - Accent1 2 2 6" xfId="1854" xr:uid="{00000000-0005-0000-0000-000024000000}"/>
    <cellStyle name="20% - Accent1 2 2 6 2" xfId="4083" xr:uid="{00000000-0005-0000-0000-000025000000}"/>
    <cellStyle name="20% - Accent1 2 2 6 2 2" xfId="8306" xr:uid="{00000000-0005-0000-0000-000026000000}"/>
    <cellStyle name="20% - Accent1 2 2 6 2 2 2" xfId="16741" xr:uid="{C69E845C-22FB-4152-89A8-7D9B95480D05}"/>
    <cellStyle name="20% - Accent1 2 2 6 2 3" xfId="12523" xr:uid="{98D7F1A8-4EC6-4CE2-ADEF-525855A867D9}"/>
    <cellStyle name="20% - Accent1 2 2 6 3" xfId="6161" xr:uid="{00000000-0005-0000-0000-000027000000}"/>
    <cellStyle name="20% - Accent1 2 2 6 3 2" xfId="14596" xr:uid="{E4CAFAC0-995A-4A16-8498-79B2F920BDCD}"/>
    <cellStyle name="20% - Accent1 2 2 6 4" xfId="10378" xr:uid="{762044E4-041D-4289-9B0D-B9C2AF87CAA2}"/>
    <cellStyle name="20% - Accent1 2 2 7" xfId="2267" xr:uid="{00000000-0005-0000-0000-000028000000}"/>
    <cellStyle name="20% - Accent1 2 2 7 2" xfId="6574" xr:uid="{00000000-0005-0000-0000-000029000000}"/>
    <cellStyle name="20% - Accent1 2 2 7 2 2" xfId="15009" xr:uid="{08153192-4450-4F19-AFFD-77945498D3AA}"/>
    <cellStyle name="20% - Accent1 2 2 7 3" xfId="10791" xr:uid="{60699470-13DE-40F8-83F4-EFE80C0C969F}"/>
    <cellStyle name="20% - Accent1 2 2 8" xfId="4508" xr:uid="{00000000-0005-0000-0000-00002A000000}"/>
    <cellStyle name="20% - Accent1 2 2 8 2" xfId="12943" xr:uid="{154071C3-1840-4B3E-92C3-3D43F35E6742}"/>
    <cellStyle name="20% - Accent1 2 2 9" xfId="8725" xr:uid="{26B24D9A-AB1A-4E0B-AFB6-E0D5FA108323}"/>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2 2 2" xfId="15504" xr:uid="{DF05B5F3-3690-48D2-9ABD-77D41BD9A527}"/>
    <cellStyle name="20% - Accent1 2 3 2 2 3" xfId="11286" xr:uid="{7E026AD6-5154-4FC5-AB0D-20FA3F88E1FF}"/>
    <cellStyle name="20% - Accent1 2 3 2 3" xfId="4924" xr:uid="{00000000-0005-0000-0000-00002F000000}"/>
    <cellStyle name="20% - Accent1 2 3 2 3 2" xfId="13359" xr:uid="{9DB5601C-8764-4180-B000-577EB2323B45}"/>
    <cellStyle name="20% - Accent1 2 3 2 4" xfId="9141" xr:uid="{28FEF7B9-D005-478E-89CD-133A14FD55F3}"/>
    <cellStyle name="20% - Accent1 2 3 3" xfId="1028" xr:uid="{00000000-0005-0000-0000-000030000000}"/>
    <cellStyle name="20% - Accent1 2 3 3 2" xfId="3259" xr:uid="{00000000-0005-0000-0000-000031000000}"/>
    <cellStyle name="20% - Accent1 2 3 3 2 2" xfId="7482" xr:uid="{00000000-0005-0000-0000-000032000000}"/>
    <cellStyle name="20% - Accent1 2 3 3 2 2 2" xfId="15917" xr:uid="{AA895BD5-7A71-42BD-84E0-F066F21BE54F}"/>
    <cellStyle name="20% - Accent1 2 3 3 2 3" xfId="11699" xr:uid="{4C404130-341F-4541-893D-8C631AD0C462}"/>
    <cellStyle name="20% - Accent1 2 3 3 3" xfId="5337" xr:uid="{00000000-0005-0000-0000-000033000000}"/>
    <cellStyle name="20% - Accent1 2 3 3 3 2" xfId="13772" xr:uid="{C3C37812-4E91-44FE-8FF7-23F8802856F5}"/>
    <cellStyle name="20% - Accent1 2 3 3 4" xfId="9554" xr:uid="{577C46A0-50D1-4F0C-A2AF-C2B83F2D4F44}"/>
    <cellStyle name="20% - Accent1 2 3 4" xfId="1442" xr:uid="{00000000-0005-0000-0000-000034000000}"/>
    <cellStyle name="20% - Accent1 2 3 4 2" xfId="3672" xr:uid="{00000000-0005-0000-0000-000035000000}"/>
    <cellStyle name="20% - Accent1 2 3 4 2 2" xfId="7895" xr:uid="{00000000-0005-0000-0000-000036000000}"/>
    <cellStyle name="20% - Accent1 2 3 4 2 2 2" xfId="16330" xr:uid="{5C741863-27E8-492F-A6BC-DA5F73527F7B}"/>
    <cellStyle name="20% - Accent1 2 3 4 2 3" xfId="12112" xr:uid="{36C7BA06-787F-4C4A-B0F1-2433D6982BB6}"/>
    <cellStyle name="20% - Accent1 2 3 4 3" xfId="5750" xr:uid="{00000000-0005-0000-0000-000037000000}"/>
    <cellStyle name="20% - Accent1 2 3 4 3 2" xfId="14185" xr:uid="{BDC16066-D3DC-471D-AC43-E659C2F25E3E}"/>
    <cellStyle name="20% - Accent1 2 3 4 4" xfId="9967" xr:uid="{15A1480E-9252-43EF-A048-173D35C3E1EF}"/>
    <cellStyle name="20% - Accent1 2 3 5" xfId="1856" xr:uid="{00000000-0005-0000-0000-000038000000}"/>
    <cellStyle name="20% - Accent1 2 3 5 2" xfId="4085" xr:uid="{00000000-0005-0000-0000-000039000000}"/>
    <cellStyle name="20% - Accent1 2 3 5 2 2" xfId="8308" xr:uid="{00000000-0005-0000-0000-00003A000000}"/>
    <cellStyle name="20% - Accent1 2 3 5 2 2 2" xfId="16743" xr:uid="{0A3EEA9E-5FD5-45EE-A50A-DD663221115E}"/>
    <cellStyle name="20% - Accent1 2 3 5 2 3" xfId="12525" xr:uid="{4C994BD4-F399-4E1B-A267-3BD7D16051EF}"/>
    <cellStyle name="20% - Accent1 2 3 5 3" xfId="6163" xr:uid="{00000000-0005-0000-0000-00003B000000}"/>
    <cellStyle name="20% - Accent1 2 3 5 3 2" xfId="14598" xr:uid="{6095B458-1746-4DB4-9040-F523A7878F9E}"/>
    <cellStyle name="20% - Accent1 2 3 5 4" xfId="10380" xr:uid="{B5AC9F1A-4454-4375-81F5-A9974CE30972}"/>
    <cellStyle name="20% - Accent1 2 3 6" xfId="2269" xr:uid="{00000000-0005-0000-0000-00003C000000}"/>
    <cellStyle name="20% - Accent1 2 3 6 2" xfId="6576" xr:uid="{00000000-0005-0000-0000-00003D000000}"/>
    <cellStyle name="20% - Accent1 2 3 6 2 2" xfId="15011" xr:uid="{E054AB01-7BD5-42AE-85BD-ED8D13B1CE3C}"/>
    <cellStyle name="20% - Accent1 2 3 6 3" xfId="10793" xr:uid="{11CC6ACD-3922-49FD-968A-82E38575D2F6}"/>
    <cellStyle name="20% - Accent1 2 3 7" xfId="4510" xr:uid="{00000000-0005-0000-0000-00003E000000}"/>
    <cellStyle name="20% - Accent1 2 3 7 2" xfId="12945" xr:uid="{A6A74AE5-EA84-49D5-B83E-CD1652B5731A}"/>
    <cellStyle name="20% - Accent1 2 3 8" xfId="8727" xr:uid="{8252AC5A-5DA2-4E72-9633-1F691F95B048}"/>
    <cellStyle name="20% - Accent1 2 4" xfId="572" xr:uid="{00000000-0005-0000-0000-00003F000000}"/>
    <cellStyle name="20% - Accent1 2 4 2" xfId="2843" xr:uid="{00000000-0005-0000-0000-000040000000}"/>
    <cellStyle name="20% - Accent1 2 4 2 2" xfId="7066" xr:uid="{00000000-0005-0000-0000-000041000000}"/>
    <cellStyle name="20% - Accent1 2 4 2 2 2" xfId="15501" xr:uid="{9BEB5E04-8C78-4631-9DAE-A09ECA818789}"/>
    <cellStyle name="20% - Accent1 2 4 2 3" xfId="11283" xr:uid="{8805015C-6E5B-4086-A472-0C91298D737B}"/>
    <cellStyle name="20% - Accent1 2 4 3" xfId="4921" xr:uid="{00000000-0005-0000-0000-000042000000}"/>
    <cellStyle name="20% - Accent1 2 4 3 2" xfId="13356" xr:uid="{BED0CA68-28C8-43C5-8F09-413A12B16485}"/>
    <cellStyle name="20% - Accent1 2 4 4" xfId="9138" xr:uid="{C75E5FF8-7398-4A94-8F35-E239D37F334D}"/>
    <cellStyle name="20% - Accent1 2 5" xfId="1025" xr:uid="{00000000-0005-0000-0000-000043000000}"/>
    <cellStyle name="20% - Accent1 2 5 2" xfId="3256" xr:uid="{00000000-0005-0000-0000-000044000000}"/>
    <cellStyle name="20% - Accent1 2 5 2 2" xfId="7479" xr:uid="{00000000-0005-0000-0000-000045000000}"/>
    <cellStyle name="20% - Accent1 2 5 2 2 2" xfId="15914" xr:uid="{A663028C-884D-488C-87BE-88019A350FBE}"/>
    <cellStyle name="20% - Accent1 2 5 2 3" xfId="11696" xr:uid="{70EEEF85-96AC-4A98-88A6-60B3A0ACC735}"/>
    <cellStyle name="20% - Accent1 2 5 3" xfId="5334" xr:uid="{00000000-0005-0000-0000-000046000000}"/>
    <cellStyle name="20% - Accent1 2 5 3 2" xfId="13769" xr:uid="{6D0441A0-29C5-49BF-9DD6-B5A620BEBA19}"/>
    <cellStyle name="20% - Accent1 2 5 4" xfId="9551" xr:uid="{5A733DD1-2C8F-4373-90A7-8F10CA2CA1FD}"/>
    <cellStyle name="20% - Accent1 2 6" xfId="1439" xr:uid="{00000000-0005-0000-0000-000047000000}"/>
    <cellStyle name="20% - Accent1 2 6 2" xfId="3669" xr:uid="{00000000-0005-0000-0000-000048000000}"/>
    <cellStyle name="20% - Accent1 2 6 2 2" xfId="7892" xr:uid="{00000000-0005-0000-0000-000049000000}"/>
    <cellStyle name="20% - Accent1 2 6 2 2 2" xfId="16327" xr:uid="{2936E024-0605-49AD-82B2-EA2A926392A1}"/>
    <cellStyle name="20% - Accent1 2 6 2 3" xfId="12109" xr:uid="{1EE5143A-15B8-49AA-BCA9-C19F22CFBDD1}"/>
    <cellStyle name="20% - Accent1 2 6 3" xfId="5747" xr:uid="{00000000-0005-0000-0000-00004A000000}"/>
    <cellStyle name="20% - Accent1 2 6 3 2" xfId="14182" xr:uid="{C6B2050E-C159-4BA2-8634-53D365C820AF}"/>
    <cellStyle name="20% - Accent1 2 6 4" xfId="9964" xr:uid="{9FEA12CD-A59F-4D69-A907-BCAFAC8B82AD}"/>
    <cellStyle name="20% - Accent1 2 7" xfId="1853" xr:uid="{00000000-0005-0000-0000-00004B000000}"/>
    <cellStyle name="20% - Accent1 2 7 2" xfId="4082" xr:uid="{00000000-0005-0000-0000-00004C000000}"/>
    <cellStyle name="20% - Accent1 2 7 2 2" xfId="8305" xr:uid="{00000000-0005-0000-0000-00004D000000}"/>
    <cellStyle name="20% - Accent1 2 7 2 2 2" xfId="16740" xr:uid="{54AA1EDA-E583-4F87-8D2D-6A47F4B65F44}"/>
    <cellStyle name="20% - Accent1 2 7 2 3" xfId="12522" xr:uid="{8D88CEAF-F77F-477E-9B9F-82B0AE173AB5}"/>
    <cellStyle name="20% - Accent1 2 7 3" xfId="6160" xr:uid="{00000000-0005-0000-0000-00004E000000}"/>
    <cellStyle name="20% - Accent1 2 7 3 2" xfId="14595" xr:uid="{7EABE6B2-2C21-48BC-8778-FC6D2849291C}"/>
    <cellStyle name="20% - Accent1 2 7 4" xfId="10377" xr:uid="{ED80AF24-9D20-4D61-9F79-F7EC71B68341}"/>
    <cellStyle name="20% - Accent1 2 8" xfId="2266" xr:uid="{00000000-0005-0000-0000-00004F000000}"/>
    <cellStyle name="20% - Accent1 2 8 2" xfId="6573" xr:uid="{00000000-0005-0000-0000-000050000000}"/>
    <cellStyle name="20% - Accent1 2 8 2 2" xfId="15008" xr:uid="{47568AB6-B217-4327-9044-0EA6DB10425B}"/>
    <cellStyle name="20% - Accent1 2 8 3" xfId="10790" xr:uid="{2A927B72-6EE1-45F3-9494-0236F3C832F2}"/>
    <cellStyle name="20% - Accent1 2 9" xfId="4507" xr:uid="{00000000-0005-0000-0000-000051000000}"/>
    <cellStyle name="20% - Accent1 2 9 2" xfId="12942" xr:uid="{86F25AD5-61E6-428E-9759-19FAA7B36507}"/>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2 2 2" xfId="15506" xr:uid="{186B6FCC-1EC9-48E9-942D-53BD61C1CAF3}"/>
    <cellStyle name="20% - Accent1 3 2 2 2 3" xfId="11288" xr:uid="{F2B809A5-2329-4568-BE66-3790A9B0FED0}"/>
    <cellStyle name="20% - Accent1 3 2 2 3" xfId="4926" xr:uid="{00000000-0005-0000-0000-000057000000}"/>
    <cellStyle name="20% - Accent1 3 2 2 3 2" xfId="13361" xr:uid="{D57138DD-0C05-45C3-BF07-CCA0A6FF6A06}"/>
    <cellStyle name="20% - Accent1 3 2 2 4" xfId="9143" xr:uid="{8984DD26-3A52-459B-9892-554E3FB030FD}"/>
    <cellStyle name="20% - Accent1 3 2 3" xfId="1030" xr:uid="{00000000-0005-0000-0000-000058000000}"/>
    <cellStyle name="20% - Accent1 3 2 3 2" xfId="3261" xr:uid="{00000000-0005-0000-0000-000059000000}"/>
    <cellStyle name="20% - Accent1 3 2 3 2 2" xfId="7484" xr:uid="{00000000-0005-0000-0000-00005A000000}"/>
    <cellStyle name="20% - Accent1 3 2 3 2 2 2" xfId="15919" xr:uid="{DE8D45E8-764A-40F5-AD5B-474E60A965B9}"/>
    <cellStyle name="20% - Accent1 3 2 3 2 3" xfId="11701" xr:uid="{B56A6CA1-9821-462C-8238-F6E4ABF30F24}"/>
    <cellStyle name="20% - Accent1 3 2 3 3" xfId="5339" xr:uid="{00000000-0005-0000-0000-00005B000000}"/>
    <cellStyle name="20% - Accent1 3 2 3 3 2" xfId="13774" xr:uid="{227766C9-CDAA-4AAE-B8DD-45A1D9C2076C}"/>
    <cellStyle name="20% - Accent1 3 2 3 4" xfId="9556" xr:uid="{335055A3-8CCB-4529-AFD6-BAA013559A49}"/>
    <cellStyle name="20% - Accent1 3 2 4" xfId="1444" xr:uid="{00000000-0005-0000-0000-00005C000000}"/>
    <cellStyle name="20% - Accent1 3 2 4 2" xfId="3674" xr:uid="{00000000-0005-0000-0000-00005D000000}"/>
    <cellStyle name="20% - Accent1 3 2 4 2 2" xfId="7897" xr:uid="{00000000-0005-0000-0000-00005E000000}"/>
    <cellStyle name="20% - Accent1 3 2 4 2 2 2" xfId="16332" xr:uid="{6262122C-E43A-494B-B3CD-AA52E195634C}"/>
    <cellStyle name="20% - Accent1 3 2 4 2 3" xfId="12114" xr:uid="{A5336199-4E53-4F95-9543-FD274BBE108F}"/>
    <cellStyle name="20% - Accent1 3 2 4 3" xfId="5752" xr:uid="{00000000-0005-0000-0000-00005F000000}"/>
    <cellStyle name="20% - Accent1 3 2 4 3 2" xfId="14187" xr:uid="{18FB096A-4DB9-4CE5-B0F1-1B3FE1034ABC}"/>
    <cellStyle name="20% - Accent1 3 2 4 4" xfId="9969" xr:uid="{76031C29-70E0-4B55-836A-3ECA80EA0E9A}"/>
    <cellStyle name="20% - Accent1 3 2 5" xfId="1858" xr:uid="{00000000-0005-0000-0000-000060000000}"/>
    <cellStyle name="20% - Accent1 3 2 5 2" xfId="4087" xr:uid="{00000000-0005-0000-0000-000061000000}"/>
    <cellStyle name="20% - Accent1 3 2 5 2 2" xfId="8310" xr:uid="{00000000-0005-0000-0000-000062000000}"/>
    <cellStyle name="20% - Accent1 3 2 5 2 2 2" xfId="16745" xr:uid="{C3B9A412-C0F6-4581-B4E3-57EA5D36457E}"/>
    <cellStyle name="20% - Accent1 3 2 5 2 3" xfId="12527" xr:uid="{1D531CE7-404F-40DC-8594-9E627E4CE2BA}"/>
    <cellStyle name="20% - Accent1 3 2 5 3" xfId="6165" xr:uid="{00000000-0005-0000-0000-000063000000}"/>
    <cellStyle name="20% - Accent1 3 2 5 3 2" xfId="14600" xr:uid="{ECA9263F-9055-4DAF-9C9B-AB9449C9C5E7}"/>
    <cellStyle name="20% - Accent1 3 2 5 4" xfId="10382" xr:uid="{73663E19-2F7F-4703-A023-4B0FDD1664DE}"/>
    <cellStyle name="20% - Accent1 3 2 6" xfId="2271" xr:uid="{00000000-0005-0000-0000-000064000000}"/>
    <cellStyle name="20% - Accent1 3 2 6 2" xfId="6578" xr:uid="{00000000-0005-0000-0000-000065000000}"/>
    <cellStyle name="20% - Accent1 3 2 6 2 2" xfId="15013" xr:uid="{183AA496-A385-43DC-8E0E-5C6B0903914B}"/>
    <cellStyle name="20% - Accent1 3 2 6 3" xfId="10795" xr:uid="{B2CEA8DE-3A6B-47DD-B4B1-49EA61362D24}"/>
    <cellStyle name="20% - Accent1 3 2 7" xfId="4512" xr:uid="{00000000-0005-0000-0000-000066000000}"/>
    <cellStyle name="20% - Accent1 3 2 7 2" xfId="12947" xr:uid="{324A2943-4DE0-41FF-998E-265EF1917601}"/>
    <cellStyle name="20% - Accent1 3 2 8" xfId="8729" xr:uid="{DBE4FB08-7028-41C7-8109-81EED40EEF68}"/>
    <cellStyle name="20% - Accent1 3 3" xfId="576" xr:uid="{00000000-0005-0000-0000-000067000000}"/>
    <cellStyle name="20% - Accent1 3 3 2" xfId="2847" xr:uid="{00000000-0005-0000-0000-000068000000}"/>
    <cellStyle name="20% - Accent1 3 3 2 2" xfId="7070" xr:uid="{00000000-0005-0000-0000-000069000000}"/>
    <cellStyle name="20% - Accent1 3 3 2 2 2" xfId="15505" xr:uid="{E23D17F1-6B1A-45C0-97C2-7A6A35D4CAB7}"/>
    <cellStyle name="20% - Accent1 3 3 2 3" xfId="11287" xr:uid="{847C6327-B446-4DDB-B75B-07699185739B}"/>
    <cellStyle name="20% - Accent1 3 3 3" xfId="4925" xr:uid="{00000000-0005-0000-0000-00006A000000}"/>
    <cellStyle name="20% - Accent1 3 3 3 2" xfId="13360" xr:uid="{71D87D17-37D7-4761-AAC4-F671453E79C1}"/>
    <cellStyle name="20% - Accent1 3 3 4" xfId="9142" xr:uid="{20F5FFFB-86E8-4FA9-B4A2-7277CD14E3A4}"/>
    <cellStyle name="20% - Accent1 3 4" xfId="1029" xr:uid="{00000000-0005-0000-0000-00006B000000}"/>
    <cellStyle name="20% - Accent1 3 4 2" xfId="3260" xr:uid="{00000000-0005-0000-0000-00006C000000}"/>
    <cellStyle name="20% - Accent1 3 4 2 2" xfId="7483" xr:uid="{00000000-0005-0000-0000-00006D000000}"/>
    <cellStyle name="20% - Accent1 3 4 2 2 2" xfId="15918" xr:uid="{FAA1811A-CED8-468C-A5EC-98E405A2A93E}"/>
    <cellStyle name="20% - Accent1 3 4 2 3" xfId="11700" xr:uid="{0478F4D3-75D2-4013-90E1-091F7F9A280D}"/>
    <cellStyle name="20% - Accent1 3 4 3" xfId="5338" xr:uid="{00000000-0005-0000-0000-00006E000000}"/>
    <cellStyle name="20% - Accent1 3 4 3 2" xfId="13773" xr:uid="{543ECCE4-0CBD-4435-B718-C131A98B5D03}"/>
    <cellStyle name="20% - Accent1 3 4 4" xfId="9555" xr:uid="{C357BBC8-180C-4080-B429-8F3952545285}"/>
    <cellStyle name="20% - Accent1 3 5" xfId="1443" xr:uid="{00000000-0005-0000-0000-00006F000000}"/>
    <cellStyle name="20% - Accent1 3 5 2" xfId="3673" xr:uid="{00000000-0005-0000-0000-000070000000}"/>
    <cellStyle name="20% - Accent1 3 5 2 2" xfId="7896" xr:uid="{00000000-0005-0000-0000-000071000000}"/>
    <cellStyle name="20% - Accent1 3 5 2 2 2" xfId="16331" xr:uid="{ACF2C0D2-0B69-44BF-9DC8-EF95DFD12DFE}"/>
    <cellStyle name="20% - Accent1 3 5 2 3" xfId="12113" xr:uid="{C372A351-A6CF-492A-9A4E-2D8530B38C80}"/>
    <cellStyle name="20% - Accent1 3 5 3" xfId="5751" xr:uid="{00000000-0005-0000-0000-000072000000}"/>
    <cellStyle name="20% - Accent1 3 5 3 2" xfId="14186" xr:uid="{AB0F715C-CAC1-4C08-A419-86A601EF61B0}"/>
    <cellStyle name="20% - Accent1 3 5 4" xfId="9968" xr:uid="{2460869A-07FC-4A7A-AFBE-D6DC9F0AB5C8}"/>
    <cellStyle name="20% - Accent1 3 6" xfId="1857" xr:uid="{00000000-0005-0000-0000-000073000000}"/>
    <cellStyle name="20% - Accent1 3 6 2" xfId="4086" xr:uid="{00000000-0005-0000-0000-000074000000}"/>
    <cellStyle name="20% - Accent1 3 6 2 2" xfId="8309" xr:uid="{00000000-0005-0000-0000-000075000000}"/>
    <cellStyle name="20% - Accent1 3 6 2 2 2" xfId="16744" xr:uid="{64F5B699-1E6F-42AF-ADA0-20D55CDC6847}"/>
    <cellStyle name="20% - Accent1 3 6 2 3" xfId="12526" xr:uid="{2697BFDF-291D-45E6-AC16-81CF188DA6CD}"/>
    <cellStyle name="20% - Accent1 3 6 3" xfId="6164" xr:uid="{00000000-0005-0000-0000-000076000000}"/>
    <cellStyle name="20% - Accent1 3 6 3 2" xfId="14599" xr:uid="{8801E22C-BAB5-471D-AD7F-6BEAAC0EDE4A}"/>
    <cellStyle name="20% - Accent1 3 6 4" xfId="10381" xr:uid="{8538EED0-7C84-4828-9241-154CCAE30F1C}"/>
    <cellStyle name="20% - Accent1 3 7" xfId="2270" xr:uid="{00000000-0005-0000-0000-000077000000}"/>
    <cellStyle name="20% - Accent1 3 7 2" xfId="6577" xr:uid="{00000000-0005-0000-0000-000078000000}"/>
    <cellStyle name="20% - Accent1 3 7 2 2" xfId="15012" xr:uid="{08C7D00A-B024-493B-88F4-2B63839FC8DE}"/>
    <cellStyle name="20% - Accent1 3 7 3" xfId="10794" xr:uid="{0DB07B7C-40EE-455D-A9BD-08E57F10BDCC}"/>
    <cellStyle name="20% - Accent1 3 8" xfId="4511" xr:uid="{00000000-0005-0000-0000-000079000000}"/>
    <cellStyle name="20% - Accent1 3 8 2" xfId="12946" xr:uid="{352DD707-0BF9-4135-9C7A-72EBD131ECA7}"/>
    <cellStyle name="20% - Accent1 3 9" xfId="8728" xr:uid="{BCC4AB21-4310-4E88-9C27-13933137178A}"/>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2 2 2" xfId="15507" xr:uid="{66635D89-3ED3-49E9-8D09-EAD6675ACC68}"/>
    <cellStyle name="20% - Accent1 4 2 2 3" xfId="11289" xr:uid="{B94B5CB3-54FC-4C7E-8AED-AE6F86FBD021}"/>
    <cellStyle name="20% - Accent1 4 2 3" xfId="4927" xr:uid="{00000000-0005-0000-0000-00007E000000}"/>
    <cellStyle name="20% - Accent1 4 2 3 2" xfId="13362" xr:uid="{5B354047-3E11-48CB-92CB-A5832054EDF5}"/>
    <cellStyle name="20% - Accent1 4 2 4" xfId="9144" xr:uid="{B2D6E524-3F4D-4EC2-8822-615E07816A7E}"/>
    <cellStyle name="20% - Accent1 4 3" xfId="1031" xr:uid="{00000000-0005-0000-0000-00007F000000}"/>
    <cellStyle name="20% - Accent1 4 3 2" xfId="3262" xr:uid="{00000000-0005-0000-0000-000080000000}"/>
    <cellStyle name="20% - Accent1 4 3 2 2" xfId="7485" xr:uid="{00000000-0005-0000-0000-000081000000}"/>
    <cellStyle name="20% - Accent1 4 3 2 2 2" xfId="15920" xr:uid="{96C8BEE2-D440-4778-BD7A-3BC4B2DBC7A7}"/>
    <cellStyle name="20% - Accent1 4 3 2 3" xfId="11702" xr:uid="{C785D3CA-54F9-463D-A048-D8188BDCA92C}"/>
    <cellStyle name="20% - Accent1 4 3 3" xfId="5340" xr:uid="{00000000-0005-0000-0000-000082000000}"/>
    <cellStyle name="20% - Accent1 4 3 3 2" xfId="13775" xr:uid="{05461A1D-F930-460E-881D-1161CE752711}"/>
    <cellStyle name="20% - Accent1 4 3 4" xfId="9557" xr:uid="{C9FDF0C4-9311-4BD5-AC75-B95960B7E739}"/>
    <cellStyle name="20% - Accent1 4 4" xfId="1445" xr:uid="{00000000-0005-0000-0000-000083000000}"/>
    <cellStyle name="20% - Accent1 4 4 2" xfId="3675" xr:uid="{00000000-0005-0000-0000-000084000000}"/>
    <cellStyle name="20% - Accent1 4 4 2 2" xfId="7898" xr:uid="{00000000-0005-0000-0000-000085000000}"/>
    <cellStyle name="20% - Accent1 4 4 2 2 2" xfId="16333" xr:uid="{ED0DB352-0B22-4B96-86D8-5EF08BC78924}"/>
    <cellStyle name="20% - Accent1 4 4 2 3" xfId="12115" xr:uid="{F132A456-E518-408B-9747-39E47F908A55}"/>
    <cellStyle name="20% - Accent1 4 4 3" xfId="5753" xr:uid="{00000000-0005-0000-0000-000086000000}"/>
    <cellStyle name="20% - Accent1 4 4 3 2" xfId="14188" xr:uid="{59C9027E-C327-4530-A274-7069992289FD}"/>
    <cellStyle name="20% - Accent1 4 4 4" xfId="9970" xr:uid="{1521ED0E-FC0B-43A2-BF9B-86A600F4DB31}"/>
    <cellStyle name="20% - Accent1 4 5" xfId="1859" xr:uid="{00000000-0005-0000-0000-000087000000}"/>
    <cellStyle name="20% - Accent1 4 5 2" xfId="4088" xr:uid="{00000000-0005-0000-0000-000088000000}"/>
    <cellStyle name="20% - Accent1 4 5 2 2" xfId="8311" xr:uid="{00000000-0005-0000-0000-000089000000}"/>
    <cellStyle name="20% - Accent1 4 5 2 2 2" xfId="16746" xr:uid="{A63BB6A5-6F51-47DB-B3C5-4E5477AFA1FE}"/>
    <cellStyle name="20% - Accent1 4 5 2 3" xfId="12528" xr:uid="{ADB5ECF9-6973-4486-8AB5-57C3928FD8F3}"/>
    <cellStyle name="20% - Accent1 4 5 3" xfId="6166" xr:uid="{00000000-0005-0000-0000-00008A000000}"/>
    <cellStyle name="20% - Accent1 4 5 3 2" xfId="14601" xr:uid="{AF019231-64F3-4B05-8688-416567F14273}"/>
    <cellStyle name="20% - Accent1 4 5 4" xfId="10383" xr:uid="{4ADA1ACE-8934-4D8C-86AA-8E34CF76D59F}"/>
    <cellStyle name="20% - Accent1 4 6" xfId="2272" xr:uid="{00000000-0005-0000-0000-00008B000000}"/>
    <cellStyle name="20% - Accent1 4 6 2" xfId="6579" xr:uid="{00000000-0005-0000-0000-00008C000000}"/>
    <cellStyle name="20% - Accent1 4 6 2 2" xfId="15014" xr:uid="{B3F60C86-536C-4DEC-B4EB-1858AC6E14F0}"/>
    <cellStyle name="20% - Accent1 4 6 3" xfId="10796" xr:uid="{1B91F2FA-26D4-49B9-A7ED-E68B5C0D72F2}"/>
    <cellStyle name="20% - Accent1 4 7" xfId="4513" xr:uid="{00000000-0005-0000-0000-00008D000000}"/>
    <cellStyle name="20% - Accent1 4 7 2" xfId="12948" xr:uid="{78A7E475-F6F7-4735-BDC8-D9579EF9FE41}"/>
    <cellStyle name="20% - Accent1 4 8" xfId="8730" xr:uid="{9BEE3E02-A7A9-40F3-8D2A-C9711AD11417}"/>
    <cellStyle name="20% - Accent1 5" xfId="571" xr:uid="{00000000-0005-0000-0000-00008E000000}"/>
    <cellStyle name="20% - Accent1 5 2" xfId="2842" xr:uid="{00000000-0005-0000-0000-00008F000000}"/>
    <cellStyle name="20% - Accent1 5 2 2" xfId="7065" xr:uid="{00000000-0005-0000-0000-000090000000}"/>
    <cellStyle name="20% - Accent1 5 2 2 2" xfId="15500" xr:uid="{10DA3EB2-EF42-4555-AA65-35808C81158F}"/>
    <cellStyle name="20% - Accent1 5 2 3" xfId="11282" xr:uid="{115B56DA-230C-4F08-88B7-0997086A27CD}"/>
    <cellStyle name="20% - Accent1 5 3" xfId="4920" xr:uid="{00000000-0005-0000-0000-000091000000}"/>
    <cellStyle name="20% - Accent1 5 3 2" xfId="13355" xr:uid="{8E7827D7-8023-4365-9B83-0E81E4D16B45}"/>
    <cellStyle name="20% - Accent1 5 4" xfId="9137" xr:uid="{EA6A9092-1414-4403-9108-182C3DD3312B}"/>
    <cellStyle name="20% - Accent1 6" xfId="1024" xr:uid="{00000000-0005-0000-0000-000092000000}"/>
    <cellStyle name="20% - Accent1 6 2" xfId="3255" xr:uid="{00000000-0005-0000-0000-000093000000}"/>
    <cellStyle name="20% - Accent1 6 2 2" xfId="7478" xr:uid="{00000000-0005-0000-0000-000094000000}"/>
    <cellStyle name="20% - Accent1 6 2 2 2" xfId="15913" xr:uid="{4B6501D2-B0FC-4440-8A8B-84AC6AB64E4E}"/>
    <cellStyle name="20% - Accent1 6 2 3" xfId="11695" xr:uid="{53EA18BC-0A10-473A-AF99-210ED542BB52}"/>
    <cellStyle name="20% - Accent1 6 3" xfId="5333" xr:uid="{00000000-0005-0000-0000-000095000000}"/>
    <cellStyle name="20% - Accent1 6 3 2" xfId="13768" xr:uid="{6FB19E49-235E-4872-A1EF-FC1A7302A0DE}"/>
    <cellStyle name="20% - Accent1 6 4" xfId="9550" xr:uid="{7F00CB1B-B1E2-46AF-9192-2B47A719BFF3}"/>
    <cellStyle name="20% - Accent1 7" xfId="1438" xr:uid="{00000000-0005-0000-0000-000096000000}"/>
    <cellStyle name="20% - Accent1 7 2" xfId="3668" xr:uid="{00000000-0005-0000-0000-000097000000}"/>
    <cellStyle name="20% - Accent1 7 2 2" xfId="7891" xr:uid="{00000000-0005-0000-0000-000098000000}"/>
    <cellStyle name="20% - Accent1 7 2 2 2" xfId="16326" xr:uid="{0DB28372-267A-4642-81AF-A86D0AAF4858}"/>
    <cellStyle name="20% - Accent1 7 2 3" xfId="12108" xr:uid="{42FB089F-3827-4A86-8336-29C6DFD46073}"/>
    <cellStyle name="20% - Accent1 7 3" xfId="5746" xr:uid="{00000000-0005-0000-0000-000099000000}"/>
    <cellStyle name="20% - Accent1 7 3 2" xfId="14181" xr:uid="{1410F9D7-B36C-4ADD-8CB1-02A0974D10F0}"/>
    <cellStyle name="20% - Accent1 7 4" xfId="9963" xr:uid="{E2631419-CD8B-4F3F-AACF-5A29D3D8DFEF}"/>
    <cellStyle name="20% - Accent1 8" xfId="1852" xr:uid="{00000000-0005-0000-0000-00009A000000}"/>
    <cellStyle name="20% - Accent1 8 2" xfId="4081" xr:uid="{00000000-0005-0000-0000-00009B000000}"/>
    <cellStyle name="20% - Accent1 8 2 2" xfId="8304" xr:uid="{00000000-0005-0000-0000-00009C000000}"/>
    <cellStyle name="20% - Accent1 8 2 2 2" xfId="16739" xr:uid="{D17870D4-3EB7-4F16-A091-D3B006D214D7}"/>
    <cellStyle name="20% - Accent1 8 2 3" xfId="12521" xr:uid="{3B3FADAA-1AE8-49E2-96DF-4BFBB0A80F47}"/>
    <cellStyle name="20% - Accent1 8 3" xfId="6159" xr:uid="{00000000-0005-0000-0000-00009D000000}"/>
    <cellStyle name="20% - Accent1 8 3 2" xfId="14594" xr:uid="{043504D2-F1C9-4EA5-9083-B4DFA96DCAB8}"/>
    <cellStyle name="20% - Accent1 8 4" xfId="10376" xr:uid="{11C23E62-FD71-456C-94ED-2D3540FC36A2}"/>
    <cellStyle name="20% - Accent1 9" xfId="2265" xr:uid="{00000000-0005-0000-0000-00009E000000}"/>
    <cellStyle name="20% - Accent1 9 2" xfId="6572" xr:uid="{00000000-0005-0000-0000-00009F000000}"/>
    <cellStyle name="20% - Accent1 9 2 2" xfId="15007" xr:uid="{F0845774-805B-4684-BECF-57ED859B3941}"/>
    <cellStyle name="20% - Accent1 9 3" xfId="10789" xr:uid="{BEFF0365-7BE1-4B09-9F9B-323D7CF5BE21}"/>
    <cellStyle name="20% - Accent2" xfId="9" builtinId="34" customBuiltin="1"/>
    <cellStyle name="20% - Accent2 10" xfId="4514" xr:uid="{00000000-0005-0000-0000-0000A1000000}"/>
    <cellStyle name="20% - Accent2 10 2" xfId="12949" xr:uid="{3884D797-E8C8-4E30-9D2C-AED49704699F}"/>
    <cellStyle name="20% - Accent2 11" xfId="8731" xr:uid="{EA30F1D0-E974-417A-A4ED-0187CF4F3433}"/>
    <cellStyle name="20% - Accent2 2" xfId="10" xr:uid="{00000000-0005-0000-0000-0000A2000000}"/>
    <cellStyle name="20% - Accent2 2 10" xfId="8732" xr:uid="{FD795390-33FD-4653-AA99-6AC7D978642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2 2 2" xfId="15511" xr:uid="{F826F902-6696-4EF3-A5D7-2FB7693D4C06}"/>
    <cellStyle name="20% - Accent2 2 2 2 2 2 3" xfId="11293" xr:uid="{3AF5E39B-D0E8-4DE4-934E-746D4A6FCF28}"/>
    <cellStyle name="20% - Accent2 2 2 2 2 3" xfId="4931" xr:uid="{00000000-0005-0000-0000-0000A8000000}"/>
    <cellStyle name="20% - Accent2 2 2 2 2 3 2" xfId="13366" xr:uid="{A0958D70-DE0C-4A8E-8FAC-67C51C017901}"/>
    <cellStyle name="20% - Accent2 2 2 2 2 4" xfId="9148" xr:uid="{2ECD43E7-29EE-4BA3-B31A-F21074712521}"/>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2 2 2" xfId="15924" xr:uid="{3C351E82-4855-4C80-9531-FCE279FA6F07}"/>
    <cellStyle name="20% - Accent2 2 2 2 3 2 3" xfId="11706" xr:uid="{BA1DC858-58E5-4777-9EEA-FFBF4881CB20}"/>
    <cellStyle name="20% - Accent2 2 2 2 3 3" xfId="5344" xr:uid="{00000000-0005-0000-0000-0000AC000000}"/>
    <cellStyle name="20% - Accent2 2 2 2 3 3 2" xfId="13779" xr:uid="{9DE6436F-D458-4ED4-9B5D-EC0B156C0516}"/>
    <cellStyle name="20% - Accent2 2 2 2 3 4" xfId="9561" xr:uid="{84AD8517-7B40-41FB-81BA-0FC6506C81E1}"/>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2 2 2" xfId="16337" xr:uid="{69CE63EB-102F-4263-B879-B2618999FB24}"/>
    <cellStyle name="20% - Accent2 2 2 2 4 2 3" xfId="12119" xr:uid="{6635F076-89DE-4675-82E1-9DCE42C6A982}"/>
    <cellStyle name="20% - Accent2 2 2 2 4 3" xfId="5757" xr:uid="{00000000-0005-0000-0000-0000B0000000}"/>
    <cellStyle name="20% - Accent2 2 2 2 4 3 2" xfId="14192" xr:uid="{FFEA25B8-3075-4DC6-B7D0-14CD04E47765}"/>
    <cellStyle name="20% - Accent2 2 2 2 4 4" xfId="9974" xr:uid="{C8D150DF-3846-4ADC-9D53-FCA7750AD532}"/>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2 2 2" xfId="16750" xr:uid="{C56CF99C-72B3-4D6F-9113-62543B0DE1D5}"/>
    <cellStyle name="20% - Accent2 2 2 2 5 2 3" xfId="12532" xr:uid="{ED5BB03D-0DE6-4246-9558-04B1C3EB7D45}"/>
    <cellStyle name="20% - Accent2 2 2 2 5 3" xfId="6170" xr:uid="{00000000-0005-0000-0000-0000B4000000}"/>
    <cellStyle name="20% - Accent2 2 2 2 5 3 2" xfId="14605" xr:uid="{4877096F-4B21-4857-9DEF-F53449103D0A}"/>
    <cellStyle name="20% - Accent2 2 2 2 5 4" xfId="10387" xr:uid="{E6C119DC-451C-4B4D-BBF8-04DCA3A25C5F}"/>
    <cellStyle name="20% - Accent2 2 2 2 6" xfId="2276" xr:uid="{00000000-0005-0000-0000-0000B5000000}"/>
    <cellStyle name="20% - Accent2 2 2 2 6 2" xfId="6583" xr:uid="{00000000-0005-0000-0000-0000B6000000}"/>
    <cellStyle name="20% - Accent2 2 2 2 6 2 2" xfId="15018" xr:uid="{5B7E37DF-C6CC-46C6-BFAC-47CB14489A4E}"/>
    <cellStyle name="20% - Accent2 2 2 2 6 3" xfId="10800" xr:uid="{880A971D-9673-427E-8291-91293E92FE1F}"/>
    <cellStyle name="20% - Accent2 2 2 2 7" xfId="4517" xr:uid="{00000000-0005-0000-0000-0000B7000000}"/>
    <cellStyle name="20% - Accent2 2 2 2 7 2" xfId="12952" xr:uid="{A945A5F8-829A-4F42-9788-C4D72CAB728D}"/>
    <cellStyle name="20% - Accent2 2 2 2 8" xfId="8734" xr:uid="{388BD955-BB99-4C27-BB91-92DC68FBAE28}"/>
    <cellStyle name="20% - Accent2 2 2 3" xfId="581" xr:uid="{00000000-0005-0000-0000-0000B8000000}"/>
    <cellStyle name="20% - Accent2 2 2 3 2" xfId="2852" xr:uid="{00000000-0005-0000-0000-0000B9000000}"/>
    <cellStyle name="20% - Accent2 2 2 3 2 2" xfId="7075" xr:uid="{00000000-0005-0000-0000-0000BA000000}"/>
    <cellStyle name="20% - Accent2 2 2 3 2 2 2" xfId="15510" xr:uid="{F3DEB5F7-6FD1-4555-B7AF-FA8351DCF4C3}"/>
    <cellStyle name="20% - Accent2 2 2 3 2 3" xfId="11292" xr:uid="{8AAAE6F4-832B-4732-ABDD-1579D9675686}"/>
    <cellStyle name="20% - Accent2 2 2 3 3" xfId="4930" xr:uid="{00000000-0005-0000-0000-0000BB000000}"/>
    <cellStyle name="20% - Accent2 2 2 3 3 2" xfId="13365" xr:uid="{082499D2-5C68-403A-9780-59FC2B77613E}"/>
    <cellStyle name="20% - Accent2 2 2 3 4" xfId="9147" xr:uid="{BC2C05FF-884C-4A8B-9C40-3BBF78189276}"/>
    <cellStyle name="20% - Accent2 2 2 4" xfId="1034" xr:uid="{00000000-0005-0000-0000-0000BC000000}"/>
    <cellStyle name="20% - Accent2 2 2 4 2" xfId="3265" xr:uid="{00000000-0005-0000-0000-0000BD000000}"/>
    <cellStyle name="20% - Accent2 2 2 4 2 2" xfId="7488" xr:uid="{00000000-0005-0000-0000-0000BE000000}"/>
    <cellStyle name="20% - Accent2 2 2 4 2 2 2" xfId="15923" xr:uid="{BD1C2247-BE54-4D2D-A379-3E168A9C9637}"/>
    <cellStyle name="20% - Accent2 2 2 4 2 3" xfId="11705" xr:uid="{63CA21F3-BE2F-4CF9-9279-E4D3D37BC03C}"/>
    <cellStyle name="20% - Accent2 2 2 4 3" xfId="5343" xr:uid="{00000000-0005-0000-0000-0000BF000000}"/>
    <cellStyle name="20% - Accent2 2 2 4 3 2" xfId="13778" xr:uid="{5B431AB7-9EB0-4136-A057-35ABDD86A7AB}"/>
    <cellStyle name="20% - Accent2 2 2 4 4" xfId="9560" xr:uid="{198A869C-36EB-412E-AA0A-28998C40EA84}"/>
    <cellStyle name="20% - Accent2 2 2 5" xfId="1448" xr:uid="{00000000-0005-0000-0000-0000C0000000}"/>
    <cellStyle name="20% - Accent2 2 2 5 2" xfId="3678" xr:uid="{00000000-0005-0000-0000-0000C1000000}"/>
    <cellStyle name="20% - Accent2 2 2 5 2 2" xfId="7901" xr:uid="{00000000-0005-0000-0000-0000C2000000}"/>
    <cellStyle name="20% - Accent2 2 2 5 2 2 2" xfId="16336" xr:uid="{88B33A92-E8C3-4D93-BDA8-3D31995421A4}"/>
    <cellStyle name="20% - Accent2 2 2 5 2 3" xfId="12118" xr:uid="{DE2B7B28-BB79-48DD-B339-5936E0669C64}"/>
    <cellStyle name="20% - Accent2 2 2 5 3" xfId="5756" xr:uid="{00000000-0005-0000-0000-0000C3000000}"/>
    <cellStyle name="20% - Accent2 2 2 5 3 2" xfId="14191" xr:uid="{59667210-320B-4DF5-878D-51DDC4FDA68B}"/>
    <cellStyle name="20% - Accent2 2 2 5 4" xfId="9973" xr:uid="{70FFD46F-9FD6-4F79-AA7C-1812B8F4D99F}"/>
    <cellStyle name="20% - Accent2 2 2 6" xfId="1862" xr:uid="{00000000-0005-0000-0000-0000C4000000}"/>
    <cellStyle name="20% - Accent2 2 2 6 2" xfId="4091" xr:uid="{00000000-0005-0000-0000-0000C5000000}"/>
    <cellStyle name="20% - Accent2 2 2 6 2 2" xfId="8314" xr:uid="{00000000-0005-0000-0000-0000C6000000}"/>
    <cellStyle name="20% - Accent2 2 2 6 2 2 2" xfId="16749" xr:uid="{50B4E10C-EA32-4710-B3D0-353141978DC8}"/>
    <cellStyle name="20% - Accent2 2 2 6 2 3" xfId="12531" xr:uid="{A783BCA7-D46F-4D09-8B65-B44B8152CA39}"/>
    <cellStyle name="20% - Accent2 2 2 6 3" xfId="6169" xr:uid="{00000000-0005-0000-0000-0000C7000000}"/>
    <cellStyle name="20% - Accent2 2 2 6 3 2" xfId="14604" xr:uid="{1473ADE5-B982-41A5-98F6-B7AD9D12DED7}"/>
    <cellStyle name="20% - Accent2 2 2 6 4" xfId="10386" xr:uid="{FDE56E27-0BD0-4A58-93C4-5939B7820EC5}"/>
    <cellStyle name="20% - Accent2 2 2 7" xfId="2275" xr:uid="{00000000-0005-0000-0000-0000C8000000}"/>
    <cellStyle name="20% - Accent2 2 2 7 2" xfId="6582" xr:uid="{00000000-0005-0000-0000-0000C9000000}"/>
    <cellStyle name="20% - Accent2 2 2 7 2 2" xfId="15017" xr:uid="{28F74389-1714-4DF3-9401-780FF92B83C1}"/>
    <cellStyle name="20% - Accent2 2 2 7 3" xfId="10799" xr:uid="{D44C2A96-7FE6-41D5-A793-2F7AC1842D0F}"/>
    <cellStyle name="20% - Accent2 2 2 8" xfId="4516" xr:uid="{00000000-0005-0000-0000-0000CA000000}"/>
    <cellStyle name="20% - Accent2 2 2 8 2" xfId="12951" xr:uid="{B0DDCAEB-7165-4DD0-A068-8DAA243AC86F}"/>
    <cellStyle name="20% - Accent2 2 2 9" xfId="8733" xr:uid="{EDE936E4-F003-4878-BDE1-209C3F5A930C}"/>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2 2 2" xfId="15512" xr:uid="{DB561F79-5050-46B3-AAFD-9AB70408AC4C}"/>
    <cellStyle name="20% - Accent2 2 3 2 2 3" xfId="11294" xr:uid="{EB6B3723-05D5-4CA2-8C1D-8856A922B647}"/>
    <cellStyle name="20% - Accent2 2 3 2 3" xfId="4932" xr:uid="{00000000-0005-0000-0000-0000CF000000}"/>
    <cellStyle name="20% - Accent2 2 3 2 3 2" xfId="13367" xr:uid="{1C2A90B1-3069-41F9-9ED1-C1AF57308702}"/>
    <cellStyle name="20% - Accent2 2 3 2 4" xfId="9149" xr:uid="{B822219E-A739-404A-91F6-75005757093E}"/>
    <cellStyle name="20% - Accent2 2 3 3" xfId="1036" xr:uid="{00000000-0005-0000-0000-0000D0000000}"/>
    <cellStyle name="20% - Accent2 2 3 3 2" xfId="3267" xr:uid="{00000000-0005-0000-0000-0000D1000000}"/>
    <cellStyle name="20% - Accent2 2 3 3 2 2" xfId="7490" xr:uid="{00000000-0005-0000-0000-0000D2000000}"/>
    <cellStyle name="20% - Accent2 2 3 3 2 2 2" xfId="15925" xr:uid="{21983384-AF28-4E61-94D9-051B022038ED}"/>
    <cellStyle name="20% - Accent2 2 3 3 2 3" xfId="11707" xr:uid="{16CCF134-8F8A-4F66-A36D-91491428404D}"/>
    <cellStyle name="20% - Accent2 2 3 3 3" xfId="5345" xr:uid="{00000000-0005-0000-0000-0000D3000000}"/>
    <cellStyle name="20% - Accent2 2 3 3 3 2" xfId="13780" xr:uid="{0E7E10A8-E3BF-45BD-81A6-7E06FC1A3487}"/>
    <cellStyle name="20% - Accent2 2 3 3 4" xfId="9562" xr:uid="{4C2FC457-2F89-48C6-94B1-87E14F49FDC3}"/>
    <cellStyle name="20% - Accent2 2 3 4" xfId="1450" xr:uid="{00000000-0005-0000-0000-0000D4000000}"/>
    <cellStyle name="20% - Accent2 2 3 4 2" xfId="3680" xr:uid="{00000000-0005-0000-0000-0000D5000000}"/>
    <cellStyle name="20% - Accent2 2 3 4 2 2" xfId="7903" xr:uid="{00000000-0005-0000-0000-0000D6000000}"/>
    <cellStyle name="20% - Accent2 2 3 4 2 2 2" xfId="16338" xr:uid="{0124CB77-7974-42C0-BDFA-E35948DF1BBC}"/>
    <cellStyle name="20% - Accent2 2 3 4 2 3" xfId="12120" xr:uid="{E2DF9A29-B282-4E65-8D7E-3528AA18EA8D}"/>
    <cellStyle name="20% - Accent2 2 3 4 3" xfId="5758" xr:uid="{00000000-0005-0000-0000-0000D7000000}"/>
    <cellStyle name="20% - Accent2 2 3 4 3 2" xfId="14193" xr:uid="{8B855F66-7F6F-4A06-A808-1A5FF4A42A8F}"/>
    <cellStyle name="20% - Accent2 2 3 4 4" xfId="9975" xr:uid="{F2B044E7-2E03-4B55-88C7-E9131577B5BD}"/>
    <cellStyle name="20% - Accent2 2 3 5" xfId="1864" xr:uid="{00000000-0005-0000-0000-0000D8000000}"/>
    <cellStyle name="20% - Accent2 2 3 5 2" xfId="4093" xr:uid="{00000000-0005-0000-0000-0000D9000000}"/>
    <cellStyle name="20% - Accent2 2 3 5 2 2" xfId="8316" xr:uid="{00000000-0005-0000-0000-0000DA000000}"/>
    <cellStyle name="20% - Accent2 2 3 5 2 2 2" xfId="16751" xr:uid="{9929DAF1-91A3-47A8-B0DB-1191ED71ED27}"/>
    <cellStyle name="20% - Accent2 2 3 5 2 3" xfId="12533" xr:uid="{E7952DC2-FE3B-4D75-9CBE-96094CBF283F}"/>
    <cellStyle name="20% - Accent2 2 3 5 3" xfId="6171" xr:uid="{00000000-0005-0000-0000-0000DB000000}"/>
    <cellStyle name="20% - Accent2 2 3 5 3 2" xfId="14606" xr:uid="{E6AE1BE5-163C-4114-B7C4-8AC2F0424D8F}"/>
    <cellStyle name="20% - Accent2 2 3 5 4" xfId="10388" xr:uid="{B6BB96BF-23E7-4952-A3AF-6B824717161E}"/>
    <cellStyle name="20% - Accent2 2 3 6" xfId="2277" xr:uid="{00000000-0005-0000-0000-0000DC000000}"/>
    <cellStyle name="20% - Accent2 2 3 6 2" xfId="6584" xr:uid="{00000000-0005-0000-0000-0000DD000000}"/>
    <cellStyle name="20% - Accent2 2 3 6 2 2" xfId="15019" xr:uid="{2FF04929-6A03-4C60-9B8D-3E39F7F817CA}"/>
    <cellStyle name="20% - Accent2 2 3 6 3" xfId="10801" xr:uid="{315E8851-43C4-4734-8EF4-268592BC9C4C}"/>
    <cellStyle name="20% - Accent2 2 3 7" xfId="4518" xr:uid="{00000000-0005-0000-0000-0000DE000000}"/>
    <cellStyle name="20% - Accent2 2 3 7 2" xfId="12953" xr:uid="{7A328047-B222-4D5F-A001-8DD75D4F0D46}"/>
    <cellStyle name="20% - Accent2 2 3 8" xfId="8735" xr:uid="{1919211E-ED89-4732-86EA-DEEDB272AEBC}"/>
    <cellStyle name="20% - Accent2 2 4" xfId="580" xr:uid="{00000000-0005-0000-0000-0000DF000000}"/>
    <cellStyle name="20% - Accent2 2 4 2" xfId="2851" xr:uid="{00000000-0005-0000-0000-0000E0000000}"/>
    <cellStyle name="20% - Accent2 2 4 2 2" xfId="7074" xr:uid="{00000000-0005-0000-0000-0000E1000000}"/>
    <cellStyle name="20% - Accent2 2 4 2 2 2" xfId="15509" xr:uid="{E2EA7EB1-E38D-479E-B50C-5C2E0EF91C11}"/>
    <cellStyle name="20% - Accent2 2 4 2 3" xfId="11291" xr:uid="{F0DEFE97-AC6A-45C9-9707-D56752B931BF}"/>
    <cellStyle name="20% - Accent2 2 4 3" xfId="4929" xr:uid="{00000000-0005-0000-0000-0000E2000000}"/>
    <cellStyle name="20% - Accent2 2 4 3 2" xfId="13364" xr:uid="{E9932BAC-8DF3-4343-8BF3-381CDBB59351}"/>
    <cellStyle name="20% - Accent2 2 4 4" xfId="9146" xr:uid="{3951991C-F166-42F6-980A-E567EDB5A3EC}"/>
    <cellStyle name="20% - Accent2 2 5" xfId="1033" xr:uid="{00000000-0005-0000-0000-0000E3000000}"/>
    <cellStyle name="20% - Accent2 2 5 2" xfId="3264" xr:uid="{00000000-0005-0000-0000-0000E4000000}"/>
    <cellStyle name="20% - Accent2 2 5 2 2" xfId="7487" xr:uid="{00000000-0005-0000-0000-0000E5000000}"/>
    <cellStyle name="20% - Accent2 2 5 2 2 2" xfId="15922" xr:uid="{6C9903C3-ECEC-4A8C-A110-139D9F605203}"/>
    <cellStyle name="20% - Accent2 2 5 2 3" xfId="11704" xr:uid="{DF17AD17-A162-4B72-B4B0-94FEE7F10E29}"/>
    <cellStyle name="20% - Accent2 2 5 3" xfId="5342" xr:uid="{00000000-0005-0000-0000-0000E6000000}"/>
    <cellStyle name="20% - Accent2 2 5 3 2" xfId="13777" xr:uid="{53A4BEEB-452A-4D44-8F25-9D1D0149A88D}"/>
    <cellStyle name="20% - Accent2 2 5 4" xfId="9559" xr:uid="{445B19A9-C8AA-4BA9-9430-545DD6B7D74F}"/>
    <cellStyle name="20% - Accent2 2 6" xfId="1447" xr:uid="{00000000-0005-0000-0000-0000E7000000}"/>
    <cellStyle name="20% - Accent2 2 6 2" xfId="3677" xr:uid="{00000000-0005-0000-0000-0000E8000000}"/>
    <cellStyle name="20% - Accent2 2 6 2 2" xfId="7900" xr:uid="{00000000-0005-0000-0000-0000E9000000}"/>
    <cellStyle name="20% - Accent2 2 6 2 2 2" xfId="16335" xr:uid="{58704E83-1228-49A5-84FD-458C8EDAD4C6}"/>
    <cellStyle name="20% - Accent2 2 6 2 3" xfId="12117" xr:uid="{D06E0DE5-44DA-4A3D-8D84-26D084B22D26}"/>
    <cellStyle name="20% - Accent2 2 6 3" xfId="5755" xr:uid="{00000000-0005-0000-0000-0000EA000000}"/>
    <cellStyle name="20% - Accent2 2 6 3 2" xfId="14190" xr:uid="{152BE96B-DA1F-431E-AF7B-BD5A4B65DDE7}"/>
    <cellStyle name="20% - Accent2 2 6 4" xfId="9972" xr:uid="{BEB5A29B-7101-4328-B08B-CD8C6E55EFCC}"/>
    <cellStyle name="20% - Accent2 2 7" xfId="1861" xr:uid="{00000000-0005-0000-0000-0000EB000000}"/>
    <cellStyle name="20% - Accent2 2 7 2" xfId="4090" xr:uid="{00000000-0005-0000-0000-0000EC000000}"/>
    <cellStyle name="20% - Accent2 2 7 2 2" xfId="8313" xr:uid="{00000000-0005-0000-0000-0000ED000000}"/>
    <cellStyle name="20% - Accent2 2 7 2 2 2" xfId="16748" xr:uid="{F14A6A18-2619-4298-BD62-714E2B10BAEC}"/>
    <cellStyle name="20% - Accent2 2 7 2 3" xfId="12530" xr:uid="{1D203A5F-29A6-4C21-A6C9-15CEB7753B09}"/>
    <cellStyle name="20% - Accent2 2 7 3" xfId="6168" xr:uid="{00000000-0005-0000-0000-0000EE000000}"/>
    <cellStyle name="20% - Accent2 2 7 3 2" xfId="14603" xr:uid="{5D81DE44-17E2-4639-9A2F-5A72BFCB21D1}"/>
    <cellStyle name="20% - Accent2 2 7 4" xfId="10385" xr:uid="{AF870B56-66EC-4CA1-B37A-6C18B8931D8B}"/>
    <cellStyle name="20% - Accent2 2 8" xfId="2274" xr:uid="{00000000-0005-0000-0000-0000EF000000}"/>
    <cellStyle name="20% - Accent2 2 8 2" xfId="6581" xr:uid="{00000000-0005-0000-0000-0000F0000000}"/>
    <cellStyle name="20% - Accent2 2 8 2 2" xfId="15016" xr:uid="{FFEA05A4-9A3F-44E6-9B1C-9BC1207C9A86}"/>
    <cellStyle name="20% - Accent2 2 8 3" xfId="10798" xr:uid="{2EB01B71-1A05-4D29-9E2C-A328FE9E287E}"/>
    <cellStyle name="20% - Accent2 2 9" xfId="4515" xr:uid="{00000000-0005-0000-0000-0000F1000000}"/>
    <cellStyle name="20% - Accent2 2 9 2" xfId="12950" xr:uid="{2ADBBF06-1043-4864-9CED-7D43FCC2D0EE}"/>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2 2 2" xfId="15514" xr:uid="{2713E91D-E1F3-44EC-9CAF-1DEFF4D7EEC0}"/>
    <cellStyle name="20% - Accent2 3 2 2 2 3" xfId="11296" xr:uid="{689A1ABC-616B-4DD0-A0CC-16EEBB301CCD}"/>
    <cellStyle name="20% - Accent2 3 2 2 3" xfId="4934" xr:uid="{00000000-0005-0000-0000-0000F7000000}"/>
    <cellStyle name="20% - Accent2 3 2 2 3 2" xfId="13369" xr:uid="{39F6851E-861D-442E-8725-1773F0431D4C}"/>
    <cellStyle name="20% - Accent2 3 2 2 4" xfId="9151" xr:uid="{89A9F905-811E-40D6-918A-78FBA61CE1EC}"/>
    <cellStyle name="20% - Accent2 3 2 3" xfId="1038" xr:uid="{00000000-0005-0000-0000-0000F8000000}"/>
    <cellStyle name="20% - Accent2 3 2 3 2" xfId="3269" xr:uid="{00000000-0005-0000-0000-0000F9000000}"/>
    <cellStyle name="20% - Accent2 3 2 3 2 2" xfId="7492" xr:uid="{00000000-0005-0000-0000-0000FA000000}"/>
    <cellStyle name="20% - Accent2 3 2 3 2 2 2" xfId="15927" xr:uid="{2F9A4DF5-5EB4-4588-8D4E-397B0088E3C2}"/>
    <cellStyle name="20% - Accent2 3 2 3 2 3" xfId="11709" xr:uid="{FCE1A19C-334E-44BD-93CF-AD3CF0D5A630}"/>
    <cellStyle name="20% - Accent2 3 2 3 3" xfId="5347" xr:uid="{00000000-0005-0000-0000-0000FB000000}"/>
    <cellStyle name="20% - Accent2 3 2 3 3 2" xfId="13782" xr:uid="{18F9750E-A3EE-4CAF-A7F7-9EC88A412F51}"/>
    <cellStyle name="20% - Accent2 3 2 3 4" xfId="9564" xr:uid="{7C76C090-8942-481B-9C43-724BD92DE677}"/>
    <cellStyle name="20% - Accent2 3 2 4" xfId="1452" xr:uid="{00000000-0005-0000-0000-0000FC000000}"/>
    <cellStyle name="20% - Accent2 3 2 4 2" xfId="3682" xr:uid="{00000000-0005-0000-0000-0000FD000000}"/>
    <cellStyle name="20% - Accent2 3 2 4 2 2" xfId="7905" xr:uid="{00000000-0005-0000-0000-0000FE000000}"/>
    <cellStyle name="20% - Accent2 3 2 4 2 2 2" xfId="16340" xr:uid="{7242ACBD-9C3F-4E6F-9676-35872434ECBB}"/>
    <cellStyle name="20% - Accent2 3 2 4 2 3" xfId="12122" xr:uid="{94FFC8AF-F582-416B-AC45-5505887256D0}"/>
    <cellStyle name="20% - Accent2 3 2 4 3" xfId="5760" xr:uid="{00000000-0005-0000-0000-0000FF000000}"/>
    <cellStyle name="20% - Accent2 3 2 4 3 2" xfId="14195" xr:uid="{C5953F1D-802A-4C42-B26C-3C904D85511C}"/>
    <cellStyle name="20% - Accent2 3 2 4 4" xfId="9977" xr:uid="{9510DC99-B89C-4144-8A4B-FB0AB47302DF}"/>
    <cellStyle name="20% - Accent2 3 2 5" xfId="1866" xr:uid="{00000000-0005-0000-0000-000000010000}"/>
    <cellStyle name="20% - Accent2 3 2 5 2" xfId="4095" xr:uid="{00000000-0005-0000-0000-000001010000}"/>
    <cellStyle name="20% - Accent2 3 2 5 2 2" xfId="8318" xr:uid="{00000000-0005-0000-0000-000002010000}"/>
    <cellStyle name="20% - Accent2 3 2 5 2 2 2" xfId="16753" xr:uid="{397C2FD3-C0C4-450E-BD71-A31597095164}"/>
    <cellStyle name="20% - Accent2 3 2 5 2 3" xfId="12535" xr:uid="{2C0A8B9F-4862-4B6A-B972-5FF752E8BAF9}"/>
    <cellStyle name="20% - Accent2 3 2 5 3" xfId="6173" xr:uid="{00000000-0005-0000-0000-000003010000}"/>
    <cellStyle name="20% - Accent2 3 2 5 3 2" xfId="14608" xr:uid="{9541977C-4379-4D6B-8EE7-69A30D2931E1}"/>
    <cellStyle name="20% - Accent2 3 2 5 4" xfId="10390" xr:uid="{8DC53079-EDB4-4F1A-A38C-8700D763A874}"/>
    <cellStyle name="20% - Accent2 3 2 6" xfId="2279" xr:uid="{00000000-0005-0000-0000-000004010000}"/>
    <cellStyle name="20% - Accent2 3 2 6 2" xfId="6586" xr:uid="{00000000-0005-0000-0000-000005010000}"/>
    <cellStyle name="20% - Accent2 3 2 6 2 2" xfId="15021" xr:uid="{81F62E4C-9D8D-4D16-999E-1D1EF79C4AB5}"/>
    <cellStyle name="20% - Accent2 3 2 6 3" xfId="10803" xr:uid="{B0114DBF-4094-4F70-8688-8DF0FE84B9E4}"/>
    <cellStyle name="20% - Accent2 3 2 7" xfId="4520" xr:uid="{00000000-0005-0000-0000-000006010000}"/>
    <cellStyle name="20% - Accent2 3 2 7 2" xfId="12955" xr:uid="{FB9884F1-3206-4D8A-9EDC-F41AE15182AC}"/>
    <cellStyle name="20% - Accent2 3 2 8" xfId="8737" xr:uid="{5FA77EE1-D1C7-4AFD-B257-16E5FC5202F2}"/>
    <cellStyle name="20% - Accent2 3 3" xfId="584" xr:uid="{00000000-0005-0000-0000-000007010000}"/>
    <cellStyle name="20% - Accent2 3 3 2" xfId="2855" xr:uid="{00000000-0005-0000-0000-000008010000}"/>
    <cellStyle name="20% - Accent2 3 3 2 2" xfId="7078" xr:uid="{00000000-0005-0000-0000-000009010000}"/>
    <cellStyle name="20% - Accent2 3 3 2 2 2" xfId="15513" xr:uid="{87C8908E-8645-4178-BE1E-62261C5A648F}"/>
    <cellStyle name="20% - Accent2 3 3 2 3" xfId="11295" xr:uid="{F0EFA31C-0770-4C66-A52F-188982EB498C}"/>
    <cellStyle name="20% - Accent2 3 3 3" xfId="4933" xr:uid="{00000000-0005-0000-0000-00000A010000}"/>
    <cellStyle name="20% - Accent2 3 3 3 2" xfId="13368" xr:uid="{612B7B97-EA5D-466A-BE55-C0841A3444DD}"/>
    <cellStyle name="20% - Accent2 3 3 4" xfId="9150" xr:uid="{143D7EE1-5D7F-4333-A5F8-0F7B23C09191}"/>
    <cellStyle name="20% - Accent2 3 4" xfId="1037" xr:uid="{00000000-0005-0000-0000-00000B010000}"/>
    <cellStyle name="20% - Accent2 3 4 2" xfId="3268" xr:uid="{00000000-0005-0000-0000-00000C010000}"/>
    <cellStyle name="20% - Accent2 3 4 2 2" xfId="7491" xr:uid="{00000000-0005-0000-0000-00000D010000}"/>
    <cellStyle name="20% - Accent2 3 4 2 2 2" xfId="15926" xr:uid="{8864176E-3FA9-4934-B2D7-DB7AADBD32E0}"/>
    <cellStyle name="20% - Accent2 3 4 2 3" xfId="11708" xr:uid="{3391F89C-47B6-4785-8CDD-D77010CCCFD5}"/>
    <cellStyle name="20% - Accent2 3 4 3" xfId="5346" xr:uid="{00000000-0005-0000-0000-00000E010000}"/>
    <cellStyle name="20% - Accent2 3 4 3 2" xfId="13781" xr:uid="{23F163F3-B6A8-4549-BA37-C8E8B2BD1970}"/>
    <cellStyle name="20% - Accent2 3 4 4" xfId="9563" xr:uid="{33630A8E-5B13-43CD-9E21-D6751D1ECC0B}"/>
    <cellStyle name="20% - Accent2 3 5" xfId="1451" xr:uid="{00000000-0005-0000-0000-00000F010000}"/>
    <cellStyle name="20% - Accent2 3 5 2" xfId="3681" xr:uid="{00000000-0005-0000-0000-000010010000}"/>
    <cellStyle name="20% - Accent2 3 5 2 2" xfId="7904" xr:uid="{00000000-0005-0000-0000-000011010000}"/>
    <cellStyle name="20% - Accent2 3 5 2 2 2" xfId="16339" xr:uid="{B5DA0061-717B-4D4F-A4D6-CC81E16191C9}"/>
    <cellStyle name="20% - Accent2 3 5 2 3" xfId="12121" xr:uid="{77FDEA11-B7FA-4E38-991D-EAD4574489DE}"/>
    <cellStyle name="20% - Accent2 3 5 3" xfId="5759" xr:uid="{00000000-0005-0000-0000-000012010000}"/>
    <cellStyle name="20% - Accent2 3 5 3 2" xfId="14194" xr:uid="{EBCB4724-4FE6-4B9C-A786-7AC9B3D6119A}"/>
    <cellStyle name="20% - Accent2 3 5 4" xfId="9976" xr:uid="{6CF6EF6A-D021-47E5-8950-DC9FAE921B89}"/>
    <cellStyle name="20% - Accent2 3 6" xfId="1865" xr:uid="{00000000-0005-0000-0000-000013010000}"/>
    <cellStyle name="20% - Accent2 3 6 2" xfId="4094" xr:uid="{00000000-0005-0000-0000-000014010000}"/>
    <cellStyle name="20% - Accent2 3 6 2 2" xfId="8317" xr:uid="{00000000-0005-0000-0000-000015010000}"/>
    <cellStyle name="20% - Accent2 3 6 2 2 2" xfId="16752" xr:uid="{8015E905-E8DE-4D31-B90E-1ED87DCAD245}"/>
    <cellStyle name="20% - Accent2 3 6 2 3" xfId="12534" xr:uid="{E6A5EA6B-79C5-45F5-8EAD-849113F441D9}"/>
    <cellStyle name="20% - Accent2 3 6 3" xfId="6172" xr:uid="{00000000-0005-0000-0000-000016010000}"/>
    <cellStyle name="20% - Accent2 3 6 3 2" xfId="14607" xr:uid="{AF0D6096-4FC7-4059-99F4-069EAD0C6F2B}"/>
    <cellStyle name="20% - Accent2 3 6 4" xfId="10389" xr:uid="{21DF8A39-C4D4-4C22-8821-8570BF13D5F7}"/>
    <cellStyle name="20% - Accent2 3 7" xfId="2278" xr:uid="{00000000-0005-0000-0000-000017010000}"/>
    <cellStyle name="20% - Accent2 3 7 2" xfId="6585" xr:uid="{00000000-0005-0000-0000-000018010000}"/>
    <cellStyle name="20% - Accent2 3 7 2 2" xfId="15020" xr:uid="{7FC81DF8-A6AA-4B3B-85F8-3F9586CA4852}"/>
    <cellStyle name="20% - Accent2 3 7 3" xfId="10802" xr:uid="{7707E92F-14F5-4947-A535-FE986BFCBC12}"/>
    <cellStyle name="20% - Accent2 3 8" xfId="4519" xr:uid="{00000000-0005-0000-0000-000019010000}"/>
    <cellStyle name="20% - Accent2 3 8 2" xfId="12954" xr:uid="{5668C175-8DB8-4EA8-AC55-DC1ABEF56376}"/>
    <cellStyle name="20% - Accent2 3 9" xfId="8736" xr:uid="{BDEA54F0-70A5-4069-8028-F5DFB6E1C0D5}"/>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2 2 2" xfId="15515" xr:uid="{F3E9A211-3F67-4BF9-B2A8-4FB052E65CF7}"/>
    <cellStyle name="20% - Accent2 4 2 2 3" xfId="11297" xr:uid="{DD219A03-F86B-4B2B-AAB2-4F5A78A196B3}"/>
    <cellStyle name="20% - Accent2 4 2 3" xfId="4935" xr:uid="{00000000-0005-0000-0000-00001E010000}"/>
    <cellStyle name="20% - Accent2 4 2 3 2" xfId="13370" xr:uid="{5F13E091-8D5B-44D3-B6D1-D4B104E70218}"/>
    <cellStyle name="20% - Accent2 4 2 4" xfId="9152" xr:uid="{D730347E-0467-4C08-AEC6-49DF4D50E9A5}"/>
    <cellStyle name="20% - Accent2 4 3" xfId="1039" xr:uid="{00000000-0005-0000-0000-00001F010000}"/>
    <cellStyle name="20% - Accent2 4 3 2" xfId="3270" xr:uid="{00000000-0005-0000-0000-000020010000}"/>
    <cellStyle name="20% - Accent2 4 3 2 2" xfId="7493" xr:uid="{00000000-0005-0000-0000-000021010000}"/>
    <cellStyle name="20% - Accent2 4 3 2 2 2" xfId="15928" xr:uid="{2C63D9C5-C905-49DD-A42C-95C69DAA2F16}"/>
    <cellStyle name="20% - Accent2 4 3 2 3" xfId="11710" xr:uid="{EA32F7AA-DE8C-4A92-BF0C-FBAAD04A256C}"/>
    <cellStyle name="20% - Accent2 4 3 3" xfId="5348" xr:uid="{00000000-0005-0000-0000-000022010000}"/>
    <cellStyle name="20% - Accent2 4 3 3 2" xfId="13783" xr:uid="{A4911922-7A9F-482E-B0FE-8F34A8D3AD4E}"/>
    <cellStyle name="20% - Accent2 4 3 4" xfId="9565" xr:uid="{FB61C6A8-E114-45CB-B34A-840647C57236}"/>
    <cellStyle name="20% - Accent2 4 4" xfId="1453" xr:uid="{00000000-0005-0000-0000-000023010000}"/>
    <cellStyle name="20% - Accent2 4 4 2" xfId="3683" xr:uid="{00000000-0005-0000-0000-000024010000}"/>
    <cellStyle name="20% - Accent2 4 4 2 2" xfId="7906" xr:uid="{00000000-0005-0000-0000-000025010000}"/>
    <cellStyle name="20% - Accent2 4 4 2 2 2" xfId="16341" xr:uid="{1A09DE4A-1A6A-4A83-A67B-DE7F5B8B4F1C}"/>
    <cellStyle name="20% - Accent2 4 4 2 3" xfId="12123" xr:uid="{5536EBF5-58CA-4B16-9849-4C4D97339B02}"/>
    <cellStyle name="20% - Accent2 4 4 3" xfId="5761" xr:uid="{00000000-0005-0000-0000-000026010000}"/>
    <cellStyle name="20% - Accent2 4 4 3 2" xfId="14196" xr:uid="{2A191943-19D8-4906-9001-5458479550F5}"/>
    <cellStyle name="20% - Accent2 4 4 4" xfId="9978" xr:uid="{CD562964-9016-4B49-8DDB-1BEFFD1131FE}"/>
    <cellStyle name="20% - Accent2 4 5" xfId="1867" xr:uid="{00000000-0005-0000-0000-000027010000}"/>
    <cellStyle name="20% - Accent2 4 5 2" xfId="4096" xr:uid="{00000000-0005-0000-0000-000028010000}"/>
    <cellStyle name="20% - Accent2 4 5 2 2" xfId="8319" xr:uid="{00000000-0005-0000-0000-000029010000}"/>
    <cellStyle name="20% - Accent2 4 5 2 2 2" xfId="16754" xr:uid="{3AE65EB8-4CBA-434E-9FC3-977DE4AA9CD1}"/>
    <cellStyle name="20% - Accent2 4 5 2 3" xfId="12536" xr:uid="{6613EEC3-383A-410E-B7E6-3799890E6D55}"/>
    <cellStyle name="20% - Accent2 4 5 3" xfId="6174" xr:uid="{00000000-0005-0000-0000-00002A010000}"/>
    <cellStyle name="20% - Accent2 4 5 3 2" xfId="14609" xr:uid="{1F61724E-E3C0-4B69-92CB-D5709F5535E3}"/>
    <cellStyle name="20% - Accent2 4 5 4" xfId="10391" xr:uid="{4F16E8DA-2157-4929-9AD2-205D765EF88C}"/>
    <cellStyle name="20% - Accent2 4 6" xfId="2280" xr:uid="{00000000-0005-0000-0000-00002B010000}"/>
    <cellStyle name="20% - Accent2 4 6 2" xfId="6587" xr:uid="{00000000-0005-0000-0000-00002C010000}"/>
    <cellStyle name="20% - Accent2 4 6 2 2" xfId="15022" xr:uid="{F6225596-AE08-4BC9-BB9F-E79B2D0A7EF6}"/>
    <cellStyle name="20% - Accent2 4 6 3" xfId="10804" xr:uid="{1230FF31-2483-4E61-BB13-24CBC55D1C6C}"/>
    <cellStyle name="20% - Accent2 4 7" xfId="4521" xr:uid="{00000000-0005-0000-0000-00002D010000}"/>
    <cellStyle name="20% - Accent2 4 7 2" xfId="12956" xr:uid="{E54CADF9-FC9B-4FB3-AFB6-22369BF50EA6}"/>
    <cellStyle name="20% - Accent2 4 8" xfId="8738" xr:uid="{AB1A3AB1-D74F-4640-8CD3-E1C7FC396313}"/>
    <cellStyle name="20% - Accent2 5" xfId="579" xr:uid="{00000000-0005-0000-0000-00002E010000}"/>
    <cellStyle name="20% - Accent2 5 2" xfId="2850" xr:uid="{00000000-0005-0000-0000-00002F010000}"/>
    <cellStyle name="20% - Accent2 5 2 2" xfId="7073" xr:uid="{00000000-0005-0000-0000-000030010000}"/>
    <cellStyle name="20% - Accent2 5 2 2 2" xfId="15508" xr:uid="{6A704955-C0CC-4219-BBEC-BF3FD6F55D3E}"/>
    <cellStyle name="20% - Accent2 5 2 3" xfId="11290" xr:uid="{3AA41DD4-2D81-4D3A-87A3-57579D319D9A}"/>
    <cellStyle name="20% - Accent2 5 3" xfId="4928" xr:uid="{00000000-0005-0000-0000-000031010000}"/>
    <cellStyle name="20% - Accent2 5 3 2" xfId="13363" xr:uid="{EEB39452-0049-4C64-A75B-5DAF66DB99FE}"/>
    <cellStyle name="20% - Accent2 5 4" xfId="9145" xr:uid="{A78F3CA9-4114-4F34-A239-12EE6DA512C5}"/>
    <cellStyle name="20% - Accent2 6" xfId="1032" xr:uid="{00000000-0005-0000-0000-000032010000}"/>
    <cellStyle name="20% - Accent2 6 2" xfId="3263" xr:uid="{00000000-0005-0000-0000-000033010000}"/>
    <cellStyle name="20% - Accent2 6 2 2" xfId="7486" xr:uid="{00000000-0005-0000-0000-000034010000}"/>
    <cellStyle name="20% - Accent2 6 2 2 2" xfId="15921" xr:uid="{3D07C1DA-7A38-4509-BE03-BAE42AE752DF}"/>
    <cellStyle name="20% - Accent2 6 2 3" xfId="11703" xr:uid="{72EEF5FD-A3E9-4DAA-951F-B059739C375F}"/>
    <cellStyle name="20% - Accent2 6 3" xfId="5341" xr:uid="{00000000-0005-0000-0000-000035010000}"/>
    <cellStyle name="20% - Accent2 6 3 2" xfId="13776" xr:uid="{189A666D-C127-401E-9775-3463EB1AC738}"/>
    <cellStyle name="20% - Accent2 6 4" xfId="9558" xr:uid="{4877068D-2EC0-4252-B8EF-D27ED44C6ABB}"/>
    <cellStyle name="20% - Accent2 7" xfId="1446" xr:uid="{00000000-0005-0000-0000-000036010000}"/>
    <cellStyle name="20% - Accent2 7 2" xfId="3676" xr:uid="{00000000-0005-0000-0000-000037010000}"/>
    <cellStyle name="20% - Accent2 7 2 2" xfId="7899" xr:uid="{00000000-0005-0000-0000-000038010000}"/>
    <cellStyle name="20% - Accent2 7 2 2 2" xfId="16334" xr:uid="{0DF412CA-68F3-44A4-BAAD-0695768462C3}"/>
    <cellStyle name="20% - Accent2 7 2 3" xfId="12116" xr:uid="{493FC4BF-A805-4908-86DB-31DA742E142E}"/>
    <cellStyle name="20% - Accent2 7 3" xfId="5754" xr:uid="{00000000-0005-0000-0000-000039010000}"/>
    <cellStyle name="20% - Accent2 7 3 2" xfId="14189" xr:uid="{876407D6-4BF5-4DCF-BA14-A0C050544607}"/>
    <cellStyle name="20% - Accent2 7 4" xfId="9971" xr:uid="{8FC579AA-1D7A-4C19-8141-D857EBADE5AC}"/>
    <cellStyle name="20% - Accent2 8" xfId="1860" xr:uid="{00000000-0005-0000-0000-00003A010000}"/>
    <cellStyle name="20% - Accent2 8 2" xfId="4089" xr:uid="{00000000-0005-0000-0000-00003B010000}"/>
    <cellStyle name="20% - Accent2 8 2 2" xfId="8312" xr:uid="{00000000-0005-0000-0000-00003C010000}"/>
    <cellStyle name="20% - Accent2 8 2 2 2" xfId="16747" xr:uid="{E98EC869-CA91-49B9-AA97-78F852321F0C}"/>
    <cellStyle name="20% - Accent2 8 2 3" xfId="12529" xr:uid="{B8F4AB99-D7F0-4572-920B-F107055729B0}"/>
    <cellStyle name="20% - Accent2 8 3" xfId="6167" xr:uid="{00000000-0005-0000-0000-00003D010000}"/>
    <cellStyle name="20% - Accent2 8 3 2" xfId="14602" xr:uid="{00141670-50E4-414F-AAF0-CF14C24D62F2}"/>
    <cellStyle name="20% - Accent2 8 4" xfId="10384" xr:uid="{AA95D6C4-B73E-4D98-A307-F0D583290861}"/>
    <cellStyle name="20% - Accent2 9" xfId="2273" xr:uid="{00000000-0005-0000-0000-00003E010000}"/>
    <cellStyle name="20% - Accent2 9 2" xfId="6580" xr:uid="{00000000-0005-0000-0000-00003F010000}"/>
    <cellStyle name="20% - Accent2 9 2 2" xfId="15015" xr:uid="{1E293B18-1BDF-49DB-942D-41DAB29C2D8C}"/>
    <cellStyle name="20% - Accent2 9 3" xfId="10797" xr:uid="{38BC6A6A-FD58-412B-9909-768EA2EBA77B}"/>
    <cellStyle name="20% - Accent3" xfId="17" builtinId="38" customBuiltin="1"/>
    <cellStyle name="20% - Accent3 10" xfId="4522" xr:uid="{00000000-0005-0000-0000-000041010000}"/>
    <cellStyle name="20% - Accent3 10 2" xfId="12957" xr:uid="{9F2C93B5-F0C7-4FEF-A50C-63D9EDB7E78B}"/>
    <cellStyle name="20% - Accent3 11" xfId="8739" xr:uid="{39E00545-9840-4DD6-9549-2466EDBB4479}"/>
    <cellStyle name="20% - Accent3 2" xfId="18" xr:uid="{00000000-0005-0000-0000-000042010000}"/>
    <cellStyle name="20% - Accent3 2 10" xfId="8740" xr:uid="{AFDC6605-5B28-4197-93F0-D28672BE069A}"/>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2 2 2" xfId="15519" xr:uid="{700F8CAD-6076-4173-9CE8-7DF41A62C491}"/>
    <cellStyle name="20% - Accent3 2 2 2 2 2 3" xfId="11301" xr:uid="{62AF7184-1CB8-4B65-915F-E3B15B9197D0}"/>
    <cellStyle name="20% - Accent3 2 2 2 2 3" xfId="4939" xr:uid="{00000000-0005-0000-0000-000048010000}"/>
    <cellStyle name="20% - Accent3 2 2 2 2 3 2" xfId="13374" xr:uid="{DCAFFC1E-5A51-40D7-89F8-44FAB4C19417}"/>
    <cellStyle name="20% - Accent3 2 2 2 2 4" xfId="9156" xr:uid="{2BAA652E-6AC6-48AE-A474-3AB8F3204BA5}"/>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2 2 2" xfId="15932" xr:uid="{26BC5BE6-1487-4A7A-8BFE-21D167966842}"/>
    <cellStyle name="20% - Accent3 2 2 2 3 2 3" xfId="11714" xr:uid="{90ED01A4-A521-4A9B-BBFC-3F01ABE2C975}"/>
    <cellStyle name="20% - Accent3 2 2 2 3 3" xfId="5352" xr:uid="{00000000-0005-0000-0000-00004C010000}"/>
    <cellStyle name="20% - Accent3 2 2 2 3 3 2" xfId="13787" xr:uid="{1858433F-7315-49C0-B0D7-2AAC95FD5AAF}"/>
    <cellStyle name="20% - Accent3 2 2 2 3 4" xfId="9569" xr:uid="{C94DA721-6C78-49A6-BF8F-54D20E0CA01C}"/>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2 2 2" xfId="16345" xr:uid="{1ED47A49-0C1C-40BD-B8B5-03D8BBCF4C10}"/>
    <cellStyle name="20% - Accent3 2 2 2 4 2 3" xfId="12127" xr:uid="{E1BF8B4A-090C-4A90-930D-E7BF0C78D830}"/>
    <cellStyle name="20% - Accent3 2 2 2 4 3" xfId="5765" xr:uid="{00000000-0005-0000-0000-000050010000}"/>
    <cellStyle name="20% - Accent3 2 2 2 4 3 2" xfId="14200" xr:uid="{CE54881F-7921-4946-B83A-6A994BEB00FC}"/>
    <cellStyle name="20% - Accent3 2 2 2 4 4" xfId="9982" xr:uid="{5F5E540D-5515-4F4E-8745-6388D927A3F7}"/>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2 2 2" xfId="16758" xr:uid="{6E2AD043-26E1-4175-845D-BF0BA293F0B4}"/>
    <cellStyle name="20% - Accent3 2 2 2 5 2 3" xfId="12540" xr:uid="{41CB13F2-91A5-45F1-A4A1-8740E797F662}"/>
    <cellStyle name="20% - Accent3 2 2 2 5 3" xfId="6178" xr:uid="{00000000-0005-0000-0000-000054010000}"/>
    <cellStyle name="20% - Accent3 2 2 2 5 3 2" xfId="14613" xr:uid="{205FD967-5BD6-4CB2-B0FE-C2AB91D0AADA}"/>
    <cellStyle name="20% - Accent3 2 2 2 5 4" xfId="10395" xr:uid="{A1A98053-9694-40BC-9D9A-54CB430F76F1}"/>
    <cellStyle name="20% - Accent3 2 2 2 6" xfId="2284" xr:uid="{00000000-0005-0000-0000-000055010000}"/>
    <cellStyle name="20% - Accent3 2 2 2 6 2" xfId="6591" xr:uid="{00000000-0005-0000-0000-000056010000}"/>
    <cellStyle name="20% - Accent3 2 2 2 6 2 2" xfId="15026" xr:uid="{6FBE33FC-2B85-4A13-BC02-B944134FB201}"/>
    <cellStyle name="20% - Accent3 2 2 2 6 3" xfId="10808" xr:uid="{FBC83ABE-AEF0-49D4-979E-94824A59C6FD}"/>
    <cellStyle name="20% - Accent3 2 2 2 7" xfId="4525" xr:uid="{00000000-0005-0000-0000-000057010000}"/>
    <cellStyle name="20% - Accent3 2 2 2 7 2" xfId="12960" xr:uid="{A10DAA52-FD4B-45A8-9DB1-BDCD36CB7ADC}"/>
    <cellStyle name="20% - Accent3 2 2 2 8" xfId="8742" xr:uid="{C59321A1-5810-46CB-A07D-CCB0317029CC}"/>
    <cellStyle name="20% - Accent3 2 2 3" xfId="589" xr:uid="{00000000-0005-0000-0000-000058010000}"/>
    <cellStyle name="20% - Accent3 2 2 3 2" xfId="2860" xr:uid="{00000000-0005-0000-0000-000059010000}"/>
    <cellStyle name="20% - Accent3 2 2 3 2 2" xfId="7083" xr:uid="{00000000-0005-0000-0000-00005A010000}"/>
    <cellStyle name="20% - Accent3 2 2 3 2 2 2" xfId="15518" xr:uid="{07D0D06F-D38D-43E0-94DC-80DCF035A768}"/>
    <cellStyle name="20% - Accent3 2 2 3 2 3" xfId="11300" xr:uid="{55743C53-C591-4A04-BD3A-688A542152B4}"/>
    <cellStyle name="20% - Accent3 2 2 3 3" xfId="4938" xr:uid="{00000000-0005-0000-0000-00005B010000}"/>
    <cellStyle name="20% - Accent3 2 2 3 3 2" xfId="13373" xr:uid="{38D9FF80-6275-4146-AB6C-4BF865F966A2}"/>
    <cellStyle name="20% - Accent3 2 2 3 4" xfId="9155" xr:uid="{541C5CCE-0A58-4C09-B030-8C8BDAFBA407}"/>
    <cellStyle name="20% - Accent3 2 2 4" xfId="1042" xr:uid="{00000000-0005-0000-0000-00005C010000}"/>
    <cellStyle name="20% - Accent3 2 2 4 2" xfId="3273" xr:uid="{00000000-0005-0000-0000-00005D010000}"/>
    <cellStyle name="20% - Accent3 2 2 4 2 2" xfId="7496" xr:uid="{00000000-0005-0000-0000-00005E010000}"/>
    <cellStyle name="20% - Accent3 2 2 4 2 2 2" xfId="15931" xr:uid="{C6F359BA-21DD-4172-A473-3C2F34151C0A}"/>
    <cellStyle name="20% - Accent3 2 2 4 2 3" xfId="11713" xr:uid="{ABF1CD70-2A81-4D8C-831D-5C3CEB6C7F4E}"/>
    <cellStyle name="20% - Accent3 2 2 4 3" xfId="5351" xr:uid="{00000000-0005-0000-0000-00005F010000}"/>
    <cellStyle name="20% - Accent3 2 2 4 3 2" xfId="13786" xr:uid="{5FF13D5E-E781-4B3D-88EB-A74ED19B893C}"/>
    <cellStyle name="20% - Accent3 2 2 4 4" xfId="9568" xr:uid="{BA21ED76-56D4-4514-84E2-3ED81F1BAC44}"/>
    <cellStyle name="20% - Accent3 2 2 5" xfId="1456" xr:uid="{00000000-0005-0000-0000-000060010000}"/>
    <cellStyle name="20% - Accent3 2 2 5 2" xfId="3686" xr:uid="{00000000-0005-0000-0000-000061010000}"/>
    <cellStyle name="20% - Accent3 2 2 5 2 2" xfId="7909" xr:uid="{00000000-0005-0000-0000-000062010000}"/>
    <cellStyle name="20% - Accent3 2 2 5 2 2 2" xfId="16344" xr:uid="{597900D9-D9CD-4987-A157-AE469A50F90E}"/>
    <cellStyle name="20% - Accent3 2 2 5 2 3" xfId="12126" xr:uid="{7F3F0AA5-2900-4322-A8DE-2D33B2DC4408}"/>
    <cellStyle name="20% - Accent3 2 2 5 3" xfId="5764" xr:uid="{00000000-0005-0000-0000-000063010000}"/>
    <cellStyle name="20% - Accent3 2 2 5 3 2" xfId="14199" xr:uid="{DB557CF4-1FB5-47B5-A1E7-3A229CFF557C}"/>
    <cellStyle name="20% - Accent3 2 2 5 4" xfId="9981" xr:uid="{5487ABC7-94D1-4B05-B2CF-7F2AE6CEA24F}"/>
    <cellStyle name="20% - Accent3 2 2 6" xfId="1870" xr:uid="{00000000-0005-0000-0000-000064010000}"/>
    <cellStyle name="20% - Accent3 2 2 6 2" xfId="4099" xr:uid="{00000000-0005-0000-0000-000065010000}"/>
    <cellStyle name="20% - Accent3 2 2 6 2 2" xfId="8322" xr:uid="{00000000-0005-0000-0000-000066010000}"/>
    <cellStyle name="20% - Accent3 2 2 6 2 2 2" xfId="16757" xr:uid="{567722A2-91A5-4CC7-B8FD-CE7A27C3FBA1}"/>
    <cellStyle name="20% - Accent3 2 2 6 2 3" xfId="12539" xr:uid="{6CB54A6C-BDFB-4BF4-9308-E4A6412F71D8}"/>
    <cellStyle name="20% - Accent3 2 2 6 3" xfId="6177" xr:uid="{00000000-0005-0000-0000-000067010000}"/>
    <cellStyle name="20% - Accent3 2 2 6 3 2" xfId="14612" xr:uid="{7312BA6A-EBDB-4F55-8492-382B6DE4E289}"/>
    <cellStyle name="20% - Accent3 2 2 6 4" xfId="10394" xr:uid="{2A7DF7A3-3ACA-409B-9F1F-931802FD7ABB}"/>
    <cellStyle name="20% - Accent3 2 2 7" xfId="2283" xr:uid="{00000000-0005-0000-0000-000068010000}"/>
    <cellStyle name="20% - Accent3 2 2 7 2" xfId="6590" xr:uid="{00000000-0005-0000-0000-000069010000}"/>
    <cellStyle name="20% - Accent3 2 2 7 2 2" xfId="15025" xr:uid="{68390077-11D1-4279-96EC-18AEC8446E90}"/>
    <cellStyle name="20% - Accent3 2 2 7 3" xfId="10807" xr:uid="{7AE96A38-8237-46B2-8ABF-EF57C3C5A22F}"/>
    <cellStyle name="20% - Accent3 2 2 8" xfId="4524" xr:uid="{00000000-0005-0000-0000-00006A010000}"/>
    <cellStyle name="20% - Accent3 2 2 8 2" xfId="12959" xr:uid="{067A2647-E954-4BF4-A106-B9200F94B235}"/>
    <cellStyle name="20% - Accent3 2 2 9" xfId="8741" xr:uid="{E70D5FFB-AE73-4FBB-BDB0-5507D9755E2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2 2 2" xfId="15520" xr:uid="{F6176EA3-AD7F-4EE1-B4FD-7808455856DE}"/>
    <cellStyle name="20% - Accent3 2 3 2 2 3" xfId="11302" xr:uid="{C73269A9-D3D6-477F-92B9-F61D7498E973}"/>
    <cellStyle name="20% - Accent3 2 3 2 3" xfId="4940" xr:uid="{00000000-0005-0000-0000-00006F010000}"/>
    <cellStyle name="20% - Accent3 2 3 2 3 2" xfId="13375" xr:uid="{CC7470C0-AEAF-4A0C-BC3B-0FD7028ACD90}"/>
    <cellStyle name="20% - Accent3 2 3 2 4" xfId="9157" xr:uid="{29FF4096-6741-4CC1-805A-77D9FF32D82B}"/>
    <cellStyle name="20% - Accent3 2 3 3" xfId="1044" xr:uid="{00000000-0005-0000-0000-000070010000}"/>
    <cellStyle name="20% - Accent3 2 3 3 2" xfId="3275" xr:uid="{00000000-0005-0000-0000-000071010000}"/>
    <cellStyle name="20% - Accent3 2 3 3 2 2" xfId="7498" xr:uid="{00000000-0005-0000-0000-000072010000}"/>
    <cellStyle name="20% - Accent3 2 3 3 2 2 2" xfId="15933" xr:uid="{D27B0511-E24B-422D-9B89-6998ED0336CB}"/>
    <cellStyle name="20% - Accent3 2 3 3 2 3" xfId="11715" xr:uid="{C95DF55C-0A1D-43D9-8BC3-A56CF6DF5719}"/>
    <cellStyle name="20% - Accent3 2 3 3 3" xfId="5353" xr:uid="{00000000-0005-0000-0000-000073010000}"/>
    <cellStyle name="20% - Accent3 2 3 3 3 2" xfId="13788" xr:uid="{F6DFED14-6437-4EA8-8966-C38A4E1DAD62}"/>
    <cellStyle name="20% - Accent3 2 3 3 4" xfId="9570" xr:uid="{3AB7217A-5B1B-48DE-8803-50ACCA2F9EE3}"/>
    <cellStyle name="20% - Accent3 2 3 4" xfId="1458" xr:uid="{00000000-0005-0000-0000-000074010000}"/>
    <cellStyle name="20% - Accent3 2 3 4 2" xfId="3688" xr:uid="{00000000-0005-0000-0000-000075010000}"/>
    <cellStyle name="20% - Accent3 2 3 4 2 2" xfId="7911" xr:uid="{00000000-0005-0000-0000-000076010000}"/>
    <cellStyle name="20% - Accent3 2 3 4 2 2 2" xfId="16346" xr:uid="{6E140B12-E79E-41AF-B5BF-085012AE4D78}"/>
    <cellStyle name="20% - Accent3 2 3 4 2 3" xfId="12128" xr:uid="{9441FB16-F923-4F60-ADBD-85E36CA1F5B2}"/>
    <cellStyle name="20% - Accent3 2 3 4 3" xfId="5766" xr:uid="{00000000-0005-0000-0000-000077010000}"/>
    <cellStyle name="20% - Accent3 2 3 4 3 2" xfId="14201" xr:uid="{6CF39184-8CB6-4ADA-A53E-DE3D2D6D30E0}"/>
    <cellStyle name="20% - Accent3 2 3 4 4" xfId="9983" xr:uid="{87B1F6BA-D87B-4F02-A4DB-92B1767FCF01}"/>
    <cellStyle name="20% - Accent3 2 3 5" xfId="1872" xr:uid="{00000000-0005-0000-0000-000078010000}"/>
    <cellStyle name="20% - Accent3 2 3 5 2" xfId="4101" xr:uid="{00000000-0005-0000-0000-000079010000}"/>
    <cellStyle name="20% - Accent3 2 3 5 2 2" xfId="8324" xr:uid="{00000000-0005-0000-0000-00007A010000}"/>
    <cellStyle name="20% - Accent3 2 3 5 2 2 2" xfId="16759" xr:uid="{92B3F82B-5D2A-4F52-8B0A-0A961FA28D0F}"/>
    <cellStyle name="20% - Accent3 2 3 5 2 3" xfId="12541" xr:uid="{1F99175D-BA10-4FE3-ACC5-418B9102E38D}"/>
    <cellStyle name="20% - Accent3 2 3 5 3" xfId="6179" xr:uid="{00000000-0005-0000-0000-00007B010000}"/>
    <cellStyle name="20% - Accent3 2 3 5 3 2" xfId="14614" xr:uid="{F67A915E-3122-4ABD-B489-AABCB8FE69B3}"/>
    <cellStyle name="20% - Accent3 2 3 5 4" xfId="10396" xr:uid="{D1E62E29-7E92-47A1-AAEE-5C8139C073A4}"/>
    <cellStyle name="20% - Accent3 2 3 6" xfId="2285" xr:uid="{00000000-0005-0000-0000-00007C010000}"/>
    <cellStyle name="20% - Accent3 2 3 6 2" xfId="6592" xr:uid="{00000000-0005-0000-0000-00007D010000}"/>
    <cellStyle name="20% - Accent3 2 3 6 2 2" xfId="15027" xr:uid="{7DD451F6-5255-454B-BBE6-AAA2FCA977FE}"/>
    <cellStyle name="20% - Accent3 2 3 6 3" xfId="10809" xr:uid="{BD33E217-2DC4-466E-B58C-BFC45EDC3785}"/>
    <cellStyle name="20% - Accent3 2 3 7" xfId="4526" xr:uid="{00000000-0005-0000-0000-00007E010000}"/>
    <cellStyle name="20% - Accent3 2 3 7 2" xfId="12961" xr:uid="{CC96FEB7-1F1B-4752-811F-C078B7B47419}"/>
    <cellStyle name="20% - Accent3 2 3 8" xfId="8743" xr:uid="{0FE6C927-F34A-445C-87D9-FFD0E99857BA}"/>
    <cellStyle name="20% - Accent3 2 4" xfId="588" xr:uid="{00000000-0005-0000-0000-00007F010000}"/>
    <cellStyle name="20% - Accent3 2 4 2" xfId="2859" xr:uid="{00000000-0005-0000-0000-000080010000}"/>
    <cellStyle name="20% - Accent3 2 4 2 2" xfId="7082" xr:uid="{00000000-0005-0000-0000-000081010000}"/>
    <cellStyle name="20% - Accent3 2 4 2 2 2" xfId="15517" xr:uid="{B3E2FF3F-0394-4D90-B166-83AA5C78E887}"/>
    <cellStyle name="20% - Accent3 2 4 2 3" xfId="11299" xr:uid="{78BB9DEA-0383-4DE1-8E99-E26AF6B6A054}"/>
    <cellStyle name="20% - Accent3 2 4 3" xfId="4937" xr:uid="{00000000-0005-0000-0000-000082010000}"/>
    <cellStyle name="20% - Accent3 2 4 3 2" xfId="13372" xr:uid="{1095DF31-182B-44E1-ADD3-233BA889A139}"/>
    <cellStyle name="20% - Accent3 2 4 4" xfId="9154" xr:uid="{602C1D99-61B2-45BE-86A3-48AF648A826D}"/>
    <cellStyle name="20% - Accent3 2 5" xfId="1041" xr:uid="{00000000-0005-0000-0000-000083010000}"/>
    <cellStyle name="20% - Accent3 2 5 2" xfId="3272" xr:uid="{00000000-0005-0000-0000-000084010000}"/>
    <cellStyle name="20% - Accent3 2 5 2 2" xfId="7495" xr:uid="{00000000-0005-0000-0000-000085010000}"/>
    <cellStyle name="20% - Accent3 2 5 2 2 2" xfId="15930" xr:uid="{095F7B9F-4C19-45DF-BF32-F071FF722B04}"/>
    <cellStyle name="20% - Accent3 2 5 2 3" xfId="11712" xr:uid="{10DC1028-AF43-468C-AAC7-3F8E31BFA1A2}"/>
    <cellStyle name="20% - Accent3 2 5 3" xfId="5350" xr:uid="{00000000-0005-0000-0000-000086010000}"/>
    <cellStyle name="20% - Accent3 2 5 3 2" xfId="13785" xr:uid="{05303D0B-2B97-4EB8-BAD6-C362303F6A75}"/>
    <cellStyle name="20% - Accent3 2 5 4" xfId="9567" xr:uid="{DA0E3E7D-F0E6-411E-BEB1-FAC877FD7DFA}"/>
    <cellStyle name="20% - Accent3 2 6" xfId="1455" xr:uid="{00000000-0005-0000-0000-000087010000}"/>
    <cellStyle name="20% - Accent3 2 6 2" xfId="3685" xr:uid="{00000000-0005-0000-0000-000088010000}"/>
    <cellStyle name="20% - Accent3 2 6 2 2" xfId="7908" xr:uid="{00000000-0005-0000-0000-000089010000}"/>
    <cellStyle name="20% - Accent3 2 6 2 2 2" xfId="16343" xr:uid="{026AFCA9-0667-48CD-A6C5-42F39B39EF1B}"/>
    <cellStyle name="20% - Accent3 2 6 2 3" xfId="12125" xr:uid="{5134B072-0110-4FDE-811F-75AAB8464874}"/>
    <cellStyle name="20% - Accent3 2 6 3" xfId="5763" xr:uid="{00000000-0005-0000-0000-00008A010000}"/>
    <cellStyle name="20% - Accent3 2 6 3 2" xfId="14198" xr:uid="{E2222EC4-E1EE-494D-9890-292B56837693}"/>
    <cellStyle name="20% - Accent3 2 6 4" xfId="9980" xr:uid="{A533D984-5924-4ABC-B705-3F920377BD51}"/>
    <cellStyle name="20% - Accent3 2 7" xfId="1869" xr:uid="{00000000-0005-0000-0000-00008B010000}"/>
    <cellStyle name="20% - Accent3 2 7 2" xfId="4098" xr:uid="{00000000-0005-0000-0000-00008C010000}"/>
    <cellStyle name="20% - Accent3 2 7 2 2" xfId="8321" xr:uid="{00000000-0005-0000-0000-00008D010000}"/>
    <cellStyle name="20% - Accent3 2 7 2 2 2" xfId="16756" xr:uid="{A0C689D2-D972-4DEC-A215-0D2322567165}"/>
    <cellStyle name="20% - Accent3 2 7 2 3" xfId="12538" xr:uid="{A9955820-5CF4-406B-8486-2F812664307C}"/>
    <cellStyle name="20% - Accent3 2 7 3" xfId="6176" xr:uid="{00000000-0005-0000-0000-00008E010000}"/>
    <cellStyle name="20% - Accent3 2 7 3 2" xfId="14611" xr:uid="{EDD0D2B3-D61E-4F29-B4E6-DC14DFA6EEB4}"/>
    <cellStyle name="20% - Accent3 2 7 4" xfId="10393" xr:uid="{5B23E8A4-F4E1-46D2-9E9D-B8B330D39FBC}"/>
    <cellStyle name="20% - Accent3 2 8" xfId="2282" xr:uid="{00000000-0005-0000-0000-00008F010000}"/>
    <cellStyle name="20% - Accent3 2 8 2" xfId="6589" xr:uid="{00000000-0005-0000-0000-000090010000}"/>
    <cellStyle name="20% - Accent3 2 8 2 2" xfId="15024" xr:uid="{E4A160D1-EAB4-4D53-A8A7-8CB9F122077A}"/>
    <cellStyle name="20% - Accent3 2 8 3" xfId="10806" xr:uid="{8F179DE3-97F5-47A7-997D-E8893AE0AE54}"/>
    <cellStyle name="20% - Accent3 2 9" xfId="4523" xr:uid="{00000000-0005-0000-0000-000091010000}"/>
    <cellStyle name="20% - Accent3 2 9 2" xfId="12958" xr:uid="{1D22A827-E5B7-4175-B5D9-DC1966C41255}"/>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2 2 2" xfId="15522" xr:uid="{A3CA601E-4AC2-4957-8E4E-C966E3A9B0FC}"/>
    <cellStyle name="20% - Accent3 3 2 2 2 3" xfId="11304" xr:uid="{4BBE28D3-8A78-4F90-90FC-1394031F5C67}"/>
    <cellStyle name="20% - Accent3 3 2 2 3" xfId="4942" xr:uid="{00000000-0005-0000-0000-000097010000}"/>
    <cellStyle name="20% - Accent3 3 2 2 3 2" xfId="13377" xr:uid="{FCB0B7BD-7418-430F-A077-93847690A350}"/>
    <cellStyle name="20% - Accent3 3 2 2 4" xfId="9159" xr:uid="{E207773F-5F56-4392-B2B4-EF84C0F85CDC}"/>
    <cellStyle name="20% - Accent3 3 2 3" xfId="1046" xr:uid="{00000000-0005-0000-0000-000098010000}"/>
    <cellStyle name="20% - Accent3 3 2 3 2" xfId="3277" xr:uid="{00000000-0005-0000-0000-000099010000}"/>
    <cellStyle name="20% - Accent3 3 2 3 2 2" xfId="7500" xr:uid="{00000000-0005-0000-0000-00009A010000}"/>
    <cellStyle name="20% - Accent3 3 2 3 2 2 2" xfId="15935" xr:uid="{8A37EFCA-863D-4FEC-AA77-2D2A5BD77BB1}"/>
    <cellStyle name="20% - Accent3 3 2 3 2 3" xfId="11717" xr:uid="{C0293636-1D82-4824-8E32-B95CA9F4A4A1}"/>
    <cellStyle name="20% - Accent3 3 2 3 3" xfId="5355" xr:uid="{00000000-0005-0000-0000-00009B010000}"/>
    <cellStyle name="20% - Accent3 3 2 3 3 2" xfId="13790" xr:uid="{99C95A6D-8D48-4866-850A-432BDA1DE721}"/>
    <cellStyle name="20% - Accent3 3 2 3 4" xfId="9572" xr:uid="{12067434-4B02-4671-A006-11C1C9380B83}"/>
    <cellStyle name="20% - Accent3 3 2 4" xfId="1460" xr:uid="{00000000-0005-0000-0000-00009C010000}"/>
    <cellStyle name="20% - Accent3 3 2 4 2" xfId="3690" xr:uid="{00000000-0005-0000-0000-00009D010000}"/>
    <cellStyle name="20% - Accent3 3 2 4 2 2" xfId="7913" xr:uid="{00000000-0005-0000-0000-00009E010000}"/>
    <cellStyle name="20% - Accent3 3 2 4 2 2 2" xfId="16348" xr:uid="{EFE1D9E7-68B8-47F5-9E6E-B4F452673460}"/>
    <cellStyle name="20% - Accent3 3 2 4 2 3" xfId="12130" xr:uid="{4D0CA167-596F-445A-AAB8-CF40F4F5CB04}"/>
    <cellStyle name="20% - Accent3 3 2 4 3" xfId="5768" xr:uid="{00000000-0005-0000-0000-00009F010000}"/>
    <cellStyle name="20% - Accent3 3 2 4 3 2" xfId="14203" xr:uid="{4CDD399F-1C82-469D-AFB5-4C9776E3E5AF}"/>
    <cellStyle name="20% - Accent3 3 2 4 4" xfId="9985" xr:uid="{35839B57-74F9-473D-8D27-E92A54149BB4}"/>
    <cellStyle name="20% - Accent3 3 2 5" xfId="1874" xr:uid="{00000000-0005-0000-0000-0000A0010000}"/>
    <cellStyle name="20% - Accent3 3 2 5 2" xfId="4103" xr:uid="{00000000-0005-0000-0000-0000A1010000}"/>
    <cellStyle name="20% - Accent3 3 2 5 2 2" xfId="8326" xr:uid="{00000000-0005-0000-0000-0000A2010000}"/>
    <cellStyle name="20% - Accent3 3 2 5 2 2 2" xfId="16761" xr:uid="{F6412833-36E5-49CE-8DA6-1F49EC4C8FFD}"/>
    <cellStyle name="20% - Accent3 3 2 5 2 3" xfId="12543" xr:uid="{EF0205CF-C648-4B01-996B-AFCBC18754B7}"/>
    <cellStyle name="20% - Accent3 3 2 5 3" xfId="6181" xr:uid="{00000000-0005-0000-0000-0000A3010000}"/>
    <cellStyle name="20% - Accent3 3 2 5 3 2" xfId="14616" xr:uid="{600D0D18-42B9-4AD6-B95D-962F0BEC152C}"/>
    <cellStyle name="20% - Accent3 3 2 5 4" xfId="10398" xr:uid="{FDBAFD13-DE96-4D14-9DA2-3663E579805B}"/>
    <cellStyle name="20% - Accent3 3 2 6" xfId="2287" xr:uid="{00000000-0005-0000-0000-0000A4010000}"/>
    <cellStyle name="20% - Accent3 3 2 6 2" xfId="6594" xr:uid="{00000000-0005-0000-0000-0000A5010000}"/>
    <cellStyle name="20% - Accent3 3 2 6 2 2" xfId="15029" xr:uid="{77870EFB-504F-4755-80D4-5F6BFFEF73B3}"/>
    <cellStyle name="20% - Accent3 3 2 6 3" xfId="10811" xr:uid="{2906BB36-BFE2-4090-8877-DDC92970DAAB}"/>
    <cellStyle name="20% - Accent3 3 2 7" xfId="4528" xr:uid="{00000000-0005-0000-0000-0000A6010000}"/>
    <cellStyle name="20% - Accent3 3 2 7 2" xfId="12963" xr:uid="{53019163-8455-4A95-9AE8-F4193145FF1F}"/>
    <cellStyle name="20% - Accent3 3 2 8" xfId="8745" xr:uid="{F5062864-F602-472A-A50D-F50FA26FD515}"/>
    <cellStyle name="20% - Accent3 3 3" xfId="592" xr:uid="{00000000-0005-0000-0000-0000A7010000}"/>
    <cellStyle name="20% - Accent3 3 3 2" xfId="2863" xr:uid="{00000000-0005-0000-0000-0000A8010000}"/>
    <cellStyle name="20% - Accent3 3 3 2 2" xfId="7086" xr:uid="{00000000-0005-0000-0000-0000A9010000}"/>
    <cellStyle name="20% - Accent3 3 3 2 2 2" xfId="15521" xr:uid="{8314F0CC-D9E2-4A8C-AE52-F18A38CB62FD}"/>
    <cellStyle name="20% - Accent3 3 3 2 3" xfId="11303" xr:uid="{82F232B5-DD0C-4AD3-8CB2-776870649AF9}"/>
    <cellStyle name="20% - Accent3 3 3 3" xfId="4941" xr:uid="{00000000-0005-0000-0000-0000AA010000}"/>
    <cellStyle name="20% - Accent3 3 3 3 2" xfId="13376" xr:uid="{DC2CECB8-72C9-4840-9DDE-8A034C712B02}"/>
    <cellStyle name="20% - Accent3 3 3 4" xfId="9158" xr:uid="{97F51BAC-7005-4C23-9E3D-B1A5EE107406}"/>
    <cellStyle name="20% - Accent3 3 4" xfId="1045" xr:uid="{00000000-0005-0000-0000-0000AB010000}"/>
    <cellStyle name="20% - Accent3 3 4 2" xfId="3276" xr:uid="{00000000-0005-0000-0000-0000AC010000}"/>
    <cellStyle name="20% - Accent3 3 4 2 2" xfId="7499" xr:uid="{00000000-0005-0000-0000-0000AD010000}"/>
    <cellStyle name="20% - Accent3 3 4 2 2 2" xfId="15934" xr:uid="{87E2A7DF-0DAC-4BCB-9E59-4092A10B7A52}"/>
    <cellStyle name="20% - Accent3 3 4 2 3" xfId="11716" xr:uid="{FE1AA81F-05DF-4226-B2BE-3010D0FE5D1D}"/>
    <cellStyle name="20% - Accent3 3 4 3" xfId="5354" xr:uid="{00000000-0005-0000-0000-0000AE010000}"/>
    <cellStyle name="20% - Accent3 3 4 3 2" xfId="13789" xr:uid="{83C6DFDF-8AB0-49A4-8721-A6D87AD87984}"/>
    <cellStyle name="20% - Accent3 3 4 4" xfId="9571" xr:uid="{09B9132D-8190-4FC5-9EEC-745515E7A354}"/>
    <cellStyle name="20% - Accent3 3 5" xfId="1459" xr:uid="{00000000-0005-0000-0000-0000AF010000}"/>
    <cellStyle name="20% - Accent3 3 5 2" xfId="3689" xr:uid="{00000000-0005-0000-0000-0000B0010000}"/>
    <cellStyle name="20% - Accent3 3 5 2 2" xfId="7912" xr:uid="{00000000-0005-0000-0000-0000B1010000}"/>
    <cellStyle name="20% - Accent3 3 5 2 2 2" xfId="16347" xr:uid="{CD4D86F9-B264-4996-B112-5A033A66E2BE}"/>
    <cellStyle name="20% - Accent3 3 5 2 3" xfId="12129" xr:uid="{3D4E0CD5-AB7C-4AF7-9D16-3CD0EC847D39}"/>
    <cellStyle name="20% - Accent3 3 5 3" xfId="5767" xr:uid="{00000000-0005-0000-0000-0000B2010000}"/>
    <cellStyle name="20% - Accent3 3 5 3 2" xfId="14202" xr:uid="{4043662D-4AE6-460C-ADF4-6A765FF5E307}"/>
    <cellStyle name="20% - Accent3 3 5 4" xfId="9984" xr:uid="{DAD897C1-E113-4F38-9800-5550DE18E3A3}"/>
    <cellStyle name="20% - Accent3 3 6" xfId="1873" xr:uid="{00000000-0005-0000-0000-0000B3010000}"/>
    <cellStyle name="20% - Accent3 3 6 2" xfId="4102" xr:uid="{00000000-0005-0000-0000-0000B4010000}"/>
    <cellStyle name="20% - Accent3 3 6 2 2" xfId="8325" xr:uid="{00000000-0005-0000-0000-0000B5010000}"/>
    <cellStyle name="20% - Accent3 3 6 2 2 2" xfId="16760" xr:uid="{C6726F59-810B-4ACC-BC24-5CD6AC40ED31}"/>
    <cellStyle name="20% - Accent3 3 6 2 3" xfId="12542" xr:uid="{448A4542-8490-4B26-858D-8545B9704245}"/>
    <cellStyle name="20% - Accent3 3 6 3" xfId="6180" xr:uid="{00000000-0005-0000-0000-0000B6010000}"/>
    <cellStyle name="20% - Accent3 3 6 3 2" xfId="14615" xr:uid="{FDA6FA14-67B9-4C42-9D30-413DABCFECB2}"/>
    <cellStyle name="20% - Accent3 3 6 4" xfId="10397" xr:uid="{0C149BC1-3B70-488C-9FE1-EBFE8729E1AF}"/>
    <cellStyle name="20% - Accent3 3 7" xfId="2286" xr:uid="{00000000-0005-0000-0000-0000B7010000}"/>
    <cellStyle name="20% - Accent3 3 7 2" xfId="6593" xr:uid="{00000000-0005-0000-0000-0000B8010000}"/>
    <cellStyle name="20% - Accent3 3 7 2 2" xfId="15028" xr:uid="{11A67FDB-4C3D-40B4-8F76-1C853C1F973B}"/>
    <cellStyle name="20% - Accent3 3 7 3" xfId="10810" xr:uid="{1DA2D734-0315-4FF8-AF3D-83166F8D482E}"/>
    <cellStyle name="20% - Accent3 3 8" xfId="4527" xr:uid="{00000000-0005-0000-0000-0000B9010000}"/>
    <cellStyle name="20% - Accent3 3 8 2" xfId="12962" xr:uid="{6E73F37D-CB1B-4F8E-8CE5-BA13A4942E89}"/>
    <cellStyle name="20% - Accent3 3 9" xfId="8744" xr:uid="{03F3BBAD-E504-4EB9-84EE-F8F5C7885FB9}"/>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2 2 2" xfId="15523" xr:uid="{DBACEB01-225E-4F88-9FBB-53CA2D0DB27F}"/>
    <cellStyle name="20% - Accent3 4 2 2 3" xfId="11305" xr:uid="{8E2EFDAE-E66B-4078-9ADF-9BE03C1B1A8E}"/>
    <cellStyle name="20% - Accent3 4 2 3" xfId="4943" xr:uid="{00000000-0005-0000-0000-0000BE010000}"/>
    <cellStyle name="20% - Accent3 4 2 3 2" xfId="13378" xr:uid="{0BFECBC1-757D-4151-A2F9-BB948EAEA8E2}"/>
    <cellStyle name="20% - Accent3 4 2 4" xfId="9160" xr:uid="{B8416EFB-EFE8-4E6F-9B13-873B129854AF}"/>
    <cellStyle name="20% - Accent3 4 3" xfId="1047" xr:uid="{00000000-0005-0000-0000-0000BF010000}"/>
    <cellStyle name="20% - Accent3 4 3 2" xfId="3278" xr:uid="{00000000-0005-0000-0000-0000C0010000}"/>
    <cellStyle name="20% - Accent3 4 3 2 2" xfId="7501" xr:uid="{00000000-0005-0000-0000-0000C1010000}"/>
    <cellStyle name="20% - Accent3 4 3 2 2 2" xfId="15936" xr:uid="{730EEE2E-0FFE-4206-AB88-C4A94B8E9A26}"/>
    <cellStyle name="20% - Accent3 4 3 2 3" xfId="11718" xr:uid="{2E600F11-C03B-4ADD-BB6B-6CBB557E5792}"/>
    <cellStyle name="20% - Accent3 4 3 3" xfId="5356" xr:uid="{00000000-0005-0000-0000-0000C2010000}"/>
    <cellStyle name="20% - Accent3 4 3 3 2" xfId="13791" xr:uid="{96EE5186-F542-4125-A2CD-CBA5D809595A}"/>
    <cellStyle name="20% - Accent3 4 3 4" xfId="9573" xr:uid="{77F04918-58C5-44C0-AAE6-574DB4AF2238}"/>
    <cellStyle name="20% - Accent3 4 4" xfId="1461" xr:uid="{00000000-0005-0000-0000-0000C3010000}"/>
    <cellStyle name="20% - Accent3 4 4 2" xfId="3691" xr:uid="{00000000-0005-0000-0000-0000C4010000}"/>
    <cellStyle name="20% - Accent3 4 4 2 2" xfId="7914" xr:uid="{00000000-0005-0000-0000-0000C5010000}"/>
    <cellStyle name="20% - Accent3 4 4 2 2 2" xfId="16349" xr:uid="{26CAB58B-0F93-439A-8607-4EB15CB6A7BB}"/>
    <cellStyle name="20% - Accent3 4 4 2 3" xfId="12131" xr:uid="{383576AA-AF03-4679-81BC-5672AB8CF3D7}"/>
    <cellStyle name="20% - Accent3 4 4 3" xfId="5769" xr:uid="{00000000-0005-0000-0000-0000C6010000}"/>
    <cellStyle name="20% - Accent3 4 4 3 2" xfId="14204" xr:uid="{2094F854-AA1A-43D0-9AEA-84C963EFE193}"/>
    <cellStyle name="20% - Accent3 4 4 4" xfId="9986" xr:uid="{754EBD05-7BB6-490C-828D-3EDD5FF7EFCC}"/>
    <cellStyle name="20% - Accent3 4 5" xfId="1875" xr:uid="{00000000-0005-0000-0000-0000C7010000}"/>
    <cellStyle name="20% - Accent3 4 5 2" xfId="4104" xr:uid="{00000000-0005-0000-0000-0000C8010000}"/>
    <cellStyle name="20% - Accent3 4 5 2 2" xfId="8327" xr:uid="{00000000-0005-0000-0000-0000C9010000}"/>
    <cellStyle name="20% - Accent3 4 5 2 2 2" xfId="16762" xr:uid="{056043A0-F459-4677-BC70-89757E65A5E3}"/>
    <cellStyle name="20% - Accent3 4 5 2 3" xfId="12544" xr:uid="{479DEB49-7C73-4251-8222-DFBCC56D58DE}"/>
    <cellStyle name="20% - Accent3 4 5 3" xfId="6182" xr:uid="{00000000-0005-0000-0000-0000CA010000}"/>
    <cellStyle name="20% - Accent3 4 5 3 2" xfId="14617" xr:uid="{B1359A3D-AF89-4C3C-A2DC-55831481A494}"/>
    <cellStyle name="20% - Accent3 4 5 4" xfId="10399" xr:uid="{508532CA-B16F-4CCA-AFBD-320ED0828E7A}"/>
    <cellStyle name="20% - Accent3 4 6" xfId="2288" xr:uid="{00000000-0005-0000-0000-0000CB010000}"/>
    <cellStyle name="20% - Accent3 4 6 2" xfId="6595" xr:uid="{00000000-0005-0000-0000-0000CC010000}"/>
    <cellStyle name="20% - Accent3 4 6 2 2" xfId="15030" xr:uid="{A6BD3BA4-58C1-4BD0-B667-ABA10513C207}"/>
    <cellStyle name="20% - Accent3 4 6 3" xfId="10812" xr:uid="{C24B7724-2AD7-4028-8090-1ADDA6F3AF18}"/>
    <cellStyle name="20% - Accent3 4 7" xfId="4529" xr:uid="{00000000-0005-0000-0000-0000CD010000}"/>
    <cellStyle name="20% - Accent3 4 7 2" xfId="12964" xr:uid="{1D9F9978-2213-40AC-98E5-48160BBF7C67}"/>
    <cellStyle name="20% - Accent3 4 8" xfId="8746" xr:uid="{79FC8CA3-0E79-4764-83FB-39BC7C53480C}"/>
    <cellStyle name="20% - Accent3 5" xfId="587" xr:uid="{00000000-0005-0000-0000-0000CE010000}"/>
    <cellStyle name="20% - Accent3 5 2" xfId="2858" xr:uid="{00000000-0005-0000-0000-0000CF010000}"/>
    <cellStyle name="20% - Accent3 5 2 2" xfId="7081" xr:uid="{00000000-0005-0000-0000-0000D0010000}"/>
    <cellStyle name="20% - Accent3 5 2 2 2" xfId="15516" xr:uid="{1553CB85-A906-4704-AFBD-18B55BB1F910}"/>
    <cellStyle name="20% - Accent3 5 2 3" xfId="11298" xr:uid="{6301BEC1-C400-4A07-A32C-F29705F9708B}"/>
    <cellStyle name="20% - Accent3 5 3" xfId="4936" xr:uid="{00000000-0005-0000-0000-0000D1010000}"/>
    <cellStyle name="20% - Accent3 5 3 2" xfId="13371" xr:uid="{2E5FB158-FD30-423C-A418-A6F86C12F6DF}"/>
    <cellStyle name="20% - Accent3 5 4" xfId="9153" xr:uid="{2B612934-001C-40B7-A0AC-B93F9B5BD913}"/>
    <cellStyle name="20% - Accent3 6" xfId="1040" xr:uid="{00000000-0005-0000-0000-0000D2010000}"/>
    <cellStyle name="20% - Accent3 6 2" xfId="3271" xr:uid="{00000000-0005-0000-0000-0000D3010000}"/>
    <cellStyle name="20% - Accent3 6 2 2" xfId="7494" xr:uid="{00000000-0005-0000-0000-0000D4010000}"/>
    <cellStyle name="20% - Accent3 6 2 2 2" xfId="15929" xr:uid="{5C7D2618-06B1-40C0-B5B1-BFB75179C459}"/>
    <cellStyle name="20% - Accent3 6 2 3" xfId="11711" xr:uid="{4E033C56-E178-41A4-8AE5-20A306170F68}"/>
    <cellStyle name="20% - Accent3 6 3" xfId="5349" xr:uid="{00000000-0005-0000-0000-0000D5010000}"/>
    <cellStyle name="20% - Accent3 6 3 2" xfId="13784" xr:uid="{CEC3DDB3-B99A-4922-9F6C-FDDF7F1023B7}"/>
    <cellStyle name="20% - Accent3 6 4" xfId="9566" xr:uid="{73078C82-2653-4A51-99F8-2A4D9BFA33AD}"/>
    <cellStyle name="20% - Accent3 7" xfId="1454" xr:uid="{00000000-0005-0000-0000-0000D6010000}"/>
    <cellStyle name="20% - Accent3 7 2" xfId="3684" xr:uid="{00000000-0005-0000-0000-0000D7010000}"/>
    <cellStyle name="20% - Accent3 7 2 2" xfId="7907" xr:uid="{00000000-0005-0000-0000-0000D8010000}"/>
    <cellStyle name="20% - Accent3 7 2 2 2" xfId="16342" xr:uid="{F4994C97-72A5-45E9-8DDF-75C4E59CA5E4}"/>
    <cellStyle name="20% - Accent3 7 2 3" xfId="12124" xr:uid="{486DB446-6C75-470C-98E5-63AA6F379A8F}"/>
    <cellStyle name="20% - Accent3 7 3" xfId="5762" xr:uid="{00000000-0005-0000-0000-0000D9010000}"/>
    <cellStyle name="20% - Accent3 7 3 2" xfId="14197" xr:uid="{C4E2A244-8871-4511-A759-5695668076B2}"/>
    <cellStyle name="20% - Accent3 7 4" xfId="9979" xr:uid="{99BEC6E2-6A25-46FB-BE3F-1CF5C766DFAF}"/>
    <cellStyle name="20% - Accent3 8" xfId="1868" xr:uid="{00000000-0005-0000-0000-0000DA010000}"/>
    <cellStyle name="20% - Accent3 8 2" xfId="4097" xr:uid="{00000000-0005-0000-0000-0000DB010000}"/>
    <cellStyle name="20% - Accent3 8 2 2" xfId="8320" xr:uid="{00000000-0005-0000-0000-0000DC010000}"/>
    <cellStyle name="20% - Accent3 8 2 2 2" xfId="16755" xr:uid="{994CA71E-A9A9-4C4F-91E9-DAFB75B0AF06}"/>
    <cellStyle name="20% - Accent3 8 2 3" xfId="12537" xr:uid="{857529DE-A093-46E6-9945-D99DD02B130F}"/>
    <cellStyle name="20% - Accent3 8 3" xfId="6175" xr:uid="{00000000-0005-0000-0000-0000DD010000}"/>
    <cellStyle name="20% - Accent3 8 3 2" xfId="14610" xr:uid="{B810C3D6-CFF8-4187-BDDD-EA4E9DD1266F}"/>
    <cellStyle name="20% - Accent3 8 4" xfId="10392" xr:uid="{000FDFDB-E8EC-431C-B82D-D67B80C916D8}"/>
    <cellStyle name="20% - Accent3 9" xfId="2281" xr:uid="{00000000-0005-0000-0000-0000DE010000}"/>
    <cellStyle name="20% - Accent3 9 2" xfId="6588" xr:uid="{00000000-0005-0000-0000-0000DF010000}"/>
    <cellStyle name="20% - Accent3 9 2 2" xfId="15023" xr:uid="{76C7F597-752B-499E-B2E5-5EA8032D4E59}"/>
    <cellStyle name="20% - Accent3 9 3" xfId="10805" xr:uid="{23DD6480-CAB3-4643-BBC3-1AAC0B202F5B}"/>
    <cellStyle name="20% - Accent4" xfId="25" builtinId="42" customBuiltin="1"/>
    <cellStyle name="20% - Accent4 10" xfId="4530" xr:uid="{00000000-0005-0000-0000-0000E1010000}"/>
    <cellStyle name="20% - Accent4 10 2" xfId="12965" xr:uid="{EB7392A0-5B67-4653-8BCF-3F2822B2FFF8}"/>
    <cellStyle name="20% - Accent4 11" xfId="8747" xr:uid="{3AC48145-0E2B-4349-BACD-353F566C84F8}"/>
    <cellStyle name="20% - Accent4 2" xfId="26" xr:uid="{00000000-0005-0000-0000-0000E2010000}"/>
    <cellStyle name="20% - Accent4 2 10" xfId="8748" xr:uid="{5C6DB2B2-BBD9-46DE-8B6B-4E832380CBC8}"/>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2 2 2" xfId="15527" xr:uid="{E69E4376-66ED-4356-8DEA-01113E38F707}"/>
    <cellStyle name="20% - Accent4 2 2 2 2 2 3" xfId="11309" xr:uid="{B3D465A1-42A2-47C5-9EF9-A44EF6FC00E7}"/>
    <cellStyle name="20% - Accent4 2 2 2 2 3" xfId="4947" xr:uid="{00000000-0005-0000-0000-0000E8010000}"/>
    <cellStyle name="20% - Accent4 2 2 2 2 3 2" xfId="13382" xr:uid="{7617AEB0-7D48-4139-977B-5A97351C9613}"/>
    <cellStyle name="20% - Accent4 2 2 2 2 4" xfId="9164" xr:uid="{7673E542-2A87-4E75-AEAD-555FA52AD9B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2 2 2" xfId="15940" xr:uid="{9AC336D5-C1EA-4AD0-8680-3A7B3D1DC868}"/>
    <cellStyle name="20% - Accent4 2 2 2 3 2 3" xfId="11722" xr:uid="{03F96818-AF8D-45A7-8502-1D3C93BCF2FE}"/>
    <cellStyle name="20% - Accent4 2 2 2 3 3" xfId="5360" xr:uid="{00000000-0005-0000-0000-0000EC010000}"/>
    <cellStyle name="20% - Accent4 2 2 2 3 3 2" xfId="13795" xr:uid="{237E5D96-3601-4CE3-A358-87839EFB0C5D}"/>
    <cellStyle name="20% - Accent4 2 2 2 3 4" xfId="9577" xr:uid="{99FAAEAD-EB34-4310-9A94-50B0233B3C36}"/>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2 2 2" xfId="16353" xr:uid="{C285E059-A333-481F-9EC7-37AFEA930A53}"/>
    <cellStyle name="20% - Accent4 2 2 2 4 2 3" xfId="12135" xr:uid="{2E59F74A-9407-4798-90EB-B876E4769023}"/>
    <cellStyle name="20% - Accent4 2 2 2 4 3" xfId="5773" xr:uid="{00000000-0005-0000-0000-0000F0010000}"/>
    <cellStyle name="20% - Accent4 2 2 2 4 3 2" xfId="14208" xr:uid="{03231697-A371-4391-84A2-CC674C00160F}"/>
    <cellStyle name="20% - Accent4 2 2 2 4 4" xfId="9990" xr:uid="{F0C1D6EC-29A2-4C9A-8106-3110822B2E7F}"/>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2 2 2" xfId="16766" xr:uid="{A7916464-B842-4F40-864F-FCFAF660358C}"/>
    <cellStyle name="20% - Accent4 2 2 2 5 2 3" xfId="12548" xr:uid="{4CE72EBE-6E96-421D-9DF5-290E0670D171}"/>
    <cellStyle name="20% - Accent4 2 2 2 5 3" xfId="6186" xr:uid="{00000000-0005-0000-0000-0000F4010000}"/>
    <cellStyle name="20% - Accent4 2 2 2 5 3 2" xfId="14621" xr:uid="{877EE3AB-CF7C-4EDE-82C5-0FCF2FB1E497}"/>
    <cellStyle name="20% - Accent4 2 2 2 5 4" xfId="10403" xr:uid="{72E1C401-E8D8-40E5-9E16-1CD87DEC6426}"/>
    <cellStyle name="20% - Accent4 2 2 2 6" xfId="2292" xr:uid="{00000000-0005-0000-0000-0000F5010000}"/>
    <cellStyle name="20% - Accent4 2 2 2 6 2" xfId="6599" xr:uid="{00000000-0005-0000-0000-0000F6010000}"/>
    <cellStyle name="20% - Accent4 2 2 2 6 2 2" xfId="15034" xr:uid="{3BAB5C61-F2C7-49D3-8E06-DD4573A8927D}"/>
    <cellStyle name="20% - Accent4 2 2 2 6 3" xfId="10816" xr:uid="{5DDA4245-8632-4E52-9709-6D7A1C35C7DF}"/>
    <cellStyle name="20% - Accent4 2 2 2 7" xfId="4533" xr:uid="{00000000-0005-0000-0000-0000F7010000}"/>
    <cellStyle name="20% - Accent4 2 2 2 7 2" xfId="12968" xr:uid="{01CF9B2E-B7C4-4AD3-9616-7EBF82C869EE}"/>
    <cellStyle name="20% - Accent4 2 2 2 8" xfId="8750" xr:uid="{D3EA8A8C-C675-42B9-B0C8-85C0A7F976D8}"/>
    <cellStyle name="20% - Accent4 2 2 3" xfId="597" xr:uid="{00000000-0005-0000-0000-0000F8010000}"/>
    <cellStyle name="20% - Accent4 2 2 3 2" xfId="2868" xr:uid="{00000000-0005-0000-0000-0000F9010000}"/>
    <cellStyle name="20% - Accent4 2 2 3 2 2" xfId="7091" xr:uid="{00000000-0005-0000-0000-0000FA010000}"/>
    <cellStyle name="20% - Accent4 2 2 3 2 2 2" xfId="15526" xr:uid="{7442FB82-E14C-443C-86DB-B2E3F5F68CAD}"/>
    <cellStyle name="20% - Accent4 2 2 3 2 3" xfId="11308" xr:uid="{47228673-2AC5-45A2-B114-4ECDABC07E0F}"/>
    <cellStyle name="20% - Accent4 2 2 3 3" xfId="4946" xr:uid="{00000000-0005-0000-0000-0000FB010000}"/>
    <cellStyle name="20% - Accent4 2 2 3 3 2" xfId="13381" xr:uid="{8C340C01-A857-446D-B6AC-28AAD5397555}"/>
    <cellStyle name="20% - Accent4 2 2 3 4" xfId="9163" xr:uid="{D39A962B-2CAA-45B3-80B1-2FFA95AF0418}"/>
    <cellStyle name="20% - Accent4 2 2 4" xfId="1050" xr:uid="{00000000-0005-0000-0000-0000FC010000}"/>
    <cellStyle name="20% - Accent4 2 2 4 2" xfId="3281" xr:uid="{00000000-0005-0000-0000-0000FD010000}"/>
    <cellStyle name="20% - Accent4 2 2 4 2 2" xfId="7504" xr:uid="{00000000-0005-0000-0000-0000FE010000}"/>
    <cellStyle name="20% - Accent4 2 2 4 2 2 2" xfId="15939" xr:uid="{3D0F55D5-2877-4AD1-A091-3C8692F93CAB}"/>
    <cellStyle name="20% - Accent4 2 2 4 2 3" xfId="11721" xr:uid="{508907FC-91BC-496D-843C-3641C5D50D04}"/>
    <cellStyle name="20% - Accent4 2 2 4 3" xfId="5359" xr:uid="{00000000-0005-0000-0000-0000FF010000}"/>
    <cellStyle name="20% - Accent4 2 2 4 3 2" xfId="13794" xr:uid="{D50D592C-DC51-4F2D-AC97-895906F9304A}"/>
    <cellStyle name="20% - Accent4 2 2 4 4" xfId="9576" xr:uid="{FEF913B6-9F7E-41DB-8D44-4D82767465AA}"/>
    <cellStyle name="20% - Accent4 2 2 5" xfId="1464" xr:uid="{00000000-0005-0000-0000-000000020000}"/>
    <cellStyle name="20% - Accent4 2 2 5 2" xfId="3694" xr:uid="{00000000-0005-0000-0000-000001020000}"/>
    <cellStyle name="20% - Accent4 2 2 5 2 2" xfId="7917" xr:uid="{00000000-0005-0000-0000-000002020000}"/>
    <cellStyle name="20% - Accent4 2 2 5 2 2 2" xfId="16352" xr:uid="{45746EE8-01D0-44C9-A921-6D2397882383}"/>
    <cellStyle name="20% - Accent4 2 2 5 2 3" xfId="12134" xr:uid="{F8127206-4E91-4775-B828-C58AB6C463B4}"/>
    <cellStyle name="20% - Accent4 2 2 5 3" xfId="5772" xr:uid="{00000000-0005-0000-0000-000003020000}"/>
    <cellStyle name="20% - Accent4 2 2 5 3 2" xfId="14207" xr:uid="{D5F746DD-45C7-42E1-9993-5CFAA111034C}"/>
    <cellStyle name="20% - Accent4 2 2 5 4" xfId="9989" xr:uid="{E692A278-04CB-481A-AAAA-C4FE842FE442}"/>
    <cellStyle name="20% - Accent4 2 2 6" xfId="1878" xr:uid="{00000000-0005-0000-0000-000004020000}"/>
    <cellStyle name="20% - Accent4 2 2 6 2" xfId="4107" xr:uid="{00000000-0005-0000-0000-000005020000}"/>
    <cellStyle name="20% - Accent4 2 2 6 2 2" xfId="8330" xr:uid="{00000000-0005-0000-0000-000006020000}"/>
    <cellStyle name="20% - Accent4 2 2 6 2 2 2" xfId="16765" xr:uid="{EB94328D-C1BA-475A-91EF-957AE6B11D21}"/>
    <cellStyle name="20% - Accent4 2 2 6 2 3" xfId="12547" xr:uid="{634F0216-EA03-4F8E-8BB2-48231AFAEDEB}"/>
    <cellStyle name="20% - Accent4 2 2 6 3" xfId="6185" xr:uid="{00000000-0005-0000-0000-000007020000}"/>
    <cellStyle name="20% - Accent4 2 2 6 3 2" xfId="14620" xr:uid="{D8782A9C-F852-46E4-B395-EC2C8EAFBD78}"/>
    <cellStyle name="20% - Accent4 2 2 6 4" xfId="10402" xr:uid="{10DB9BAD-8DE5-42E7-AB8E-F7A9E9D59652}"/>
    <cellStyle name="20% - Accent4 2 2 7" xfId="2291" xr:uid="{00000000-0005-0000-0000-000008020000}"/>
    <cellStyle name="20% - Accent4 2 2 7 2" xfId="6598" xr:uid="{00000000-0005-0000-0000-000009020000}"/>
    <cellStyle name="20% - Accent4 2 2 7 2 2" xfId="15033" xr:uid="{26778F45-545C-4DC7-A248-297C97F2A328}"/>
    <cellStyle name="20% - Accent4 2 2 7 3" xfId="10815" xr:uid="{333B729B-999D-4F56-9CF3-EF2712B490A8}"/>
    <cellStyle name="20% - Accent4 2 2 8" xfId="4532" xr:uid="{00000000-0005-0000-0000-00000A020000}"/>
    <cellStyle name="20% - Accent4 2 2 8 2" xfId="12967" xr:uid="{DF7B5114-2429-46F9-B054-9165683B9B0B}"/>
    <cellStyle name="20% - Accent4 2 2 9" xfId="8749" xr:uid="{733C319B-83FC-41EB-958E-98E632DFFE71}"/>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2 2 2" xfId="15528" xr:uid="{E7B6BBA8-20F4-450F-9692-A6F7FAE4ADFD}"/>
    <cellStyle name="20% - Accent4 2 3 2 2 3" xfId="11310" xr:uid="{8C844DFF-DA40-4C4D-B6B2-284DE8FF234E}"/>
    <cellStyle name="20% - Accent4 2 3 2 3" xfId="4948" xr:uid="{00000000-0005-0000-0000-00000F020000}"/>
    <cellStyle name="20% - Accent4 2 3 2 3 2" xfId="13383" xr:uid="{63B2CAF4-8710-40FB-9C75-A6C6A05437C3}"/>
    <cellStyle name="20% - Accent4 2 3 2 4" xfId="9165" xr:uid="{FF8B95C0-8C83-4E87-ACD2-13A290ACC05C}"/>
    <cellStyle name="20% - Accent4 2 3 3" xfId="1052" xr:uid="{00000000-0005-0000-0000-000010020000}"/>
    <cellStyle name="20% - Accent4 2 3 3 2" xfId="3283" xr:uid="{00000000-0005-0000-0000-000011020000}"/>
    <cellStyle name="20% - Accent4 2 3 3 2 2" xfId="7506" xr:uid="{00000000-0005-0000-0000-000012020000}"/>
    <cellStyle name="20% - Accent4 2 3 3 2 2 2" xfId="15941" xr:uid="{36AC039C-B8D7-4340-A0B0-9AA751D976E5}"/>
    <cellStyle name="20% - Accent4 2 3 3 2 3" xfId="11723" xr:uid="{74875A84-8525-43E9-AFF4-25C07664F3AF}"/>
    <cellStyle name="20% - Accent4 2 3 3 3" xfId="5361" xr:uid="{00000000-0005-0000-0000-000013020000}"/>
    <cellStyle name="20% - Accent4 2 3 3 3 2" xfId="13796" xr:uid="{F39FE286-B6C0-4FAB-A14A-9E377A5831CC}"/>
    <cellStyle name="20% - Accent4 2 3 3 4" xfId="9578" xr:uid="{4402B906-25C4-4F48-ADEF-65200483F6D0}"/>
    <cellStyle name="20% - Accent4 2 3 4" xfId="1466" xr:uid="{00000000-0005-0000-0000-000014020000}"/>
    <cellStyle name="20% - Accent4 2 3 4 2" xfId="3696" xr:uid="{00000000-0005-0000-0000-000015020000}"/>
    <cellStyle name="20% - Accent4 2 3 4 2 2" xfId="7919" xr:uid="{00000000-0005-0000-0000-000016020000}"/>
    <cellStyle name="20% - Accent4 2 3 4 2 2 2" xfId="16354" xr:uid="{54728700-D00E-4099-8A98-3822EAF8E766}"/>
    <cellStyle name="20% - Accent4 2 3 4 2 3" xfId="12136" xr:uid="{37AE8B07-4332-4A32-A400-DEC0150093E1}"/>
    <cellStyle name="20% - Accent4 2 3 4 3" xfId="5774" xr:uid="{00000000-0005-0000-0000-000017020000}"/>
    <cellStyle name="20% - Accent4 2 3 4 3 2" xfId="14209" xr:uid="{3D31E2DC-A465-4CBB-99C5-1BF287A2B432}"/>
    <cellStyle name="20% - Accent4 2 3 4 4" xfId="9991" xr:uid="{7AB44742-6509-4111-BF2C-9838582C25C9}"/>
    <cellStyle name="20% - Accent4 2 3 5" xfId="1880" xr:uid="{00000000-0005-0000-0000-000018020000}"/>
    <cellStyle name="20% - Accent4 2 3 5 2" xfId="4109" xr:uid="{00000000-0005-0000-0000-000019020000}"/>
    <cellStyle name="20% - Accent4 2 3 5 2 2" xfId="8332" xr:uid="{00000000-0005-0000-0000-00001A020000}"/>
    <cellStyle name="20% - Accent4 2 3 5 2 2 2" xfId="16767" xr:uid="{7EA582F4-1854-464B-91FA-3C419B8E1161}"/>
    <cellStyle name="20% - Accent4 2 3 5 2 3" xfId="12549" xr:uid="{5F08CA5A-F03B-4EED-A8EE-41161B2050A0}"/>
    <cellStyle name="20% - Accent4 2 3 5 3" xfId="6187" xr:uid="{00000000-0005-0000-0000-00001B020000}"/>
    <cellStyle name="20% - Accent4 2 3 5 3 2" xfId="14622" xr:uid="{986DDD40-52F7-4F71-AC8D-BE3B6D19BB3E}"/>
    <cellStyle name="20% - Accent4 2 3 5 4" xfId="10404" xr:uid="{C0C2BE92-52BF-4385-8FA0-2E52E8110B0A}"/>
    <cellStyle name="20% - Accent4 2 3 6" xfId="2293" xr:uid="{00000000-0005-0000-0000-00001C020000}"/>
    <cellStyle name="20% - Accent4 2 3 6 2" xfId="6600" xr:uid="{00000000-0005-0000-0000-00001D020000}"/>
    <cellStyle name="20% - Accent4 2 3 6 2 2" xfId="15035" xr:uid="{8AC10F2B-743D-4548-BB3B-69242C1081B0}"/>
    <cellStyle name="20% - Accent4 2 3 6 3" xfId="10817" xr:uid="{0A276791-820E-424A-8CED-00DE4F2AF31E}"/>
    <cellStyle name="20% - Accent4 2 3 7" xfId="4534" xr:uid="{00000000-0005-0000-0000-00001E020000}"/>
    <cellStyle name="20% - Accent4 2 3 7 2" xfId="12969" xr:uid="{893C72A8-2565-4B17-BDB8-7B07856365C4}"/>
    <cellStyle name="20% - Accent4 2 3 8" xfId="8751" xr:uid="{7F586FB8-0423-479D-9554-604B0041C82B}"/>
    <cellStyle name="20% - Accent4 2 4" xfId="596" xr:uid="{00000000-0005-0000-0000-00001F020000}"/>
    <cellStyle name="20% - Accent4 2 4 2" xfId="2867" xr:uid="{00000000-0005-0000-0000-000020020000}"/>
    <cellStyle name="20% - Accent4 2 4 2 2" xfId="7090" xr:uid="{00000000-0005-0000-0000-000021020000}"/>
    <cellStyle name="20% - Accent4 2 4 2 2 2" xfId="15525" xr:uid="{A2F3538C-5D55-41AA-91B6-6A14EE6C81D7}"/>
    <cellStyle name="20% - Accent4 2 4 2 3" xfId="11307" xr:uid="{CAC4113D-9FAC-4F18-BCB1-32BE5A84CE8F}"/>
    <cellStyle name="20% - Accent4 2 4 3" xfId="4945" xr:uid="{00000000-0005-0000-0000-000022020000}"/>
    <cellStyle name="20% - Accent4 2 4 3 2" xfId="13380" xr:uid="{02CB950F-C60E-47E5-87BA-2558540B051F}"/>
    <cellStyle name="20% - Accent4 2 4 4" xfId="9162" xr:uid="{1153E8A6-893F-418A-B489-9085294B13BA}"/>
    <cellStyle name="20% - Accent4 2 5" xfId="1049" xr:uid="{00000000-0005-0000-0000-000023020000}"/>
    <cellStyle name="20% - Accent4 2 5 2" xfId="3280" xr:uid="{00000000-0005-0000-0000-000024020000}"/>
    <cellStyle name="20% - Accent4 2 5 2 2" xfId="7503" xr:uid="{00000000-0005-0000-0000-000025020000}"/>
    <cellStyle name="20% - Accent4 2 5 2 2 2" xfId="15938" xr:uid="{8BAA7438-AB17-48DD-9A78-642841BEB405}"/>
    <cellStyle name="20% - Accent4 2 5 2 3" xfId="11720" xr:uid="{018B9679-CA91-47E6-A985-C6F31B5403D7}"/>
    <cellStyle name="20% - Accent4 2 5 3" xfId="5358" xr:uid="{00000000-0005-0000-0000-000026020000}"/>
    <cellStyle name="20% - Accent4 2 5 3 2" xfId="13793" xr:uid="{AE05DF4A-DA49-4B0F-90FE-ED028D94C427}"/>
    <cellStyle name="20% - Accent4 2 5 4" xfId="9575" xr:uid="{EF203F92-AA24-49F5-B01A-922C63E0BD34}"/>
    <cellStyle name="20% - Accent4 2 6" xfId="1463" xr:uid="{00000000-0005-0000-0000-000027020000}"/>
    <cellStyle name="20% - Accent4 2 6 2" xfId="3693" xr:uid="{00000000-0005-0000-0000-000028020000}"/>
    <cellStyle name="20% - Accent4 2 6 2 2" xfId="7916" xr:uid="{00000000-0005-0000-0000-000029020000}"/>
    <cellStyle name="20% - Accent4 2 6 2 2 2" xfId="16351" xr:uid="{EB19E993-4CDF-4508-81A8-F01260524750}"/>
    <cellStyle name="20% - Accent4 2 6 2 3" xfId="12133" xr:uid="{F20D0E90-AF15-4BE7-9932-97E410CB5988}"/>
    <cellStyle name="20% - Accent4 2 6 3" xfId="5771" xr:uid="{00000000-0005-0000-0000-00002A020000}"/>
    <cellStyle name="20% - Accent4 2 6 3 2" xfId="14206" xr:uid="{269436A9-7DC9-4E0A-8EC8-A13B3CD41683}"/>
    <cellStyle name="20% - Accent4 2 6 4" xfId="9988" xr:uid="{9433BF00-B6CE-4FA8-ABB0-EBB0560477F1}"/>
    <cellStyle name="20% - Accent4 2 7" xfId="1877" xr:uid="{00000000-0005-0000-0000-00002B020000}"/>
    <cellStyle name="20% - Accent4 2 7 2" xfId="4106" xr:uid="{00000000-0005-0000-0000-00002C020000}"/>
    <cellStyle name="20% - Accent4 2 7 2 2" xfId="8329" xr:uid="{00000000-0005-0000-0000-00002D020000}"/>
    <cellStyle name="20% - Accent4 2 7 2 2 2" xfId="16764" xr:uid="{CF382670-164F-4F5D-A09A-1AEC69FDF8AD}"/>
    <cellStyle name="20% - Accent4 2 7 2 3" xfId="12546" xr:uid="{7C8F2DF8-C3AE-4384-BF4C-655F4DD88628}"/>
    <cellStyle name="20% - Accent4 2 7 3" xfId="6184" xr:uid="{00000000-0005-0000-0000-00002E020000}"/>
    <cellStyle name="20% - Accent4 2 7 3 2" xfId="14619" xr:uid="{25F4A701-1BF6-4124-97C5-D3D2A8F00E2E}"/>
    <cellStyle name="20% - Accent4 2 7 4" xfId="10401" xr:uid="{440DFD3F-5E38-472E-A6A2-34F7DB606B53}"/>
    <cellStyle name="20% - Accent4 2 8" xfId="2290" xr:uid="{00000000-0005-0000-0000-00002F020000}"/>
    <cellStyle name="20% - Accent4 2 8 2" xfId="6597" xr:uid="{00000000-0005-0000-0000-000030020000}"/>
    <cellStyle name="20% - Accent4 2 8 2 2" xfId="15032" xr:uid="{ECA68FBE-D4DC-46FB-B8B6-E5EC37929E21}"/>
    <cellStyle name="20% - Accent4 2 8 3" xfId="10814" xr:uid="{8B0A2F54-AB67-49B1-A69C-C7301FAE4C64}"/>
    <cellStyle name="20% - Accent4 2 9" xfId="4531" xr:uid="{00000000-0005-0000-0000-000031020000}"/>
    <cellStyle name="20% - Accent4 2 9 2" xfId="12966" xr:uid="{0502F767-73F8-49D4-A19D-DC18FC48E6F7}"/>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2 2 2" xfId="15530" xr:uid="{E55BE16F-73C9-4609-A648-062CD73C1BB7}"/>
    <cellStyle name="20% - Accent4 3 2 2 2 3" xfId="11312" xr:uid="{DDC9CFF5-97C1-48AC-8D03-13E031065D8D}"/>
    <cellStyle name="20% - Accent4 3 2 2 3" xfId="4950" xr:uid="{00000000-0005-0000-0000-000037020000}"/>
    <cellStyle name="20% - Accent4 3 2 2 3 2" xfId="13385" xr:uid="{878AE730-D7D1-4703-B06C-8F6097B88E0C}"/>
    <cellStyle name="20% - Accent4 3 2 2 4" xfId="9167" xr:uid="{836C86C2-6186-4A4D-9820-7E9BAD75F490}"/>
    <cellStyle name="20% - Accent4 3 2 3" xfId="1054" xr:uid="{00000000-0005-0000-0000-000038020000}"/>
    <cellStyle name="20% - Accent4 3 2 3 2" xfId="3285" xr:uid="{00000000-0005-0000-0000-000039020000}"/>
    <cellStyle name="20% - Accent4 3 2 3 2 2" xfId="7508" xr:uid="{00000000-0005-0000-0000-00003A020000}"/>
    <cellStyle name="20% - Accent4 3 2 3 2 2 2" xfId="15943" xr:uid="{762B9D29-AC31-442F-81E2-0D70AEE3E7C1}"/>
    <cellStyle name="20% - Accent4 3 2 3 2 3" xfId="11725" xr:uid="{4A4B6690-293C-4D63-BE31-BF176464DC25}"/>
    <cellStyle name="20% - Accent4 3 2 3 3" xfId="5363" xr:uid="{00000000-0005-0000-0000-00003B020000}"/>
    <cellStyle name="20% - Accent4 3 2 3 3 2" xfId="13798" xr:uid="{076DD8C3-2233-452F-B3B3-D11DC7D1CB81}"/>
    <cellStyle name="20% - Accent4 3 2 3 4" xfId="9580" xr:uid="{F0EA9D14-4DE8-4164-B585-D3A0EDE25AAF}"/>
    <cellStyle name="20% - Accent4 3 2 4" xfId="1468" xr:uid="{00000000-0005-0000-0000-00003C020000}"/>
    <cellStyle name="20% - Accent4 3 2 4 2" xfId="3698" xr:uid="{00000000-0005-0000-0000-00003D020000}"/>
    <cellStyle name="20% - Accent4 3 2 4 2 2" xfId="7921" xr:uid="{00000000-0005-0000-0000-00003E020000}"/>
    <cellStyle name="20% - Accent4 3 2 4 2 2 2" xfId="16356" xr:uid="{21297788-75AD-4DC6-92B4-D8A9FB1CE3DC}"/>
    <cellStyle name="20% - Accent4 3 2 4 2 3" xfId="12138" xr:uid="{8436D156-0544-470B-91B4-565EE5BE9345}"/>
    <cellStyle name="20% - Accent4 3 2 4 3" xfId="5776" xr:uid="{00000000-0005-0000-0000-00003F020000}"/>
    <cellStyle name="20% - Accent4 3 2 4 3 2" xfId="14211" xr:uid="{C7EB72F1-C8DE-4272-84BD-8998BD969492}"/>
    <cellStyle name="20% - Accent4 3 2 4 4" xfId="9993" xr:uid="{07B26A97-A423-4B7D-8873-0D77D7FBF890}"/>
    <cellStyle name="20% - Accent4 3 2 5" xfId="1882" xr:uid="{00000000-0005-0000-0000-000040020000}"/>
    <cellStyle name="20% - Accent4 3 2 5 2" xfId="4111" xr:uid="{00000000-0005-0000-0000-000041020000}"/>
    <cellStyle name="20% - Accent4 3 2 5 2 2" xfId="8334" xr:uid="{00000000-0005-0000-0000-000042020000}"/>
    <cellStyle name="20% - Accent4 3 2 5 2 2 2" xfId="16769" xr:uid="{B48DE76A-5EBA-42F5-AA31-C7DCED53C21B}"/>
    <cellStyle name="20% - Accent4 3 2 5 2 3" xfId="12551" xr:uid="{78DC35CA-3D54-4D5B-9283-DCF959ECBBA1}"/>
    <cellStyle name="20% - Accent4 3 2 5 3" xfId="6189" xr:uid="{00000000-0005-0000-0000-000043020000}"/>
    <cellStyle name="20% - Accent4 3 2 5 3 2" xfId="14624" xr:uid="{947F0DA1-9AA1-46CC-B7E6-43C4B9956DB1}"/>
    <cellStyle name="20% - Accent4 3 2 5 4" xfId="10406" xr:uid="{2E1327E2-4839-4494-A018-6D86235D7FBD}"/>
    <cellStyle name="20% - Accent4 3 2 6" xfId="2295" xr:uid="{00000000-0005-0000-0000-000044020000}"/>
    <cellStyle name="20% - Accent4 3 2 6 2" xfId="6602" xr:uid="{00000000-0005-0000-0000-000045020000}"/>
    <cellStyle name="20% - Accent4 3 2 6 2 2" xfId="15037" xr:uid="{C91617F6-913D-44BC-ADF2-24069DBE38AF}"/>
    <cellStyle name="20% - Accent4 3 2 6 3" xfId="10819" xr:uid="{CF05823A-A534-45F0-9390-4ED99AE9B13A}"/>
    <cellStyle name="20% - Accent4 3 2 7" xfId="4536" xr:uid="{00000000-0005-0000-0000-000046020000}"/>
    <cellStyle name="20% - Accent4 3 2 7 2" xfId="12971" xr:uid="{5ADF62E0-DDA8-4CA7-A355-BB9CA0962515}"/>
    <cellStyle name="20% - Accent4 3 2 8" xfId="8753" xr:uid="{0847999F-A42E-42A2-810F-236FAEADAB8B}"/>
    <cellStyle name="20% - Accent4 3 3" xfId="600" xr:uid="{00000000-0005-0000-0000-000047020000}"/>
    <cellStyle name="20% - Accent4 3 3 2" xfId="2871" xr:uid="{00000000-0005-0000-0000-000048020000}"/>
    <cellStyle name="20% - Accent4 3 3 2 2" xfId="7094" xr:uid="{00000000-0005-0000-0000-000049020000}"/>
    <cellStyle name="20% - Accent4 3 3 2 2 2" xfId="15529" xr:uid="{473CB2FB-DC54-499F-BEC5-92E7041E05EB}"/>
    <cellStyle name="20% - Accent4 3 3 2 3" xfId="11311" xr:uid="{F6303D45-4341-4338-BEB9-C13BEEC725E1}"/>
    <cellStyle name="20% - Accent4 3 3 3" xfId="4949" xr:uid="{00000000-0005-0000-0000-00004A020000}"/>
    <cellStyle name="20% - Accent4 3 3 3 2" xfId="13384" xr:uid="{10F5E219-ECC6-4B7D-9CDA-563045D0B460}"/>
    <cellStyle name="20% - Accent4 3 3 4" xfId="9166" xr:uid="{9E5787B1-132C-487A-8493-4D0795B02500}"/>
    <cellStyle name="20% - Accent4 3 4" xfId="1053" xr:uid="{00000000-0005-0000-0000-00004B020000}"/>
    <cellStyle name="20% - Accent4 3 4 2" xfId="3284" xr:uid="{00000000-0005-0000-0000-00004C020000}"/>
    <cellStyle name="20% - Accent4 3 4 2 2" xfId="7507" xr:uid="{00000000-0005-0000-0000-00004D020000}"/>
    <cellStyle name="20% - Accent4 3 4 2 2 2" xfId="15942" xr:uid="{591867DA-1F26-42F0-B0C3-6E1ECD47D1AB}"/>
    <cellStyle name="20% - Accent4 3 4 2 3" xfId="11724" xr:uid="{3C2D968B-9170-45F2-91B6-196621ED40CD}"/>
    <cellStyle name="20% - Accent4 3 4 3" xfId="5362" xr:uid="{00000000-0005-0000-0000-00004E020000}"/>
    <cellStyle name="20% - Accent4 3 4 3 2" xfId="13797" xr:uid="{47DC3C47-C675-4156-BD05-9B24380BF624}"/>
    <cellStyle name="20% - Accent4 3 4 4" xfId="9579" xr:uid="{3B415536-9726-41B6-B9DF-77D948DC7CCF}"/>
    <cellStyle name="20% - Accent4 3 5" xfId="1467" xr:uid="{00000000-0005-0000-0000-00004F020000}"/>
    <cellStyle name="20% - Accent4 3 5 2" xfId="3697" xr:uid="{00000000-0005-0000-0000-000050020000}"/>
    <cellStyle name="20% - Accent4 3 5 2 2" xfId="7920" xr:uid="{00000000-0005-0000-0000-000051020000}"/>
    <cellStyle name="20% - Accent4 3 5 2 2 2" xfId="16355" xr:uid="{1F6B5852-10F8-4019-A037-62DFE3FC4BC2}"/>
    <cellStyle name="20% - Accent4 3 5 2 3" xfId="12137" xr:uid="{571204CF-795A-44D9-A02A-499655D78D4B}"/>
    <cellStyle name="20% - Accent4 3 5 3" xfId="5775" xr:uid="{00000000-0005-0000-0000-000052020000}"/>
    <cellStyle name="20% - Accent4 3 5 3 2" xfId="14210" xr:uid="{06BEF958-6EAE-458F-B073-C6F64B5A6EFC}"/>
    <cellStyle name="20% - Accent4 3 5 4" xfId="9992" xr:uid="{483FBEAA-0320-4935-BB55-92FE64C297C4}"/>
    <cellStyle name="20% - Accent4 3 6" xfId="1881" xr:uid="{00000000-0005-0000-0000-000053020000}"/>
    <cellStyle name="20% - Accent4 3 6 2" xfId="4110" xr:uid="{00000000-0005-0000-0000-000054020000}"/>
    <cellStyle name="20% - Accent4 3 6 2 2" xfId="8333" xr:uid="{00000000-0005-0000-0000-000055020000}"/>
    <cellStyle name="20% - Accent4 3 6 2 2 2" xfId="16768" xr:uid="{F3BE9D61-BB23-4EE2-AD76-DE4D4212F79F}"/>
    <cellStyle name="20% - Accent4 3 6 2 3" xfId="12550" xr:uid="{C776DC1A-068D-42A0-889E-6CEFD0701BCF}"/>
    <cellStyle name="20% - Accent4 3 6 3" xfId="6188" xr:uid="{00000000-0005-0000-0000-000056020000}"/>
    <cellStyle name="20% - Accent4 3 6 3 2" xfId="14623" xr:uid="{D97A5849-3A30-4FEB-863E-685E9B19F303}"/>
    <cellStyle name="20% - Accent4 3 6 4" xfId="10405" xr:uid="{A5FDB765-7E45-483F-9062-30E5CE925A81}"/>
    <cellStyle name="20% - Accent4 3 7" xfId="2294" xr:uid="{00000000-0005-0000-0000-000057020000}"/>
    <cellStyle name="20% - Accent4 3 7 2" xfId="6601" xr:uid="{00000000-0005-0000-0000-000058020000}"/>
    <cellStyle name="20% - Accent4 3 7 2 2" xfId="15036" xr:uid="{18A560ED-B13B-41E0-A39B-99145AC21E33}"/>
    <cellStyle name="20% - Accent4 3 7 3" xfId="10818" xr:uid="{E17CC59E-44D2-4DAC-BA16-12797B7BC297}"/>
    <cellStyle name="20% - Accent4 3 8" xfId="4535" xr:uid="{00000000-0005-0000-0000-000059020000}"/>
    <cellStyle name="20% - Accent4 3 8 2" xfId="12970" xr:uid="{5F411B5E-3ADD-4ED5-BE29-4543DAB28790}"/>
    <cellStyle name="20% - Accent4 3 9" xfId="8752" xr:uid="{2F5ACD20-0EED-4AB5-BC36-926E291B28D8}"/>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2 2 2" xfId="15531" xr:uid="{2DD0587D-A7D6-4244-B967-A0AE36FC0161}"/>
    <cellStyle name="20% - Accent4 4 2 2 3" xfId="11313" xr:uid="{EA6BB577-4E29-4EF8-BFB0-46E82131FBC2}"/>
    <cellStyle name="20% - Accent4 4 2 3" xfId="4951" xr:uid="{00000000-0005-0000-0000-00005E020000}"/>
    <cellStyle name="20% - Accent4 4 2 3 2" xfId="13386" xr:uid="{A4C03C4A-D9CC-485D-96EB-074409CABB36}"/>
    <cellStyle name="20% - Accent4 4 2 4" xfId="9168" xr:uid="{F18CB02D-2C83-4FF7-9F44-EA58495967C6}"/>
    <cellStyle name="20% - Accent4 4 3" xfId="1055" xr:uid="{00000000-0005-0000-0000-00005F020000}"/>
    <cellStyle name="20% - Accent4 4 3 2" xfId="3286" xr:uid="{00000000-0005-0000-0000-000060020000}"/>
    <cellStyle name="20% - Accent4 4 3 2 2" xfId="7509" xr:uid="{00000000-0005-0000-0000-000061020000}"/>
    <cellStyle name="20% - Accent4 4 3 2 2 2" xfId="15944" xr:uid="{BDB500BE-C780-4A83-95F3-6AC4B904EE1B}"/>
    <cellStyle name="20% - Accent4 4 3 2 3" xfId="11726" xr:uid="{6B965604-2759-498F-8748-E4903F2039DC}"/>
    <cellStyle name="20% - Accent4 4 3 3" xfId="5364" xr:uid="{00000000-0005-0000-0000-000062020000}"/>
    <cellStyle name="20% - Accent4 4 3 3 2" xfId="13799" xr:uid="{9A6BD000-385C-4D75-8916-4B961E460B2C}"/>
    <cellStyle name="20% - Accent4 4 3 4" xfId="9581" xr:uid="{8A2A157C-FC0B-43F0-BC26-2D60D794E5ED}"/>
    <cellStyle name="20% - Accent4 4 4" xfId="1469" xr:uid="{00000000-0005-0000-0000-000063020000}"/>
    <cellStyle name="20% - Accent4 4 4 2" xfId="3699" xr:uid="{00000000-0005-0000-0000-000064020000}"/>
    <cellStyle name="20% - Accent4 4 4 2 2" xfId="7922" xr:uid="{00000000-0005-0000-0000-000065020000}"/>
    <cellStyle name="20% - Accent4 4 4 2 2 2" xfId="16357" xr:uid="{7A12FAB2-3E18-450D-80B7-76D3470510AA}"/>
    <cellStyle name="20% - Accent4 4 4 2 3" xfId="12139" xr:uid="{C02C9CA2-5708-47E7-8AE3-2F65AC087D18}"/>
    <cellStyle name="20% - Accent4 4 4 3" xfId="5777" xr:uid="{00000000-0005-0000-0000-000066020000}"/>
    <cellStyle name="20% - Accent4 4 4 3 2" xfId="14212" xr:uid="{A9087B92-6C48-445A-B5A2-9CD3DF92CAE6}"/>
    <cellStyle name="20% - Accent4 4 4 4" xfId="9994" xr:uid="{BE03BEBD-1431-48E6-91D9-F32B8C07F723}"/>
    <cellStyle name="20% - Accent4 4 5" xfId="1883" xr:uid="{00000000-0005-0000-0000-000067020000}"/>
    <cellStyle name="20% - Accent4 4 5 2" xfId="4112" xr:uid="{00000000-0005-0000-0000-000068020000}"/>
    <cellStyle name="20% - Accent4 4 5 2 2" xfId="8335" xr:uid="{00000000-0005-0000-0000-000069020000}"/>
    <cellStyle name="20% - Accent4 4 5 2 2 2" xfId="16770" xr:uid="{1F577D75-C0F8-47DB-822F-9B82D30BE888}"/>
    <cellStyle name="20% - Accent4 4 5 2 3" xfId="12552" xr:uid="{37B70C14-1ACD-4A3C-953C-9B273C5A6CB8}"/>
    <cellStyle name="20% - Accent4 4 5 3" xfId="6190" xr:uid="{00000000-0005-0000-0000-00006A020000}"/>
    <cellStyle name="20% - Accent4 4 5 3 2" xfId="14625" xr:uid="{65B5D35A-B61E-42E0-9DDD-11222C179CC1}"/>
    <cellStyle name="20% - Accent4 4 5 4" xfId="10407" xr:uid="{C9A9D05E-1D2E-4240-BF81-96255BE64008}"/>
    <cellStyle name="20% - Accent4 4 6" xfId="2296" xr:uid="{00000000-0005-0000-0000-00006B020000}"/>
    <cellStyle name="20% - Accent4 4 6 2" xfId="6603" xr:uid="{00000000-0005-0000-0000-00006C020000}"/>
    <cellStyle name="20% - Accent4 4 6 2 2" xfId="15038" xr:uid="{6A343997-4367-4941-8140-BD105C8ECCD2}"/>
    <cellStyle name="20% - Accent4 4 6 3" xfId="10820" xr:uid="{F219D845-18D9-4988-A432-712934C02305}"/>
    <cellStyle name="20% - Accent4 4 7" xfId="4537" xr:uid="{00000000-0005-0000-0000-00006D020000}"/>
    <cellStyle name="20% - Accent4 4 7 2" xfId="12972" xr:uid="{D36C2352-A2A6-4A5F-A390-925FED75ABAD}"/>
    <cellStyle name="20% - Accent4 4 8" xfId="8754" xr:uid="{473C3879-A6DD-4A72-9F9C-1055E4BAE280}"/>
    <cellStyle name="20% - Accent4 5" xfId="595" xr:uid="{00000000-0005-0000-0000-00006E020000}"/>
    <cellStyle name="20% - Accent4 5 2" xfId="2866" xr:uid="{00000000-0005-0000-0000-00006F020000}"/>
    <cellStyle name="20% - Accent4 5 2 2" xfId="7089" xr:uid="{00000000-0005-0000-0000-000070020000}"/>
    <cellStyle name="20% - Accent4 5 2 2 2" xfId="15524" xr:uid="{817C90F2-7699-4221-8D73-12D0105E7780}"/>
    <cellStyle name="20% - Accent4 5 2 3" xfId="11306" xr:uid="{A87D35AE-207C-472F-AEBF-0A709A52A561}"/>
    <cellStyle name="20% - Accent4 5 3" xfId="4944" xr:uid="{00000000-0005-0000-0000-000071020000}"/>
    <cellStyle name="20% - Accent4 5 3 2" xfId="13379" xr:uid="{53637595-B5C3-4184-9741-EB4A2AD1F171}"/>
    <cellStyle name="20% - Accent4 5 4" xfId="9161" xr:uid="{A63E9EF8-D7CD-4115-9383-D40D47D3BD42}"/>
    <cellStyle name="20% - Accent4 6" xfId="1048" xr:uid="{00000000-0005-0000-0000-000072020000}"/>
    <cellStyle name="20% - Accent4 6 2" xfId="3279" xr:uid="{00000000-0005-0000-0000-000073020000}"/>
    <cellStyle name="20% - Accent4 6 2 2" xfId="7502" xr:uid="{00000000-0005-0000-0000-000074020000}"/>
    <cellStyle name="20% - Accent4 6 2 2 2" xfId="15937" xr:uid="{E83D7FEE-3D9D-454E-8C7F-BA460D05B761}"/>
    <cellStyle name="20% - Accent4 6 2 3" xfId="11719" xr:uid="{2F8BDDA8-8751-4CB6-B918-46A4F040A118}"/>
    <cellStyle name="20% - Accent4 6 3" xfId="5357" xr:uid="{00000000-0005-0000-0000-000075020000}"/>
    <cellStyle name="20% - Accent4 6 3 2" xfId="13792" xr:uid="{B41DB529-4E9E-454C-9FC0-6461193C5192}"/>
    <cellStyle name="20% - Accent4 6 4" xfId="9574" xr:uid="{CCD0AFCC-16A2-40EF-98AD-AA3223BC7309}"/>
    <cellStyle name="20% - Accent4 7" xfId="1462" xr:uid="{00000000-0005-0000-0000-000076020000}"/>
    <cellStyle name="20% - Accent4 7 2" xfId="3692" xr:uid="{00000000-0005-0000-0000-000077020000}"/>
    <cellStyle name="20% - Accent4 7 2 2" xfId="7915" xr:uid="{00000000-0005-0000-0000-000078020000}"/>
    <cellStyle name="20% - Accent4 7 2 2 2" xfId="16350" xr:uid="{3B3530E6-3D9C-4F14-B7DC-05EEF6C17EFF}"/>
    <cellStyle name="20% - Accent4 7 2 3" xfId="12132" xr:uid="{C9684AB2-8E8A-479A-B49F-823285C5BE87}"/>
    <cellStyle name="20% - Accent4 7 3" xfId="5770" xr:uid="{00000000-0005-0000-0000-000079020000}"/>
    <cellStyle name="20% - Accent4 7 3 2" xfId="14205" xr:uid="{529A9300-5E3D-4335-AA91-A1FC840924CD}"/>
    <cellStyle name="20% - Accent4 7 4" xfId="9987" xr:uid="{F6FAF7A0-FF85-4DBF-999D-4D88B7C6D803}"/>
    <cellStyle name="20% - Accent4 8" xfId="1876" xr:uid="{00000000-0005-0000-0000-00007A020000}"/>
    <cellStyle name="20% - Accent4 8 2" xfId="4105" xr:uid="{00000000-0005-0000-0000-00007B020000}"/>
    <cellStyle name="20% - Accent4 8 2 2" xfId="8328" xr:uid="{00000000-0005-0000-0000-00007C020000}"/>
    <cellStyle name="20% - Accent4 8 2 2 2" xfId="16763" xr:uid="{1383062A-C82F-4CE0-A2A9-B27912906091}"/>
    <cellStyle name="20% - Accent4 8 2 3" xfId="12545" xr:uid="{0B4CFD0F-08C0-453C-A316-604F83E7C1CD}"/>
    <cellStyle name="20% - Accent4 8 3" xfId="6183" xr:uid="{00000000-0005-0000-0000-00007D020000}"/>
    <cellStyle name="20% - Accent4 8 3 2" xfId="14618" xr:uid="{B8E9D8F7-625B-4BE4-BEDA-98A8EA704E6D}"/>
    <cellStyle name="20% - Accent4 8 4" xfId="10400" xr:uid="{2A0C1030-F1F6-4711-B778-58DC5AD73367}"/>
    <cellStyle name="20% - Accent4 9" xfId="2289" xr:uid="{00000000-0005-0000-0000-00007E020000}"/>
    <cellStyle name="20% - Accent4 9 2" xfId="6596" xr:uid="{00000000-0005-0000-0000-00007F020000}"/>
    <cellStyle name="20% - Accent4 9 2 2" xfId="15031" xr:uid="{56068C56-DC12-4DAD-934E-A842CEBFE467}"/>
    <cellStyle name="20% - Accent4 9 3" xfId="10813" xr:uid="{8B49712A-D4A9-4224-BD0B-F125262411C7}"/>
    <cellStyle name="20% - Accent5" xfId="33" builtinId="46" customBuiltin="1"/>
    <cellStyle name="20% - Accent5 10" xfId="4538" xr:uid="{00000000-0005-0000-0000-000081020000}"/>
    <cellStyle name="20% - Accent5 10 2" xfId="12973" xr:uid="{6C04676C-AAE4-4EB0-B8A3-3E5250C36DB8}"/>
    <cellStyle name="20% - Accent5 11" xfId="8755" xr:uid="{D8E11C6E-8D9E-4706-ABF1-132836BE971F}"/>
    <cellStyle name="20% - Accent5 2" xfId="34" xr:uid="{00000000-0005-0000-0000-000082020000}"/>
    <cellStyle name="20% - Accent5 2 10" xfId="8756" xr:uid="{1B3BCD00-5AEF-4D47-B106-4668107A5EF6}"/>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2 2 2" xfId="15535" xr:uid="{491AFDDE-29C8-4EE2-A87D-CE2AE4819444}"/>
    <cellStyle name="20% - Accent5 2 2 2 2 2 3" xfId="11317" xr:uid="{0657AB70-2790-46A4-8B36-6E7AF9E8A536}"/>
    <cellStyle name="20% - Accent5 2 2 2 2 3" xfId="4955" xr:uid="{00000000-0005-0000-0000-000088020000}"/>
    <cellStyle name="20% - Accent5 2 2 2 2 3 2" xfId="13390" xr:uid="{A69D5096-62DC-4574-9564-0CFD2607F833}"/>
    <cellStyle name="20% - Accent5 2 2 2 2 4" xfId="9172" xr:uid="{D0B953E0-C8F9-4630-BCA5-304E90C49472}"/>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2 2 2" xfId="15948" xr:uid="{23CD5864-37C7-4B6B-BA9E-26FB786609D5}"/>
    <cellStyle name="20% - Accent5 2 2 2 3 2 3" xfId="11730" xr:uid="{B9C27A9D-E131-4145-90B4-2BFC48FC31FF}"/>
    <cellStyle name="20% - Accent5 2 2 2 3 3" xfId="5368" xr:uid="{00000000-0005-0000-0000-00008C020000}"/>
    <cellStyle name="20% - Accent5 2 2 2 3 3 2" xfId="13803" xr:uid="{6DF29A31-131F-46F9-BAF3-14FAA7035EB9}"/>
    <cellStyle name="20% - Accent5 2 2 2 3 4" xfId="9585" xr:uid="{8D7DFE11-BA09-4F88-9741-78B58F5827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2 2 2" xfId="16361" xr:uid="{6375BB58-6AAC-491B-A7FC-F3B741492115}"/>
    <cellStyle name="20% - Accent5 2 2 2 4 2 3" xfId="12143" xr:uid="{45AF7623-5D44-4AFE-A03E-7EC5DE4CC1F4}"/>
    <cellStyle name="20% - Accent5 2 2 2 4 3" xfId="5781" xr:uid="{00000000-0005-0000-0000-000090020000}"/>
    <cellStyle name="20% - Accent5 2 2 2 4 3 2" xfId="14216" xr:uid="{6A5E4092-B9C7-4CF7-9687-9842CCEA7362}"/>
    <cellStyle name="20% - Accent5 2 2 2 4 4" xfId="9998" xr:uid="{6BF816D2-CBE6-41FF-91F3-33D302175B6A}"/>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2 2 2" xfId="16774" xr:uid="{E2695B1B-D487-4D55-92EE-BD4466C2E6A5}"/>
    <cellStyle name="20% - Accent5 2 2 2 5 2 3" xfId="12556" xr:uid="{55E222C4-F11C-4615-8BE9-D277F6185F91}"/>
    <cellStyle name="20% - Accent5 2 2 2 5 3" xfId="6194" xr:uid="{00000000-0005-0000-0000-000094020000}"/>
    <cellStyle name="20% - Accent5 2 2 2 5 3 2" xfId="14629" xr:uid="{F1921B8C-D907-4ABF-90FB-CFCC113DAA1F}"/>
    <cellStyle name="20% - Accent5 2 2 2 5 4" xfId="10411" xr:uid="{72D22B0A-107F-4FB4-8F88-CFE89089ADA3}"/>
    <cellStyle name="20% - Accent5 2 2 2 6" xfId="2300" xr:uid="{00000000-0005-0000-0000-000095020000}"/>
    <cellStyle name="20% - Accent5 2 2 2 6 2" xfId="6607" xr:uid="{00000000-0005-0000-0000-000096020000}"/>
    <cellStyle name="20% - Accent5 2 2 2 6 2 2" xfId="15042" xr:uid="{11B67465-88C7-4539-896D-5CB8596886B8}"/>
    <cellStyle name="20% - Accent5 2 2 2 6 3" xfId="10824" xr:uid="{ED322BE3-9812-4DC3-B4E1-53931F47E3B7}"/>
    <cellStyle name="20% - Accent5 2 2 2 7" xfId="4541" xr:uid="{00000000-0005-0000-0000-000097020000}"/>
    <cellStyle name="20% - Accent5 2 2 2 7 2" xfId="12976" xr:uid="{C749CD1A-84F9-4DC8-8021-6BEA774B2B15}"/>
    <cellStyle name="20% - Accent5 2 2 2 8" xfId="8758" xr:uid="{79A7C2A4-9CA3-416E-B0D3-5B9AD9187A06}"/>
    <cellStyle name="20% - Accent5 2 2 3" xfId="605" xr:uid="{00000000-0005-0000-0000-000098020000}"/>
    <cellStyle name="20% - Accent5 2 2 3 2" xfId="2876" xr:uid="{00000000-0005-0000-0000-000099020000}"/>
    <cellStyle name="20% - Accent5 2 2 3 2 2" xfId="7099" xr:uid="{00000000-0005-0000-0000-00009A020000}"/>
    <cellStyle name="20% - Accent5 2 2 3 2 2 2" xfId="15534" xr:uid="{0D4D3A98-BDE7-4DEC-885E-6618B7202D6B}"/>
    <cellStyle name="20% - Accent5 2 2 3 2 3" xfId="11316" xr:uid="{3607314C-8EC1-4E8A-94B9-A2AC11F44A53}"/>
    <cellStyle name="20% - Accent5 2 2 3 3" xfId="4954" xr:uid="{00000000-0005-0000-0000-00009B020000}"/>
    <cellStyle name="20% - Accent5 2 2 3 3 2" xfId="13389" xr:uid="{A20DD64A-017D-40AA-8B2F-380AD5A6E07E}"/>
    <cellStyle name="20% - Accent5 2 2 3 4" xfId="9171" xr:uid="{FFC199A4-70D7-4CD9-A09F-EFDBF67F1817}"/>
    <cellStyle name="20% - Accent5 2 2 4" xfId="1058" xr:uid="{00000000-0005-0000-0000-00009C020000}"/>
    <cellStyle name="20% - Accent5 2 2 4 2" xfId="3289" xr:uid="{00000000-0005-0000-0000-00009D020000}"/>
    <cellStyle name="20% - Accent5 2 2 4 2 2" xfId="7512" xr:uid="{00000000-0005-0000-0000-00009E020000}"/>
    <cellStyle name="20% - Accent5 2 2 4 2 2 2" xfId="15947" xr:uid="{174DF12A-C148-406C-B0D1-22906BCCC92A}"/>
    <cellStyle name="20% - Accent5 2 2 4 2 3" xfId="11729" xr:uid="{849F53F3-D390-4A94-9B0B-AF7B08BEAE85}"/>
    <cellStyle name="20% - Accent5 2 2 4 3" xfId="5367" xr:uid="{00000000-0005-0000-0000-00009F020000}"/>
    <cellStyle name="20% - Accent5 2 2 4 3 2" xfId="13802" xr:uid="{83BC3290-1ED0-4459-9B80-F3256BBF5712}"/>
    <cellStyle name="20% - Accent5 2 2 4 4" xfId="9584" xr:uid="{B2E62A97-2CE9-4094-8F0E-F132BF15EC98}"/>
    <cellStyle name="20% - Accent5 2 2 5" xfId="1472" xr:uid="{00000000-0005-0000-0000-0000A0020000}"/>
    <cellStyle name="20% - Accent5 2 2 5 2" xfId="3702" xr:uid="{00000000-0005-0000-0000-0000A1020000}"/>
    <cellStyle name="20% - Accent5 2 2 5 2 2" xfId="7925" xr:uid="{00000000-0005-0000-0000-0000A2020000}"/>
    <cellStyle name="20% - Accent5 2 2 5 2 2 2" xfId="16360" xr:uid="{C26AE946-E6AB-43D9-8B43-27997F9E43F3}"/>
    <cellStyle name="20% - Accent5 2 2 5 2 3" xfId="12142" xr:uid="{57D4B021-C107-48B5-A89C-637E08ABBF84}"/>
    <cellStyle name="20% - Accent5 2 2 5 3" xfId="5780" xr:uid="{00000000-0005-0000-0000-0000A3020000}"/>
    <cellStyle name="20% - Accent5 2 2 5 3 2" xfId="14215" xr:uid="{A2C0BA60-09C3-43E0-957F-C7DBBF62EAA9}"/>
    <cellStyle name="20% - Accent5 2 2 5 4" xfId="9997" xr:uid="{336C7198-62FB-4F18-8205-EAA7E72E7F39}"/>
    <cellStyle name="20% - Accent5 2 2 6" xfId="1886" xr:uid="{00000000-0005-0000-0000-0000A4020000}"/>
    <cellStyle name="20% - Accent5 2 2 6 2" xfId="4115" xr:uid="{00000000-0005-0000-0000-0000A5020000}"/>
    <cellStyle name="20% - Accent5 2 2 6 2 2" xfId="8338" xr:uid="{00000000-0005-0000-0000-0000A6020000}"/>
    <cellStyle name="20% - Accent5 2 2 6 2 2 2" xfId="16773" xr:uid="{0F5BF86F-D58C-4DD5-89E3-0D76EF889C43}"/>
    <cellStyle name="20% - Accent5 2 2 6 2 3" xfId="12555" xr:uid="{8E84629A-3749-4D70-9C1A-2B18A114FFEA}"/>
    <cellStyle name="20% - Accent5 2 2 6 3" xfId="6193" xr:uid="{00000000-0005-0000-0000-0000A7020000}"/>
    <cellStyle name="20% - Accent5 2 2 6 3 2" xfId="14628" xr:uid="{09E954F5-24ED-4020-A404-FBAA3D1D21F4}"/>
    <cellStyle name="20% - Accent5 2 2 6 4" xfId="10410" xr:uid="{4CEE1456-997F-41FA-8A77-7EC96623DF7E}"/>
    <cellStyle name="20% - Accent5 2 2 7" xfId="2299" xr:uid="{00000000-0005-0000-0000-0000A8020000}"/>
    <cellStyle name="20% - Accent5 2 2 7 2" xfId="6606" xr:uid="{00000000-0005-0000-0000-0000A9020000}"/>
    <cellStyle name="20% - Accent5 2 2 7 2 2" xfId="15041" xr:uid="{1A25577D-5136-47C1-8B29-CBD7C4E86BD7}"/>
    <cellStyle name="20% - Accent5 2 2 7 3" xfId="10823" xr:uid="{2FB1688E-5951-4938-8E79-6325318DC51F}"/>
    <cellStyle name="20% - Accent5 2 2 8" xfId="4540" xr:uid="{00000000-0005-0000-0000-0000AA020000}"/>
    <cellStyle name="20% - Accent5 2 2 8 2" xfId="12975" xr:uid="{C9EF54C1-7DFB-443F-88FA-881E725466F9}"/>
    <cellStyle name="20% - Accent5 2 2 9" xfId="8757" xr:uid="{570B095F-9B01-44F1-84B2-F81C4BDE5827}"/>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2 2 2" xfId="15536" xr:uid="{B0C56A45-B366-4AC8-B10A-AA8B4529462F}"/>
    <cellStyle name="20% - Accent5 2 3 2 2 3" xfId="11318" xr:uid="{E23FAF0C-4D3F-4B86-A35F-F37B6F33AC54}"/>
    <cellStyle name="20% - Accent5 2 3 2 3" xfId="4956" xr:uid="{00000000-0005-0000-0000-0000AF020000}"/>
    <cellStyle name="20% - Accent5 2 3 2 3 2" xfId="13391" xr:uid="{F90CB382-74C8-4070-93E2-66C6309EAED8}"/>
    <cellStyle name="20% - Accent5 2 3 2 4" xfId="9173" xr:uid="{BAD2526B-422F-4009-B7EB-0C8BF5F9951D}"/>
    <cellStyle name="20% - Accent5 2 3 3" xfId="1060" xr:uid="{00000000-0005-0000-0000-0000B0020000}"/>
    <cellStyle name="20% - Accent5 2 3 3 2" xfId="3291" xr:uid="{00000000-0005-0000-0000-0000B1020000}"/>
    <cellStyle name="20% - Accent5 2 3 3 2 2" xfId="7514" xr:uid="{00000000-0005-0000-0000-0000B2020000}"/>
    <cellStyle name="20% - Accent5 2 3 3 2 2 2" xfId="15949" xr:uid="{5AF56B28-4414-49C4-85CE-20C5132C15F1}"/>
    <cellStyle name="20% - Accent5 2 3 3 2 3" xfId="11731" xr:uid="{8281B046-F1EC-4448-A560-58A91E22D625}"/>
    <cellStyle name="20% - Accent5 2 3 3 3" xfId="5369" xr:uid="{00000000-0005-0000-0000-0000B3020000}"/>
    <cellStyle name="20% - Accent5 2 3 3 3 2" xfId="13804" xr:uid="{B530C3BD-A2E9-4850-8333-4039A4309D34}"/>
    <cellStyle name="20% - Accent5 2 3 3 4" xfId="9586" xr:uid="{D6C8686E-B610-4412-8326-6C17A8F1113C}"/>
    <cellStyle name="20% - Accent5 2 3 4" xfId="1474" xr:uid="{00000000-0005-0000-0000-0000B4020000}"/>
    <cellStyle name="20% - Accent5 2 3 4 2" xfId="3704" xr:uid="{00000000-0005-0000-0000-0000B5020000}"/>
    <cellStyle name="20% - Accent5 2 3 4 2 2" xfId="7927" xr:uid="{00000000-0005-0000-0000-0000B6020000}"/>
    <cellStyle name="20% - Accent5 2 3 4 2 2 2" xfId="16362" xr:uid="{BB70C9B9-384C-4CB8-A8BC-AEDDFA5C0CDE}"/>
    <cellStyle name="20% - Accent5 2 3 4 2 3" xfId="12144" xr:uid="{BD85E4AC-E7B0-4D83-88C5-8855AC317D97}"/>
    <cellStyle name="20% - Accent5 2 3 4 3" xfId="5782" xr:uid="{00000000-0005-0000-0000-0000B7020000}"/>
    <cellStyle name="20% - Accent5 2 3 4 3 2" xfId="14217" xr:uid="{5C94AE28-6E0B-49ED-AACE-CE0C2ADFF30A}"/>
    <cellStyle name="20% - Accent5 2 3 4 4" xfId="9999" xr:uid="{E26FAB1E-D1BA-437D-9786-4F63F461DC03}"/>
    <cellStyle name="20% - Accent5 2 3 5" xfId="1888" xr:uid="{00000000-0005-0000-0000-0000B8020000}"/>
    <cellStyle name="20% - Accent5 2 3 5 2" xfId="4117" xr:uid="{00000000-0005-0000-0000-0000B9020000}"/>
    <cellStyle name="20% - Accent5 2 3 5 2 2" xfId="8340" xr:uid="{00000000-0005-0000-0000-0000BA020000}"/>
    <cellStyle name="20% - Accent5 2 3 5 2 2 2" xfId="16775" xr:uid="{C9F8CF0E-C32F-4C8B-8E0A-EBEB6497C60E}"/>
    <cellStyle name="20% - Accent5 2 3 5 2 3" xfId="12557" xr:uid="{B3B9C56B-32ED-4DE9-B145-400DA3E374D2}"/>
    <cellStyle name="20% - Accent5 2 3 5 3" xfId="6195" xr:uid="{00000000-0005-0000-0000-0000BB020000}"/>
    <cellStyle name="20% - Accent5 2 3 5 3 2" xfId="14630" xr:uid="{A98069C5-41AB-4003-838F-121FACD0ED3C}"/>
    <cellStyle name="20% - Accent5 2 3 5 4" xfId="10412" xr:uid="{5E31D6E9-B3AA-4F9E-B1ED-ECC023E28E35}"/>
    <cellStyle name="20% - Accent5 2 3 6" xfId="2301" xr:uid="{00000000-0005-0000-0000-0000BC020000}"/>
    <cellStyle name="20% - Accent5 2 3 6 2" xfId="6608" xr:uid="{00000000-0005-0000-0000-0000BD020000}"/>
    <cellStyle name="20% - Accent5 2 3 6 2 2" xfId="15043" xr:uid="{DD0713A2-FBC6-474A-BD98-BD00118D17CB}"/>
    <cellStyle name="20% - Accent5 2 3 6 3" xfId="10825" xr:uid="{ABBBC205-5B4B-4E3B-B11D-92FEA64E08D1}"/>
    <cellStyle name="20% - Accent5 2 3 7" xfId="4542" xr:uid="{00000000-0005-0000-0000-0000BE020000}"/>
    <cellStyle name="20% - Accent5 2 3 7 2" xfId="12977" xr:uid="{7D99FB1D-23F8-440E-B137-B074BD712FD2}"/>
    <cellStyle name="20% - Accent5 2 3 8" xfId="8759" xr:uid="{567D9227-DB77-46A7-B9EF-C744A91321E7}"/>
    <cellStyle name="20% - Accent5 2 4" xfId="604" xr:uid="{00000000-0005-0000-0000-0000BF020000}"/>
    <cellStyle name="20% - Accent5 2 4 2" xfId="2875" xr:uid="{00000000-0005-0000-0000-0000C0020000}"/>
    <cellStyle name="20% - Accent5 2 4 2 2" xfId="7098" xr:uid="{00000000-0005-0000-0000-0000C1020000}"/>
    <cellStyle name="20% - Accent5 2 4 2 2 2" xfId="15533" xr:uid="{32A48B8D-C328-4B22-A841-271BF2E2180C}"/>
    <cellStyle name="20% - Accent5 2 4 2 3" xfId="11315" xr:uid="{03F11836-261E-41FA-98D6-F8A06DAA747B}"/>
    <cellStyle name="20% - Accent5 2 4 3" xfId="4953" xr:uid="{00000000-0005-0000-0000-0000C2020000}"/>
    <cellStyle name="20% - Accent5 2 4 3 2" xfId="13388" xr:uid="{8ABC86C6-9F77-4762-9DEF-C27B13CF541A}"/>
    <cellStyle name="20% - Accent5 2 4 4" xfId="9170" xr:uid="{D37F9383-1B81-43FB-BBC7-E80836E40406}"/>
    <cellStyle name="20% - Accent5 2 5" xfId="1057" xr:uid="{00000000-0005-0000-0000-0000C3020000}"/>
    <cellStyle name="20% - Accent5 2 5 2" xfId="3288" xr:uid="{00000000-0005-0000-0000-0000C4020000}"/>
    <cellStyle name="20% - Accent5 2 5 2 2" xfId="7511" xr:uid="{00000000-0005-0000-0000-0000C5020000}"/>
    <cellStyle name="20% - Accent5 2 5 2 2 2" xfId="15946" xr:uid="{5FCACA50-191A-4C84-8F99-0F03F80B981B}"/>
    <cellStyle name="20% - Accent5 2 5 2 3" xfId="11728" xr:uid="{D41EC564-AD81-48A9-9331-CAAF265A4EBE}"/>
    <cellStyle name="20% - Accent5 2 5 3" xfId="5366" xr:uid="{00000000-0005-0000-0000-0000C6020000}"/>
    <cellStyle name="20% - Accent5 2 5 3 2" xfId="13801" xr:uid="{E7EB2B47-055D-461B-B75A-57137473E641}"/>
    <cellStyle name="20% - Accent5 2 5 4" xfId="9583" xr:uid="{454E663E-9D6C-49A8-AD83-CB6C8A3235F1}"/>
    <cellStyle name="20% - Accent5 2 6" xfId="1471" xr:uid="{00000000-0005-0000-0000-0000C7020000}"/>
    <cellStyle name="20% - Accent5 2 6 2" xfId="3701" xr:uid="{00000000-0005-0000-0000-0000C8020000}"/>
    <cellStyle name="20% - Accent5 2 6 2 2" xfId="7924" xr:uid="{00000000-0005-0000-0000-0000C9020000}"/>
    <cellStyle name="20% - Accent5 2 6 2 2 2" xfId="16359" xr:uid="{4B3616A3-F915-4610-B87B-029ED3775DC5}"/>
    <cellStyle name="20% - Accent5 2 6 2 3" xfId="12141" xr:uid="{D2844615-F755-4320-828F-4FDA7FFCCE48}"/>
    <cellStyle name="20% - Accent5 2 6 3" xfId="5779" xr:uid="{00000000-0005-0000-0000-0000CA020000}"/>
    <cellStyle name="20% - Accent5 2 6 3 2" xfId="14214" xr:uid="{75639C2A-AB98-4912-BFC3-1A57D8D40DD9}"/>
    <cellStyle name="20% - Accent5 2 6 4" xfId="9996" xr:uid="{0AEB1DAB-B846-4533-A2A4-CA933A1B7F9C}"/>
    <cellStyle name="20% - Accent5 2 7" xfId="1885" xr:uid="{00000000-0005-0000-0000-0000CB020000}"/>
    <cellStyle name="20% - Accent5 2 7 2" xfId="4114" xr:uid="{00000000-0005-0000-0000-0000CC020000}"/>
    <cellStyle name="20% - Accent5 2 7 2 2" xfId="8337" xr:uid="{00000000-0005-0000-0000-0000CD020000}"/>
    <cellStyle name="20% - Accent5 2 7 2 2 2" xfId="16772" xr:uid="{C1EC769E-BA99-4037-8BD2-F4436F8A4C08}"/>
    <cellStyle name="20% - Accent5 2 7 2 3" xfId="12554" xr:uid="{9CBA4856-25BD-46AA-9CB8-EEC095493BCE}"/>
    <cellStyle name="20% - Accent5 2 7 3" xfId="6192" xr:uid="{00000000-0005-0000-0000-0000CE020000}"/>
    <cellStyle name="20% - Accent5 2 7 3 2" xfId="14627" xr:uid="{49CBE034-95FB-4AC9-962B-81F8DB4BB097}"/>
    <cellStyle name="20% - Accent5 2 7 4" xfId="10409" xr:uid="{DC28A0B9-4CA4-444E-A9DB-2190499576DC}"/>
    <cellStyle name="20% - Accent5 2 8" xfId="2298" xr:uid="{00000000-0005-0000-0000-0000CF020000}"/>
    <cellStyle name="20% - Accent5 2 8 2" xfId="6605" xr:uid="{00000000-0005-0000-0000-0000D0020000}"/>
    <cellStyle name="20% - Accent5 2 8 2 2" xfId="15040" xr:uid="{7BC0A410-7665-4E34-B880-15C3DF179C25}"/>
    <cellStyle name="20% - Accent5 2 8 3" xfId="10822" xr:uid="{ACD68A2A-90C5-43CD-B04B-5D494C71188E}"/>
    <cellStyle name="20% - Accent5 2 9" xfId="4539" xr:uid="{00000000-0005-0000-0000-0000D1020000}"/>
    <cellStyle name="20% - Accent5 2 9 2" xfId="12974" xr:uid="{C4D57AF4-4C5D-497A-AE60-380F54A352CF}"/>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2 2 2" xfId="15538" xr:uid="{ED373593-07F5-413F-989F-26D11FFC39F0}"/>
    <cellStyle name="20% - Accent5 3 2 2 2 3" xfId="11320" xr:uid="{756E1F9B-3FBD-472E-9AA0-9C2DF9A9D126}"/>
    <cellStyle name="20% - Accent5 3 2 2 3" xfId="4958" xr:uid="{00000000-0005-0000-0000-0000D7020000}"/>
    <cellStyle name="20% - Accent5 3 2 2 3 2" xfId="13393" xr:uid="{274D48DF-9176-413B-B93E-2F004940C141}"/>
    <cellStyle name="20% - Accent5 3 2 2 4" xfId="9175" xr:uid="{E3ABF53B-BBD5-4790-95D9-A5FBF67C28EA}"/>
    <cellStyle name="20% - Accent5 3 2 3" xfId="1062" xr:uid="{00000000-0005-0000-0000-0000D8020000}"/>
    <cellStyle name="20% - Accent5 3 2 3 2" xfId="3293" xr:uid="{00000000-0005-0000-0000-0000D9020000}"/>
    <cellStyle name="20% - Accent5 3 2 3 2 2" xfId="7516" xr:uid="{00000000-0005-0000-0000-0000DA020000}"/>
    <cellStyle name="20% - Accent5 3 2 3 2 2 2" xfId="15951" xr:uid="{DFF40E79-EB61-427F-B9A3-B89EF619CC18}"/>
    <cellStyle name="20% - Accent5 3 2 3 2 3" xfId="11733" xr:uid="{7DCA5FA9-F010-41EA-8754-9856141645A7}"/>
    <cellStyle name="20% - Accent5 3 2 3 3" xfId="5371" xr:uid="{00000000-0005-0000-0000-0000DB020000}"/>
    <cellStyle name="20% - Accent5 3 2 3 3 2" xfId="13806" xr:uid="{4D03B518-25C5-4FFD-A29C-40C0361BE3F3}"/>
    <cellStyle name="20% - Accent5 3 2 3 4" xfId="9588" xr:uid="{73E8867C-C24E-47B4-BA1F-819DC9CA6A5C}"/>
    <cellStyle name="20% - Accent5 3 2 4" xfId="1476" xr:uid="{00000000-0005-0000-0000-0000DC020000}"/>
    <cellStyle name="20% - Accent5 3 2 4 2" xfId="3706" xr:uid="{00000000-0005-0000-0000-0000DD020000}"/>
    <cellStyle name="20% - Accent5 3 2 4 2 2" xfId="7929" xr:uid="{00000000-0005-0000-0000-0000DE020000}"/>
    <cellStyle name="20% - Accent5 3 2 4 2 2 2" xfId="16364" xr:uid="{BE88D79C-F3F7-4B50-85A9-56705B57D40E}"/>
    <cellStyle name="20% - Accent5 3 2 4 2 3" xfId="12146" xr:uid="{A1FFC35C-08A5-4AF3-BBF4-29A8EDBBC27F}"/>
    <cellStyle name="20% - Accent5 3 2 4 3" xfId="5784" xr:uid="{00000000-0005-0000-0000-0000DF020000}"/>
    <cellStyle name="20% - Accent5 3 2 4 3 2" xfId="14219" xr:uid="{C0BBE85C-63D4-46CC-B704-579E0639720B}"/>
    <cellStyle name="20% - Accent5 3 2 4 4" xfId="10001" xr:uid="{F16797C0-9DFE-4082-9F6F-D4DFB2555067}"/>
    <cellStyle name="20% - Accent5 3 2 5" xfId="1890" xr:uid="{00000000-0005-0000-0000-0000E0020000}"/>
    <cellStyle name="20% - Accent5 3 2 5 2" xfId="4119" xr:uid="{00000000-0005-0000-0000-0000E1020000}"/>
    <cellStyle name="20% - Accent5 3 2 5 2 2" xfId="8342" xr:uid="{00000000-0005-0000-0000-0000E2020000}"/>
    <cellStyle name="20% - Accent5 3 2 5 2 2 2" xfId="16777" xr:uid="{7E6AE7E1-D310-4CD0-9888-27A2A1A49DFB}"/>
    <cellStyle name="20% - Accent5 3 2 5 2 3" xfId="12559" xr:uid="{AAF14E05-6AB7-4ED1-AF63-D492406A1081}"/>
    <cellStyle name="20% - Accent5 3 2 5 3" xfId="6197" xr:uid="{00000000-0005-0000-0000-0000E3020000}"/>
    <cellStyle name="20% - Accent5 3 2 5 3 2" xfId="14632" xr:uid="{B741EF96-CE33-45F1-8EC8-C32A75C21B79}"/>
    <cellStyle name="20% - Accent5 3 2 5 4" xfId="10414" xr:uid="{C6308784-5023-41EF-8752-24CAB654C58F}"/>
    <cellStyle name="20% - Accent5 3 2 6" xfId="2303" xr:uid="{00000000-0005-0000-0000-0000E4020000}"/>
    <cellStyle name="20% - Accent5 3 2 6 2" xfId="6610" xr:uid="{00000000-0005-0000-0000-0000E5020000}"/>
    <cellStyle name="20% - Accent5 3 2 6 2 2" xfId="15045" xr:uid="{4378CC5A-C8C6-4FA0-BA41-D316E117C1E8}"/>
    <cellStyle name="20% - Accent5 3 2 6 3" xfId="10827" xr:uid="{0D5EA024-AE5E-4E8C-AF92-CF37D50A3705}"/>
    <cellStyle name="20% - Accent5 3 2 7" xfId="4544" xr:uid="{00000000-0005-0000-0000-0000E6020000}"/>
    <cellStyle name="20% - Accent5 3 2 7 2" xfId="12979" xr:uid="{A44C2157-CBD0-4C50-91E8-5842579F2272}"/>
    <cellStyle name="20% - Accent5 3 2 8" xfId="8761" xr:uid="{270F2BD9-1B37-4C82-A5A9-711EC64C0A6F}"/>
    <cellStyle name="20% - Accent5 3 3" xfId="608" xr:uid="{00000000-0005-0000-0000-0000E7020000}"/>
    <cellStyle name="20% - Accent5 3 3 2" xfId="2879" xr:uid="{00000000-0005-0000-0000-0000E8020000}"/>
    <cellStyle name="20% - Accent5 3 3 2 2" xfId="7102" xr:uid="{00000000-0005-0000-0000-0000E9020000}"/>
    <cellStyle name="20% - Accent5 3 3 2 2 2" xfId="15537" xr:uid="{8AFBBC03-BF54-46C1-B74B-1BBCA8F55C6E}"/>
    <cellStyle name="20% - Accent5 3 3 2 3" xfId="11319" xr:uid="{70DAA180-E161-4DD9-B88B-A9F883213542}"/>
    <cellStyle name="20% - Accent5 3 3 3" xfId="4957" xr:uid="{00000000-0005-0000-0000-0000EA020000}"/>
    <cellStyle name="20% - Accent5 3 3 3 2" xfId="13392" xr:uid="{F16BA2E8-B33B-4FD0-BD8A-266B35D895AE}"/>
    <cellStyle name="20% - Accent5 3 3 4" xfId="9174" xr:uid="{5B72C220-0D9D-406B-95B2-6FF86A79286E}"/>
    <cellStyle name="20% - Accent5 3 4" xfId="1061" xr:uid="{00000000-0005-0000-0000-0000EB020000}"/>
    <cellStyle name="20% - Accent5 3 4 2" xfId="3292" xr:uid="{00000000-0005-0000-0000-0000EC020000}"/>
    <cellStyle name="20% - Accent5 3 4 2 2" xfId="7515" xr:uid="{00000000-0005-0000-0000-0000ED020000}"/>
    <cellStyle name="20% - Accent5 3 4 2 2 2" xfId="15950" xr:uid="{27FA260E-6A03-48B9-96DB-1F6EED5015AC}"/>
    <cellStyle name="20% - Accent5 3 4 2 3" xfId="11732" xr:uid="{3FA750C5-85B5-411F-BFC6-AFF38FDF7323}"/>
    <cellStyle name="20% - Accent5 3 4 3" xfId="5370" xr:uid="{00000000-0005-0000-0000-0000EE020000}"/>
    <cellStyle name="20% - Accent5 3 4 3 2" xfId="13805" xr:uid="{D8A24878-DDF3-44DD-89FE-B1596871C1A8}"/>
    <cellStyle name="20% - Accent5 3 4 4" xfId="9587" xr:uid="{C0A3E312-389D-4E5D-BA8E-2EC9B3E5B4F7}"/>
    <cellStyle name="20% - Accent5 3 5" xfId="1475" xr:uid="{00000000-0005-0000-0000-0000EF020000}"/>
    <cellStyle name="20% - Accent5 3 5 2" xfId="3705" xr:uid="{00000000-0005-0000-0000-0000F0020000}"/>
    <cellStyle name="20% - Accent5 3 5 2 2" xfId="7928" xr:uid="{00000000-0005-0000-0000-0000F1020000}"/>
    <cellStyle name="20% - Accent5 3 5 2 2 2" xfId="16363" xr:uid="{202454BB-F4C7-4BCA-BB17-C298E7AA0EB0}"/>
    <cellStyle name="20% - Accent5 3 5 2 3" xfId="12145" xr:uid="{A2C9B18D-6433-4AA9-BAC5-DD8C0E4C4CF3}"/>
    <cellStyle name="20% - Accent5 3 5 3" xfId="5783" xr:uid="{00000000-0005-0000-0000-0000F2020000}"/>
    <cellStyle name="20% - Accent5 3 5 3 2" xfId="14218" xr:uid="{F5EE170A-F806-4FBF-9E37-2F9E794E5986}"/>
    <cellStyle name="20% - Accent5 3 5 4" xfId="10000" xr:uid="{A62D1C0D-31F1-4F11-B011-054C4FBBBBA2}"/>
    <cellStyle name="20% - Accent5 3 6" xfId="1889" xr:uid="{00000000-0005-0000-0000-0000F3020000}"/>
    <cellStyle name="20% - Accent5 3 6 2" xfId="4118" xr:uid="{00000000-0005-0000-0000-0000F4020000}"/>
    <cellStyle name="20% - Accent5 3 6 2 2" xfId="8341" xr:uid="{00000000-0005-0000-0000-0000F5020000}"/>
    <cellStyle name="20% - Accent5 3 6 2 2 2" xfId="16776" xr:uid="{BD76CAB3-5C05-4610-8AE7-1EE9B476161C}"/>
    <cellStyle name="20% - Accent5 3 6 2 3" xfId="12558" xr:uid="{8F643601-8EFC-483D-832D-E4D16176FEB1}"/>
    <cellStyle name="20% - Accent5 3 6 3" xfId="6196" xr:uid="{00000000-0005-0000-0000-0000F6020000}"/>
    <cellStyle name="20% - Accent5 3 6 3 2" xfId="14631" xr:uid="{C77C5346-36A3-41AB-9CD8-3C981B00050E}"/>
    <cellStyle name="20% - Accent5 3 6 4" xfId="10413" xr:uid="{69317A15-0608-43DF-8EEB-693F8AD1A7FB}"/>
    <cellStyle name="20% - Accent5 3 7" xfId="2302" xr:uid="{00000000-0005-0000-0000-0000F7020000}"/>
    <cellStyle name="20% - Accent5 3 7 2" xfId="6609" xr:uid="{00000000-0005-0000-0000-0000F8020000}"/>
    <cellStyle name="20% - Accent5 3 7 2 2" xfId="15044" xr:uid="{C0448BF6-6835-4FDC-BD43-EDFF7C44368F}"/>
    <cellStyle name="20% - Accent5 3 7 3" xfId="10826" xr:uid="{70298BCF-B85E-4AFA-85E4-16294CEEF9EA}"/>
    <cellStyle name="20% - Accent5 3 8" xfId="4543" xr:uid="{00000000-0005-0000-0000-0000F9020000}"/>
    <cellStyle name="20% - Accent5 3 8 2" xfId="12978" xr:uid="{C68B661F-0F3F-4A8E-8A40-9E84B927CCE6}"/>
    <cellStyle name="20% - Accent5 3 9" xfId="8760" xr:uid="{55A6F741-B236-4ECA-AC33-1396439999D7}"/>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2 2 2" xfId="15539" xr:uid="{92B30B20-39B0-46E5-9061-11CC34E3C073}"/>
    <cellStyle name="20% - Accent5 4 2 2 3" xfId="11321" xr:uid="{76432A90-7517-4404-8BA2-AAB3455E7996}"/>
    <cellStyle name="20% - Accent5 4 2 3" xfId="4959" xr:uid="{00000000-0005-0000-0000-0000FE020000}"/>
    <cellStyle name="20% - Accent5 4 2 3 2" xfId="13394" xr:uid="{4C8097E0-F76B-4E53-B8BC-98C3AE7B6B9C}"/>
    <cellStyle name="20% - Accent5 4 2 4" xfId="9176" xr:uid="{4B9E19DE-EEFE-4E79-80CE-BBB54556A7AC}"/>
    <cellStyle name="20% - Accent5 4 3" xfId="1063" xr:uid="{00000000-0005-0000-0000-0000FF020000}"/>
    <cellStyle name="20% - Accent5 4 3 2" xfId="3294" xr:uid="{00000000-0005-0000-0000-000000030000}"/>
    <cellStyle name="20% - Accent5 4 3 2 2" xfId="7517" xr:uid="{00000000-0005-0000-0000-000001030000}"/>
    <cellStyle name="20% - Accent5 4 3 2 2 2" xfId="15952" xr:uid="{65B23F7B-95CC-4525-A64C-F43F761EDABE}"/>
    <cellStyle name="20% - Accent5 4 3 2 3" xfId="11734" xr:uid="{B0674E2D-293E-4073-914E-56687C752288}"/>
    <cellStyle name="20% - Accent5 4 3 3" xfId="5372" xr:uid="{00000000-0005-0000-0000-000002030000}"/>
    <cellStyle name="20% - Accent5 4 3 3 2" xfId="13807" xr:uid="{B5837C75-C753-423A-9DBE-8382F74C2C7F}"/>
    <cellStyle name="20% - Accent5 4 3 4" xfId="9589" xr:uid="{52F90D1F-52A2-495D-B84C-A09CBC6C08B8}"/>
    <cellStyle name="20% - Accent5 4 4" xfId="1477" xr:uid="{00000000-0005-0000-0000-000003030000}"/>
    <cellStyle name="20% - Accent5 4 4 2" xfId="3707" xr:uid="{00000000-0005-0000-0000-000004030000}"/>
    <cellStyle name="20% - Accent5 4 4 2 2" xfId="7930" xr:uid="{00000000-0005-0000-0000-000005030000}"/>
    <cellStyle name="20% - Accent5 4 4 2 2 2" xfId="16365" xr:uid="{8CE08629-42D9-4B05-9FCB-7836EC11711F}"/>
    <cellStyle name="20% - Accent5 4 4 2 3" xfId="12147" xr:uid="{964EC669-700F-4313-B40D-A8D85FB3D693}"/>
    <cellStyle name="20% - Accent5 4 4 3" xfId="5785" xr:uid="{00000000-0005-0000-0000-000006030000}"/>
    <cellStyle name="20% - Accent5 4 4 3 2" xfId="14220" xr:uid="{B6B02E0C-29B9-470E-9CF5-AED7D6E7859B}"/>
    <cellStyle name="20% - Accent5 4 4 4" xfId="10002" xr:uid="{7085571A-4B20-4A52-ABFB-D1CF6D599087}"/>
    <cellStyle name="20% - Accent5 4 5" xfId="1891" xr:uid="{00000000-0005-0000-0000-000007030000}"/>
    <cellStyle name="20% - Accent5 4 5 2" xfId="4120" xr:uid="{00000000-0005-0000-0000-000008030000}"/>
    <cellStyle name="20% - Accent5 4 5 2 2" xfId="8343" xr:uid="{00000000-0005-0000-0000-000009030000}"/>
    <cellStyle name="20% - Accent5 4 5 2 2 2" xfId="16778" xr:uid="{74FEEADF-3EE2-4B05-85F9-B47B21D3AB02}"/>
    <cellStyle name="20% - Accent5 4 5 2 3" xfId="12560" xr:uid="{61E0DBE2-5C47-48DC-BD36-FBB33BE85888}"/>
    <cellStyle name="20% - Accent5 4 5 3" xfId="6198" xr:uid="{00000000-0005-0000-0000-00000A030000}"/>
    <cellStyle name="20% - Accent5 4 5 3 2" xfId="14633" xr:uid="{7DDBD970-B4D5-4C4D-A915-59AE895D1457}"/>
    <cellStyle name="20% - Accent5 4 5 4" xfId="10415" xr:uid="{C93CDF02-1674-4D6B-8A01-558356E5A8E3}"/>
    <cellStyle name="20% - Accent5 4 6" xfId="2304" xr:uid="{00000000-0005-0000-0000-00000B030000}"/>
    <cellStyle name="20% - Accent5 4 6 2" xfId="6611" xr:uid="{00000000-0005-0000-0000-00000C030000}"/>
    <cellStyle name="20% - Accent5 4 6 2 2" xfId="15046" xr:uid="{3249E547-69EA-4ED5-A82D-7E3A4AFB7302}"/>
    <cellStyle name="20% - Accent5 4 6 3" xfId="10828" xr:uid="{A139139C-15E3-4EDE-86D4-81709EC86AD6}"/>
    <cellStyle name="20% - Accent5 4 7" xfId="4545" xr:uid="{00000000-0005-0000-0000-00000D030000}"/>
    <cellStyle name="20% - Accent5 4 7 2" xfId="12980" xr:uid="{8F251518-94B9-455D-BE50-17337C4BF3AE}"/>
    <cellStyle name="20% - Accent5 4 8" xfId="8762" xr:uid="{EB05BABC-D9D4-41B5-AB47-EE194992724B}"/>
    <cellStyle name="20% - Accent5 5" xfId="603" xr:uid="{00000000-0005-0000-0000-00000E030000}"/>
    <cellStyle name="20% - Accent5 5 2" xfId="2874" xr:uid="{00000000-0005-0000-0000-00000F030000}"/>
    <cellStyle name="20% - Accent5 5 2 2" xfId="7097" xr:uid="{00000000-0005-0000-0000-000010030000}"/>
    <cellStyle name="20% - Accent5 5 2 2 2" xfId="15532" xr:uid="{20012C04-18E3-4196-B511-9B4DA8603EE7}"/>
    <cellStyle name="20% - Accent5 5 2 3" xfId="11314" xr:uid="{D16484F2-B394-40C1-A363-0A6C1B2998CD}"/>
    <cellStyle name="20% - Accent5 5 3" xfId="4952" xr:uid="{00000000-0005-0000-0000-000011030000}"/>
    <cellStyle name="20% - Accent5 5 3 2" xfId="13387" xr:uid="{61433483-F1E4-46D1-9B1C-4A6FFE76AEA0}"/>
    <cellStyle name="20% - Accent5 5 4" xfId="9169" xr:uid="{9F8DFDC0-D551-499F-9392-B17D8A82205C}"/>
    <cellStyle name="20% - Accent5 6" xfId="1056" xr:uid="{00000000-0005-0000-0000-000012030000}"/>
    <cellStyle name="20% - Accent5 6 2" xfId="3287" xr:uid="{00000000-0005-0000-0000-000013030000}"/>
    <cellStyle name="20% - Accent5 6 2 2" xfId="7510" xr:uid="{00000000-0005-0000-0000-000014030000}"/>
    <cellStyle name="20% - Accent5 6 2 2 2" xfId="15945" xr:uid="{FA92F640-8193-4904-A93E-057C07157FAA}"/>
    <cellStyle name="20% - Accent5 6 2 3" xfId="11727" xr:uid="{1E48098F-44F2-4C4E-9A4E-44A3A31A6758}"/>
    <cellStyle name="20% - Accent5 6 3" xfId="5365" xr:uid="{00000000-0005-0000-0000-000015030000}"/>
    <cellStyle name="20% - Accent5 6 3 2" xfId="13800" xr:uid="{6C178BD1-2EC1-447D-A287-FCC1245E20BA}"/>
    <cellStyle name="20% - Accent5 6 4" xfId="9582" xr:uid="{40ECF8C0-1F6C-4343-9418-7B9E4280821D}"/>
    <cellStyle name="20% - Accent5 7" xfId="1470" xr:uid="{00000000-0005-0000-0000-000016030000}"/>
    <cellStyle name="20% - Accent5 7 2" xfId="3700" xr:uid="{00000000-0005-0000-0000-000017030000}"/>
    <cellStyle name="20% - Accent5 7 2 2" xfId="7923" xr:uid="{00000000-0005-0000-0000-000018030000}"/>
    <cellStyle name="20% - Accent5 7 2 2 2" xfId="16358" xr:uid="{64F6DD73-6E3F-4735-8CF9-4E6E9C589103}"/>
    <cellStyle name="20% - Accent5 7 2 3" xfId="12140" xr:uid="{DECDD4E5-A426-465E-A844-2967F0F88A2A}"/>
    <cellStyle name="20% - Accent5 7 3" xfId="5778" xr:uid="{00000000-0005-0000-0000-000019030000}"/>
    <cellStyle name="20% - Accent5 7 3 2" xfId="14213" xr:uid="{5DD9AD51-E5B6-4BDA-8999-615DA7F89001}"/>
    <cellStyle name="20% - Accent5 7 4" xfId="9995" xr:uid="{9EC6347D-6B6B-4C9F-8BF4-AA449C9000FB}"/>
    <cellStyle name="20% - Accent5 8" xfId="1884" xr:uid="{00000000-0005-0000-0000-00001A030000}"/>
    <cellStyle name="20% - Accent5 8 2" xfId="4113" xr:uid="{00000000-0005-0000-0000-00001B030000}"/>
    <cellStyle name="20% - Accent5 8 2 2" xfId="8336" xr:uid="{00000000-0005-0000-0000-00001C030000}"/>
    <cellStyle name="20% - Accent5 8 2 2 2" xfId="16771" xr:uid="{ED084119-CA1D-431E-900F-5A6139D0441B}"/>
    <cellStyle name="20% - Accent5 8 2 3" xfId="12553" xr:uid="{0B042EA2-8521-4B89-B563-80CEADAFFBD6}"/>
    <cellStyle name="20% - Accent5 8 3" xfId="6191" xr:uid="{00000000-0005-0000-0000-00001D030000}"/>
    <cellStyle name="20% - Accent5 8 3 2" xfId="14626" xr:uid="{79372CE6-AACF-4846-93C5-995B36A533B1}"/>
    <cellStyle name="20% - Accent5 8 4" xfId="10408" xr:uid="{6045172D-CDDD-4191-B624-3CC7AE52D690}"/>
    <cellStyle name="20% - Accent5 9" xfId="2297" xr:uid="{00000000-0005-0000-0000-00001E030000}"/>
    <cellStyle name="20% - Accent5 9 2" xfId="6604" xr:uid="{00000000-0005-0000-0000-00001F030000}"/>
    <cellStyle name="20% - Accent5 9 2 2" xfId="15039" xr:uid="{784528FC-1FF7-4B3F-8057-F896886BEE6B}"/>
    <cellStyle name="20% - Accent5 9 3" xfId="10821" xr:uid="{C5CB6415-E110-4FB6-9D7E-BE9A3DEF04BE}"/>
    <cellStyle name="20% - Accent6" xfId="41" builtinId="50" customBuiltin="1"/>
    <cellStyle name="20% - Accent6 10" xfId="4546" xr:uid="{00000000-0005-0000-0000-000021030000}"/>
    <cellStyle name="20% - Accent6 10 2" xfId="12981" xr:uid="{4CF2660C-091C-41AC-AAE1-B1A540FE2D18}"/>
    <cellStyle name="20% - Accent6 11" xfId="8763" xr:uid="{E529A392-3E65-48C6-9FD3-93BA54057E6E}"/>
    <cellStyle name="20% - Accent6 2" xfId="42" xr:uid="{00000000-0005-0000-0000-000022030000}"/>
    <cellStyle name="20% - Accent6 2 10" xfId="8764" xr:uid="{AA844F38-F1E5-47B0-8421-A74DEB46F45B}"/>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2 2 2" xfId="15543" xr:uid="{6ECFE2BC-DF9D-4AB1-9EFA-0F611958296F}"/>
    <cellStyle name="20% - Accent6 2 2 2 2 2 3" xfId="11325" xr:uid="{90758217-7134-4E87-A66F-E08DB14D6B05}"/>
    <cellStyle name="20% - Accent6 2 2 2 2 3" xfId="4963" xr:uid="{00000000-0005-0000-0000-000028030000}"/>
    <cellStyle name="20% - Accent6 2 2 2 2 3 2" xfId="13398" xr:uid="{ED43B728-CA59-409A-ACA0-249778FC4056}"/>
    <cellStyle name="20% - Accent6 2 2 2 2 4" xfId="9180" xr:uid="{C4E047FB-E555-42FF-A886-C723A0BFD475}"/>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2 2 2" xfId="15956" xr:uid="{B1A4E655-0AD2-439F-8575-BE4CB6098FDF}"/>
    <cellStyle name="20% - Accent6 2 2 2 3 2 3" xfId="11738" xr:uid="{1DFB1248-171D-417A-97B8-8E074DC8DED7}"/>
    <cellStyle name="20% - Accent6 2 2 2 3 3" xfId="5376" xr:uid="{00000000-0005-0000-0000-00002C030000}"/>
    <cellStyle name="20% - Accent6 2 2 2 3 3 2" xfId="13811" xr:uid="{15A17763-E35B-43D8-ADFB-A143BEF22299}"/>
    <cellStyle name="20% - Accent6 2 2 2 3 4" xfId="9593" xr:uid="{02862AD6-6CB9-4EBC-8573-42C8B94808AC}"/>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2 2 2" xfId="16369" xr:uid="{D1F87101-69CE-4E85-A17F-2572C08DDE30}"/>
    <cellStyle name="20% - Accent6 2 2 2 4 2 3" xfId="12151" xr:uid="{EF17D006-83A7-4F92-A121-B03B017AAAE6}"/>
    <cellStyle name="20% - Accent6 2 2 2 4 3" xfId="5789" xr:uid="{00000000-0005-0000-0000-000030030000}"/>
    <cellStyle name="20% - Accent6 2 2 2 4 3 2" xfId="14224" xr:uid="{54357B2D-DB29-4A17-80F3-2FF096EA6A1A}"/>
    <cellStyle name="20% - Accent6 2 2 2 4 4" xfId="10006" xr:uid="{3205BC75-D5EF-49CB-B1E4-3A022539D2D3}"/>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2 2 2" xfId="16782" xr:uid="{3D1B1B92-9623-488C-9CCA-4F11A9F17185}"/>
    <cellStyle name="20% - Accent6 2 2 2 5 2 3" xfId="12564" xr:uid="{A0809C08-0570-45FA-9F77-41F9379C87CB}"/>
    <cellStyle name="20% - Accent6 2 2 2 5 3" xfId="6202" xr:uid="{00000000-0005-0000-0000-000034030000}"/>
    <cellStyle name="20% - Accent6 2 2 2 5 3 2" xfId="14637" xr:uid="{EF86469E-755A-4D59-81B1-97CDA6A79441}"/>
    <cellStyle name="20% - Accent6 2 2 2 5 4" xfId="10419" xr:uid="{6A9056CB-D148-472E-9E20-DD4F01CAFA00}"/>
    <cellStyle name="20% - Accent6 2 2 2 6" xfId="2308" xr:uid="{00000000-0005-0000-0000-000035030000}"/>
    <cellStyle name="20% - Accent6 2 2 2 6 2" xfId="6615" xr:uid="{00000000-0005-0000-0000-000036030000}"/>
    <cellStyle name="20% - Accent6 2 2 2 6 2 2" xfId="15050" xr:uid="{06E1E3C5-47C0-4A97-9FC8-3B2B63CF5171}"/>
    <cellStyle name="20% - Accent6 2 2 2 6 3" xfId="10832" xr:uid="{A765D9CE-002A-4555-A2FE-2C3B872B7E99}"/>
    <cellStyle name="20% - Accent6 2 2 2 7" xfId="4549" xr:uid="{00000000-0005-0000-0000-000037030000}"/>
    <cellStyle name="20% - Accent6 2 2 2 7 2" xfId="12984" xr:uid="{7D50D42C-F298-4725-B092-0C9A849CAD88}"/>
    <cellStyle name="20% - Accent6 2 2 2 8" xfId="8766" xr:uid="{AD57E231-CD88-43C3-B6FF-DF230A33D942}"/>
    <cellStyle name="20% - Accent6 2 2 3" xfId="613" xr:uid="{00000000-0005-0000-0000-000038030000}"/>
    <cellStyle name="20% - Accent6 2 2 3 2" xfId="2884" xr:uid="{00000000-0005-0000-0000-000039030000}"/>
    <cellStyle name="20% - Accent6 2 2 3 2 2" xfId="7107" xr:uid="{00000000-0005-0000-0000-00003A030000}"/>
    <cellStyle name="20% - Accent6 2 2 3 2 2 2" xfId="15542" xr:uid="{7A9A03F2-9A5E-436D-99CD-4200E50885B0}"/>
    <cellStyle name="20% - Accent6 2 2 3 2 3" xfId="11324" xr:uid="{1560AF77-9341-4886-8F76-783DA7FAA19D}"/>
    <cellStyle name="20% - Accent6 2 2 3 3" xfId="4962" xr:uid="{00000000-0005-0000-0000-00003B030000}"/>
    <cellStyle name="20% - Accent6 2 2 3 3 2" xfId="13397" xr:uid="{FD90F91F-5697-4389-A0AE-788D67C58D1C}"/>
    <cellStyle name="20% - Accent6 2 2 3 4" xfId="9179" xr:uid="{B7FEC131-4844-4A72-812B-422555DE6B7F}"/>
    <cellStyle name="20% - Accent6 2 2 4" xfId="1066" xr:uid="{00000000-0005-0000-0000-00003C030000}"/>
    <cellStyle name="20% - Accent6 2 2 4 2" xfId="3297" xr:uid="{00000000-0005-0000-0000-00003D030000}"/>
    <cellStyle name="20% - Accent6 2 2 4 2 2" xfId="7520" xr:uid="{00000000-0005-0000-0000-00003E030000}"/>
    <cellStyle name="20% - Accent6 2 2 4 2 2 2" xfId="15955" xr:uid="{9005A90A-0487-4DE1-ACF6-0FF0AE0D38A1}"/>
    <cellStyle name="20% - Accent6 2 2 4 2 3" xfId="11737" xr:uid="{FF2C0C73-EC3B-46DC-98F2-F9D2B0AAE534}"/>
    <cellStyle name="20% - Accent6 2 2 4 3" xfId="5375" xr:uid="{00000000-0005-0000-0000-00003F030000}"/>
    <cellStyle name="20% - Accent6 2 2 4 3 2" xfId="13810" xr:uid="{0955438D-A246-4458-8F3C-5912F86D6A8A}"/>
    <cellStyle name="20% - Accent6 2 2 4 4" xfId="9592" xr:uid="{BEBE67A1-E23E-4487-8A21-91E853756095}"/>
    <cellStyle name="20% - Accent6 2 2 5" xfId="1480" xr:uid="{00000000-0005-0000-0000-000040030000}"/>
    <cellStyle name="20% - Accent6 2 2 5 2" xfId="3710" xr:uid="{00000000-0005-0000-0000-000041030000}"/>
    <cellStyle name="20% - Accent6 2 2 5 2 2" xfId="7933" xr:uid="{00000000-0005-0000-0000-000042030000}"/>
    <cellStyle name="20% - Accent6 2 2 5 2 2 2" xfId="16368" xr:uid="{8586E517-D90B-4D06-942F-3E15A433A68A}"/>
    <cellStyle name="20% - Accent6 2 2 5 2 3" xfId="12150" xr:uid="{124A846A-56A9-48FC-9448-221D5B47CA78}"/>
    <cellStyle name="20% - Accent6 2 2 5 3" xfId="5788" xr:uid="{00000000-0005-0000-0000-000043030000}"/>
    <cellStyle name="20% - Accent6 2 2 5 3 2" xfId="14223" xr:uid="{72B3357F-A044-413A-ADEE-20B3F944771A}"/>
    <cellStyle name="20% - Accent6 2 2 5 4" xfId="10005" xr:uid="{E7ED8719-DA65-4B15-91CC-5C15E10E4028}"/>
    <cellStyle name="20% - Accent6 2 2 6" xfId="1894" xr:uid="{00000000-0005-0000-0000-000044030000}"/>
    <cellStyle name="20% - Accent6 2 2 6 2" xfId="4123" xr:uid="{00000000-0005-0000-0000-000045030000}"/>
    <cellStyle name="20% - Accent6 2 2 6 2 2" xfId="8346" xr:uid="{00000000-0005-0000-0000-000046030000}"/>
    <cellStyle name="20% - Accent6 2 2 6 2 2 2" xfId="16781" xr:uid="{06A004A7-1C0C-46AA-AB53-FD69BA5D58F2}"/>
    <cellStyle name="20% - Accent6 2 2 6 2 3" xfId="12563" xr:uid="{122375A0-8867-4F58-92DC-918CAF23C166}"/>
    <cellStyle name="20% - Accent6 2 2 6 3" xfId="6201" xr:uid="{00000000-0005-0000-0000-000047030000}"/>
    <cellStyle name="20% - Accent6 2 2 6 3 2" xfId="14636" xr:uid="{AFFB7202-E218-40B9-80D9-9D5FC9A06986}"/>
    <cellStyle name="20% - Accent6 2 2 6 4" xfId="10418" xr:uid="{1D9CD1AE-A752-4631-BEE5-3382D492BCD4}"/>
    <cellStyle name="20% - Accent6 2 2 7" xfId="2307" xr:uid="{00000000-0005-0000-0000-000048030000}"/>
    <cellStyle name="20% - Accent6 2 2 7 2" xfId="6614" xr:uid="{00000000-0005-0000-0000-000049030000}"/>
    <cellStyle name="20% - Accent6 2 2 7 2 2" xfId="15049" xr:uid="{720440A8-3E1D-4D41-A991-1A8C38C31E4B}"/>
    <cellStyle name="20% - Accent6 2 2 7 3" xfId="10831" xr:uid="{A6412F77-90AE-4F2D-9028-D778E74D7D95}"/>
    <cellStyle name="20% - Accent6 2 2 8" xfId="4548" xr:uid="{00000000-0005-0000-0000-00004A030000}"/>
    <cellStyle name="20% - Accent6 2 2 8 2" xfId="12983" xr:uid="{895E236D-1530-43B4-8910-BB2CF8129FA5}"/>
    <cellStyle name="20% - Accent6 2 2 9" xfId="8765" xr:uid="{61454044-2FA1-41DD-A255-883A5D9D8DF9}"/>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2 2 2" xfId="15544" xr:uid="{F93CF084-4B97-4C0B-8DB5-D5EA9EBE74F4}"/>
    <cellStyle name="20% - Accent6 2 3 2 2 3" xfId="11326" xr:uid="{C8D34013-0857-4482-B46F-5BEA8956F9A3}"/>
    <cellStyle name="20% - Accent6 2 3 2 3" xfId="4964" xr:uid="{00000000-0005-0000-0000-00004F030000}"/>
    <cellStyle name="20% - Accent6 2 3 2 3 2" xfId="13399" xr:uid="{48986B39-44DB-4C59-BAEE-6097178BFBB5}"/>
    <cellStyle name="20% - Accent6 2 3 2 4" xfId="9181" xr:uid="{D83492D2-CF39-4478-8EDD-3310D9B8053B}"/>
    <cellStyle name="20% - Accent6 2 3 3" xfId="1068" xr:uid="{00000000-0005-0000-0000-000050030000}"/>
    <cellStyle name="20% - Accent6 2 3 3 2" xfId="3299" xr:uid="{00000000-0005-0000-0000-000051030000}"/>
    <cellStyle name="20% - Accent6 2 3 3 2 2" xfId="7522" xr:uid="{00000000-0005-0000-0000-000052030000}"/>
    <cellStyle name="20% - Accent6 2 3 3 2 2 2" xfId="15957" xr:uid="{FD7A5522-0870-45DB-8194-15B13A3DAB69}"/>
    <cellStyle name="20% - Accent6 2 3 3 2 3" xfId="11739" xr:uid="{7BD66F11-9165-4BB1-A446-BBE43EE4D56F}"/>
    <cellStyle name="20% - Accent6 2 3 3 3" xfId="5377" xr:uid="{00000000-0005-0000-0000-000053030000}"/>
    <cellStyle name="20% - Accent6 2 3 3 3 2" xfId="13812" xr:uid="{BA07A7D6-E399-4952-844C-A100858C92E0}"/>
    <cellStyle name="20% - Accent6 2 3 3 4" xfId="9594" xr:uid="{99F5A67E-3CC0-48C4-A91B-4A158513A2D3}"/>
    <cellStyle name="20% - Accent6 2 3 4" xfId="1482" xr:uid="{00000000-0005-0000-0000-000054030000}"/>
    <cellStyle name="20% - Accent6 2 3 4 2" xfId="3712" xr:uid="{00000000-0005-0000-0000-000055030000}"/>
    <cellStyle name="20% - Accent6 2 3 4 2 2" xfId="7935" xr:uid="{00000000-0005-0000-0000-000056030000}"/>
    <cellStyle name="20% - Accent6 2 3 4 2 2 2" xfId="16370" xr:uid="{420A3641-51C6-4447-9456-A94463124531}"/>
    <cellStyle name="20% - Accent6 2 3 4 2 3" xfId="12152" xr:uid="{206C3B65-9936-4239-93A3-D78A519F176F}"/>
    <cellStyle name="20% - Accent6 2 3 4 3" xfId="5790" xr:uid="{00000000-0005-0000-0000-000057030000}"/>
    <cellStyle name="20% - Accent6 2 3 4 3 2" xfId="14225" xr:uid="{9F950455-216C-4F73-88BA-3AB73B752A76}"/>
    <cellStyle name="20% - Accent6 2 3 4 4" xfId="10007" xr:uid="{881C8A77-A114-479F-BC44-A9BCDA78BFAD}"/>
    <cellStyle name="20% - Accent6 2 3 5" xfId="1896" xr:uid="{00000000-0005-0000-0000-000058030000}"/>
    <cellStyle name="20% - Accent6 2 3 5 2" xfId="4125" xr:uid="{00000000-0005-0000-0000-000059030000}"/>
    <cellStyle name="20% - Accent6 2 3 5 2 2" xfId="8348" xr:uid="{00000000-0005-0000-0000-00005A030000}"/>
    <cellStyle name="20% - Accent6 2 3 5 2 2 2" xfId="16783" xr:uid="{3479DB4B-E87A-43A2-96E4-8877BA54EDAB}"/>
    <cellStyle name="20% - Accent6 2 3 5 2 3" xfId="12565" xr:uid="{F8E567F5-F184-46F9-9A21-3648E69513DD}"/>
    <cellStyle name="20% - Accent6 2 3 5 3" xfId="6203" xr:uid="{00000000-0005-0000-0000-00005B030000}"/>
    <cellStyle name="20% - Accent6 2 3 5 3 2" xfId="14638" xr:uid="{55C1CF0D-D700-40BE-811E-BC625A54A8CD}"/>
    <cellStyle name="20% - Accent6 2 3 5 4" xfId="10420" xr:uid="{0A086CBA-0206-47DD-8537-E76724F9BA4A}"/>
    <cellStyle name="20% - Accent6 2 3 6" xfId="2309" xr:uid="{00000000-0005-0000-0000-00005C030000}"/>
    <cellStyle name="20% - Accent6 2 3 6 2" xfId="6616" xr:uid="{00000000-0005-0000-0000-00005D030000}"/>
    <cellStyle name="20% - Accent6 2 3 6 2 2" xfId="15051" xr:uid="{8B2EEACC-6352-4404-B548-C0859F6AC9E8}"/>
    <cellStyle name="20% - Accent6 2 3 6 3" xfId="10833" xr:uid="{B6A5A2AF-6B4A-43B7-894D-D69E39153C10}"/>
    <cellStyle name="20% - Accent6 2 3 7" xfId="4550" xr:uid="{00000000-0005-0000-0000-00005E030000}"/>
    <cellStyle name="20% - Accent6 2 3 7 2" xfId="12985" xr:uid="{C4FEF9E2-7046-4339-84D4-A869DBDB5C88}"/>
    <cellStyle name="20% - Accent6 2 3 8" xfId="8767" xr:uid="{CFA86C11-E6D4-4709-8070-D5A8E5C2184A}"/>
    <cellStyle name="20% - Accent6 2 4" xfId="612" xr:uid="{00000000-0005-0000-0000-00005F030000}"/>
    <cellStyle name="20% - Accent6 2 4 2" xfId="2883" xr:uid="{00000000-0005-0000-0000-000060030000}"/>
    <cellStyle name="20% - Accent6 2 4 2 2" xfId="7106" xr:uid="{00000000-0005-0000-0000-000061030000}"/>
    <cellStyle name="20% - Accent6 2 4 2 2 2" xfId="15541" xr:uid="{8F51C8AD-04BE-4150-8AD4-71887BA165BB}"/>
    <cellStyle name="20% - Accent6 2 4 2 3" xfId="11323" xr:uid="{7BC48587-FE1C-4185-992F-A6E2CAB02BCD}"/>
    <cellStyle name="20% - Accent6 2 4 3" xfId="4961" xr:uid="{00000000-0005-0000-0000-000062030000}"/>
    <cellStyle name="20% - Accent6 2 4 3 2" xfId="13396" xr:uid="{2D85A2B3-033B-4574-8180-9BB9A96A9B88}"/>
    <cellStyle name="20% - Accent6 2 4 4" xfId="9178" xr:uid="{DB0726B8-3894-4485-ACCD-BD88D79A338A}"/>
    <cellStyle name="20% - Accent6 2 5" xfId="1065" xr:uid="{00000000-0005-0000-0000-000063030000}"/>
    <cellStyle name="20% - Accent6 2 5 2" xfId="3296" xr:uid="{00000000-0005-0000-0000-000064030000}"/>
    <cellStyle name="20% - Accent6 2 5 2 2" xfId="7519" xr:uid="{00000000-0005-0000-0000-000065030000}"/>
    <cellStyle name="20% - Accent6 2 5 2 2 2" xfId="15954" xr:uid="{519C3E2B-4097-4845-93A4-261AD2F56B36}"/>
    <cellStyle name="20% - Accent6 2 5 2 3" xfId="11736" xr:uid="{2B66DE02-7816-45DB-930F-BDEAA31EF881}"/>
    <cellStyle name="20% - Accent6 2 5 3" xfId="5374" xr:uid="{00000000-0005-0000-0000-000066030000}"/>
    <cellStyle name="20% - Accent6 2 5 3 2" xfId="13809" xr:uid="{DA7B5685-0F65-48E4-B745-E64444187BAD}"/>
    <cellStyle name="20% - Accent6 2 5 4" xfId="9591" xr:uid="{2752D4D2-3D3E-4E0D-8644-EFC1EA37E9CE}"/>
    <cellStyle name="20% - Accent6 2 6" xfId="1479" xr:uid="{00000000-0005-0000-0000-000067030000}"/>
    <cellStyle name="20% - Accent6 2 6 2" xfId="3709" xr:uid="{00000000-0005-0000-0000-000068030000}"/>
    <cellStyle name="20% - Accent6 2 6 2 2" xfId="7932" xr:uid="{00000000-0005-0000-0000-000069030000}"/>
    <cellStyle name="20% - Accent6 2 6 2 2 2" xfId="16367" xr:uid="{100C92AA-A224-4321-A594-188A68DF7155}"/>
    <cellStyle name="20% - Accent6 2 6 2 3" xfId="12149" xr:uid="{D41262BC-0452-4515-BFC8-CB4C2795DD14}"/>
    <cellStyle name="20% - Accent6 2 6 3" xfId="5787" xr:uid="{00000000-0005-0000-0000-00006A030000}"/>
    <cellStyle name="20% - Accent6 2 6 3 2" xfId="14222" xr:uid="{362F6863-924E-446A-A3A4-7F2493C4AE0D}"/>
    <cellStyle name="20% - Accent6 2 6 4" xfId="10004" xr:uid="{AF9C81A7-7E98-4C59-8C0C-9AAAA4EFD48A}"/>
    <cellStyle name="20% - Accent6 2 7" xfId="1893" xr:uid="{00000000-0005-0000-0000-00006B030000}"/>
    <cellStyle name="20% - Accent6 2 7 2" xfId="4122" xr:uid="{00000000-0005-0000-0000-00006C030000}"/>
    <cellStyle name="20% - Accent6 2 7 2 2" xfId="8345" xr:uid="{00000000-0005-0000-0000-00006D030000}"/>
    <cellStyle name="20% - Accent6 2 7 2 2 2" xfId="16780" xr:uid="{6D5D9E94-5853-4C05-A508-B791180CBDDF}"/>
    <cellStyle name="20% - Accent6 2 7 2 3" xfId="12562" xr:uid="{FA04528C-A642-4937-A68D-EE2C26EBACA9}"/>
    <cellStyle name="20% - Accent6 2 7 3" xfId="6200" xr:uid="{00000000-0005-0000-0000-00006E030000}"/>
    <cellStyle name="20% - Accent6 2 7 3 2" xfId="14635" xr:uid="{EFE28AB5-D665-4DC4-AA8E-CC415CBB514B}"/>
    <cellStyle name="20% - Accent6 2 7 4" xfId="10417" xr:uid="{D73D0E95-7578-465D-A924-755F83ADD4CC}"/>
    <cellStyle name="20% - Accent6 2 8" xfId="2306" xr:uid="{00000000-0005-0000-0000-00006F030000}"/>
    <cellStyle name="20% - Accent6 2 8 2" xfId="6613" xr:uid="{00000000-0005-0000-0000-000070030000}"/>
    <cellStyle name="20% - Accent6 2 8 2 2" xfId="15048" xr:uid="{0721C160-B372-4637-9E4A-E0890770CFB1}"/>
    <cellStyle name="20% - Accent6 2 8 3" xfId="10830" xr:uid="{A65479D4-65D5-49C4-823F-DAAA2EDABB0F}"/>
    <cellStyle name="20% - Accent6 2 9" xfId="4547" xr:uid="{00000000-0005-0000-0000-000071030000}"/>
    <cellStyle name="20% - Accent6 2 9 2" xfId="12982" xr:uid="{A39DB89D-96F4-438B-AE40-B9B9D8C83EE9}"/>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2 2 2" xfId="15546" xr:uid="{346417CA-0098-439C-918D-2E3BE18C3C44}"/>
    <cellStyle name="20% - Accent6 3 2 2 2 3" xfId="11328" xr:uid="{E6416D45-01C4-4B63-90DE-5C118BB03813}"/>
    <cellStyle name="20% - Accent6 3 2 2 3" xfId="4966" xr:uid="{00000000-0005-0000-0000-000077030000}"/>
    <cellStyle name="20% - Accent6 3 2 2 3 2" xfId="13401" xr:uid="{D83C1C6B-3C41-4093-BB00-5FDEF6B1B560}"/>
    <cellStyle name="20% - Accent6 3 2 2 4" xfId="9183" xr:uid="{2192D656-8E4C-46D4-9DF9-D4BCC783DFE2}"/>
    <cellStyle name="20% - Accent6 3 2 3" xfId="1070" xr:uid="{00000000-0005-0000-0000-000078030000}"/>
    <cellStyle name="20% - Accent6 3 2 3 2" xfId="3301" xr:uid="{00000000-0005-0000-0000-000079030000}"/>
    <cellStyle name="20% - Accent6 3 2 3 2 2" xfId="7524" xr:uid="{00000000-0005-0000-0000-00007A030000}"/>
    <cellStyle name="20% - Accent6 3 2 3 2 2 2" xfId="15959" xr:uid="{FC5866CD-0F1A-4362-A683-5396AA530B42}"/>
    <cellStyle name="20% - Accent6 3 2 3 2 3" xfId="11741" xr:uid="{DD9355CD-2829-404B-AC6B-3513B878D5D3}"/>
    <cellStyle name="20% - Accent6 3 2 3 3" xfId="5379" xr:uid="{00000000-0005-0000-0000-00007B030000}"/>
    <cellStyle name="20% - Accent6 3 2 3 3 2" xfId="13814" xr:uid="{A4D18FCA-D52B-4CE9-AC2F-A5841EA2C15B}"/>
    <cellStyle name="20% - Accent6 3 2 3 4" xfId="9596" xr:uid="{42EEF583-4364-4564-8B22-4FE8D223172D}"/>
    <cellStyle name="20% - Accent6 3 2 4" xfId="1484" xr:uid="{00000000-0005-0000-0000-00007C030000}"/>
    <cellStyle name="20% - Accent6 3 2 4 2" xfId="3714" xr:uid="{00000000-0005-0000-0000-00007D030000}"/>
    <cellStyle name="20% - Accent6 3 2 4 2 2" xfId="7937" xr:uid="{00000000-0005-0000-0000-00007E030000}"/>
    <cellStyle name="20% - Accent6 3 2 4 2 2 2" xfId="16372" xr:uid="{804EA1CC-B0A1-4D3B-B355-13E348965538}"/>
    <cellStyle name="20% - Accent6 3 2 4 2 3" xfId="12154" xr:uid="{33C4D947-8EF5-456D-82EC-9E782C4015D4}"/>
    <cellStyle name="20% - Accent6 3 2 4 3" xfId="5792" xr:uid="{00000000-0005-0000-0000-00007F030000}"/>
    <cellStyle name="20% - Accent6 3 2 4 3 2" xfId="14227" xr:uid="{1945DEA1-8677-4CDA-9807-EC35C39CCD07}"/>
    <cellStyle name="20% - Accent6 3 2 4 4" xfId="10009" xr:uid="{99E84C75-705E-4E9B-B33D-EAC0362CD042}"/>
    <cellStyle name="20% - Accent6 3 2 5" xfId="1898" xr:uid="{00000000-0005-0000-0000-000080030000}"/>
    <cellStyle name="20% - Accent6 3 2 5 2" xfId="4127" xr:uid="{00000000-0005-0000-0000-000081030000}"/>
    <cellStyle name="20% - Accent6 3 2 5 2 2" xfId="8350" xr:uid="{00000000-0005-0000-0000-000082030000}"/>
    <cellStyle name="20% - Accent6 3 2 5 2 2 2" xfId="16785" xr:uid="{4C95ABC1-FF86-4D55-98B1-503D50FEB6DC}"/>
    <cellStyle name="20% - Accent6 3 2 5 2 3" xfId="12567" xr:uid="{69FFF36A-6A3B-49E3-8E4C-481189D17A52}"/>
    <cellStyle name="20% - Accent6 3 2 5 3" xfId="6205" xr:uid="{00000000-0005-0000-0000-000083030000}"/>
    <cellStyle name="20% - Accent6 3 2 5 3 2" xfId="14640" xr:uid="{CC4625AC-423A-4232-9431-F9DFB9F3FA31}"/>
    <cellStyle name="20% - Accent6 3 2 5 4" xfId="10422" xr:uid="{3838C045-2549-4C32-B6B0-3C181724787D}"/>
    <cellStyle name="20% - Accent6 3 2 6" xfId="2311" xr:uid="{00000000-0005-0000-0000-000084030000}"/>
    <cellStyle name="20% - Accent6 3 2 6 2" xfId="6618" xr:uid="{00000000-0005-0000-0000-000085030000}"/>
    <cellStyle name="20% - Accent6 3 2 6 2 2" xfId="15053" xr:uid="{94DF5DD1-5148-40DD-97F7-F4D43C8FEF3C}"/>
    <cellStyle name="20% - Accent6 3 2 6 3" xfId="10835" xr:uid="{1708C56E-535A-4616-B394-37827E3219D6}"/>
    <cellStyle name="20% - Accent6 3 2 7" xfId="4552" xr:uid="{00000000-0005-0000-0000-000086030000}"/>
    <cellStyle name="20% - Accent6 3 2 7 2" xfId="12987" xr:uid="{E6A50E85-C630-41F7-9F4C-00ABFD3EFB3F}"/>
    <cellStyle name="20% - Accent6 3 2 8" xfId="8769" xr:uid="{EDA45E97-C11D-4E35-ADE6-77230814A69A}"/>
    <cellStyle name="20% - Accent6 3 3" xfId="616" xr:uid="{00000000-0005-0000-0000-000087030000}"/>
    <cellStyle name="20% - Accent6 3 3 2" xfId="2887" xr:uid="{00000000-0005-0000-0000-000088030000}"/>
    <cellStyle name="20% - Accent6 3 3 2 2" xfId="7110" xr:uid="{00000000-0005-0000-0000-000089030000}"/>
    <cellStyle name="20% - Accent6 3 3 2 2 2" xfId="15545" xr:uid="{3E04FE94-8C8B-494C-975A-02046BE630FB}"/>
    <cellStyle name="20% - Accent6 3 3 2 3" xfId="11327" xr:uid="{FE2767EF-DFFE-4701-A5D7-866D5B1F5264}"/>
    <cellStyle name="20% - Accent6 3 3 3" xfId="4965" xr:uid="{00000000-0005-0000-0000-00008A030000}"/>
    <cellStyle name="20% - Accent6 3 3 3 2" xfId="13400" xr:uid="{F1A0E868-64FE-4D27-83C1-3E077C8021A5}"/>
    <cellStyle name="20% - Accent6 3 3 4" xfId="9182" xr:uid="{E0870F02-E24E-4146-BB9C-9F9CE6D0F4A9}"/>
    <cellStyle name="20% - Accent6 3 4" xfId="1069" xr:uid="{00000000-0005-0000-0000-00008B030000}"/>
    <cellStyle name="20% - Accent6 3 4 2" xfId="3300" xr:uid="{00000000-0005-0000-0000-00008C030000}"/>
    <cellStyle name="20% - Accent6 3 4 2 2" xfId="7523" xr:uid="{00000000-0005-0000-0000-00008D030000}"/>
    <cellStyle name="20% - Accent6 3 4 2 2 2" xfId="15958" xr:uid="{FB01E127-2437-4614-963F-80447ADC09D9}"/>
    <cellStyle name="20% - Accent6 3 4 2 3" xfId="11740" xr:uid="{ACB008B6-2999-4056-ACAC-51F6B94E33E0}"/>
    <cellStyle name="20% - Accent6 3 4 3" xfId="5378" xr:uid="{00000000-0005-0000-0000-00008E030000}"/>
    <cellStyle name="20% - Accent6 3 4 3 2" xfId="13813" xr:uid="{BC0EB6A8-8410-4E0D-B663-F57F0B93A482}"/>
    <cellStyle name="20% - Accent6 3 4 4" xfId="9595" xr:uid="{0A2880E1-5984-4A49-A418-40EE27964651}"/>
    <cellStyle name="20% - Accent6 3 5" xfId="1483" xr:uid="{00000000-0005-0000-0000-00008F030000}"/>
    <cellStyle name="20% - Accent6 3 5 2" xfId="3713" xr:uid="{00000000-0005-0000-0000-000090030000}"/>
    <cellStyle name="20% - Accent6 3 5 2 2" xfId="7936" xr:uid="{00000000-0005-0000-0000-000091030000}"/>
    <cellStyle name="20% - Accent6 3 5 2 2 2" xfId="16371" xr:uid="{BA7A5B9B-3F6C-4AAF-A9D9-A532F571A12B}"/>
    <cellStyle name="20% - Accent6 3 5 2 3" xfId="12153" xr:uid="{2E0110D5-0647-4CC3-9318-FBD4676EFB5A}"/>
    <cellStyle name="20% - Accent6 3 5 3" xfId="5791" xr:uid="{00000000-0005-0000-0000-000092030000}"/>
    <cellStyle name="20% - Accent6 3 5 3 2" xfId="14226" xr:uid="{B5673974-4B66-46E2-9618-D7738ED366F3}"/>
    <cellStyle name="20% - Accent6 3 5 4" xfId="10008" xr:uid="{0EA59449-2C27-4E85-86E1-67F7DA8B0DD9}"/>
    <cellStyle name="20% - Accent6 3 6" xfId="1897" xr:uid="{00000000-0005-0000-0000-000093030000}"/>
    <cellStyle name="20% - Accent6 3 6 2" xfId="4126" xr:uid="{00000000-0005-0000-0000-000094030000}"/>
    <cellStyle name="20% - Accent6 3 6 2 2" xfId="8349" xr:uid="{00000000-0005-0000-0000-000095030000}"/>
    <cellStyle name="20% - Accent6 3 6 2 2 2" xfId="16784" xr:uid="{F3AE5805-0A68-4404-A9A7-A310153D2CFD}"/>
    <cellStyle name="20% - Accent6 3 6 2 3" xfId="12566" xr:uid="{1B80E43D-91D5-479F-9AD8-04D97B190D4F}"/>
    <cellStyle name="20% - Accent6 3 6 3" xfId="6204" xr:uid="{00000000-0005-0000-0000-000096030000}"/>
    <cellStyle name="20% - Accent6 3 6 3 2" xfId="14639" xr:uid="{63956CBB-50B6-4A75-8E6D-7477073264FE}"/>
    <cellStyle name="20% - Accent6 3 6 4" xfId="10421" xr:uid="{E2147B87-29A6-49C0-A7BF-F17352B3337D}"/>
    <cellStyle name="20% - Accent6 3 7" xfId="2310" xr:uid="{00000000-0005-0000-0000-000097030000}"/>
    <cellStyle name="20% - Accent6 3 7 2" xfId="6617" xr:uid="{00000000-0005-0000-0000-000098030000}"/>
    <cellStyle name="20% - Accent6 3 7 2 2" xfId="15052" xr:uid="{D31E2A77-CA54-40AB-912D-1F66F468482C}"/>
    <cellStyle name="20% - Accent6 3 7 3" xfId="10834" xr:uid="{A3C821BA-C8C1-4B30-9153-83A04062B404}"/>
    <cellStyle name="20% - Accent6 3 8" xfId="4551" xr:uid="{00000000-0005-0000-0000-000099030000}"/>
    <cellStyle name="20% - Accent6 3 8 2" xfId="12986" xr:uid="{9362F2D3-C2B0-4F8D-AF0B-6E8B623828D5}"/>
    <cellStyle name="20% - Accent6 3 9" xfId="8768" xr:uid="{086BBCA5-4058-438B-B58F-63D47B3A1F0F}"/>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2 2 2" xfId="15547" xr:uid="{5713AA3E-F9BC-4E5D-BA14-DC51AE1DB523}"/>
    <cellStyle name="20% - Accent6 4 2 2 3" xfId="11329" xr:uid="{5EC63134-470B-46F9-9890-08D53A6CD5FE}"/>
    <cellStyle name="20% - Accent6 4 2 3" xfId="4967" xr:uid="{00000000-0005-0000-0000-00009E030000}"/>
    <cellStyle name="20% - Accent6 4 2 3 2" xfId="13402" xr:uid="{B4C3B0E5-21AE-48BB-B55C-F75D93149DE3}"/>
    <cellStyle name="20% - Accent6 4 2 4" xfId="9184" xr:uid="{82D90B94-2D32-41E4-A229-0AB2044D7D01}"/>
    <cellStyle name="20% - Accent6 4 3" xfId="1071" xr:uid="{00000000-0005-0000-0000-00009F030000}"/>
    <cellStyle name="20% - Accent6 4 3 2" xfId="3302" xr:uid="{00000000-0005-0000-0000-0000A0030000}"/>
    <cellStyle name="20% - Accent6 4 3 2 2" xfId="7525" xr:uid="{00000000-0005-0000-0000-0000A1030000}"/>
    <cellStyle name="20% - Accent6 4 3 2 2 2" xfId="15960" xr:uid="{F575E87F-09C7-44EC-AA04-A7493B4513B5}"/>
    <cellStyle name="20% - Accent6 4 3 2 3" xfId="11742" xr:uid="{BDCF4FEA-7B6B-439C-BF75-A1756AC4594E}"/>
    <cellStyle name="20% - Accent6 4 3 3" xfId="5380" xr:uid="{00000000-0005-0000-0000-0000A2030000}"/>
    <cellStyle name="20% - Accent6 4 3 3 2" xfId="13815" xr:uid="{7B20CBD7-1250-4A0F-886D-8554CBDAD249}"/>
    <cellStyle name="20% - Accent6 4 3 4" xfId="9597" xr:uid="{E1A1142C-3FA3-43EB-B8F0-F2D8758038F8}"/>
    <cellStyle name="20% - Accent6 4 4" xfId="1485" xr:uid="{00000000-0005-0000-0000-0000A3030000}"/>
    <cellStyle name="20% - Accent6 4 4 2" xfId="3715" xr:uid="{00000000-0005-0000-0000-0000A4030000}"/>
    <cellStyle name="20% - Accent6 4 4 2 2" xfId="7938" xr:uid="{00000000-0005-0000-0000-0000A5030000}"/>
    <cellStyle name="20% - Accent6 4 4 2 2 2" xfId="16373" xr:uid="{50477BE9-287D-4709-B02C-44E9A41082EB}"/>
    <cellStyle name="20% - Accent6 4 4 2 3" xfId="12155" xr:uid="{4DB6F529-26C7-4A15-BB44-EBFEF0375668}"/>
    <cellStyle name="20% - Accent6 4 4 3" xfId="5793" xr:uid="{00000000-0005-0000-0000-0000A6030000}"/>
    <cellStyle name="20% - Accent6 4 4 3 2" xfId="14228" xr:uid="{94343C8C-757C-4B59-B130-DF2AB552DC9F}"/>
    <cellStyle name="20% - Accent6 4 4 4" xfId="10010" xr:uid="{680E7E55-503B-4184-B598-2A80E892E9E7}"/>
    <cellStyle name="20% - Accent6 4 5" xfId="1899" xr:uid="{00000000-0005-0000-0000-0000A7030000}"/>
    <cellStyle name="20% - Accent6 4 5 2" xfId="4128" xr:uid="{00000000-0005-0000-0000-0000A8030000}"/>
    <cellStyle name="20% - Accent6 4 5 2 2" xfId="8351" xr:uid="{00000000-0005-0000-0000-0000A9030000}"/>
    <cellStyle name="20% - Accent6 4 5 2 2 2" xfId="16786" xr:uid="{663ADB00-0587-456E-98E7-6A0D59CA59DE}"/>
    <cellStyle name="20% - Accent6 4 5 2 3" xfId="12568" xr:uid="{DBD1738A-8877-46ED-BC8C-5F79DC7F63AD}"/>
    <cellStyle name="20% - Accent6 4 5 3" xfId="6206" xr:uid="{00000000-0005-0000-0000-0000AA030000}"/>
    <cellStyle name="20% - Accent6 4 5 3 2" xfId="14641" xr:uid="{A23A7048-3FEA-458F-89DB-F15D6F5EB949}"/>
    <cellStyle name="20% - Accent6 4 5 4" xfId="10423" xr:uid="{EE4249D7-1F4F-454D-B1D3-54561A902001}"/>
    <cellStyle name="20% - Accent6 4 6" xfId="2312" xr:uid="{00000000-0005-0000-0000-0000AB030000}"/>
    <cellStyle name="20% - Accent6 4 6 2" xfId="6619" xr:uid="{00000000-0005-0000-0000-0000AC030000}"/>
    <cellStyle name="20% - Accent6 4 6 2 2" xfId="15054" xr:uid="{BF645457-1D9B-4E37-9D5D-FE9523F7C72F}"/>
    <cellStyle name="20% - Accent6 4 6 3" xfId="10836" xr:uid="{262E16CF-22B9-4658-9125-2E45D8B56ED8}"/>
    <cellStyle name="20% - Accent6 4 7" xfId="4553" xr:uid="{00000000-0005-0000-0000-0000AD030000}"/>
    <cellStyle name="20% - Accent6 4 7 2" xfId="12988" xr:uid="{383CD83C-2565-4369-B9D2-3A29690BAF92}"/>
    <cellStyle name="20% - Accent6 4 8" xfId="8770" xr:uid="{F01E9A0B-82B3-4165-AC86-B9E5967719A3}"/>
    <cellStyle name="20% - Accent6 5" xfId="611" xr:uid="{00000000-0005-0000-0000-0000AE030000}"/>
    <cellStyle name="20% - Accent6 5 2" xfId="2882" xr:uid="{00000000-0005-0000-0000-0000AF030000}"/>
    <cellStyle name="20% - Accent6 5 2 2" xfId="7105" xr:uid="{00000000-0005-0000-0000-0000B0030000}"/>
    <cellStyle name="20% - Accent6 5 2 2 2" xfId="15540" xr:uid="{E89261A0-B7D5-43A2-8BF9-F1F7B1B403F2}"/>
    <cellStyle name="20% - Accent6 5 2 3" xfId="11322" xr:uid="{F26289E1-F4C5-408B-9CAF-5798A7ECE615}"/>
    <cellStyle name="20% - Accent6 5 3" xfId="4960" xr:uid="{00000000-0005-0000-0000-0000B1030000}"/>
    <cellStyle name="20% - Accent6 5 3 2" xfId="13395" xr:uid="{A13BA7FF-B45B-4D9F-95F0-C15447683290}"/>
    <cellStyle name="20% - Accent6 5 4" xfId="9177" xr:uid="{F442632F-F247-492E-8B09-941A5FBC3944}"/>
    <cellStyle name="20% - Accent6 6" xfId="1064" xr:uid="{00000000-0005-0000-0000-0000B2030000}"/>
    <cellStyle name="20% - Accent6 6 2" xfId="3295" xr:uid="{00000000-0005-0000-0000-0000B3030000}"/>
    <cellStyle name="20% - Accent6 6 2 2" xfId="7518" xr:uid="{00000000-0005-0000-0000-0000B4030000}"/>
    <cellStyle name="20% - Accent6 6 2 2 2" xfId="15953" xr:uid="{5A4FD3DE-5A5E-4BAA-81C2-B381467687F0}"/>
    <cellStyle name="20% - Accent6 6 2 3" xfId="11735" xr:uid="{B3DD6A5D-FDF1-484E-9C12-A340424BA617}"/>
    <cellStyle name="20% - Accent6 6 3" xfId="5373" xr:uid="{00000000-0005-0000-0000-0000B5030000}"/>
    <cellStyle name="20% - Accent6 6 3 2" xfId="13808" xr:uid="{0ABADBF6-64D6-40FA-81BE-37F7357A808B}"/>
    <cellStyle name="20% - Accent6 6 4" xfId="9590" xr:uid="{EBC22DD2-A118-40C5-98FB-CAC84A543468}"/>
    <cellStyle name="20% - Accent6 7" xfId="1478" xr:uid="{00000000-0005-0000-0000-0000B6030000}"/>
    <cellStyle name="20% - Accent6 7 2" xfId="3708" xr:uid="{00000000-0005-0000-0000-0000B7030000}"/>
    <cellStyle name="20% - Accent6 7 2 2" xfId="7931" xr:uid="{00000000-0005-0000-0000-0000B8030000}"/>
    <cellStyle name="20% - Accent6 7 2 2 2" xfId="16366" xr:uid="{F2565534-916A-44D3-AE72-2BB1A98C037F}"/>
    <cellStyle name="20% - Accent6 7 2 3" xfId="12148" xr:uid="{8DD20180-2F00-408B-88CA-EBFE3535E388}"/>
    <cellStyle name="20% - Accent6 7 3" xfId="5786" xr:uid="{00000000-0005-0000-0000-0000B9030000}"/>
    <cellStyle name="20% - Accent6 7 3 2" xfId="14221" xr:uid="{7339B32D-7D16-4F27-880F-E3960C1F0780}"/>
    <cellStyle name="20% - Accent6 7 4" xfId="10003" xr:uid="{AF12EA35-F1FA-4C09-8DDA-19E2257CA742}"/>
    <cellStyle name="20% - Accent6 8" xfId="1892" xr:uid="{00000000-0005-0000-0000-0000BA030000}"/>
    <cellStyle name="20% - Accent6 8 2" xfId="4121" xr:uid="{00000000-0005-0000-0000-0000BB030000}"/>
    <cellStyle name="20% - Accent6 8 2 2" xfId="8344" xr:uid="{00000000-0005-0000-0000-0000BC030000}"/>
    <cellStyle name="20% - Accent6 8 2 2 2" xfId="16779" xr:uid="{B890CFE9-1DEA-430F-9398-5B1EB5D01669}"/>
    <cellStyle name="20% - Accent6 8 2 3" xfId="12561" xr:uid="{C6C36ECF-2D0F-454E-BF4D-D362F2595773}"/>
    <cellStyle name="20% - Accent6 8 3" xfId="6199" xr:uid="{00000000-0005-0000-0000-0000BD030000}"/>
    <cellStyle name="20% - Accent6 8 3 2" xfId="14634" xr:uid="{7750C357-ABA1-4C71-9FB9-F66CEDE38438}"/>
    <cellStyle name="20% - Accent6 8 4" xfId="10416" xr:uid="{2742A53E-71F3-4523-A4C6-AA2922B74A7C}"/>
    <cellStyle name="20% - Accent6 9" xfId="2305" xr:uid="{00000000-0005-0000-0000-0000BE030000}"/>
    <cellStyle name="20% - Accent6 9 2" xfId="6612" xr:uid="{00000000-0005-0000-0000-0000BF030000}"/>
    <cellStyle name="20% - Accent6 9 2 2" xfId="15047" xr:uid="{BFB2CA90-2248-4B5D-B7F5-76E55B619EB3}"/>
    <cellStyle name="20% - Accent6 9 3" xfId="10829" xr:uid="{8D0C46F5-DB58-470F-A3BB-959783767D36}"/>
    <cellStyle name="40% - Accent1" xfId="49" builtinId="31" customBuiltin="1"/>
    <cellStyle name="40% - Accent1 10" xfId="4554" xr:uid="{00000000-0005-0000-0000-0000C1030000}"/>
    <cellStyle name="40% - Accent1 10 2" xfId="12989" xr:uid="{3EAD4BF9-7E00-40F4-B4E4-3405945C28A1}"/>
    <cellStyle name="40% - Accent1 11" xfId="8771" xr:uid="{9A7E6634-1897-40AE-A8F7-63CAA8D8C584}"/>
    <cellStyle name="40% - Accent1 2" xfId="50" xr:uid="{00000000-0005-0000-0000-0000C2030000}"/>
    <cellStyle name="40% - Accent1 2 10" xfId="8772" xr:uid="{4593FF71-C7AB-4F51-B80F-8D287CD9A2FF}"/>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2 2 2" xfId="15551" xr:uid="{DA376938-91E9-45B9-AB19-897D4C6344E6}"/>
    <cellStyle name="40% - Accent1 2 2 2 2 2 3" xfId="11333" xr:uid="{4EBA7CD4-90B2-4630-905F-222E53B593A7}"/>
    <cellStyle name="40% - Accent1 2 2 2 2 3" xfId="4971" xr:uid="{00000000-0005-0000-0000-0000C8030000}"/>
    <cellStyle name="40% - Accent1 2 2 2 2 3 2" xfId="13406" xr:uid="{2AD03D7C-BF89-40C1-ACE3-9865B966A06E}"/>
    <cellStyle name="40% - Accent1 2 2 2 2 4" xfId="9188" xr:uid="{EE2C8BD5-F4F8-4C4C-85F4-E50BB1A155BD}"/>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2 2 2" xfId="15964" xr:uid="{8174B5DA-0ADC-42F5-BAF7-4C207FE51174}"/>
    <cellStyle name="40% - Accent1 2 2 2 3 2 3" xfId="11746" xr:uid="{357995D5-6E68-4B33-9F8E-8B032CBF0082}"/>
    <cellStyle name="40% - Accent1 2 2 2 3 3" xfId="5384" xr:uid="{00000000-0005-0000-0000-0000CC030000}"/>
    <cellStyle name="40% - Accent1 2 2 2 3 3 2" xfId="13819" xr:uid="{8F1B614B-60B0-41C3-ADBE-B1B39E93B8BF}"/>
    <cellStyle name="40% - Accent1 2 2 2 3 4" xfId="9601" xr:uid="{59F70B2B-B751-4E32-8999-AAB23A28DA88}"/>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2 2 2" xfId="16377" xr:uid="{38895500-7374-432E-B58E-84BE1531414D}"/>
    <cellStyle name="40% - Accent1 2 2 2 4 2 3" xfId="12159" xr:uid="{6DE11C9E-A2AB-4CF8-A91F-6E954E8ED142}"/>
    <cellStyle name="40% - Accent1 2 2 2 4 3" xfId="5797" xr:uid="{00000000-0005-0000-0000-0000D0030000}"/>
    <cellStyle name="40% - Accent1 2 2 2 4 3 2" xfId="14232" xr:uid="{AC8BF3E6-BE7A-4065-9E84-BF24F2C4A8D1}"/>
    <cellStyle name="40% - Accent1 2 2 2 4 4" xfId="10014" xr:uid="{4F4585FE-482E-4067-A9FB-22E174DBFA8A}"/>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2 2 2" xfId="16790" xr:uid="{B1420171-6FD9-4CBE-B1C9-89202E9A4640}"/>
    <cellStyle name="40% - Accent1 2 2 2 5 2 3" xfId="12572" xr:uid="{23BD9AC5-D132-438E-A521-3EB9851C5DB7}"/>
    <cellStyle name="40% - Accent1 2 2 2 5 3" xfId="6210" xr:uid="{00000000-0005-0000-0000-0000D4030000}"/>
    <cellStyle name="40% - Accent1 2 2 2 5 3 2" xfId="14645" xr:uid="{A4CEFB6D-8CA2-4C78-8655-D7F11E6F8B01}"/>
    <cellStyle name="40% - Accent1 2 2 2 5 4" xfId="10427" xr:uid="{EEF55AD8-21C6-4F91-A258-3E2B784F882E}"/>
    <cellStyle name="40% - Accent1 2 2 2 6" xfId="2316" xr:uid="{00000000-0005-0000-0000-0000D5030000}"/>
    <cellStyle name="40% - Accent1 2 2 2 6 2" xfId="6623" xr:uid="{00000000-0005-0000-0000-0000D6030000}"/>
    <cellStyle name="40% - Accent1 2 2 2 6 2 2" xfId="15058" xr:uid="{2DAFE3CD-2A88-4196-B4BC-42E2FF9977F2}"/>
    <cellStyle name="40% - Accent1 2 2 2 6 3" xfId="10840" xr:uid="{15B8CB10-D3E2-4812-A150-44F500B5187E}"/>
    <cellStyle name="40% - Accent1 2 2 2 7" xfId="4557" xr:uid="{00000000-0005-0000-0000-0000D7030000}"/>
    <cellStyle name="40% - Accent1 2 2 2 7 2" xfId="12992" xr:uid="{E447EC17-D7B8-4BE5-B515-157A89EE08AF}"/>
    <cellStyle name="40% - Accent1 2 2 2 8" xfId="8774" xr:uid="{82F7B5D1-07FC-4D83-A6E8-B04EF66BCE8B}"/>
    <cellStyle name="40% - Accent1 2 2 3" xfId="621" xr:uid="{00000000-0005-0000-0000-0000D8030000}"/>
    <cellStyle name="40% - Accent1 2 2 3 2" xfId="2892" xr:uid="{00000000-0005-0000-0000-0000D9030000}"/>
    <cellStyle name="40% - Accent1 2 2 3 2 2" xfId="7115" xr:uid="{00000000-0005-0000-0000-0000DA030000}"/>
    <cellStyle name="40% - Accent1 2 2 3 2 2 2" xfId="15550" xr:uid="{D754AC72-971C-461F-83D7-5A26DA58EF62}"/>
    <cellStyle name="40% - Accent1 2 2 3 2 3" xfId="11332" xr:uid="{2B1BB502-2A5E-4DFB-99A3-1560FB80794C}"/>
    <cellStyle name="40% - Accent1 2 2 3 3" xfId="4970" xr:uid="{00000000-0005-0000-0000-0000DB030000}"/>
    <cellStyle name="40% - Accent1 2 2 3 3 2" xfId="13405" xr:uid="{28644B08-49EB-49B6-A973-CA2DAE17121A}"/>
    <cellStyle name="40% - Accent1 2 2 3 4" xfId="9187" xr:uid="{3C1FBEE4-C41E-459D-B1C2-DCE02288F0A7}"/>
    <cellStyle name="40% - Accent1 2 2 4" xfId="1074" xr:uid="{00000000-0005-0000-0000-0000DC030000}"/>
    <cellStyle name="40% - Accent1 2 2 4 2" xfId="3305" xr:uid="{00000000-0005-0000-0000-0000DD030000}"/>
    <cellStyle name="40% - Accent1 2 2 4 2 2" xfId="7528" xr:uid="{00000000-0005-0000-0000-0000DE030000}"/>
    <cellStyle name="40% - Accent1 2 2 4 2 2 2" xfId="15963" xr:uid="{9F4A6D2B-7BDD-459D-9C31-8DA28B920734}"/>
    <cellStyle name="40% - Accent1 2 2 4 2 3" xfId="11745" xr:uid="{C61847F5-8F15-41F2-9FA5-520CB69D3DBA}"/>
    <cellStyle name="40% - Accent1 2 2 4 3" xfId="5383" xr:uid="{00000000-0005-0000-0000-0000DF030000}"/>
    <cellStyle name="40% - Accent1 2 2 4 3 2" xfId="13818" xr:uid="{6AEA730A-38E8-4E6B-9094-3186BBB887CE}"/>
    <cellStyle name="40% - Accent1 2 2 4 4" xfId="9600" xr:uid="{3871EB70-02A8-4F6D-AA21-837A111938CA}"/>
    <cellStyle name="40% - Accent1 2 2 5" xfId="1488" xr:uid="{00000000-0005-0000-0000-0000E0030000}"/>
    <cellStyle name="40% - Accent1 2 2 5 2" xfId="3718" xr:uid="{00000000-0005-0000-0000-0000E1030000}"/>
    <cellStyle name="40% - Accent1 2 2 5 2 2" xfId="7941" xr:uid="{00000000-0005-0000-0000-0000E2030000}"/>
    <cellStyle name="40% - Accent1 2 2 5 2 2 2" xfId="16376" xr:uid="{C359792B-2901-493F-90D3-24019768EC32}"/>
    <cellStyle name="40% - Accent1 2 2 5 2 3" xfId="12158" xr:uid="{3C503098-7411-4633-8980-0E3C4A41D882}"/>
    <cellStyle name="40% - Accent1 2 2 5 3" xfId="5796" xr:uid="{00000000-0005-0000-0000-0000E3030000}"/>
    <cellStyle name="40% - Accent1 2 2 5 3 2" xfId="14231" xr:uid="{50C05627-519A-45CB-9A50-91B2A67C6D18}"/>
    <cellStyle name="40% - Accent1 2 2 5 4" xfId="10013" xr:uid="{8E2F99DA-FB5F-4C8C-98B3-86DDCCE517E0}"/>
    <cellStyle name="40% - Accent1 2 2 6" xfId="1902" xr:uid="{00000000-0005-0000-0000-0000E4030000}"/>
    <cellStyle name="40% - Accent1 2 2 6 2" xfId="4131" xr:uid="{00000000-0005-0000-0000-0000E5030000}"/>
    <cellStyle name="40% - Accent1 2 2 6 2 2" xfId="8354" xr:uid="{00000000-0005-0000-0000-0000E6030000}"/>
    <cellStyle name="40% - Accent1 2 2 6 2 2 2" xfId="16789" xr:uid="{B5694200-52CB-4C11-AA9C-0CA78AA6D398}"/>
    <cellStyle name="40% - Accent1 2 2 6 2 3" xfId="12571" xr:uid="{194E204B-4C96-4079-A030-9B56FE9EC28F}"/>
    <cellStyle name="40% - Accent1 2 2 6 3" xfId="6209" xr:uid="{00000000-0005-0000-0000-0000E7030000}"/>
    <cellStyle name="40% - Accent1 2 2 6 3 2" xfId="14644" xr:uid="{70019D4B-EE5C-4BC3-AB4D-248EF0D4E3AE}"/>
    <cellStyle name="40% - Accent1 2 2 6 4" xfId="10426" xr:uid="{71A3DE6E-E1F1-4E7A-8B3D-7691044CAC5E}"/>
    <cellStyle name="40% - Accent1 2 2 7" xfId="2315" xr:uid="{00000000-0005-0000-0000-0000E8030000}"/>
    <cellStyle name="40% - Accent1 2 2 7 2" xfId="6622" xr:uid="{00000000-0005-0000-0000-0000E9030000}"/>
    <cellStyle name="40% - Accent1 2 2 7 2 2" xfId="15057" xr:uid="{673B43F4-F4C1-4499-8C6C-93A5A7D4367E}"/>
    <cellStyle name="40% - Accent1 2 2 7 3" xfId="10839" xr:uid="{790FACDD-9CE5-460C-85B3-DBD89D44F15A}"/>
    <cellStyle name="40% - Accent1 2 2 8" xfId="4556" xr:uid="{00000000-0005-0000-0000-0000EA030000}"/>
    <cellStyle name="40% - Accent1 2 2 8 2" xfId="12991" xr:uid="{58AD621C-2BA3-4659-8BCD-5ACE868DBA5F}"/>
    <cellStyle name="40% - Accent1 2 2 9" xfId="8773" xr:uid="{07613920-5125-492C-B48B-BC7DE74D0505}"/>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2 2 2" xfId="15552" xr:uid="{1008DF28-EFD2-43D4-8923-05FDC9F27E91}"/>
    <cellStyle name="40% - Accent1 2 3 2 2 3" xfId="11334" xr:uid="{5A8B12ED-73F1-4F02-BEE0-76B6F80728CE}"/>
    <cellStyle name="40% - Accent1 2 3 2 3" xfId="4972" xr:uid="{00000000-0005-0000-0000-0000EF030000}"/>
    <cellStyle name="40% - Accent1 2 3 2 3 2" xfId="13407" xr:uid="{4510FAEC-6E76-40CE-AA7F-4DEB03F34A30}"/>
    <cellStyle name="40% - Accent1 2 3 2 4" xfId="9189" xr:uid="{35607A5B-E1B2-4019-B987-08F524D00A0A}"/>
    <cellStyle name="40% - Accent1 2 3 3" xfId="1076" xr:uid="{00000000-0005-0000-0000-0000F0030000}"/>
    <cellStyle name="40% - Accent1 2 3 3 2" xfId="3307" xr:uid="{00000000-0005-0000-0000-0000F1030000}"/>
    <cellStyle name="40% - Accent1 2 3 3 2 2" xfId="7530" xr:uid="{00000000-0005-0000-0000-0000F2030000}"/>
    <cellStyle name="40% - Accent1 2 3 3 2 2 2" xfId="15965" xr:uid="{2A5407D2-445D-4717-8E78-64FBAD83DE6A}"/>
    <cellStyle name="40% - Accent1 2 3 3 2 3" xfId="11747" xr:uid="{37C5D965-09E0-4503-85D1-3E562BA31B4F}"/>
    <cellStyle name="40% - Accent1 2 3 3 3" xfId="5385" xr:uid="{00000000-0005-0000-0000-0000F3030000}"/>
    <cellStyle name="40% - Accent1 2 3 3 3 2" xfId="13820" xr:uid="{BDC9A88F-A3C1-4951-85EC-54D676F1C0E3}"/>
    <cellStyle name="40% - Accent1 2 3 3 4" xfId="9602" xr:uid="{8E83A1F5-3030-49D7-9428-661483384212}"/>
    <cellStyle name="40% - Accent1 2 3 4" xfId="1490" xr:uid="{00000000-0005-0000-0000-0000F4030000}"/>
    <cellStyle name="40% - Accent1 2 3 4 2" xfId="3720" xr:uid="{00000000-0005-0000-0000-0000F5030000}"/>
    <cellStyle name="40% - Accent1 2 3 4 2 2" xfId="7943" xr:uid="{00000000-0005-0000-0000-0000F6030000}"/>
    <cellStyle name="40% - Accent1 2 3 4 2 2 2" xfId="16378" xr:uid="{51848106-2B09-4BFE-AD8A-991B85A2C00A}"/>
    <cellStyle name="40% - Accent1 2 3 4 2 3" xfId="12160" xr:uid="{3EC839DC-D5FF-412B-870F-8259A5E3F9F8}"/>
    <cellStyle name="40% - Accent1 2 3 4 3" xfId="5798" xr:uid="{00000000-0005-0000-0000-0000F7030000}"/>
    <cellStyle name="40% - Accent1 2 3 4 3 2" xfId="14233" xr:uid="{C7F77996-8240-4AA1-AC71-F089CD343460}"/>
    <cellStyle name="40% - Accent1 2 3 4 4" xfId="10015" xr:uid="{955F1C07-E88C-44AA-90E7-3308406B4E00}"/>
    <cellStyle name="40% - Accent1 2 3 5" xfId="1904" xr:uid="{00000000-0005-0000-0000-0000F8030000}"/>
    <cellStyle name="40% - Accent1 2 3 5 2" xfId="4133" xr:uid="{00000000-0005-0000-0000-0000F9030000}"/>
    <cellStyle name="40% - Accent1 2 3 5 2 2" xfId="8356" xr:uid="{00000000-0005-0000-0000-0000FA030000}"/>
    <cellStyle name="40% - Accent1 2 3 5 2 2 2" xfId="16791" xr:uid="{A0BDD008-4891-4A4B-A234-75551115D056}"/>
    <cellStyle name="40% - Accent1 2 3 5 2 3" xfId="12573" xr:uid="{B802001A-1C6D-4550-A20F-C6F4EC5C93DC}"/>
    <cellStyle name="40% - Accent1 2 3 5 3" xfId="6211" xr:uid="{00000000-0005-0000-0000-0000FB030000}"/>
    <cellStyle name="40% - Accent1 2 3 5 3 2" xfId="14646" xr:uid="{AD197D76-C8C4-4A70-A4BB-0DE64714DA82}"/>
    <cellStyle name="40% - Accent1 2 3 5 4" xfId="10428" xr:uid="{766FC679-9F0D-422D-A20B-79F6D663EA59}"/>
    <cellStyle name="40% - Accent1 2 3 6" xfId="2317" xr:uid="{00000000-0005-0000-0000-0000FC030000}"/>
    <cellStyle name="40% - Accent1 2 3 6 2" xfId="6624" xr:uid="{00000000-0005-0000-0000-0000FD030000}"/>
    <cellStyle name="40% - Accent1 2 3 6 2 2" xfId="15059" xr:uid="{74924785-D8B4-4551-A2AD-D574B49F645C}"/>
    <cellStyle name="40% - Accent1 2 3 6 3" xfId="10841" xr:uid="{F358C904-6818-4134-933A-2E8C1C65FBF5}"/>
    <cellStyle name="40% - Accent1 2 3 7" xfId="4558" xr:uid="{00000000-0005-0000-0000-0000FE030000}"/>
    <cellStyle name="40% - Accent1 2 3 7 2" xfId="12993" xr:uid="{0E6C5907-D78A-44AB-A1E8-DFD771334A00}"/>
    <cellStyle name="40% - Accent1 2 3 8" xfId="8775" xr:uid="{25A3D0B4-314D-48E7-95E6-1EB6692405DA}"/>
    <cellStyle name="40% - Accent1 2 4" xfId="620" xr:uid="{00000000-0005-0000-0000-0000FF030000}"/>
    <cellStyle name="40% - Accent1 2 4 2" xfId="2891" xr:uid="{00000000-0005-0000-0000-000000040000}"/>
    <cellStyle name="40% - Accent1 2 4 2 2" xfId="7114" xr:uid="{00000000-0005-0000-0000-000001040000}"/>
    <cellStyle name="40% - Accent1 2 4 2 2 2" xfId="15549" xr:uid="{5F73EB1B-BB06-46AD-AA55-FE6B83D41D71}"/>
    <cellStyle name="40% - Accent1 2 4 2 3" xfId="11331" xr:uid="{2C1BF07A-3772-4448-A0B7-252CE6DC2FD1}"/>
    <cellStyle name="40% - Accent1 2 4 3" xfId="4969" xr:uid="{00000000-0005-0000-0000-000002040000}"/>
    <cellStyle name="40% - Accent1 2 4 3 2" xfId="13404" xr:uid="{91E59F5A-5C2A-498E-A954-2898EDD0F2C2}"/>
    <cellStyle name="40% - Accent1 2 4 4" xfId="9186" xr:uid="{0512F957-3217-4702-A13F-9167E4402E57}"/>
    <cellStyle name="40% - Accent1 2 5" xfId="1073" xr:uid="{00000000-0005-0000-0000-000003040000}"/>
    <cellStyle name="40% - Accent1 2 5 2" xfId="3304" xr:uid="{00000000-0005-0000-0000-000004040000}"/>
    <cellStyle name="40% - Accent1 2 5 2 2" xfId="7527" xr:uid="{00000000-0005-0000-0000-000005040000}"/>
    <cellStyle name="40% - Accent1 2 5 2 2 2" xfId="15962" xr:uid="{3487E6D7-FF2F-447B-B42A-524D4E970521}"/>
    <cellStyle name="40% - Accent1 2 5 2 3" xfId="11744" xr:uid="{BE985FCF-1221-4C23-8DA0-39699EF218D4}"/>
    <cellStyle name="40% - Accent1 2 5 3" xfId="5382" xr:uid="{00000000-0005-0000-0000-000006040000}"/>
    <cellStyle name="40% - Accent1 2 5 3 2" xfId="13817" xr:uid="{FF2EF111-09DB-4DC8-8187-A39273BD8495}"/>
    <cellStyle name="40% - Accent1 2 5 4" xfId="9599" xr:uid="{5F3D2F70-C9A7-420D-8773-019A66AA2DA7}"/>
    <cellStyle name="40% - Accent1 2 6" xfId="1487" xr:uid="{00000000-0005-0000-0000-000007040000}"/>
    <cellStyle name="40% - Accent1 2 6 2" xfId="3717" xr:uid="{00000000-0005-0000-0000-000008040000}"/>
    <cellStyle name="40% - Accent1 2 6 2 2" xfId="7940" xr:uid="{00000000-0005-0000-0000-000009040000}"/>
    <cellStyle name="40% - Accent1 2 6 2 2 2" xfId="16375" xr:uid="{32112512-642A-45FE-A2EB-B0D5B7469075}"/>
    <cellStyle name="40% - Accent1 2 6 2 3" xfId="12157" xr:uid="{3014F9FE-F2A6-4935-A0A8-09448603D7C0}"/>
    <cellStyle name="40% - Accent1 2 6 3" xfId="5795" xr:uid="{00000000-0005-0000-0000-00000A040000}"/>
    <cellStyle name="40% - Accent1 2 6 3 2" xfId="14230" xr:uid="{1253B5A1-4179-4803-8DF6-2C49E85628C2}"/>
    <cellStyle name="40% - Accent1 2 6 4" xfId="10012" xr:uid="{CCA31680-7510-4DE6-B462-FE63D5FD0A24}"/>
    <cellStyle name="40% - Accent1 2 7" xfId="1901" xr:uid="{00000000-0005-0000-0000-00000B040000}"/>
    <cellStyle name="40% - Accent1 2 7 2" xfId="4130" xr:uid="{00000000-0005-0000-0000-00000C040000}"/>
    <cellStyle name="40% - Accent1 2 7 2 2" xfId="8353" xr:uid="{00000000-0005-0000-0000-00000D040000}"/>
    <cellStyle name="40% - Accent1 2 7 2 2 2" xfId="16788" xr:uid="{3622647C-8BD1-4273-9230-C3C2E72A3F73}"/>
    <cellStyle name="40% - Accent1 2 7 2 3" xfId="12570" xr:uid="{7F759E37-1DEF-4E19-B6DA-BC87352976AD}"/>
    <cellStyle name="40% - Accent1 2 7 3" xfId="6208" xr:uid="{00000000-0005-0000-0000-00000E040000}"/>
    <cellStyle name="40% - Accent1 2 7 3 2" xfId="14643" xr:uid="{33094579-E310-438C-9F4B-F95BD489C332}"/>
    <cellStyle name="40% - Accent1 2 7 4" xfId="10425" xr:uid="{778DA2BF-62A6-4E78-95D4-EA0570A9BC14}"/>
    <cellStyle name="40% - Accent1 2 8" xfId="2314" xr:uid="{00000000-0005-0000-0000-00000F040000}"/>
    <cellStyle name="40% - Accent1 2 8 2" xfId="6621" xr:uid="{00000000-0005-0000-0000-000010040000}"/>
    <cellStyle name="40% - Accent1 2 8 2 2" xfId="15056" xr:uid="{949CE1E8-50DA-40E3-8721-D6D3B5E7BC50}"/>
    <cellStyle name="40% - Accent1 2 8 3" xfId="10838" xr:uid="{B484464C-C23F-4C84-AEBF-1C70E88D4EA5}"/>
    <cellStyle name="40% - Accent1 2 9" xfId="4555" xr:uid="{00000000-0005-0000-0000-000011040000}"/>
    <cellStyle name="40% - Accent1 2 9 2" xfId="12990" xr:uid="{42C29150-38C0-4B6C-BE93-ECA514E3ED37}"/>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2 2 2" xfId="15554" xr:uid="{2A7DF294-528F-458C-9358-EDB34E8FA741}"/>
    <cellStyle name="40% - Accent1 3 2 2 2 3" xfId="11336" xr:uid="{1CD6BB82-EB12-4258-80E2-ED6AB1F60584}"/>
    <cellStyle name="40% - Accent1 3 2 2 3" xfId="4974" xr:uid="{00000000-0005-0000-0000-000017040000}"/>
    <cellStyle name="40% - Accent1 3 2 2 3 2" xfId="13409" xr:uid="{FC9060CF-600A-460C-AA18-23697561E015}"/>
    <cellStyle name="40% - Accent1 3 2 2 4" xfId="9191" xr:uid="{07CF805D-6B1C-46D8-B699-69209002D27B}"/>
    <cellStyle name="40% - Accent1 3 2 3" xfId="1078" xr:uid="{00000000-0005-0000-0000-000018040000}"/>
    <cellStyle name="40% - Accent1 3 2 3 2" xfId="3309" xr:uid="{00000000-0005-0000-0000-000019040000}"/>
    <cellStyle name="40% - Accent1 3 2 3 2 2" xfId="7532" xr:uid="{00000000-0005-0000-0000-00001A040000}"/>
    <cellStyle name="40% - Accent1 3 2 3 2 2 2" xfId="15967" xr:uid="{C46A50F8-2C4A-4B3B-992C-992B2BBE76A7}"/>
    <cellStyle name="40% - Accent1 3 2 3 2 3" xfId="11749" xr:uid="{73588EB7-8500-46F9-8BE4-436994140727}"/>
    <cellStyle name="40% - Accent1 3 2 3 3" xfId="5387" xr:uid="{00000000-0005-0000-0000-00001B040000}"/>
    <cellStyle name="40% - Accent1 3 2 3 3 2" xfId="13822" xr:uid="{9F099A35-3F4F-4020-9E4E-0964158DA6A5}"/>
    <cellStyle name="40% - Accent1 3 2 3 4" xfId="9604" xr:uid="{4A2D94A8-DD50-4940-AFB0-7AF9C8F1A768}"/>
    <cellStyle name="40% - Accent1 3 2 4" xfId="1492" xr:uid="{00000000-0005-0000-0000-00001C040000}"/>
    <cellStyle name="40% - Accent1 3 2 4 2" xfId="3722" xr:uid="{00000000-0005-0000-0000-00001D040000}"/>
    <cellStyle name="40% - Accent1 3 2 4 2 2" xfId="7945" xr:uid="{00000000-0005-0000-0000-00001E040000}"/>
    <cellStyle name="40% - Accent1 3 2 4 2 2 2" xfId="16380" xr:uid="{5BB556D4-A316-4031-AD27-AD06DDE1A0A2}"/>
    <cellStyle name="40% - Accent1 3 2 4 2 3" xfId="12162" xr:uid="{8F754059-94D7-4485-B7E4-D3D4DF88449A}"/>
    <cellStyle name="40% - Accent1 3 2 4 3" xfId="5800" xr:uid="{00000000-0005-0000-0000-00001F040000}"/>
    <cellStyle name="40% - Accent1 3 2 4 3 2" xfId="14235" xr:uid="{E78F3D13-4314-4B17-88C9-0A074CF7C8D6}"/>
    <cellStyle name="40% - Accent1 3 2 4 4" xfId="10017" xr:uid="{F4320AF3-FCE8-406A-AE2A-56E5209FC67B}"/>
    <cellStyle name="40% - Accent1 3 2 5" xfId="1906" xr:uid="{00000000-0005-0000-0000-000020040000}"/>
    <cellStyle name="40% - Accent1 3 2 5 2" xfId="4135" xr:uid="{00000000-0005-0000-0000-000021040000}"/>
    <cellStyle name="40% - Accent1 3 2 5 2 2" xfId="8358" xr:uid="{00000000-0005-0000-0000-000022040000}"/>
    <cellStyle name="40% - Accent1 3 2 5 2 2 2" xfId="16793" xr:uid="{BA9470DC-1EAC-4195-B309-4DC1C72A2C50}"/>
    <cellStyle name="40% - Accent1 3 2 5 2 3" xfId="12575" xr:uid="{29B9046C-4B9B-4CC3-9FAB-01AE71A6ADA8}"/>
    <cellStyle name="40% - Accent1 3 2 5 3" xfId="6213" xr:uid="{00000000-0005-0000-0000-000023040000}"/>
    <cellStyle name="40% - Accent1 3 2 5 3 2" xfId="14648" xr:uid="{2CB74A95-10DB-41B5-AB5F-021A7FB32A13}"/>
    <cellStyle name="40% - Accent1 3 2 5 4" xfId="10430" xr:uid="{02883797-A08B-4C2A-8C8C-5FC97536339C}"/>
    <cellStyle name="40% - Accent1 3 2 6" xfId="2319" xr:uid="{00000000-0005-0000-0000-000024040000}"/>
    <cellStyle name="40% - Accent1 3 2 6 2" xfId="6626" xr:uid="{00000000-0005-0000-0000-000025040000}"/>
    <cellStyle name="40% - Accent1 3 2 6 2 2" xfId="15061" xr:uid="{3DE1BF11-36D9-4B40-AF98-32CF50320C4E}"/>
    <cellStyle name="40% - Accent1 3 2 6 3" xfId="10843" xr:uid="{9067EE80-8AEB-4493-A559-D2AB68AD0EA2}"/>
    <cellStyle name="40% - Accent1 3 2 7" xfId="4560" xr:uid="{00000000-0005-0000-0000-000026040000}"/>
    <cellStyle name="40% - Accent1 3 2 7 2" xfId="12995" xr:uid="{34FDF826-28C3-4A8B-99E8-86164E75767F}"/>
    <cellStyle name="40% - Accent1 3 2 8" xfId="8777" xr:uid="{47C68D41-4306-4ECE-9EAA-3A00AB21B725}"/>
    <cellStyle name="40% - Accent1 3 3" xfId="624" xr:uid="{00000000-0005-0000-0000-000027040000}"/>
    <cellStyle name="40% - Accent1 3 3 2" xfId="2895" xr:uid="{00000000-0005-0000-0000-000028040000}"/>
    <cellStyle name="40% - Accent1 3 3 2 2" xfId="7118" xr:uid="{00000000-0005-0000-0000-000029040000}"/>
    <cellStyle name="40% - Accent1 3 3 2 2 2" xfId="15553" xr:uid="{85663003-D17A-47BA-A23F-22E182D0E004}"/>
    <cellStyle name="40% - Accent1 3 3 2 3" xfId="11335" xr:uid="{0016807C-4B71-4291-A087-5595741C2FA9}"/>
    <cellStyle name="40% - Accent1 3 3 3" xfId="4973" xr:uid="{00000000-0005-0000-0000-00002A040000}"/>
    <cellStyle name="40% - Accent1 3 3 3 2" xfId="13408" xr:uid="{ABC71E85-AEFA-4D2D-80E2-A38AB7154DDD}"/>
    <cellStyle name="40% - Accent1 3 3 4" xfId="9190" xr:uid="{683E978C-1CF9-49FA-951E-B10F3E0121D2}"/>
    <cellStyle name="40% - Accent1 3 4" xfId="1077" xr:uid="{00000000-0005-0000-0000-00002B040000}"/>
    <cellStyle name="40% - Accent1 3 4 2" xfId="3308" xr:uid="{00000000-0005-0000-0000-00002C040000}"/>
    <cellStyle name="40% - Accent1 3 4 2 2" xfId="7531" xr:uid="{00000000-0005-0000-0000-00002D040000}"/>
    <cellStyle name="40% - Accent1 3 4 2 2 2" xfId="15966" xr:uid="{0DB40BB3-665F-4B52-A6C5-0ACD9DA1A594}"/>
    <cellStyle name="40% - Accent1 3 4 2 3" xfId="11748" xr:uid="{6FA3D277-0F02-43E4-9E5C-6C1F9AF7162A}"/>
    <cellStyle name="40% - Accent1 3 4 3" xfId="5386" xr:uid="{00000000-0005-0000-0000-00002E040000}"/>
    <cellStyle name="40% - Accent1 3 4 3 2" xfId="13821" xr:uid="{DAC9101A-9E90-428B-88CC-ED47C162A994}"/>
    <cellStyle name="40% - Accent1 3 4 4" xfId="9603" xr:uid="{B954C710-B22A-4738-B8D7-3BF6EBF49449}"/>
    <cellStyle name="40% - Accent1 3 5" xfId="1491" xr:uid="{00000000-0005-0000-0000-00002F040000}"/>
    <cellStyle name="40% - Accent1 3 5 2" xfId="3721" xr:uid="{00000000-0005-0000-0000-000030040000}"/>
    <cellStyle name="40% - Accent1 3 5 2 2" xfId="7944" xr:uid="{00000000-0005-0000-0000-000031040000}"/>
    <cellStyle name="40% - Accent1 3 5 2 2 2" xfId="16379" xr:uid="{11FB0D9F-CACB-484E-97A7-1B029E9C336A}"/>
    <cellStyle name="40% - Accent1 3 5 2 3" xfId="12161" xr:uid="{91CC5F47-E179-45A0-A088-D97C81DAC01D}"/>
    <cellStyle name="40% - Accent1 3 5 3" xfId="5799" xr:uid="{00000000-0005-0000-0000-000032040000}"/>
    <cellStyle name="40% - Accent1 3 5 3 2" xfId="14234" xr:uid="{B8D86342-AB46-4C6F-94FA-622B3737C5EE}"/>
    <cellStyle name="40% - Accent1 3 5 4" xfId="10016" xr:uid="{810ABCEF-8F4A-4147-BF39-BB766458F6BC}"/>
    <cellStyle name="40% - Accent1 3 6" xfId="1905" xr:uid="{00000000-0005-0000-0000-000033040000}"/>
    <cellStyle name="40% - Accent1 3 6 2" xfId="4134" xr:uid="{00000000-0005-0000-0000-000034040000}"/>
    <cellStyle name="40% - Accent1 3 6 2 2" xfId="8357" xr:uid="{00000000-0005-0000-0000-000035040000}"/>
    <cellStyle name="40% - Accent1 3 6 2 2 2" xfId="16792" xr:uid="{6D1D25F6-D051-42B9-AFD1-F545392C5BFC}"/>
    <cellStyle name="40% - Accent1 3 6 2 3" xfId="12574" xr:uid="{2FB4D93E-9F57-4D5D-BF40-1A012F2A36E2}"/>
    <cellStyle name="40% - Accent1 3 6 3" xfId="6212" xr:uid="{00000000-0005-0000-0000-000036040000}"/>
    <cellStyle name="40% - Accent1 3 6 3 2" xfId="14647" xr:uid="{769B7676-85D4-4258-B744-1CE60E84D8BD}"/>
    <cellStyle name="40% - Accent1 3 6 4" xfId="10429" xr:uid="{417A88B5-14BD-4003-A248-07206CE702AF}"/>
    <cellStyle name="40% - Accent1 3 7" xfId="2318" xr:uid="{00000000-0005-0000-0000-000037040000}"/>
    <cellStyle name="40% - Accent1 3 7 2" xfId="6625" xr:uid="{00000000-0005-0000-0000-000038040000}"/>
    <cellStyle name="40% - Accent1 3 7 2 2" xfId="15060" xr:uid="{F34757B8-0586-46D0-B094-0864E0902DA9}"/>
    <cellStyle name="40% - Accent1 3 7 3" xfId="10842" xr:uid="{ACF02D88-DD84-4818-B6F8-FB215C542EBB}"/>
    <cellStyle name="40% - Accent1 3 8" xfId="4559" xr:uid="{00000000-0005-0000-0000-000039040000}"/>
    <cellStyle name="40% - Accent1 3 8 2" xfId="12994" xr:uid="{9EB95DA7-5BE9-435C-BF99-833C20AA030B}"/>
    <cellStyle name="40% - Accent1 3 9" xfId="8776" xr:uid="{930BFC16-6CF4-47D3-A76B-5BE404423FC2}"/>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2 2 2" xfId="15555" xr:uid="{1362E20C-F7E9-48D2-8499-2881B0205121}"/>
    <cellStyle name="40% - Accent1 4 2 2 3" xfId="11337" xr:uid="{D1FB4A3D-C374-40CE-9114-C5DD81926A70}"/>
    <cellStyle name="40% - Accent1 4 2 3" xfId="4975" xr:uid="{00000000-0005-0000-0000-00003E040000}"/>
    <cellStyle name="40% - Accent1 4 2 3 2" xfId="13410" xr:uid="{D5F1363A-6604-4461-8B79-334EC3005155}"/>
    <cellStyle name="40% - Accent1 4 2 4" xfId="9192" xr:uid="{F1DB7D98-538C-437E-80CC-DFA739D5DAF1}"/>
    <cellStyle name="40% - Accent1 4 3" xfId="1079" xr:uid="{00000000-0005-0000-0000-00003F040000}"/>
    <cellStyle name="40% - Accent1 4 3 2" xfId="3310" xr:uid="{00000000-0005-0000-0000-000040040000}"/>
    <cellStyle name="40% - Accent1 4 3 2 2" xfId="7533" xr:uid="{00000000-0005-0000-0000-000041040000}"/>
    <cellStyle name="40% - Accent1 4 3 2 2 2" xfId="15968" xr:uid="{13B59030-C434-4C3A-AA45-3D7E16BE7C50}"/>
    <cellStyle name="40% - Accent1 4 3 2 3" xfId="11750" xr:uid="{B9099945-8251-4A7F-B768-E8D061CF1DB1}"/>
    <cellStyle name="40% - Accent1 4 3 3" xfId="5388" xr:uid="{00000000-0005-0000-0000-000042040000}"/>
    <cellStyle name="40% - Accent1 4 3 3 2" xfId="13823" xr:uid="{F0537B26-A75B-4713-961A-B77F5D1C1E06}"/>
    <cellStyle name="40% - Accent1 4 3 4" xfId="9605" xr:uid="{895E9761-5192-41EA-80AE-91B31F012BB5}"/>
    <cellStyle name="40% - Accent1 4 4" xfId="1493" xr:uid="{00000000-0005-0000-0000-000043040000}"/>
    <cellStyle name="40% - Accent1 4 4 2" xfId="3723" xr:uid="{00000000-0005-0000-0000-000044040000}"/>
    <cellStyle name="40% - Accent1 4 4 2 2" xfId="7946" xr:uid="{00000000-0005-0000-0000-000045040000}"/>
    <cellStyle name="40% - Accent1 4 4 2 2 2" xfId="16381" xr:uid="{A9E1D7A4-6A99-4719-923E-FF094CD6A85F}"/>
    <cellStyle name="40% - Accent1 4 4 2 3" xfId="12163" xr:uid="{29851B5F-C7E3-43B7-96FB-09B8B47E8D62}"/>
    <cellStyle name="40% - Accent1 4 4 3" xfId="5801" xr:uid="{00000000-0005-0000-0000-000046040000}"/>
    <cellStyle name="40% - Accent1 4 4 3 2" xfId="14236" xr:uid="{41E2EDF2-1E3D-47E4-9D6C-4BAB452C0979}"/>
    <cellStyle name="40% - Accent1 4 4 4" xfId="10018" xr:uid="{CD9460BE-40DE-4C8A-BED3-E67CB12AD096}"/>
    <cellStyle name="40% - Accent1 4 5" xfId="1907" xr:uid="{00000000-0005-0000-0000-000047040000}"/>
    <cellStyle name="40% - Accent1 4 5 2" xfId="4136" xr:uid="{00000000-0005-0000-0000-000048040000}"/>
    <cellStyle name="40% - Accent1 4 5 2 2" xfId="8359" xr:uid="{00000000-0005-0000-0000-000049040000}"/>
    <cellStyle name="40% - Accent1 4 5 2 2 2" xfId="16794" xr:uid="{20C07C3D-A1D0-4440-95B4-BB6CEA68EAC0}"/>
    <cellStyle name="40% - Accent1 4 5 2 3" xfId="12576" xr:uid="{8CE5E069-9F6C-4D39-94E3-9016409B54A0}"/>
    <cellStyle name="40% - Accent1 4 5 3" xfId="6214" xr:uid="{00000000-0005-0000-0000-00004A040000}"/>
    <cellStyle name="40% - Accent1 4 5 3 2" xfId="14649" xr:uid="{A95F6CD0-419E-462A-A7B7-A43737EF37DA}"/>
    <cellStyle name="40% - Accent1 4 5 4" xfId="10431" xr:uid="{5082F8C5-3241-496D-B4D8-7FE76AA1FEC8}"/>
    <cellStyle name="40% - Accent1 4 6" xfId="2320" xr:uid="{00000000-0005-0000-0000-00004B040000}"/>
    <cellStyle name="40% - Accent1 4 6 2" xfId="6627" xr:uid="{00000000-0005-0000-0000-00004C040000}"/>
    <cellStyle name="40% - Accent1 4 6 2 2" xfId="15062" xr:uid="{E2BAF602-6B42-4C70-9DFE-100ED93C3016}"/>
    <cellStyle name="40% - Accent1 4 6 3" xfId="10844" xr:uid="{E5504AE1-772D-4A52-90A6-90AFCAA896D7}"/>
    <cellStyle name="40% - Accent1 4 7" xfId="4561" xr:uid="{00000000-0005-0000-0000-00004D040000}"/>
    <cellStyle name="40% - Accent1 4 7 2" xfId="12996" xr:uid="{C266E6D4-8FE0-4BBC-B55E-90D5BE99B09B}"/>
    <cellStyle name="40% - Accent1 4 8" xfId="8778" xr:uid="{133342CB-0A14-46A6-8273-8C4EF762A511}"/>
    <cellStyle name="40% - Accent1 5" xfId="619" xr:uid="{00000000-0005-0000-0000-00004E040000}"/>
    <cellStyle name="40% - Accent1 5 2" xfId="2890" xr:uid="{00000000-0005-0000-0000-00004F040000}"/>
    <cellStyle name="40% - Accent1 5 2 2" xfId="7113" xr:uid="{00000000-0005-0000-0000-000050040000}"/>
    <cellStyle name="40% - Accent1 5 2 2 2" xfId="15548" xr:uid="{BF5500A6-AD7F-47B8-9E2F-ED3B00117F0D}"/>
    <cellStyle name="40% - Accent1 5 2 3" xfId="11330" xr:uid="{47C0649B-1F33-424A-9F11-F2B28EEDA68F}"/>
    <cellStyle name="40% - Accent1 5 3" xfId="4968" xr:uid="{00000000-0005-0000-0000-000051040000}"/>
    <cellStyle name="40% - Accent1 5 3 2" xfId="13403" xr:uid="{AC0712E3-5140-42C1-B371-0CD7199EF16F}"/>
    <cellStyle name="40% - Accent1 5 4" xfId="9185" xr:uid="{95137B07-2901-48A9-97BF-290675CFC88E}"/>
    <cellStyle name="40% - Accent1 6" xfId="1072" xr:uid="{00000000-0005-0000-0000-000052040000}"/>
    <cellStyle name="40% - Accent1 6 2" xfId="3303" xr:uid="{00000000-0005-0000-0000-000053040000}"/>
    <cellStyle name="40% - Accent1 6 2 2" xfId="7526" xr:uid="{00000000-0005-0000-0000-000054040000}"/>
    <cellStyle name="40% - Accent1 6 2 2 2" xfId="15961" xr:uid="{A6EAC565-DF85-4D4A-8F29-FA20F841BFE0}"/>
    <cellStyle name="40% - Accent1 6 2 3" xfId="11743" xr:uid="{2E12A31E-8BB7-4574-AD4F-FD07EA6DD0F7}"/>
    <cellStyle name="40% - Accent1 6 3" xfId="5381" xr:uid="{00000000-0005-0000-0000-000055040000}"/>
    <cellStyle name="40% - Accent1 6 3 2" xfId="13816" xr:uid="{9FD0706B-FF70-4A00-BA11-3A54372B346D}"/>
    <cellStyle name="40% - Accent1 6 4" xfId="9598" xr:uid="{29E45475-104A-47A3-870F-D8608B481326}"/>
    <cellStyle name="40% - Accent1 7" xfId="1486" xr:uid="{00000000-0005-0000-0000-000056040000}"/>
    <cellStyle name="40% - Accent1 7 2" xfId="3716" xr:uid="{00000000-0005-0000-0000-000057040000}"/>
    <cellStyle name="40% - Accent1 7 2 2" xfId="7939" xr:uid="{00000000-0005-0000-0000-000058040000}"/>
    <cellStyle name="40% - Accent1 7 2 2 2" xfId="16374" xr:uid="{D1155BE7-1B01-4A47-86D0-DFF0D9B77886}"/>
    <cellStyle name="40% - Accent1 7 2 3" xfId="12156" xr:uid="{EB98EF58-D88B-494D-93FC-06B8087B3F28}"/>
    <cellStyle name="40% - Accent1 7 3" xfId="5794" xr:uid="{00000000-0005-0000-0000-000059040000}"/>
    <cellStyle name="40% - Accent1 7 3 2" xfId="14229" xr:uid="{11ACFB06-2122-4AF1-8537-3E0875AE767E}"/>
    <cellStyle name="40% - Accent1 7 4" xfId="10011" xr:uid="{3A677E49-FD59-4280-B387-27909E522F41}"/>
    <cellStyle name="40% - Accent1 8" xfId="1900" xr:uid="{00000000-0005-0000-0000-00005A040000}"/>
    <cellStyle name="40% - Accent1 8 2" xfId="4129" xr:uid="{00000000-0005-0000-0000-00005B040000}"/>
    <cellStyle name="40% - Accent1 8 2 2" xfId="8352" xr:uid="{00000000-0005-0000-0000-00005C040000}"/>
    <cellStyle name="40% - Accent1 8 2 2 2" xfId="16787" xr:uid="{8F800E68-7E31-4331-B3E2-9E13DEA2FA97}"/>
    <cellStyle name="40% - Accent1 8 2 3" xfId="12569" xr:uid="{9C915203-9889-4AFD-820F-4959DBB37ACC}"/>
    <cellStyle name="40% - Accent1 8 3" xfId="6207" xr:uid="{00000000-0005-0000-0000-00005D040000}"/>
    <cellStyle name="40% - Accent1 8 3 2" xfId="14642" xr:uid="{B7A3B632-3A9D-4088-878F-10DF17659F47}"/>
    <cellStyle name="40% - Accent1 8 4" xfId="10424" xr:uid="{11A69230-7F38-4F48-820E-7CE87963D6B5}"/>
    <cellStyle name="40% - Accent1 9" xfId="2313" xr:uid="{00000000-0005-0000-0000-00005E040000}"/>
    <cellStyle name="40% - Accent1 9 2" xfId="6620" xr:uid="{00000000-0005-0000-0000-00005F040000}"/>
    <cellStyle name="40% - Accent1 9 2 2" xfId="15055" xr:uid="{AC16F971-6FC7-4A11-A33F-79A60A7DF1C4}"/>
    <cellStyle name="40% - Accent1 9 3" xfId="10837" xr:uid="{19B5BBEC-11FD-47C1-ADE2-66BE71B7FA76}"/>
    <cellStyle name="40% - Accent2" xfId="57" builtinId="35" customBuiltin="1"/>
    <cellStyle name="40% - Accent2 10" xfId="4562" xr:uid="{00000000-0005-0000-0000-000061040000}"/>
    <cellStyle name="40% - Accent2 10 2" xfId="12997" xr:uid="{AB9B6F75-904C-4FB4-B088-4C870611E77F}"/>
    <cellStyle name="40% - Accent2 11" xfId="8779" xr:uid="{F11E0B99-1D1B-4082-91EC-15F299AF87BB}"/>
    <cellStyle name="40% - Accent2 2" xfId="58" xr:uid="{00000000-0005-0000-0000-000062040000}"/>
    <cellStyle name="40% - Accent2 2 10" xfId="8780" xr:uid="{35BC9D00-607E-4F21-B887-A9CA3DF03748}"/>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2 2 2" xfId="15559" xr:uid="{823B78D5-4A35-4ECF-831F-2C3B5E8025D8}"/>
    <cellStyle name="40% - Accent2 2 2 2 2 2 3" xfId="11341" xr:uid="{332E1E8B-40A1-4A51-9C8F-72886EA9520A}"/>
    <cellStyle name="40% - Accent2 2 2 2 2 3" xfId="4979" xr:uid="{00000000-0005-0000-0000-000068040000}"/>
    <cellStyle name="40% - Accent2 2 2 2 2 3 2" xfId="13414" xr:uid="{63EC1486-BC99-4F16-A645-35B5A2340EC4}"/>
    <cellStyle name="40% - Accent2 2 2 2 2 4" xfId="9196" xr:uid="{99A3D735-49A1-42BF-BB02-36AA29F58257}"/>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2 2 2" xfId="15972" xr:uid="{94FC2605-18A0-4D2A-81B2-2998B7CB1ADD}"/>
    <cellStyle name="40% - Accent2 2 2 2 3 2 3" xfId="11754" xr:uid="{93E7C04B-2A34-4F22-AAFC-27C59FEAFA24}"/>
    <cellStyle name="40% - Accent2 2 2 2 3 3" xfId="5392" xr:uid="{00000000-0005-0000-0000-00006C040000}"/>
    <cellStyle name="40% - Accent2 2 2 2 3 3 2" xfId="13827" xr:uid="{57AF8058-CA0D-4EA0-B484-1D926357AE1E}"/>
    <cellStyle name="40% - Accent2 2 2 2 3 4" xfId="9609" xr:uid="{92314993-7BDF-4BBE-A6AB-03ABE42047F8}"/>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2 2 2" xfId="16385" xr:uid="{7C6E75B1-5FDB-4B48-8CA1-56990B611329}"/>
    <cellStyle name="40% - Accent2 2 2 2 4 2 3" xfId="12167" xr:uid="{EF3708A2-6077-4039-9E64-656FDCCD8648}"/>
    <cellStyle name="40% - Accent2 2 2 2 4 3" xfId="5805" xr:uid="{00000000-0005-0000-0000-000070040000}"/>
    <cellStyle name="40% - Accent2 2 2 2 4 3 2" xfId="14240" xr:uid="{8ED12443-22EE-4EB4-9765-CA1C64499DEA}"/>
    <cellStyle name="40% - Accent2 2 2 2 4 4" xfId="10022" xr:uid="{15AFC3AF-8401-421E-9A76-2FD5997BB897}"/>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2 2 2" xfId="16798" xr:uid="{F064CD20-47B7-48EC-9DB6-164DF52C0ABA}"/>
    <cellStyle name="40% - Accent2 2 2 2 5 2 3" xfId="12580" xr:uid="{5EB89C4D-EEBC-456A-9BBE-3A01DDC41BC7}"/>
    <cellStyle name="40% - Accent2 2 2 2 5 3" xfId="6218" xr:uid="{00000000-0005-0000-0000-000074040000}"/>
    <cellStyle name="40% - Accent2 2 2 2 5 3 2" xfId="14653" xr:uid="{CE3F053F-317B-4D71-8556-B04006597708}"/>
    <cellStyle name="40% - Accent2 2 2 2 5 4" xfId="10435" xr:uid="{3186D7AC-B004-464F-A20F-78FB78E654DB}"/>
    <cellStyle name="40% - Accent2 2 2 2 6" xfId="2324" xr:uid="{00000000-0005-0000-0000-000075040000}"/>
    <cellStyle name="40% - Accent2 2 2 2 6 2" xfId="6631" xr:uid="{00000000-0005-0000-0000-000076040000}"/>
    <cellStyle name="40% - Accent2 2 2 2 6 2 2" xfId="15066" xr:uid="{AC0A9D52-ACF8-49F3-A4C9-D03634625874}"/>
    <cellStyle name="40% - Accent2 2 2 2 6 3" xfId="10848" xr:uid="{D26E2F17-C3F6-4C16-903E-2D669D6CEDB0}"/>
    <cellStyle name="40% - Accent2 2 2 2 7" xfId="4565" xr:uid="{00000000-0005-0000-0000-000077040000}"/>
    <cellStyle name="40% - Accent2 2 2 2 7 2" xfId="13000" xr:uid="{3AAF0B37-0872-4404-8E6C-76659E3FE086}"/>
    <cellStyle name="40% - Accent2 2 2 2 8" xfId="8782" xr:uid="{E0DA8CC2-5FAB-4595-94BD-637062C7D4CB}"/>
    <cellStyle name="40% - Accent2 2 2 3" xfId="629" xr:uid="{00000000-0005-0000-0000-000078040000}"/>
    <cellStyle name="40% - Accent2 2 2 3 2" xfId="2900" xr:uid="{00000000-0005-0000-0000-000079040000}"/>
    <cellStyle name="40% - Accent2 2 2 3 2 2" xfId="7123" xr:uid="{00000000-0005-0000-0000-00007A040000}"/>
    <cellStyle name="40% - Accent2 2 2 3 2 2 2" xfId="15558" xr:uid="{C64AA59F-4979-40AD-8C39-F5187BE0CBCB}"/>
    <cellStyle name="40% - Accent2 2 2 3 2 3" xfId="11340" xr:uid="{882C0BC0-83E7-4FCB-830D-E8A7D3E02559}"/>
    <cellStyle name="40% - Accent2 2 2 3 3" xfId="4978" xr:uid="{00000000-0005-0000-0000-00007B040000}"/>
    <cellStyle name="40% - Accent2 2 2 3 3 2" xfId="13413" xr:uid="{0BD0EC9C-A2FF-4155-BB22-1A60404CE823}"/>
    <cellStyle name="40% - Accent2 2 2 3 4" xfId="9195" xr:uid="{EBD10E10-E73C-45ED-93DE-D900EA767C9C}"/>
    <cellStyle name="40% - Accent2 2 2 4" xfId="1082" xr:uid="{00000000-0005-0000-0000-00007C040000}"/>
    <cellStyle name="40% - Accent2 2 2 4 2" xfId="3313" xr:uid="{00000000-0005-0000-0000-00007D040000}"/>
    <cellStyle name="40% - Accent2 2 2 4 2 2" xfId="7536" xr:uid="{00000000-0005-0000-0000-00007E040000}"/>
    <cellStyle name="40% - Accent2 2 2 4 2 2 2" xfId="15971" xr:uid="{51525088-4F1A-408D-997C-B9EF6295A28C}"/>
    <cellStyle name="40% - Accent2 2 2 4 2 3" xfId="11753" xr:uid="{E102FAEE-E9EC-42D7-8F3F-E7CC7653327D}"/>
    <cellStyle name="40% - Accent2 2 2 4 3" xfId="5391" xr:uid="{00000000-0005-0000-0000-00007F040000}"/>
    <cellStyle name="40% - Accent2 2 2 4 3 2" xfId="13826" xr:uid="{5FC21A0D-610E-4B5A-9DD2-B94A8EC0EC7B}"/>
    <cellStyle name="40% - Accent2 2 2 4 4" xfId="9608" xr:uid="{FB40BECD-3817-4F2A-B55B-E3A1CDCB0F8E}"/>
    <cellStyle name="40% - Accent2 2 2 5" xfId="1496" xr:uid="{00000000-0005-0000-0000-000080040000}"/>
    <cellStyle name="40% - Accent2 2 2 5 2" xfId="3726" xr:uid="{00000000-0005-0000-0000-000081040000}"/>
    <cellStyle name="40% - Accent2 2 2 5 2 2" xfId="7949" xr:uid="{00000000-0005-0000-0000-000082040000}"/>
    <cellStyle name="40% - Accent2 2 2 5 2 2 2" xfId="16384" xr:uid="{28BC45F1-EB96-4E98-AC2A-D7239F5EF609}"/>
    <cellStyle name="40% - Accent2 2 2 5 2 3" xfId="12166" xr:uid="{11ADFA52-837D-4D20-B6D0-A961160155E8}"/>
    <cellStyle name="40% - Accent2 2 2 5 3" xfId="5804" xr:uid="{00000000-0005-0000-0000-000083040000}"/>
    <cellStyle name="40% - Accent2 2 2 5 3 2" xfId="14239" xr:uid="{7E321548-6C14-46BF-A931-4B335DE0FD2F}"/>
    <cellStyle name="40% - Accent2 2 2 5 4" xfId="10021" xr:uid="{51BB654C-2618-4ED9-A9E7-1804682B0229}"/>
    <cellStyle name="40% - Accent2 2 2 6" xfId="1910" xr:uid="{00000000-0005-0000-0000-000084040000}"/>
    <cellStyle name="40% - Accent2 2 2 6 2" xfId="4139" xr:uid="{00000000-0005-0000-0000-000085040000}"/>
    <cellStyle name="40% - Accent2 2 2 6 2 2" xfId="8362" xr:uid="{00000000-0005-0000-0000-000086040000}"/>
    <cellStyle name="40% - Accent2 2 2 6 2 2 2" xfId="16797" xr:uid="{893C8553-A29B-4F09-99E0-8A429924A0D0}"/>
    <cellStyle name="40% - Accent2 2 2 6 2 3" xfId="12579" xr:uid="{FED9B6D1-9EC1-475C-ACA3-ED3D2AD3425C}"/>
    <cellStyle name="40% - Accent2 2 2 6 3" xfId="6217" xr:uid="{00000000-0005-0000-0000-000087040000}"/>
    <cellStyle name="40% - Accent2 2 2 6 3 2" xfId="14652" xr:uid="{B81EAC50-2B4D-433A-9FC5-0C373275365A}"/>
    <cellStyle name="40% - Accent2 2 2 6 4" xfId="10434" xr:uid="{6C3A0C15-85E2-4AAE-828F-F0B8F17425A4}"/>
    <cellStyle name="40% - Accent2 2 2 7" xfId="2323" xr:uid="{00000000-0005-0000-0000-000088040000}"/>
    <cellStyle name="40% - Accent2 2 2 7 2" xfId="6630" xr:uid="{00000000-0005-0000-0000-000089040000}"/>
    <cellStyle name="40% - Accent2 2 2 7 2 2" xfId="15065" xr:uid="{8E741574-1080-40A5-A761-324269616E08}"/>
    <cellStyle name="40% - Accent2 2 2 7 3" xfId="10847" xr:uid="{0A03FDB8-B088-40AA-87E0-31F0C8E2A118}"/>
    <cellStyle name="40% - Accent2 2 2 8" xfId="4564" xr:uid="{00000000-0005-0000-0000-00008A040000}"/>
    <cellStyle name="40% - Accent2 2 2 8 2" xfId="12999" xr:uid="{5FC2699F-91B9-4D0C-8073-597415503ED8}"/>
    <cellStyle name="40% - Accent2 2 2 9" xfId="8781" xr:uid="{237E3329-666E-42D0-A04E-03110EC331E3}"/>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2 2 2" xfId="15560" xr:uid="{A644F3BD-336B-4F89-A69F-F9045BD98567}"/>
    <cellStyle name="40% - Accent2 2 3 2 2 3" xfId="11342" xr:uid="{9A54FD3A-36E5-409F-BD5A-27B07A86B3DF}"/>
    <cellStyle name="40% - Accent2 2 3 2 3" xfId="4980" xr:uid="{00000000-0005-0000-0000-00008F040000}"/>
    <cellStyle name="40% - Accent2 2 3 2 3 2" xfId="13415" xr:uid="{DFF3095B-F315-455B-B4FC-041BAEAB719F}"/>
    <cellStyle name="40% - Accent2 2 3 2 4" xfId="9197" xr:uid="{FD09430F-0674-4783-8A0B-169E10E4F13E}"/>
    <cellStyle name="40% - Accent2 2 3 3" xfId="1084" xr:uid="{00000000-0005-0000-0000-000090040000}"/>
    <cellStyle name="40% - Accent2 2 3 3 2" xfId="3315" xr:uid="{00000000-0005-0000-0000-000091040000}"/>
    <cellStyle name="40% - Accent2 2 3 3 2 2" xfId="7538" xr:uid="{00000000-0005-0000-0000-000092040000}"/>
    <cellStyle name="40% - Accent2 2 3 3 2 2 2" xfId="15973" xr:uid="{2EA99C1E-E0AC-4F44-93B9-D626731BFA70}"/>
    <cellStyle name="40% - Accent2 2 3 3 2 3" xfId="11755" xr:uid="{2E479086-D1A0-4586-981D-7B5FC79E9F6E}"/>
    <cellStyle name="40% - Accent2 2 3 3 3" xfId="5393" xr:uid="{00000000-0005-0000-0000-000093040000}"/>
    <cellStyle name="40% - Accent2 2 3 3 3 2" xfId="13828" xr:uid="{2465990F-9479-42E1-B834-B986FD3AAD42}"/>
    <cellStyle name="40% - Accent2 2 3 3 4" xfId="9610" xr:uid="{2A35D3AD-9A6F-4B40-BE1F-18F4BF3905B7}"/>
    <cellStyle name="40% - Accent2 2 3 4" xfId="1498" xr:uid="{00000000-0005-0000-0000-000094040000}"/>
    <cellStyle name="40% - Accent2 2 3 4 2" xfId="3728" xr:uid="{00000000-0005-0000-0000-000095040000}"/>
    <cellStyle name="40% - Accent2 2 3 4 2 2" xfId="7951" xr:uid="{00000000-0005-0000-0000-000096040000}"/>
    <cellStyle name="40% - Accent2 2 3 4 2 2 2" xfId="16386" xr:uid="{C634240A-AE33-4249-B325-66CBDAC80DE1}"/>
    <cellStyle name="40% - Accent2 2 3 4 2 3" xfId="12168" xr:uid="{9B51A887-2300-415B-9B8A-663864EA88D8}"/>
    <cellStyle name="40% - Accent2 2 3 4 3" xfId="5806" xr:uid="{00000000-0005-0000-0000-000097040000}"/>
    <cellStyle name="40% - Accent2 2 3 4 3 2" xfId="14241" xr:uid="{2619FB72-2330-4EB6-ABC8-DB1CC0AF6BDC}"/>
    <cellStyle name="40% - Accent2 2 3 4 4" xfId="10023" xr:uid="{E3BBC6F8-2D59-4993-80FE-E96848C200F2}"/>
    <cellStyle name="40% - Accent2 2 3 5" xfId="1912" xr:uid="{00000000-0005-0000-0000-000098040000}"/>
    <cellStyle name="40% - Accent2 2 3 5 2" xfId="4141" xr:uid="{00000000-0005-0000-0000-000099040000}"/>
    <cellStyle name="40% - Accent2 2 3 5 2 2" xfId="8364" xr:uid="{00000000-0005-0000-0000-00009A040000}"/>
    <cellStyle name="40% - Accent2 2 3 5 2 2 2" xfId="16799" xr:uid="{95FAE7CD-FC2C-4E10-AEA9-F0CD0F565620}"/>
    <cellStyle name="40% - Accent2 2 3 5 2 3" xfId="12581" xr:uid="{C11DAB74-B561-4A80-9D31-344D0B471877}"/>
    <cellStyle name="40% - Accent2 2 3 5 3" xfId="6219" xr:uid="{00000000-0005-0000-0000-00009B040000}"/>
    <cellStyle name="40% - Accent2 2 3 5 3 2" xfId="14654" xr:uid="{72757B98-1629-48C7-BCD2-61E3880E3BFE}"/>
    <cellStyle name="40% - Accent2 2 3 5 4" xfId="10436" xr:uid="{7B6617C5-4372-4B98-A624-9AAA24A9F469}"/>
    <cellStyle name="40% - Accent2 2 3 6" xfId="2325" xr:uid="{00000000-0005-0000-0000-00009C040000}"/>
    <cellStyle name="40% - Accent2 2 3 6 2" xfId="6632" xr:uid="{00000000-0005-0000-0000-00009D040000}"/>
    <cellStyle name="40% - Accent2 2 3 6 2 2" xfId="15067" xr:uid="{0889BFF2-CB77-4789-861B-CB102D113A9F}"/>
    <cellStyle name="40% - Accent2 2 3 6 3" xfId="10849" xr:uid="{E97A9686-79FA-4B5C-861D-96083128BC14}"/>
    <cellStyle name="40% - Accent2 2 3 7" xfId="4566" xr:uid="{00000000-0005-0000-0000-00009E040000}"/>
    <cellStyle name="40% - Accent2 2 3 7 2" xfId="13001" xr:uid="{8BE53CC8-03C0-49EE-A26F-FE63F19A5C49}"/>
    <cellStyle name="40% - Accent2 2 3 8" xfId="8783" xr:uid="{E0EE9DC0-FED3-40F3-AA20-2B55BE69C1BD}"/>
    <cellStyle name="40% - Accent2 2 4" xfId="628" xr:uid="{00000000-0005-0000-0000-00009F040000}"/>
    <cellStyle name="40% - Accent2 2 4 2" xfId="2899" xr:uid="{00000000-0005-0000-0000-0000A0040000}"/>
    <cellStyle name="40% - Accent2 2 4 2 2" xfId="7122" xr:uid="{00000000-0005-0000-0000-0000A1040000}"/>
    <cellStyle name="40% - Accent2 2 4 2 2 2" xfId="15557" xr:uid="{4BAD7392-F851-4EA1-891B-4DCFFFA10728}"/>
    <cellStyle name="40% - Accent2 2 4 2 3" xfId="11339" xr:uid="{ABF1F26E-1756-4E79-B2F8-DD49D8B33E82}"/>
    <cellStyle name="40% - Accent2 2 4 3" xfId="4977" xr:uid="{00000000-0005-0000-0000-0000A2040000}"/>
    <cellStyle name="40% - Accent2 2 4 3 2" xfId="13412" xr:uid="{2863574D-89B6-4506-9A5E-58A520EFABA7}"/>
    <cellStyle name="40% - Accent2 2 4 4" xfId="9194" xr:uid="{DB7B7280-4A2E-4126-8A2C-69CC253EEACC}"/>
    <cellStyle name="40% - Accent2 2 5" xfId="1081" xr:uid="{00000000-0005-0000-0000-0000A3040000}"/>
    <cellStyle name="40% - Accent2 2 5 2" xfId="3312" xr:uid="{00000000-0005-0000-0000-0000A4040000}"/>
    <cellStyle name="40% - Accent2 2 5 2 2" xfId="7535" xr:uid="{00000000-0005-0000-0000-0000A5040000}"/>
    <cellStyle name="40% - Accent2 2 5 2 2 2" xfId="15970" xr:uid="{669AB106-48E9-4A5C-A0C1-2F15FD03D646}"/>
    <cellStyle name="40% - Accent2 2 5 2 3" xfId="11752" xr:uid="{780C9525-F763-4C1D-8763-B153F4D9CF4E}"/>
    <cellStyle name="40% - Accent2 2 5 3" xfId="5390" xr:uid="{00000000-0005-0000-0000-0000A6040000}"/>
    <cellStyle name="40% - Accent2 2 5 3 2" xfId="13825" xr:uid="{52684827-51D1-4ADA-BC2D-49E09AD72AB5}"/>
    <cellStyle name="40% - Accent2 2 5 4" xfId="9607" xr:uid="{1F3535CB-9FB3-4A16-AD4D-BAFB31E48862}"/>
    <cellStyle name="40% - Accent2 2 6" xfId="1495" xr:uid="{00000000-0005-0000-0000-0000A7040000}"/>
    <cellStyle name="40% - Accent2 2 6 2" xfId="3725" xr:uid="{00000000-0005-0000-0000-0000A8040000}"/>
    <cellStyle name="40% - Accent2 2 6 2 2" xfId="7948" xr:uid="{00000000-0005-0000-0000-0000A9040000}"/>
    <cellStyle name="40% - Accent2 2 6 2 2 2" xfId="16383" xr:uid="{1414DFA8-188E-40C5-B4C6-8903F3C41453}"/>
    <cellStyle name="40% - Accent2 2 6 2 3" xfId="12165" xr:uid="{0F6FD7BE-7630-4AC3-B9BC-E139F3A565B2}"/>
    <cellStyle name="40% - Accent2 2 6 3" xfId="5803" xr:uid="{00000000-0005-0000-0000-0000AA040000}"/>
    <cellStyle name="40% - Accent2 2 6 3 2" xfId="14238" xr:uid="{84F91CBC-5A8E-43AD-95E2-B6EF58566165}"/>
    <cellStyle name="40% - Accent2 2 6 4" xfId="10020" xr:uid="{578D97E9-1E3B-425D-906B-1FF8404C1AD4}"/>
    <cellStyle name="40% - Accent2 2 7" xfId="1909" xr:uid="{00000000-0005-0000-0000-0000AB040000}"/>
    <cellStyle name="40% - Accent2 2 7 2" xfId="4138" xr:uid="{00000000-0005-0000-0000-0000AC040000}"/>
    <cellStyle name="40% - Accent2 2 7 2 2" xfId="8361" xr:uid="{00000000-0005-0000-0000-0000AD040000}"/>
    <cellStyle name="40% - Accent2 2 7 2 2 2" xfId="16796" xr:uid="{27C1D7E0-F6EF-475F-80F6-CAB3CC8803DF}"/>
    <cellStyle name="40% - Accent2 2 7 2 3" xfId="12578" xr:uid="{52786504-7BE7-43E8-929F-443C09C43033}"/>
    <cellStyle name="40% - Accent2 2 7 3" xfId="6216" xr:uid="{00000000-0005-0000-0000-0000AE040000}"/>
    <cellStyle name="40% - Accent2 2 7 3 2" xfId="14651" xr:uid="{EB56A5B4-0136-43F1-B1B7-82B1D06A0C91}"/>
    <cellStyle name="40% - Accent2 2 7 4" xfId="10433" xr:uid="{36491EDE-B751-44B5-AD87-42A71D8255AD}"/>
    <cellStyle name="40% - Accent2 2 8" xfId="2322" xr:uid="{00000000-0005-0000-0000-0000AF040000}"/>
    <cellStyle name="40% - Accent2 2 8 2" xfId="6629" xr:uid="{00000000-0005-0000-0000-0000B0040000}"/>
    <cellStyle name="40% - Accent2 2 8 2 2" xfId="15064" xr:uid="{C56B947E-6F2F-4ECF-9A36-5650E0DB0D20}"/>
    <cellStyle name="40% - Accent2 2 8 3" xfId="10846" xr:uid="{BA3FA5DF-CE82-4455-B5AB-7B4F7FD64D8F}"/>
    <cellStyle name="40% - Accent2 2 9" xfId="4563" xr:uid="{00000000-0005-0000-0000-0000B1040000}"/>
    <cellStyle name="40% - Accent2 2 9 2" xfId="12998" xr:uid="{8AC76132-1176-4694-9CF1-B98261B41251}"/>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2 2 2" xfId="15562" xr:uid="{FE7B36F4-36E6-458C-AFA0-980D988F777A}"/>
    <cellStyle name="40% - Accent2 3 2 2 2 3" xfId="11344" xr:uid="{F59933E5-549C-4B87-BC73-9BB7305AF13A}"/>
    <cellStyle name="40% - Accent2 3 2 2 3" xfId="4982" xr:uid="{00000000-0005-0000-0000-0000B7040000}"/>
    <cellStyle name="40% - Accent2 3 2 2 3 2" xfId="13417" xr:uid="{06134788-6B78-4E3B-A94D-3CB0ED4C6C76}"/>
    <cellStyle name="40% - Accent2 3 2 2 4" xfId="9199" xr:uid="{85821FE2-9EF1-4160-905A-C23D0E348DE6}"/>
    <cellStyle name="40% - Accent2 3 2 3" xfId="1086" xr:uid="{00000000-0005-0000-0000-0000B8040000}"/>
    <cellStyle name="40% - Accent2 3 2 3 2" xfId="3317" xr:uid="{00000000-0005-0000-0000-0000B9040000}"/>
    <cellStyle name="40% - Accent2 3 2 3 2 2" xfId="7540" xr:uid="{00000000-0005-0000-0000-0000BA040000}"/>
    <cellStyle name="40% - Accent2 3 2 3 2 2 2" xfId="15975" xr:uid="{F204EDE2-3152-47E5-8F0B-A3EFF0004EBD}"/>
    <cellStyle name="40% - Accent2 3 2 3 2 3" xfId="11757" xr:uid="{0115610F-2A03-4637-BE78-E0310B4F7FA6}"/>
    <cellStyle name="40% - Accent2 3 2 3 3" xfId="5395" xr:uid="{00000000-0005-0000-0000-0000BB040000}"/>
    <cellStyle name="40% - Accent2 3 2 3 3 2" xfId="13830" xr:uid="{52CC9EFE-0304-4754-A3AA-7C781AF3E1C0}"/>
    <cellStyle name="40% - Accent2 3 2 3 4" xfId="9612" xr:uid="{33387A4A-9ADD-42D9-B245-D39C02578421}"/>
    <cellStyle name="40% - Accent2 3 2 4" xfId="1500" xr:uid="{00000000-0005-0000-0000-0000BC040000}"/>
    <cellStyle name="40% - Accent2 3 2 4 2" xfId="3730" xr:uid="{00000000-0005-0000-0000-0000BD040000}"/>
    <cellStyle name="40% - Accent2 3 2 4 2 2" xfId="7953" xr:uid="{00000000-0005-0000-0000-0000BE040000}"/>
    <cellStyle name="40% - Accent2 3 2 4 2 2 2" xfId="16388" xr:uid="{8739765D-58EA-411D-8299-5D42313124F4}"/>
    <cellStyle name="40% - Accent2 3 2 4 2 3" xfId="12170" xr:uid="{9687AF2E-3292-46D8-B334-A2C391BDCA9D}"/>
    <cellStyle name="40% - Accent2 3 2 4 3" xfId="5808" xr:uid="{00000000-0005-0000-0000-0000BF040000}"/>
    <cellStyle name="40% - Accent2 3 2 4 3 2" xfId="14243" xr:uid="{3552E73B-85CB-4275-92A5-218B139EBA67}"/>
    <cellStyle name="40% - Accent2 3 2 4 4" xfId="10025" xr:uid="{55FA5108-03F8-4CBF-82A1-78873A77D2ED}"/>
    <cellStyle name="40% - Accent2 3 2 5" xfId="1914" xr:uid="{00000000-0005-0000-0000-0000C0040000}"/>
    <cellStyle name="40% - Accent2 3 2 5 2" xfId="4143" xr:uid="{00000000-0005-0000-0000-0000C1040000}"/>
    <cellStyle name="40% - Accent2 3 2 5 2 2" xfId="8366" xr:uid="{00000000-0005-0000-0000-0000C2040000}"/>
    <cellStyle name="40% - Accent2 3 2 5 2 2 2" xfId="16801" xr:uid="{72A17593-BDE4-4BB4-90E5-3B6CC18EA327}"/>
    <cellStyle name="40% - Accent2 3 2 5 2 3" xfId="12583" xr:uid="{7908E874-2935-4A48-9A0E-CF0BF20FD594}"/>
    <cellStyle name="40% - Accent2 3 2 5 3" xfId="6221" xr:uid="{00000000-0005-0000-0000-0000C3040000}"/>
    <cellStyle name="40% - Accent2 3 2 5 3 2" xfId="14656" xr:uid="{10B8235E-88F3-46C7-9A9F-A6F163DCAF5E}"/>
    <cellStyle name="40% - Accent2 3 2 5 4" xfId="10438" xr:uid="{9660E7F7-A40E-479F-AFE3-5012BBB7234A}"/>
    <cellStyle name="40% - Accent2 3 2 6" xfId="2327" xr:uid="{00000000-0005-0000-0000-0000C4040000}"/>
    <cellStyle name="40% - Accent2 3 2 6 2" xfId="6634" xr:uid="{00000000-0005-0000-0000-0000C5040000}"/>
    <cellStyle name="40% - Accent2 3 2 6 2 2" xfId="15069" xr:uid="{9006CAEA-436C-43FC-8279-0487B4003CAF}"/>
    <cellStyle name="40% - Accent2 3 2 6 3" xfId="10851" xr:uid="{3CD9AAD8-2046-465A-B945-08F1C9366A8D}"/>
    <cellStyle name="40% - Accent2 3 2 7" xfId="4568" xr:uid="{00000000-0005-0000-0000-0000C6040000}"/>
    <cellStyle name="40% - Accent2 3 2 7 2" xfId="13003" xr:uid="{663F5EE5-41F3-43D5-85A4-55F7784C04A5}"/>
    <cellStyle name="40% - Accent2 3 2 8" xfId="8785" xr:uid="{D1CEA532-B466-4278-A0EB-D97C1643A23A}"/>
    <cellStyle name="40% - Accent2 3 3" xfId="632" xr:uid="{00000000-0005-0000-0000-0000C7040000}"/>
    <cellStyle name="40% - Accent2 3 3 2" xfId="2903" xr:uid="{00000000-0005-0000-0000-0000C8040000}"/>
    <cellStyle name="40% - Accent2 3 3 2 2" xfId="7126" xr:uid="{00000000-0005-0000-0000-0000C9040000}"/>
    <cellStyle name="40% - Accent2 3 3 2 2 2" xfId="15561" xr:uid="{9D0EE445-CA6D-4E0C-AA51-4E8F85EA2044}"/>
    <cellStyle name="40% - Accent2 3 3 2 3" xfId="11343" xr:uid="{DFC09605-F4B9-4B11-ADFE-E7377FDEF698}"/>
    <cellStyle name="40% - Accent2 3 3 3" xfId="4981" xr:uid="{00000000-0005-0000-0000-0000CA040000}"/>
    <cellStyle name="40% - Accent2 3 3 3 2" xfId="13416" xr:uid="{EB9255E1-219D-4315-B8EF-91D90484C630}"/>
    <cellStyle name="40% - Accent2 3 3 4" xfId="9198" xr:uid="{087C86FD-8719-43F4-B6F0-1CBAD59EE885}"/>
    <cellStyle name="40% - Accent2 3 4" xfId="1085" xr:uid="{00000000-0005-0000-0000-0000CB040000}"/>
    <cellStyle name="40% - Accent2 3 4 2" xfId="3316" xr:uid="{00000000-0005-0000-0000-0000CC040000}"/>
    <cellStyle name="40% - Accent2 3 4 2 2" xfId="7539" xr:uid="{00000000-0005-0000-0000-0000CD040000}"/>
    <cellStyle name="40% - Accent2 3 4 2 2 2" xfId="15974" xr:uid="{D66B432D-651C-4587-A265-EFE198747CBD}"/>
    <cellStyle name="40% - Accent2 3 4 2 3" xfId="11756" xr:uid="{B5283A28-EE49-40F0-A016-B6262D074D72}"/>
    <cellStyle name="40% - Accent2 3 4 3" xfId="5394" xr:uid="{00000000-0005-0000-0000-0000CE040000}"/>
    <cellStyle name="40% - Accent2 3 4 3 2" xfId="13829" xr:uid="{6C55A18F-846A-4641-8B9D-8349CBD79B55}"/>
    <cellStyle name="40% - Accent2 3 4 4" xfId="9611" xr:uid="{FEE51C60-0CC8-4B73-8F44-4B6307E14393}"/>
    <cellStyle name="40% - Accent2 3 5" xfId="1499" xr:uid="{00000000-0005-0000-0000-0000CF040000}"/>
    <cellStyle name="40% - Accent2 3 5 2" xfId="3729" xr:uid="{00000000-0005-0000-0000-0000D0040000}"/>
    <cellStyle name="40% - Accent2 3 5 2 2" xfId="7952" xr:uid="{00000000-0005-0000-0000-0000D1040000}"/>
    <cellStyle name="40% - Accent2 3 5 2 2 2" xfId="16387" xr:uid="{B09B387D-4CFD-4577-9DC0-4E45544E3673}"/>
    <cellStyle name="40% - Accent2 3 5 2 3" xfId="12169" xr:uid="{8156614D-DD83-41E6-9141-AFE86B3E0236}"/>
    <cellStyle name="40% - Accent2 3 5 3" xfId="5807" xr:uid="{00000000-0005-0000-0000-0000D2040000}"/>
    <cellStyle name="40% - Accent2 3 5 3 2" xfId="14242" xr:uid="{BB6D3850-AD19-4ECB-BF98-0E2C7C0E8762}"/>
    <cellStyle name="40% - Accent2 3 5 4" xfId="10024" xr:uid="{354E3FA3-063A-4B23-9B2E-4EF2A1A6D48D}"/>
    <cellStyle name="40% - Accent2 3 6" xfId="1913" xr:uid="{00000000-0005-0000-0000-0000D3040000}"/>
    <cellStyle name="40% - Accent2 3 6 2" xfId="4142" xr:uid="{00000000-0005-0000-0000-0000D4040000}"/>
    <cellStyle name="40% - Accent2 3 6 2 2" xfId="8365" xr:uid="{00000000-0005-0000-0000-0000D5040000}"/>
    <cellStyle name="40% - Accent2 3 6 2 2 2" xfId="16800" xr:uid="{4CBB1280-F109-4859-A8AF-F2ED89FC5C84}"/>
    <cellStyle name="40% - Accent2 3 6 2 3" xfId="12582" xr:uid="{41FB4F2D-AB80-4F19-B83D-70C26EA034D7}"/>
    <cellStyle name="40% - Accent2 3 6 3" xfId="6220" xr:uid="{00000000-0005-0000-0000-0000D6040000}"/>
    <cellStyle name="40% - Accent2 3 6 3 2" xfId="14655" xr:uid="{8F2CBF13-3719-42C8-A40F-015EEAFBE948}"/>
    <cellStyle name="40% - Accent2 3 6 4" xfId="10437" xr:uid="{24451A04-C71B-44DA-A507-46073B43EA14}"/>
    <cellStyle name="40% - Accent2 3 7" xfId="2326" xr:uid="{00000000-0005-0000-0000-0000D7040000}"/>
    <cellStyle name="40% - Accent2 3 7 2" xfId="6633" xr:uid="{00000000-0005-0000-0000-0000D8040000}"/>
    <cellStyle name="40% - Accent2 3 7 2 2" xfId="15068" xr:uid="{8553E74B-A13D-42DF-B386-36F78A3CB794}"/>
    <cellStyle name="40% - Accent2 3 7 3" xfId="10850" xr:uid="{7A5993FD-39FA-444A-9862-F78FC100B30A}"/>
    <cellStyle name="40% - Accent2 3 8" xfId="4567" xr:uid="{00000000-0005-0000-0000-0000D9040000}"/>
    <cellStyle name="40% - Accent2 3 8 2" xfId="13002" xr:uid="{FA51C8AE-4341-4CD1-9C5D-0A9D2A195E8B}"/>
    <cellStyle name="40% - Accent2 3 9" xfId="8784" xr:uid="{DCBF0DC8-930A-43EB-B9BE-AF6428B8B813}"/>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2 2 2" xfId="15563" xr:uid="{38CE9FBB-92C3-45AE-BF45-271404BD0FAC}"/>
    <cellStyle name="40% - Accent2 4 2 2 3" xfId="11345" xr:uid="{A1237F3C-5D31-434E-8BBB-1B1DC6D9C067}"/>
    <cellStyle name="40% - Accent2 4 2 3" xfId="4983" xr:uid="{00000000-0005-0000-0000-0000DE040000}"/>
    <cellStyle name="40% - Accent2 4 2 3 2" xfId="13418" xr:uid="{6032EFE8-6AF3-4058-86C1-DCD77F257940}"/>
    <cellStyle name="40% - Accent2 4 2 4" xfId="9200" xr:uid="{29F39693-8FD2-4A07-93CC-3AAD7F35DE01}"/>
    <cellStyle name="40% - Accent2 4 3" xfId="1087" xr:uid="{00000000-0005-0000-0000-0000DF040000}"/>
    <cellStyle name="40% - Accent2 4 3 2" xfId="3318" xr:uid="{00000000-0005-0000-0000-0000E0040000}"/>
    <cellStyle name="40% - Accent2 4 3 2 2" xfId="7541" xr:uid="{00000000-0005-0000-0000-0000E1040000}"/>
    <cellStyle name="40% - Accent2 4 3 2 2 2" xfId="15976" xr:uid="{2E340089-0436-4610-B871-8BF61F687B2F}"/>
    <cellStyle name="40% - Accent2 4 3 2 3" xfId="11758" xr:uid="{365C7047-BABD-40B0-9B41-9DEF69DE57C9}"/>
    <cellStyle name="40% - Accent2 4 3 3" xfId="5396" xr:uid="{00000000-0005-0000-0000-0000E2040000}"/>
    <cellStyle name="40% - Accent2 4 3 3 2" xfId="13831" xr:uid="{D3553641-0714-4265-BB63-BF284DAE22AF}"/>
    <cellStyle name="40% - Accent2 4 3 4" xfId="9613" xr:uid="{BEB00A84-53CF-469E-858B-08338A93A1DB}"/>
    <cellStyle name="40% - Accent2 4 4" xfId="1501" xr:uid="{00000000-0005-0000-0000-0000E3040000}"/>
    <cellStyle name="40% - Accent2 4 4 2" xfId="3731" xr:uid="{00000000-0005-0000-0000-0000E4040000}"/>
    <cellStyle name="40% - Accent2 4 4 2 2" xfId="7954" xr:uid="{00000000-0005-0000-0000-0000E5040000}"/>
    <cellStyle name="40% - Accent2 4 4 2 2 2" xfId="16389" xr:uid="{E5011CEA-4825-40DB-8A26-CFC75A2B44C0}"/>
    <cellStyle name="40% - Accent2 4 4 2 3" xfId="12171" xr:uid="{00AE9BDD-1601-4A7B-9733-CE1092B60CEA}"/>
    <cellStyle name="40% - Accent2 4 4 3" xfId="5809" xr:uid="{00000000-0005-0000-0000-0000E6040000}"/>
    <cellStyle name="40% - Accent2 4 4 3 2" xfId="14244" xr:uid="{E604504A-AA54-4A94-B06E-EDE923F36790}"/>
    <cellStyle name="40% - Accent2 4 4 4" xfId="10026" xr:uid="{F305C6B4-19D0-460E-87F3-D6D89B0BE7FC}"/>
    <cellStyle name="40% - Accent2 4 5" xfId="1915" xr:uid="{00000000-0005-0000-0000-0000E7040000}"/>
    <cellStyle name="40% - Accent2 4 5 2" xfId="4144" xr:uid="{00000000-0005-0000-0000-0000E8040000}"/>
    <cellStyle name="40% - Accent2 4 5 2 2" xfId="8367" xr:uid="{00000000-0005-0000-0000-0000E9040000}"/>
    <cellStyle name="40% - Accent2 4 5 2 2 2" xfId="16802" xr:uid="{E65436CE-4827-4451-88F0-E088A47F83A3}"/>
    <cellStyle name="40% - Accent2 4 5 2 3" xfId="12584" xr:uid="{DBCF9B8D-2585-4F10-8328-942BA0E4259A}"/>
    <cellStyle name="40% - Accent2 4 5 3" xfId="6222" xr:uid="{00000000-0005-0000-0000-0000EA040000}"/>
    <cellStyle name="40% - Accent2 4 5 3 2" xfId="14657" xr:uid="{D3F04922-EC57-4F10-AB18-C1EE683AFBE2}"/>
    <cellStyle name="40% - Accent2 4 5 4" xfId="10439" xr:uid="{8C08861B-213F-493E-9F2D-DEEA93F3DF03}"/>
    <cellStyle name="40% - Accent2 4 6" xfId="2328" xr:uid="{00000000-0005-0000-0000-0000EB040000}"/>
    <cellStyle name="40% - Accent2 4 6 2" xfId="6635" xr:uid="{00000000-0005-0000-0000-0000EC040000}"/>
    <cellStyle name="40% - Accent2 4 6 2 2" xfId="15070" xr:uid="{A1522167-448B-44A9-A711-D9FB908FDF08}"/>
    <cellStyle name="40% - Accent2 4 6 3" xfId="10852" xr:uid="{86C59C93-513D-47FB-9E82-D4FC8A54C777}"/>
    <cellStyle name="40% - Accent2 4 7" xfId="4569" xr:uid="{00000000-0005-0000-0000-0000ED040000}"/>
    <cellStyle name="40% - Accent2 4 7 2" xfId="13004" xr:uid="{15F32EED-44A3-4294-9055-74BB11B142FE}"/>
    <cellStyle name="40% - Accent2 4 8" xfId="8786" xr:uid="{B933442F-BBAD-44CF-A186-2E0ACC8C2B72}"/>
    <cellStyle name="40% - Accent2 5" xfId="627" xr:uid="{00000000-0005-0000-0000-0000EE040000}"/>
    <cellStyle name="40% - Accent2 5 2" xfId="2898" xr:uid="{00000000-0005-0000-0000-0000EF040000}"/>
    <cellStyle name="40% - Accent2 5 2 2" xfId="7121" xr:uid="{00000000-0005-0000-0000-0000F0040000}"/>
    <cellStyle name="40% - Accent2 5 2 2 2" xfId="15556" xr:uid="{74B8A549-13D0-4A03-B7A3-338E2B4F0DC3}"/>
    <cellStyle name="40% - Accent2 5 2 3" xfId="11338" xr:uid="{E1351A29-F714-4C33-A0D0-C4D997E8870B}"/>
    <cellStyle name="40% - Accent2 5 3" xfId="4976" xr:uid="{00000000-0005-0000-0000-0000F1040000}"/>
    <cellStyle name="40% - Accent2 5 3 2" xfId="13411" xr:uid="{582AFB54-A193-40AB-9A71-B44BE2903E0E}"/>
    <cellStyle name="40% - Accent2 5 4" xfId="9193" xr:uid="{D7A58303-21B7-476B-866E-DEC9493F8435}"/>
    <cellStyle name="40% - Accent2 6" xfId="1080" xr:uid="{00000000-0005-0000-0000-0000F2040000}"/>
    <cellStyle name="40% - Accent2 6 2" xfId="3311" xr:uid="{00000000-0005-0000-0000-0000F3040000}"/>
    <cellStyle name="40% - Accent2 6 2 2" xfId="7534" xr:uid="{00000000-0005-0000-0000-0000F4040000}"/>
    <cellStyle name="40% - Accent2 6 2 2 2" xfId="15969" xr:uid="{09F077A5-E18A-4F59-95E0-8433995275F3}"/>
    <cellStyle name="40% - Accent2 6 2 3" xfId="11751" xr:uid="{AE2D28E7-A755-4C99-9E1C-166A5BC2CA51}"/>
    <cellStyle name="40% - Accent2 6 3" xfId="5389" xr:uid="{00000000-0005-0000-0000-0000F5040000}"/>
    <cellStyle name="40% - Accent2 6 3 2" xfId="13824" xr:uid="{041629D1-4584-456B-81B1-C5C807ECB8D4}"/>
    <cellStyle name="40% - Accent2 6 4" xfId="9606" xr:uid="{6140E15E-819A-4464-9D4E-7F0154AA0BAF}"/>
    <cellStyle name="40% - Accent2 7" xfId="1494" xr:uid="{00000000-0005-0000-0000-0000F6040000}"/>
    <cellStyle name="40% - Accent2 7 2" xfId="3724" xr:uid="{00000000-0005-0000-0000-0000F7040000}"/>
    <cellStyle name="40% - Accent2 7 2 2" xfId="7947" xr:uid="{00000000-0005-0000-0000-0000F8040000}"/>
    <cellStyle name="40% - Accent2 7 2 2 2" xfId="16382" xr:uid="{1825AB6A-FE77-4600-9542-880DC9A93BE1}"/>
    <cellStyle name="40% - Accent2 7 2 3" xfId="12164" xr:uid="{3F97FB37-6392-4348-8DBB-70F8FD7694FE}"/>
    <cellStyle name="40% - Accent2 7 3" xfId="5802" xr:uid="{00000000-0005-0000-0000-0000F9040000}"/>
    <cellStyle name="40% - Accent2 7 3 2" xfId="14237" xr:uid="{86BFCACF-2AB9-4E45-8C69-A479BD4C2B95}"/>
    <cellStyle name="40% - Accent2 7 4" xfId="10019" xr:uid="{3A01676F-2026-40D4-AA26-8C37DE6CC754}"/>
    <cellStyle name="40% - Accent2 8" xfId="1908" xr:uid="{00000000-0005-0000-0000-0000FA040000}"/>
    <cellStyle name="40% - Accent2 8 2" xfId="4137" xr:uid="{00000000-0005-0000-0000-0000FB040000}"/>
    <cellStyle name="40% - Accent2 8 2 2" xfId="8360" xr:uid="{00000000-0005-0000-0000-0000FC040000}"/>
    <cellStyle name="40% - Accent2 8 2 2 2" xfId="16795" xr:uid="{580CE377-2F7C-4F03-8B5F-8044ADC97C23}"/>
    <cellStyle name="40% - Accent2 8 2 3" xfId="12577" xr:uid="{710A63A1-FB96-4900-B0A3-D2F5CF0C0702}"/>
    <cellStyle name="40% - Accent2 8 3" xfId="6215" xr:uid="{00000000-0005-0000-0000-0000FD040000}"/>
    <cellStyle name="40% - Accent2 8 3 2" xfId="14650" xr:uid="{95DD4326-3B1C-4492-A073-94CDCCC4C61C}"/>
    <cellStyle name="40% - Accent2 8 4" xfId="10432" xr:uid="{116BBD7D-2A37-42F3-986F-8FC4591B2353}"/>
    <cellStyle name="40% - Accent2 9" xfId="2321" xr:uid="{00000000-0005-0000-0000-0000FE040000}"/>
    <cellStyle name="40% - Accent2 9 2" xfId="6628" xr:uid="{00000000-0005-0000-0000-0000FF040000}"/>
    <cellStyle name="40% - Accent2 9 2 2" xfId="15063" xr:uid="{CD8BFBA7-F357-442A-B3C4-E5CA35224C8E}"/>
    <cellStyle name="40% - Accent2 9 3" xfId="10845" xr:uid="{5088C094-6FC8-4D8A-8113-4715661329F4}"/>
    <cellStyle name="40% - Accent3" xfId="65" builtinId="39" customBuiltin="1"/>
    <cellStyle name="40% - Accent3 10" xfId="4570" xr:uid="{00000000-0005-0000-0000-000001050000}"/>
    <cellStyle name="40% - Accent3 10 2" xfId="13005" xr:uid="{D7B769DA-CF6E-42BA-BC52-D6896788AE71}"/>
    <cellStyle name="40% - Accent3 11" xfId="8787" xr:uid="{21F8A401-700F-44F4-941D-AAC5E0542C52}"/>
    <cellStyle name="40% - Accent3 2" xfId="66" xr:uid="{00000000-0005-0000-0000-000002050000}"/>
    <cellStyle name="40% - Accent3 2 10" xfId="8788" xr:uid="{AAE5CC00-625A-4841-A6AE-A42AA129501B}"/>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2 2 2" xfId="15567" xr:uid="{97AE63DE-B679-4209-83F2-2FCA0503F9DC}"/>
    <cellStyle name="40% - Accent3 2 2 2 2 2 3" xfId="11349" xr:uid="{10552B89-C9DC-4B45-BD0A-8D7625F173AC}"/>
    <cellStyle name="40% - Accent3 2 2 2 2 3" xfId="4987" xr:uid="{00000000-0005-0000-0000-000008050000}"/>
    <cellStyle name="40% - Accent3 2 2 2 2 3 2" xfId="13422" xr:uid="{99348444-CE77-4106-9BF3-5B6A4CCD1802}"/>
    <cellStyle name="40% - Accent3 2 2 2 2 4" xfId="9204" xr:uid="{7577E75F-4F33-4481-9188-DD622A9E2133}"/>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2 2 2" xfId="15980" xr:uid="{6C5F815B-F7F0-4625-BEEF-EC26D3F6D9F4}"/>
    <cellStyle name="40% - Accent3 2 2 2 3 2 3" xfId="11762" xr:uid="{2F49DBDA-5E48-40F2-8097-901D178EAD04}"/>
    <cellStyle name="40% - Accent3 2 2 2 3 3" xfId="5400" xr:uid="{00000000-0005-0000-0000-00000C050000}"/>
    <cellStyle name="40% - Accent3 2 2 2 3 3 2" xfId="13835" xr:uid="{997C4E73-1346-4B67-BB97-43A8AAFE23B4}"/>
    <cellStyle name="40% - Accent3 2 2 2 3 4" xfId="9617" xr:uid="{0A4BBC5B-CC93-431D-A148-48203F7467D1}"/>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2 2 2" xfId="16393" xr:uid="{69E79891-88E6-4AA2-AEF6-2135E4828C57}"/>
    <cellStyle name="40% - Accent3 2 2 2 4 2 3" xfId="12175" xr:uid="{772C8E19-B00E-483F-839A-496FFB80840F}"/>
    <cellStyle name="40% - Accent3 2 2 2 4 3" xfId="5813" xr:uid="{00000000-0005-0000-0000-000010050000}"/>
    <cellStyle name="40% - Accent3 2 2 2 4 3 2" xfId="14248" xr:uid="{1C229285-89BB-49CD-B87B-CEAAB04C8F7D}"/>
    <cellStyle name="40% - Accent3 2 2 2 4 4" xfId="10030" xr:uid="{E5297084-5222-419C-942D-DE03E3B1688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2 2 2" xfId="16806" xr:uid="{AFE2EA6B-D01A-48E0-933A-ADB969713BDC}"/>
    <cellStyle name="40% - Accent3 2 2 2 5 2 3" xfId="12588" xr:uid="{E5210F79-3DD0-4623-B597-601613D8D072}"/>
    <cellStyle name="40% - Accent3 2 2 2 5 3" xfId="6226" xr:uid="{00000000-0005-0000-0000-000014050000}"/>
    <cellStyle name="40% - Accent3 2 2 2 5 3 2" xfId="14661" xr:uid="{0619208F-9C9F-4794-990D-D89C7299A7AA}"/>
    <cellStyle name="40% - Accent3 2 2 2 5 4" xfId="10443" xr:uid="{F2EDFA94-9020-467B-B130-C9616E3D8266}"/>
    <cellStyle name="40% - Accent3 2 2 2 6" xfId="2332" xr:uid="{00000000-0005-0000-0000-000015050000}"/>
    <cellStyle name="40% - Accent3 2 2 2 6 2" xfId="6639" xr:uid="{00000000-0005-0000-0000-000016050000}"/>
    <cellStyle name="40% - Accent3 2 2 2 6 2 2" xfId="15074" xr:uid="{A8CDA079-2C25-4F24-9149-0FDC4CB44F3A}"/>
    <cellStyle name="40% - Accent3 2 2 2 6 3" xfId="10856" xr:uid="{C91B2D3F-77EF-4264-BF3B-4B991B9EA93D}"/>
    <cellStyle name="40% - Accent3 2 2 2 7" xfId="4573" xr:uid="{00000000-0005-0000-0000-000017050000}"/>
    <cellStyle name="40% - Accent3 2 2 2 7 2" xfId="13008" xr:uid="{0BE73494-7A01-465E-AD59-851E543042ED}"/>
    <cellStyle name="40% - Accent3 2 2 2 8" xfId="8790" xr:uid="{9C87F351-4225-4EC4-84AD-4D875756B16B}"/>
    <cellStyle name="40% - Accent3 2 2 3" xfId="637" xr:uid="{00000000-0005-0000-0000-000018050000}"/>
    <cellStyle name="40% - Accent3 2 2 3 2" xfId="2908" xr:uid="{00000000-0005-0000-0000-000019050000}"/>
    <cellStyle name="40% - Accent3 2 2 3 2 2" xfId="7131" xr:uid="{00000000-0005-0000-0000-00001A050000}"/>
    <cellStyle name="40% - Accent3 2 2 3 2 2 2" xfId="15566" xr:uid="{631D1D8D-3BE7-46A3-AAE7-EE95DF53089B}"/>
    <cellStyle name="40% - Accent3 2 2 3 2 3" xfId="11348" xr:uid="{B8AF7181-3B5A-4D1D-B7AE-0C4B7809D5A8}"/>
    <cellStyle name="40% - Accent3 2 2 3 3" xfId="4986" xr:uid="{00000000-0005-0000-0000-00001B050000}"/>
    <cellStyle name="40% - Accent3 2 2 3 3 2" xfId="13421" xr:uid="{209081FE-ADB5-46E8-AA0D-536F3CBEBDC4}"/>
    <cellStyle name="40% - Accent3 2 2 3 4" xfId="9203" xr:uid="{85579524-83D4-4FF4-837B-023D77D379EB}"/>
    <cellStyle name="40% - Accent3 2 2 4" xfId="1090" xr:uid="{00000000-0005-0000-0000-00001C050000}"/>
    <cellStyle name="40% - Accent3 2 2 4 2" xfId="3321" xr:uid="{00000000-0005-0000-0000-00001D050000}"/>
    <cellStyle name="40% - Accent3 2 2 4 2 2" xfId="7544" xr:uid="{00000000-0005-0000-0000-00001E050000}"/>
    <cellStyle name="40% - Accent3 2 2 4 2 2 2" xfId="15979" xr:uid="{5E005453-01B5-4FE8-B4AB-F65A7BD810A9}"/>
    <cellStyle name="40% - Accent3 2 2 4 2 3" xfId="11761" xr:uid="{A6CC3626-35B1-4269-8678-77D0DD3A712F}"/>
    <cellStyle name="40% - Accent3 2 2 4 3" xfId="5399" xr:uid="{00000000-0005-0000-0000-00001F050000}"/>
    <cellStyle name="40% - Accent3 2 2 4 3 2" xfId="13834" xr:uid="{6CDEF486-CD88-4AC9-9C79-6A25C2D09A13}"/>
    <cellStyle name="40% - Accent3 2 2 4 4" xfId="9616" xr:uid="{9E17F5ED-5B72-495E-9F5F-501034F35E30}"/>
    <cellStyle name="40% - Accent3 2 2 5" xfId="1504" xr:uid="{00000000-0005-0000-0000-000020050000}"/>
    <cellStyle name="40% - Accent3 2 2 5 2" xfId="3734" xr:uid="{00000000-0005-0000-0000-000021050000}"/>
    <cellStyle name="40% - Accent3 2 2 5 2 2" xfId="7957" xr:uid="{00000000-0005-0000-0000-000022050000}"/>
    <cellStyle name="40% - Accent3 2 2 5 2 2 2" xfId="16392" xr:uid="{7233BEC0-1830-456B-A94C-BB23726F3090}"/>
    <cellStyle name="40% - Accent3 2 2 5 2 3" xfId="12174" xr:uid="{E85E16EF-5E77-4269-8B9A-2547B89FFEB4}"/>
    <cellStyle name="40% - Accent3 2 2 5 3" xfId="5812" xr:uid="{00000000-0005-0000-0000-000023050000}"/>
    <cellStyle name="40% - Accent3 2 2 5 3 2" xfId="14247" xr:uid="{C0FB57F4-4B06-483A-A8A6-2A1BAB67A49A}"/>
    <cellStyle name="40% - Accent3 2 2 5 4" xfId="10029" xr:uid="{602925B0-B868-44EC-8B07-03C0146B059F}"/>
    <cellStyle name="40% - Accent3 2 2 6" xfId="1918" xr:uid="{00000000-0005-0000-0000-000024050000}"/>
    <cellStyle name="40% - Accent3 2 2 6 2" xfId="4147" xr:uid="{00000000-0005-0000-0000-000025050000}"/>
    <cellStyle name="40% - Accent3 2 2 6 2 2" xfId="8370" xr:uid="{00000000-0005-0000-0000-000026050000}"/>
    <cellStyle name="40% - Accent3 2 2 6 2 2 2" xfId="16805" xr:uid="{05E77C12-2775-48AE-BD22-39DDCDAF5B49}"/>
    <cellStyle name="40% - Accent3 2 2 6 2 3" xfId="12587" xr:uid="{38342A21-2646-42FE-BA93-CF3E9D4BDF17}"/>
    <cellStyle name="40% - Accent3 2 2 6 3" xfId="6225" xr:uid="{00000000-0005-0000-0000-000027050000}"/>
    <cellStyle name="40% - Accent3 2 2 6 3 2" xfId="14660" xr:uid="{AE11B267-F659-425B-9C69-2D54000F6C8E}"/>
    <cellStyle name="40% - Accent3 2 2 6 4" xfId="10442" xr:uid="{7964B04B-47AD-44C3-884A-D4272436B14A}"/>
    <cellStyle name="40% - Accent3 2 2 7" xfId="2331" xr:uid="{00000000-0005-0000-0000-000028050000}"/>
    <cellStyle name="40% - Accent3 2 2 7 2" xfId="6638" xr:uid="{00000000-0005-0000-0000-000029050000}"/>
    <cellStyle name="40% - Accent3 2 2 7 2 2" xfId="15073" xr:uid="{6C8DE780-2984-4B12-90C6-9F6151C0C73B}"/>
    <cellStyle name="40% - Accent3 2 2 7 3" xfId="10855" xr:uid="{9986098F-09C1-4C9C-9B68-6FE59E75387D}"/>
    <cellStyle name="40% - Accent3 2 2 8" xfId="4572" xr:uid="{00000000-0005-0000-0000-00002A050000}"/>
    <cellStyle name="40% - Accent3 2 2 8 2" xfId="13007" xr:uid="{6DCA89C3-908C-447D-8DD5-D6BC60FE1D45}"/>
    <cellStyle name="40% - Accent3 2 2 9" xfId="8789" xr:uid="{574B60B5-6306-4C2E-A976-CEC446A0F64F}"/>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2 2 2" xfId="15568" xr:uid="{EA5C2F8B-6F20-47D0-AE81-0EA3F0B98E1C}"/>
    <cellStyle name="40% - Accent3 2 3 2 2 3" xfId="11350" xr:uid="{5AB5B57E-1D4D-4D43-BAE1-AE5DD1939985}"/>
    <cellStyle name="40% - Accent3 2 3 2 3" xfId="4988" xr:uid="{00000000-0005-0000-0000-00002F050000}"/>
    <cellStyle name="40% - Accent3 2 3 2 3 2" xfId="13423" xr:uid="{12E11446-FF7E-4072-AD94-F0AE47B86F04}"/>
    <cellStyle name="40% - Accent3 2 3 2 4" xfId="9205" xr:uid="{4F8753B8-3EFF-4BC8-B701-04BC27C41AC4}"/>
    <cellStyle name="40% - Accent3 2 3 3" xfId="1092" xr:uid="{00000000-0005-0000-0000-000030050000}"/>
    <cellStyle name="40% - Accent3 2 3 3 2" xfId="3323" xr:uid="{00000000-0005-0000-0000-000031050000}"/>
    <cellStyle name="40% - Accent3 2 3 3 2 2" xfId="7546" xr:uid="{00000000-0005-0000-0000-000032050000}"/>
    <cellStyle name="40% - Accent3 2 3 3 2 2 2" xfId="15981" xr:uid="{8F25FEE2-7A14-49A4-AF02-F273DC59D9D6}"/>
    <cellStyle name="40% - Accent3 2 3 3 2 3" xfId="11763" xr:uid="{79C9C62D-36F3-4927-AFAA-2552D0EF2356}"/>
    <cellStyle name="40% - Accent3 2 3 3 3" xfId="5401" xr:uid="{00000000-0005-0000-0000-000033050000}"/>
    <cellStyle name="40% - Accent3 2 3 3 3 2" xfId="13836" xr:uid="{36A3783E-DEF5-404A-A8F4-D60CD592B530}"/>
    <cellStyle name="40% - Accent3 2 3 3 4" xfId="9618" xr:uid="{7A208AAC-82F6-4712-ADB7-630D7D76D915}"/>
    <cellStyle name="40% - Accent3 2 3 4" xfId="1506" xr:uid="{00000000-0005-0000-0000-000034050000}"/>
    <cellStyle name="40% - Accent3 2 3 4 2" xfId="3736" xr:uid="{00000000-0005-0000-0000-000035050000}"/>
    <cellStyle name="40% - Accent3 2 3 4 2 2" xfId="7959" xr:uid="{00000000-0005-0000-0000-000036050000}"/>
    <cellStyle name="40% - Accent3 2 3 4 2 2 2" xfId="16394" xr:uid="{D6ACAB8F-C693-46BB-8896-762BAE98C289}"/>
    <cellStyle name="40% - Accent3 2 3 4 2 3" xfId="12176" xr:uid="{67D4E774-65C8-488F-AD3A-84F4A15A2BC8}"/>
    <cellStyle name="40% - Accent3 2 3 4 3" xfId="5814" xr:uid="{00000000-0005-0000-0000-000037050000}"/>
    <cellStyle name="40% - Accent3 2 3 4 3 2" xfId="14249" xr:uid="{C5E7E7DE-3410-4FDC-AF47-8C515712FAA4}"/>
    <cellStyle name="40% - Accent3 2 3 4 4" xfId="10031" xr:uid="{6B797F95-AD7C-428A-A28C-6E8042C216B6}"/>
    <cellStyle name="40% - Accent3 2 3 5" xfId="1920" xr:uid="{00000000-0005-0000-0000-000038050000}"/>
    <cellStyle name="40% - Accent3 2 3 5 2" xfId="4149" xr:uid="{00000000-0005-0000-0000-000039050000}"/>
    <cellStyle name="40% - Accent3 2 3 5 2 2" xfId="8372" xr:uid="{00000000-0005-0000-0000-00003A050000}"/>
    <cellStyle name="40% - Accent3 2 3 5 2 2 2" xfId="16807" xr:uid="{96B83DA4-AAAB-42E5-ABD8-E0535DE556B7}"/>
    <cellStyle name="40% - Accent3 2 3 5 2 3" xfId="12589" xr:uid="{D8763C4B-1E86-49D3-9D97-E620FEE553A4}"/>
    <cellStyle name="40% - Accent3 2 3 5 3" xfId="6227" xr:uid="{00000000-0005-0000-0000-00003B050000}"/>
    <cellStyle name="40% - Accent3 2 3 5 3 2" xfId="14662" xr:uid="{9EB6527E-CFC8-4622-B5AD-7A0D4259770D}"/>
    <cellStyle name="40% - Accent3 2 3 5 4" xfId="10444" xr:uid="{D83695C0-A247-404C-8BAC-8A2F8A86B006}"/>
    <cellStyle name="40% - Accent3 2 3 6" xfId="2333" xr:uid="{00000000-0005-0000-0000-00003C050000}"/>
    <cellStyle name="40% - Accent3 2 3 6 2" xfId="6640" xr:uid="{00000000-0005-0000-0000-00003D050000}"/>
    <cellStyle name="40% - Accent3 2 3 6 2 2" xfId="15075" xr:uid="{0D409BE5-1502-4B7A-8249-450EA0E1E7AF}"/>
    <cellStyle name="40% - Accent3 2 3 6 3" xfId="10857" xr:uid="{F14F47A0-8669-47C2-A9FD-FEE0C83863F5}"/>
    <cellStyle name="40% - Accent3 2 3 7" xfId="4574" xr:uid="{00000000-0005-0000-0000-00003E050000}"/>
    <cellStyle name="40% - Accent3 2 3 7 2" xfId="13009" xr:uid="{84B19D40-BE78-4CD3-B649-318C9C1E33F5}"/>
    <cellStyle name="40% - Accent3 2 3 8" xfId="8791" xr:uid="{553B2446-EE19-4D41-B447-1E18B8DAE85F}"/>
    <cellStyle name="40% - Accent3 2 4" xfId="636" xr:uid="{00000000-0005-0000-0000-00003F050000}"/>
    <cellStyle name="40% - Accent3 2 4 2" xfId="2907" xr:uid="{00000000-0005-0000-0000-000040050000}"/>
    <cellStyle name="40% - Accent3 2 4 2 2" xfId="7130" xr:uid="{00000000-0005-0000-0000-000041050000}"/>
    <cellStyle name="40% - Accent3 2 4 2 2 2" xfId="15565" xr:uid="{866C581C-23D9-41CD-AC66-3A6E0AD7D908}"/>
    <cellStyle name="40% - Accent3 2 4 2 3" xfId="11347" xr:uid="{AEC2DD88-45A4-45DD-B070-7179331255E5}"/>
    <cellStyle name="40% - Accent3 2 4 3" xfId="4985" xr:uid="{00000000-0005-0000-0000-000042050000}"/>
    <cellStyle name="40% - Accent3 2 4 3 2" xfId="13420" xr:uid="{949926A5-FC14-42E9-A82E-D85FC9CD35B2}"/>
    <cellStyle name="40% - Accent3 2 4 4" xfId="9202" xr:uid="{2882F7A5-50B8-454A-9618-FED178158FE2}"/>
    <cellStyle name="40% - Accent3 2 5" xfId="1089" xr:uid="{00000000-0005-0000-0000-000043050000}"/>
    <cellStyle name="40% - Accent3 2 5 2" xfId="3320" xr:uid="{00000000-0005-0000-0000-000044050000}"/>
    <cellStyle name="40% - Accent3 2 5 2 2" xfId="7543" xr:uid="{00000000-0005-0000-0000-000045050000}"/>
    <cellStyle name="40% - Accent3 2 5 2 2 2" xfId="15978" xr:uid="{7F164589-AE83-4854-A10E-33FD4F0AD6B0}"/>
    <cellStyle name="40% - Accent3 2 5 2 3" xfId="11760" xr:uid="{CE5438C0-D499-43FC-88D6-F6EAC1C03B62}"/>
    <cellStyle name="40% - Accent3 2 5 3" xfId="5398" xr:uid="{00000000-0005-0000-0000-000046050000}"/>
    <cellStyle name="40% - Accent3 2 5 3 2" xfId="13833" xr:uid="{D5235937-C874-4CF7-9DFD-0AFB2280ED9B}"/>
    <cellStyle name="40% - Accent3 2 5 4" xfId="9615" xr:uid="{8C8F0273-E722-4E14-976E-BF4A6558A59B}"/>
    <cellStyle name="40% - Accent3 2 6" xfId="1503" xr:uid="{00000000-0005-0000-0000-000047050000}"/>
    <cellStyle name="40% - Accent3 2 6 2" xfId="3733" xr:uid="{00000000-0005-0000-0000-000048050000}"/>
    <cellStyle name="40% - Accent3 2 6 2 2" xfId="7956" xr:uid="{00000000-0005-0000-0000-000049050000}"/>
    <cellStyle name="40% - Accent3 2 6 2 2 2" xfId="16391" xr:uid="{0358AFAC-2E94-4956-821A-B6239775E9CE}"/>
    <cellStyle name="40% - Accent3 2 6 2 3" xfId="12173" xr:uid="{59EDA415-9F29-4CDA-9B7F-75DE906EC674}"/>
    <cellStyle name="40% - Accent3 2 6 3" xfId="5811" xr:uid="{00000000-0005-0000-0000-00004A050000}"/>
    <cellStyle name="40% - Accent3 2 6 3 2" xfId="14246" xr:uid="{CBB1AFC6-1491-4388-AF7D-F25882F809DC}"/>
    <cellStyle name="40% - Accent3 2 6 4" xfId="10028" xr:uid="{94210A38-5BCE-40EB-87A1-EED880A3D698}"/>
    <cellStyle name="40% - Accent3 2 7" xfId="1917" xr:uid="{00000000-0005-0000-0000-00004B050000}"/>
    <cellStyle name="40% - Accent3 2 7 2" xfId="4146" xr:uid="{00000000-0005-0000-0000-00004C050000}"/>
    <cellStyle name="40% - Accent3 2 7 2 2" xfId="8369" xr:uid="{00000000-0005-0000-0000-00004D050000}"/>
    <cellStyle name="40% - Accent3 2 7 2 2 2" xfId="16804" xr:uid="{777432E1-2309-47CE-BAEC-B89BC67DBD97}"/>
    <cellStyle name="40% - Accent3 2 7 2 3" xfId="12586" xr:uid="{963A6FC6-74DE-4B3A-831D-68FF3CF336E8}"/>
    <cellStyle name="40% - Accent3 2 7 3" xfId="6224" xr:uid="{00000000-0005-0000-0000-00004E050000}"/>
    <cellStyle name="40% - Accent3 2 7 3 2" xfId="14659" xr:uid="{30E25A32-C488-4BC1-B4DF-4AE2526130F6}"/>
    <cellStyle name="40% - Accent3 2 7 4" xfId="10441" xr:uid="{E13BE804-A18C-4185-BBD3-00D80238589C}"/>
    <cellStyle name="40% - Accent3 2 8" xfId="2330" xr:uid="{00000000-0005-0000-0000-00004F050000}"/>
    <cellStyle name="40% - Accent3 2 8 2" xfId="6637" xr:uid="{00000000-0005-0000-0000-000050050000}"/>
    <cellStyle name="40% - Accent3 2 8 2 2" xfId="15072" xr:uid="{E2324941-DAF9-4EA2-A318-527FD620A563}"/>
    <cellStyle name="40% - Accent3 2 8 3" xfId="10854" xr:uid="{E56A541F-0139-4A1C-B049-BAEDFA83B1E1}"/>
    <cellStyle name="40% - Accent3 2 9" xfId="4571" xr:uid="{00000000-0005-0000-0000-000051050000}"/>
    <cellStyle name="40% - Accent3 2 9 2" xfId="13006" xr:uid="{FE8314D2-0EAC-4751-A1E2-3C5F2F4A9662}"/>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2 2 2" xfId="15570" xr:uid="{9F612F9C-AFA0-4988-B351-37061E55F729}"/>
    <cellStyle name="40% - Accent3 3 2 2 2 3" xfId="11352" xr:uid="{5A803DE3-A63B-4E2E-9A5D-A821EBB2B068}"/>
    <cellStyle name="40% - Accent3 3 2 2 3" xfId="4990" xr:uid="{00000000-0005-0000-0000-000057050000}"/>
    <cellStyle name="40% - Accent3 3 2 2 3 2" xfId="13425" xr:uid="{D295EAE0-1E67-4344-9F1B-7FC2B742BB29}"/>
    <cellStyle name="40% - Accent3 3 2 2 4" xfId="9207" xr:uid="{AB56FDF2-01DE-4AB8-B716-6E5AD0795E1E}"/>
    <cellStyle name="40% - Accent3 3 2 3" xfId="1094" xr:uid="{00000000-0005-0000-0000-000058050000}"/>
    <cellStyle name="40% - Accent3 3 2 3 2" xfId="3325" xr:uid="{00000000-0005-0000-0000-000059050000}"/>
    <cellStyle name="40% - Accent3 3 2 3 2 2" xfId="7548" xr:uid="{00000000-0005-0000-0000-00005A050000}"/>
    <cellStyle name="40% - Accent3 3 2 3 2 2 2" xfId="15983" xr:uid="{DECC85DD-B5C5-4D1A-A457-B4A315677C97}"/>
    <cellStyle name="40% - Accent3 3 2 3 2 3" xfId="11765" xr:uid="{F377A859-F216-4D7D-9C63-47AAC618ADB1}"/>
    <cellStyle name="40% - Accent3 3 2 3 3" xfId="5403" xr:uid="{00000000-0005-0000-0000-00005B050000}"/>
    <cellStyle name="40% - Accent3 3 2 3 3 2" xfId="13838" xr:uid="{4BC3E14E-D22A-4BA3-AD63-DF4E40680C29}"/>
    <cellStyle name="40% - Accent3 3 2 3 4" xfId="9620" xr:uid="{2EF12101-9AD4-4F3D-842A-446C177993F8}"/>
    <cellStyle name="40% - Accent3 3 2 4" xfId="1508" xr:uid="{00000000-0005-0000-0000-00005C050000}"/>
    <cellStyle name="40% - Accent3 3 2 4 2" xfId="3738" xr:uid="{00000000-0005-0000-0000-00005D050000}"/>
    <cellStyle name="40% - Accent3 3 2 4 2 2" xfId="7961" xr:uid="{00000000-0005-0000-0000-00005E050000}"/>
    <cellStyle name="40% - Accent3 3 2 4 2 2 2" xfId="16396" xr:uid="{B0D9C9F0-374B-40A5-886B-7440108AA98A}"/>
    <cellStyle name="40% - Accent3 3 2 4 2 3" xfId="12178" xr:uid="{ABE63E4E-1610-41D5-8E23-B61238771E4F}"/>
    <cellStyle name="40% - Accent3 3 2 4 3" xfId="5816" xr:uid="{00000000-0005-0000-0000-00005F050000}"/>
    <cellStyle name="40% - Accent3 3 2 4 3 2" xfId="14251" xr:uid="{F47660AB-7DA9-4297-95F5-8BEB4EDF932C}"/>
    <cellStyle name="40% - Accent3 3 2 4 4" xfId="10033" xr:uid="{EAF321AE-C722-40C0-BD75-35A66239F7B5}"/>
    <cellStyle name="40% - Accent3 3 2 5" xfId="1922" xr:uid="{00000000-0005-0000-0000-000060050000}"/>
    <cellStyle name="40% - Accent3 3 2 5 2" xfId="4151" xr:uid="{00000000-0005-0000-0000-000061050000}"/>
    <cellStyle name="40% - Accent3 3 2 5 2 2" xfId="8374" xr:uid="{00000000-0005-0000-0000-000062050000}"/>
    <cellStyle name="40% - Accent3 3 2 5 2 2 2" xfId="16809" xr:uid="{D6F18BD2-D9B2-4A1E-9E46-47D1149D4F7B}"/>
    <cellStyle name="40% - Accent3 3 2 5 2 3" xfId="12591" xr:uid="{6B87EA53-CA73-4ECE-9BCD-9CAFA8E54087}"/>
    <cellStyle name="40% - Accent3 3 2 5 3" xfId="6229" xr:uid="{00000000-0005-0000-0000-000063050000}"/>
    <cellStyle name="40% - Accent3 3 2 5 3 2" xfId="14664" xr:uid="{0087C188-34F3-4A67-B6F8-F9C48AADDF18}"/>
    <cellStyle name="40% - Accent3 3 2 5 4" xfId="10446" xr:uid="{92835B07-81E2-4222-91E1-89F9794A674D}"/>
    <cellStyle name="40% - Accent3 3 2 6" xfId="2335" xr:uid="{00000000-0005-0000-0000-000064050000}"/>
    <cellStyle name="40% - Accent3 3 2 6 2" xfId="6642" xr:uid="{00000000-0005-0000-0000-000065050000}"/>
    <cellStyle name="40% - Accent3 3 2 6 2 2" xfId="15077" xr:uid="{3A137119-2837-4E4C-ADFC-4D6191EE51EC}"/>
    <cellStyle name="40% - Accent3 3 2 6 3" xfId="10859" xr:uid="{5845FD67-02FC-403A-9E5E-A2DBAD7B68EA}"/>
    <cellStyle name="40% - Accent3 3 2 7" xfId="4576" xr:uid="{00000000-0005-0000-0000-000066050000}"/>
    <cellStyle name="40% - Accent3 3 2 7 2" xfId="13011" xr:uid="{A6A95309-D9D5-46B0-9CC2-5FDA2A410F84}"/>
    <cellStyle name="40% - Accent3 3 2 8" xfId="8793" xr:uid="{7484831B-804E-4648-9C89-9153D094B643}"/>
    <cellStyle name="40% - Accent3 3 3" xfId="640" xr:uid="{00000000-0005-0000-0000-000067050000}"/>
    <cellStyle name="40% - Accent3 3 3 2" xfId="2911" xr:uid="{00000000-0005-0000-0000-000068050000}"/>
    <cellStyle name="40% - Accent3 3 3 2 2" xfId="7134" xr:uid="{00000000-0005-0000-0000-000069050000}"/>
    <cellStyle name="40% - Accent3 3 3 2 2 2" xfId="15569" xr:uid="{A7A3F846-89D8-4D6A-8397-B5836AD283BC}"/>
    <cellStyle name="40% - Accent3 3 3 2 3" xfId="11351" xr:uid="{673D7BF3-06C6-45D0-9D9C-91EDD2D0BCE1}"/>
    <cellStyle name="40% - Accent3 3 3 3" xfId="4989" xr:uid="{00000000-0005-0000-0000-00006A050000}"/>
    <cellStyle name="40% - Accent3 3 3 3 2" xfId="13424" xr:uid="{9462BA6F-1586-4660-846B-CBCE45B3ABDE}"/>
    <cellStyle name="40% - Accent3 3 3 4" xfId="9206" xr:uid="{662A55F4-007A-4DE5-863D-84B4CC20BDDB}"/>
    <cellStyle name="40% - Accent3 3 4" xfId="1093" xr:uid="{00000000-0005-0000-0000-00006B050000}"/>
    <cellStyle name="40% - Accent3 3 4 2" xfId="3324" xr:uid="{00000000-0005-0000-0000-00006C050000}"/>
    <cellStyle name="40% - Accent3 3 4 2 2" xfId="7547" xr:uid="{00000000-0005-0000-0000-00006D050000}"/>
    <cellStyle name="40% - Accent3 3 4 2 2 2" xfId="15982" xr:uid="{BEF2DBEC-9621-4607-AB6B-9AAB92AAA152}"/>
    <cellStyle name="40% - Accent3 3 4 2 3" xfId="11764" xr:uid="{94BF66BD-2ACB-4CDF-901E-F57B0DBF0DB7}"/>
    <cellStyle name="40% - Accent3 3 4 3" xfId="5402" xr:uid="{00000000-0005-0000-0000-00006E050000}"/>
    <cellStyle name="40% - Accent3 3 4 3 2" xfId="13837" xr:uid="{0FDAE904-6DD8-42DA-8EBD-DFBC6F36167A}"/>
    <cellStyle name="40% - Accent3 3 4 4" xfId="9619" xr:uid="{10E656EA-C6A6-4E56-96C0-975E65D3AC45}"/>
    <cellStyle name="40% - Accent3 3 5" xfId="1507" xr:uid="{00000000-0005-0000-0000-00006F050000}"/>
    <cellStyle name="40% - Accent3 3 5 2" xfId="3737" xr:uid="{00000000-0005-0000-0000-000070050000}"/>
    <cellStyle name="40% - Accent3 3 5 2 2" xfId="7960" xr:uid="{00000000-0005-0000-0000-000071050000}"/>
    <cellStyle name="40% - Accent3 3 5 2 2 2" xfId="16395" xr:uid="{57D9CD11-22A3-4A44-A657-1BD574B7FC2D}"/>
    <cellStyle name="40% - Accent3 3 5 2 3" xfId="12177" xr:uid="{C869C770-AE53-489B-8157-2A7778038B21}"/>
    <cellStyle name="40% - Accent3 3 5 3" xfId="5815" xr:uid="{00000000-0005-0000-0000-000072050000}"/>
    <cellStyle name="40% - Accent3 3 5 3 2" xfId="14250" xr:uid="{D19A4164-2943-4DF1-843C-96BBFF1E51FD}"/>
    <cellStyle name="40% - Accent3 3 5 4" xfId="10032" xr:uid="{D342103C-9AA4-4E5F-A662-393034EA1D2D}"/>
    <cellStyle name="40% - Accent3 3 6" xfId="1921" xr:uid="{00000000-0005-0000-0000-000073050000}"/>
    <cellStyle name="40% - Accent3 3 6 2" xfId="4150" xr:uid="{00000000-0005-0000-0000-000074050000}"/>
    <cellStyle name="40% - Accent3 3 6 2 2" xfId="8373" xr:uid="{00000000-0005-0000-0000-000075050000}"/>
    <cellStyle name="40% - Accent3 3 6 2 2 2" xfId="16808" xr:uid="{5DC7A15A-EFB3-4F1D-99F6-43369EE00D18}"/>
    <cellStyle name="40% - Accent3 3 6 2 3" xfId="12590" xr:uid="{420A4D15-B696-4A8B-BE83-4B4E930C3979}"/>
    <cellStyle name="40% - Accent3 3 6 3" xfId="6228" xr:uid="{00000000-0005-0000-0000-000076050000}"/>
    <cellStyle name="40% - Accent3 3 6 3 2" xfId="14663" xr:uid="{DF752B21-218B-4E83-8C46-461E7CAA2388}"/>
    <cellStyle name="40% - Accent3 3 6 4" xfId="10445" xr:uid="{6154D9EE-7044-455F-B655-08FF7DB01FB9}"/>
    <cellStyle name="40% - Accent3 3 7" xfId="2334" xr:uid="{00000000-0005-0000-0000-000077050000}"/>
    <cellStyle name="40% - Accent3 3 7 2" xfId="6641" xr:uid="{00000000-0005-0000-0000-000078050000}"/>
    <cellStyle name="40% - Accent3 3 7 2 2" xfId="15076" xr:uid="{489B5714-2A19-49C0-A81F-924D375FAFAD}"/>
    <cellStyle name="40% - Accent3 3 7 3" xfId="10858" xr:uid="{8B6CC352-118F-4811-813F-BA03ACDEAA17}"/>
    <cellStyle name="40% - Accent3 3 8" xfId="4575" xr:uid="{00000000-0005-0000-0000-000079050000}"/>
    <cellStyle name="40% - Accent3 3 8 2" xfId="13010" xr:uid="{21FAB3A7-8534-4E25-894F-DEF01F13BB00}"/>
    <cellStyle name="40% - Accent3 3 9" xfId="8792" xr:uid="{70A06AD4-0521-415B-B10F-868C7952A1F8}"/>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2 2 2" xfId="15571" xr:uid="{66AA6E1E-E5BC-4942-9C94-D16EBECD53DC}"/>
    <cellStyle name="40% - Accent3 4 2 2 3" xfId="11353" xr:uid="{38119DD0-A3E2-4F58-AD2F-BB04C27336B2}"/>
    <cellStyle name="40% - Accent3 4 2 3" xfId="4991" xr:uid="{00000000-0005-0000-0000-00007E050000}"/>
    <cellStyle name="40% - Accent3 4 2 3 2" xfId="13426" xr:uid="{E64E7F50-7C26-4A78-80C8-4BA1AE94F593}"/>
    <cellStyle name="40% - Accent3 4 2 4" xfId="9208" xr:uid="{64F51A0F-E68E-4398-BC2D-0971EDE878A3}"/>
    <cellStyle name="40% - Accent3 4 3" xfId="1095" xr:uid="{00000000-0005-0000-0000-00007F050000}"/>
    <cellStyle name="40% - Accent3 4 3 2" xfId="3326" xr:uid="{00000000-0005-0000-0000-000080050000}"/>
    <cellStyle name="40% - Accent3 4 3 2 2" xfId="7549" xr:uid="{00000000-0005-0000-0000-000081050000}"/>
    <cellStyle name="40% - Accent3 4 3 2 2 2" xfId="15984" xr:uid="{99D32031-D4E9-4AF8-B46C-0904C2AC4F48}"/>
    <cellStyle name="40% - Accent3 4 3 2 3" xfId="11766" xr:uid="{FBDC742C-29B8-456F-8833-DA441BE7EE3B}"/>
    <cellStyle name="40% - Accent3 4 3 3" xfId="5404" xr:uid="{00000000-0005-0000-0000-000082050000}"/>
    <cellStyle name="40% - Accent3 4 3 3 2" xfId="13839" xr:uid="{201F130E-4217-4BB1-BD8D-8CD3D8E1F38B}"/>
    <cellStyle name="40% - Accent3 4 3 4" xfId="9621" xr:uid="{ACBEBF21-6452-420C-8C91-EA2B3F5E7DBB}"/>
    <cellStyle name="40% - Accent3 4 4" xfId="1509" xr:uid="{00000000-0005-0000-0000-000083050000}"/>
    <cellStyle name="40% - Accent3 4 4 2" xfId="3739" xr:uid="{00000000-0005-0000-0000-000084050000}"/>
    <cellStyle name="40% - Accent3 4 4 2 2" xfId="7962" xr:uid="{00000000-0005-0000-0000-000085050000}"/>
    <cellStyle name="40% - Accent3 4 4 2 2 2" xfId="16397" xr:uid="{843C0931-CEF8-42BA-A154-FF6959683C26}"/>
    <cellStyle name="40% - Accent3 4 4 2 3" xfId="12179" xr:uid="{68CF3B95-68FB-4656-836D-AB973D680775}"/>
    <cellStyle name="40% - Accent3 4 4 3" xfId="5817" xr:uid="{00000000-0005-0000-0000-000086050000}"/>
    <cellStyle name="40% - Accent3 4 4 3 2" xfId="14252" xr:uid="{113A6248-2286-49F9-A6E9-749FC58AEEA8}"/>
    <cellStyle name="40% - Accent3 4 4 4" xfId="10034" xr:uid="{3DE7B276-C0DC-483A-BDC1-5ABD0EFDC7C6}"/>
    <cellStyle name="40% - Accent3 4 5" xfId="1923" xr:uid="{00000000-0005-0000-0000-000087050000}"/>
    <cellStyle name="40% - Accent3 4 5 2" xfId="4152" xr:uid="{00000000-0005-0000-0000-000088050000}"/>
    <cellStyle name="40% - Accent3 4 5 2 2" xfId="8375" xr:uid="{00000000-0005-0000-0000-000089050000}"/>
    <cellStyle name="40% - Accent3 4 5 2 2 2" xfId="16810" xr:uid="{315991E2-C116-44C4-962F-08C2C9B26DD8}"/>
    <cellStyle name="40% - Accent3 4 5 2 3" xfId="12592" xr:uid="{040E0C69-0A27-42DE-8E62-C5235BC3D52D}"/>
    <cellStyle name="40% - Accent3 4 5 3" xfId="6230" xr:uid="{00000000-0005-0000-0000-00008A050000}"/>
    <cellStyle name="40% - Accent3 4 5 3 2" xfId="14665" xr:uid="{48ED9E99-B5EA-4F82-B53B-8E9848E24BAD}"/>
    <cellStyle name="40% - Accent3 4 5 4" xfId="10447" xr:uid="{12F18849-9364-4374-B781-BD140227B724}"/>
    <cellStyle name="40% - Accent3 4 6" xfId="2336" xr:uid="{00000000-0005-0000-0000-00008B050000}"/>
    <cellStyle name="40% - Accent3 4 6 2" xfId="6643" xr:uid="{00000000-0005-0000-0000-00008C050000}"/>
    <cellStyle name="40% - Accent3 4 6 2 2" xfId="15078" xr:uid="{E6929A17-D76E-44A7-A0DE-9940F81EBA6C}"/>
    <cellStyle name="40% - Accent3 4 6 3" xfId="10860" xr:uid="{93BC7514-B0C9-42B1-B5D7-A15B661981D1}"/>
    <cellStyle name="40% - Accent3 4 7" xfId="4577" xr:uid="{00000000-0005-0000-0000-00008D050000}"/>
    <cellStyle name="40% - Accent3 4 7 2" xfId="13012" xr:uid="{C6FC6F0E-742D-4EE2-BD85-C1C232119FE1}"/>
    <cellStyle name="40% - Accent3 4 8" xfId="8794" xr:uid="{7F7D31E0-B9B5-478E-9FCB-F2962170DD20}"/>
    <cellStyle name="40% - Accent3 5" xfId="635" xr:uid="{00000000-0005-0000-0000-00008E050000}"/>
    <cellStyle name="40% - Accent3 5 2" xfId="2906" xr:uid="{00000000-0005-0000-0000-00008F050000}"/>
    <cellStyle name="40% - Accent3 5 2 2" xfId="7129" xr:uid="{00000000-0005-0000-0000-000090050000}"/>
    <cellStyle name="40% - Accent3 5 2 2 2" xfId="15564" xr:uid="{14DE8307-FEA9-4E78-B1DB-E19974223C08}"/>
    <cellStyle name="40% - Accent3 5 2 3" xfId="11346" xr:uid="{09B6F30F-4FB5-4571-A8FC-7E36CC40159C}"/>
    <cellStyle name="40% - Accent3 5 3" xfId="4984" xr:uid="{00000000-0005-0000-0000-000091050000}"/>
    <cellStyle name="40% - Accent3 5 3 2" xfId="13419" xr:uid="{B42782A0-6DB2-4105-B010-7889532C4A8C}"/>
    <cellStyle name="40% - Accent3 5 4" xfId="9201" xr:uid="{B851D5AF-D94E-4D45-9232-7F3DFD1F9496}"/>
    <cellStyle name="40% - Accent3 6" xfId="1088" xr:uid="{00000000-0005-0000-0000-000092050000}"/>
    <cellStyle name="40% - Accent3 6 2" xfId="3319" xr:uid="{00000000-0005-0000-0000-000093050000}"/>
    <cellStyle name="40% - Accent3 6 2 2" xfId="7542" xr:uid="{00000000-0005-0000-0000-000094050000}"/>
    <cellStyle name="40% - Accent3 6 2 2 2" xfId="15977" xr:uid="{93444A04-E3C2-40F7-AF43-A82D6431006A}"/>
    <cellStyle name="40% - Accent3 6 2 3" xfId="11759" xr:uid="{30D58BB4-8493-404B-B33C-772B1E2939A3}"/>
    <cellStyle name="40% - Accent3 6 3" xfId="5397" xr:uid="{00000000-0005-0000-0000-000095050000}"/>
    <cellStyle name="40% - Accent3 6 3 2" xfId="13832" xr:uid="{69C2578B-9CBB-4A45-95E4-C03A40ABE7E7}"/>
    <cellStyle name="40% - Accent3 6 4" xfId="9614" xr:uid="{2688266F-09A5-42C6-A804-9671E66A9996}"/>
    <cellStyle name="40% - Accent3 7" xfId="1502" xr:uid="{00000000-0005-0000-0000-000096050000}"/>
    <cellStyle name="40% - Accent3 7 2" xfId="3732" xr:uid="{00000000-0005-0000-0000-000097050000}"/>
    <cellStyle name="40% - Accent3 7 2 2" xfId="7955" xr:uid="{00000000-0005-0000-0000-000098050000}"/>
    <cellStyle name="40% - Accent3 7 2 2 2" xfId="16390" xr:uid="{3A8AB8CE-F51D-4195-A4A9-D0AB47BDBF68}"/>
    <cellStyle name="40% - Accent3 7 2 3" xfId="12172" xr:uid="{28C18588-E3F4-4B31-B508-F5FE31901BE9}"/>
    <cellStyle name="40% - Accent3 7 3" xfId="5810" xr:uid="{00000000-0005-0000-0000-000099050000}"/>
    <cellStyle name="40% - Accent3 7 3 2" xfId="14245" xr:uid="{D8904B82-2C0E-4334-A082-17206F1264A9}"/>
    <cellStyle name="40% - Accent3 7 4" xfId="10027" xr:uid="{A1FD0445-D903-45C7-B7CB-598BF5D3091A}"/>
    <cellStyle name="40% - Accent3 8" xfId="1916" xr:uid="{00000000-0005-0000-0000-00009A050000}"/>
    <cellStyle name="40% - Accent3 8 2" xfId="4145" xr:uid="{00000000-0005-0000-0000-00009B050000}"/>
    <cellStyle name="40% - Accent3 8 2 2" xfId="8368" xr:uid="{00000000-0005-0000-0000-00009C050000}"/>
    <cellStyle name="40% - Accent3 8 2 2 2" xfId="16803" xr:uid="{176E4FFB-3CD4-4E29-8E7F-38B08BCB1DE9}"/>
    <cellStyle name="40% - Accent3 8 2 3" xfId="12585" xr:uid="{E5DDE094-9AD1-466F-BC8C-0EDC9A181210}"/>
    <cellStyle name="40% - Accent3 8 3" xfId="6223" xr:uid="{00000000-0005-0000-0000-00009D050000}"/>
    <cellStyle name="40% - Accent3 8 3 2" xfId="14658" xr:uid="{683DD581-FFD2-4A62-9514-2818DE85ED30}"/>
    <cellStyle name="40% - Accent3 8 4" xfId="10440" xr:uid="{853F20F9-CEB6-4D68-8FE0-6A02403DD54E}"/>
    <cellStyle name="40% - Accent3 9" xfId="2329" xr:uid="{00000000-0005-0000-0000-00009E050000}"/>
    <cellStyle name="40% - Accent3 9 2" xfId="6636" xr:uid="{00000000-0005-0000-0000-00009F050000}"/>
    <cellStyle name="40% - Accent3 9 2 2" xfId="15071" xr:uid="{60B3C478-9D8D-43FD-9C91-9064A01C7923}"/>
    <cellStyle name="40% - Accent3 9 3" xfId="10853" xr:uid="{1B87D0BD-61C9-4841-8843-AAA7EF1EB602}"/>
    <cellStyle name="40% - Accent4" xfId="73" builtinId="43" customBuiltin="1"/>
    <cellStyle name="40% - Accent4 10" xfId="4578" xr:uid="{00000000-0005-0000-0000-0000A1050000}"/>
    <cellStyle name="40% - Accent4 10 2" xfId="13013" xr:uid="{4E3F1C57-4823-47A9-9987-34E9B89601EA}"/>
    <cellStyle name="40% - Accent4 11" xfId="8795" xr:uid="{7313EDD7-F5A1-40EA-8D91-1D688CCD19FB}"/>
    <cellStyle name="40% - Accent4 2" xfId="74" xr:uid="{00000000-0005-0000-0000-0000A2050000}"/>
    <cellStyle name="40% - Accent4 2 10" xfId="8796" xr:uid="{BF284B07-2D38-4CD7-BEF2-BC68A7C8ADEA}"/>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2 2 2" xfId="15575" xr:uid="{74D3BF32-766B-4F7E-A69C-009E10B7FA13}"/>
    <cellStyle name="40% - Accent4 2 2 2 2 2 3" xfId="11357" xr:uid="{58739CED-E85E-4476-8766-A033BFDE1A67}"/>
    <cellStyle name="40% - Accent4 2 2 2 2 3" xfId="4995" xr:uid="{00000000-0005-0000-0000-0000A8050000}"/>
    <cellStyle name="40% - Accent4 2 2 2 2 3 2" xfId="13430" xr:uid="{1B9BEF1F-5809-4C9A-B091-87673FDF1FFC}"/>
    <cellStyle name="40% - Accent4 2 2 2 2 4" xfId="9212" xr:uid="{7FDE6416-15DE-4E24-8D7A-6469E437EF53}"/>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2 2 2" xfId="15988" xr:uid="{33EF3FC6-1BEF-4C1F-973F-9E91C7CEABE7}"/>
    <cellStyle name="40% - Accent4 2 2 2 3 2 3" xfId="11770" xr:uid="{19D2013D-0BF8-44C8-98A3-7BAC58E157BD}"/>
    <cellStyle name="40% - Accent4 2 2 2 3 3" xfId="5408" xr:uid="{00000000-0005-0000-0000-0000AC050000}"/>
    <cellStyle name="40% - Accent4 2 2 2 3 3 2" xfId="13843" xr:uid="{992FC984-B036-400E-8D4C-1E5C1842797D}"/>
    <cellStyle name="40% - Accent4 2 2 2 3 4" xfId="9625" xr:uid="{6F1D2D6B-14F6-487E-9C74-838D4B84A36E}"/>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2 2 2" xfId="16401" xr:uid="{17D52F46-D6C4-4B59-BD66-21C94BBD5642}"/>
    <cellStyle name="40% - Accent4 2 2 2 4 2 3" xfId="12183" xr:uid="{AB60688E-F4FA-43B1-9A01-5DDC6C51AD41}"/>
    <cellStyle name="40% - Accent4 2 2 2 4 3" xfId="5821" xr:uid="{00000000-0005-0000-0000-0000B0050000}"/>
    <cellStyle name="40% - Accent4 2 2 2 4 3 2" xfId="14256" xr:uid="{B8C84EC4-4C38-4601-8098-E4D03D76712C}"/>
    <cellStyle name="40% - Accent4 2 2 2 4 4" xfId="10038" xr:uid="{810FA7C5-8CB2-4D9E-8540-F44A4F51CC4E}"/>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2 2 2" xfId="16814" xr:uid="{A1BF4736-2116-4660-B355-8C7B0D2BFD3C}"/>
    <cellStyle name="40% - Accent4 2 2 2 5 2 3" xfId="12596" xr:uid="{6CF9D87E-8CE9-4D68-8E8F-0FCA3F86437E}"/>
    <cellStyle name="40% - Accent4 2 2 2 5 3" xfId="6234" xr:uid="{00000000-0005-0000-0000-0000B4050000}"/>
    <cellStyle name="40% - Accent4 2 2 2 5 3 2" xfId="14669" xr:uid="{4DDED121-8318-4376-AE52-D4D72DC14A6C}"/>
    <cellStyle name="40% - Accent4 2 2 2 5 4" xfId="10451" xr:uid="{9C4B4989-E16B-4E37-8B8F-F5137F72F77C}"/>
    <cellStyle name="40% - Accent4 2 2 2 6" xfId="2340" xr:uid="{00000000-0005-0000-0000-0000B5050000}"/>
    <cellStyle name="40% - Accent4 2 2 2 6 2" xfId="6647" xr:uid="{00000000-0005-0000-0000-0000B6050000}"/>
    <cellStyle name="40% - Accent4 2 2 2 6 2 2" xfId="15082" xr:uid="{C740E27D-C65D-4FAE-9686-4CE28010228B}"/>
    <cellStyle name="40% - Accent4 2 2 2 6 3" xfId="10864" xr:uid="{14B4FACA-FE3D-470E-84EA-52C5CE67A930}"/>
    <cellStyle name="40% - Accent4 2 2 2 7" xfId="4581" xr:uid="{00000000-0005-0000-0000-0000B7050000}"/>
    <cellStyle name="40% - Accent4 2 2 2 7 2" xfId="13016" xr:uid="{031E5768-F4B9-4055-8BDE-22E3AFF894E1}"/>
    <cellStyle name="40% - Accent4 2 2 2 8" xfId="8798" xr:uid="{CDFAB7D1-E25D-4F60-9AF9-ABCFD0B53A6E}"/>
    <cellStyle name="40% - Accent4 2 2 3" xfId="645" xr:uid="{00000000-0005-0000-0000-0000B8050000}"/>
    <cellStyle name="40% - Accent4 2 2 3 2" xfId="2916" xr:uid="{00000000-0005-0000-0000-0000B9050000}"/>
    <cellStyle name="40% - Accent4 2 2 3 2 2" xfId="7139" xr:uid="{00000000-0005-0000-0000-0000BA050000}"/>
    <cellStyle name="40% - Accent4 2 2 3 2 2 2" xfId="15574" xr:uid="{E4F534B7-53EE-417C-835B-0DE66A827286}"/>
    <cellStyle name="40% - Accent4 2 2 3 2 3" xfId="11356" xr:uid="{ABA7D93F-5DF7-4D9B-988D-351A9BA0683C}"/>
    <cellStyle name="40% - Accent4 2 2 3 3" xfId="4994" xr:uid="{00000000-0005-0000-0000-0000BB050000}"/>
    <cellStyle name="40% - Accent4 2 2 3 3 2" xfId="13429" xr:uid="{EDD13B2E-4680-4C85-99BB-3AB9C841995B}"/>
    <cellStyle name="40% - Accent4 2 2 3 4" xfId="9211" xr:uid="{9F8AC5BD-933B-426F-80C5-E40BA5F5B740}"/>
    <cellStyle name="40% - Accent4 2 2 4" xfId="1098" xr:uid="{00000000-0005-0000-0000-0000BC050000}"/>
    <cellStyle name="40% - Accent4 2 2 4 2" xfId="3329" xr:uid="{00000000-0005-0000-0000-0000BD050000}"/>
    <cellStyle name="40% - Accent4 2 2 4 2 2" xfId="7552" xr:uid="{00000000-0005-0000-0000-0000BE050000}"/>
    <cellStyle name="40% - Accent4 2 2 4 2 2 2" xfId="15987" xr:uid="{2F2FD991-D7D9-41B7-8BF6-6CB94B03EFB3}"/>
    <cellStyle name="40% - Accent4 2 2 4 2 3" xfId="11769" xr:uid="{DD46DBF4-E033-469E-AFFB-C3C361BAFB61}"/>
    <cellStyle name="40% - Accent4 2 2 4 3" xfId="5407" xr:uid="{00000000-0005-0000-0000-0000BF050000}"/>
    <cellStyle name="40% - Accent4 2 2 4 3 2" xfId="13842" xr:uid="{635C6CDC-7C30-4F5C-9E83-101471A54A1E}"/>
    <cellStyle name="40% - Accent4 2 2 4 4" xfId="9624" xr:uid="{4E2C42C2-CE90-4C51-AC55-592C70FFE6BD}"/>
    <cellStyle name="40% - Accent4 2 2 5" xfId="1512" xr:uid="{00000000-0005-0000-0000-0000C0050000}"/>
    <cellStyle name="40% - Accent4 2 2 5 2" xfId="3742" xr:uid="{00000000-0005-0000-0000-0000C1050000}"/>
    <cellStyle name="40% - Accent4 2 2 5 2 2" xfId="7965" xr:uid="{00000000-0005-0000-0000-0000C2050000}"/>
    <cellStyle name="40% - Accent4 2 2 5 2 2 2" xfId="16400" xr:uid="{754A6CEE-C80C-42EC-B574-EFF43197884D}"/>
    <cellStyle name="40% - Accent4 2 2 5 2 3" xfId="12182" xr:uid="{CB2F4BA3-359F-4D41-BD94-F7F7B5B23BF5}"/>
    <cellStyle name="40% - Accent4 2 2 5 3" xfId="5820" xr:uid="{00000000-0005-0000-0000-0000C3050000}"/>
    <cellStyle name="40% - Accent4 2 2 5 3 2" xfId="14255" xr:uid="{0F951F01-D9FB-4F20-B073-4CC5F81926B8}"/>
    <cellStyle name="40% - Accent4 2 2 5 4" xfId="10037" xr:uid="{B4C4DB86-09EF-4D7C-970F-4975A201DB82}"/>
    <cellStyle name="40% - Accent4 2 2 6" xfId="1926" xr:uid="{00000000-0005-0000-0000-0000C4050000}"/>
    <cellStyle name="40% - Accent4 2 2 6 2" xfId="4155" xr:uid="{00000000-0005-0000-0000-0000C5050000}"/>
    <cellStyle name="40% - Accent4 2 2 6 2 2" xfId="8378" xr:uid="{00000000-0005-0000-0000-0000C6050000}"/>
    <cellStyle name="40% - Accent4 2 2 6 2 2 2" xfId="16813" xr:uid="{63FFEE75-0331-43F9-A577-426E4EC62020}"/>
    <cellStyle name="40% - Accent4 2 2 6 2 3" xfId="12595" xr:uid="{99575D4B-4A44-4833-B76C-57608FAF8734}"/>
    <cellStyle name="40% - Accent4 2 2 6 3" xfId="6233" xr:uid="{00000000-0005-0000-0000-0000C7050000}"/>
    <cellStyle name="40% - Accent4 2 2 6 3 2" xfId="14668" xr:uid="{42A84537-5A28-4C1D-B7C4-61ABEB57B2C4}"/>
    <cellStyle name="40% - Accent4 2 2 6 4" xfId="10450" xr:uid="{454E05C7-6784-4138-B94B-7E7AE43B5689}"/>
    <cellStyle name="40% - Accent4 2 2 7" xfId="2339" xr:uid="{00000000-0005-0000-0000-0000C8050000}"/>
    <cellStyle name="40% - Accent4 2 2 7 2" xfId="6646" xr:uid="{00000000-0005-0000-0000-0000C9050000}"/>
    <cellStyle name="40% - Accent4 2 2 7 2 2" xfId="15081" xr:uid="{4B36EC4F-8987-4C0B-8A39-40CCCA80D52A}"/>
    <cellStyle name="40% - Accent4 2 2 7 3" xfId="10863" xr:uid="{656D3331-F2B5-402E-A21E-36F4B64F87F6}"/>
    <cellStyle name="40% - Accent4 2 2 8" xfId="4580" xr:uid="{00000000-0005-0000-0000-0000CA050000}"/>
    <cellStyle name="40% - Accent4 2 2 8 2" xfId="13015" xr:uid="{C9691BC7-F384-45C0-870F-1C5E884B8587}"/>
    <cellStyle name="40% - Accent4 2 2 9" xfId="8797" xr:uid="{99E64847-47DB-4F8E-B2BD-E9455DD7B14D}"/>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2 2 2" xfId="15576" xr:uid="{177E72EC-835E-4177-A51A-730BBAB04BE3}"/>
    <cellStyle name="40% - Accent4 2 3 2 2 3" xfId="11358" xr:uid="{D3C5D97F-5D0D-4653-9933-F5A1B7295053}"/>
    <cellStyle name="40% - Accent4 2 3 2 3" xfId="4996" xr:uid="{00000000-0005-0000-0000-0000CF050000}"/>
    <cellStyle name="40% - Accent4 2 3 2 3 2" xfId="13431" xr:uid="{E8F1D946-46B4-46F8-8080-D4619499B1A1}"/>
    <cellStyle name="40% - Accent4 2 3 2 4" xfId="9213" xr:uid="{AFD9BB5F-96DE-4BA0-9EFA-03123D5FEF70}"/>
    <cellStyle name="40% - Accent4 2 3 3" xfId="1100" xr:uid="{00000000-0005-0000-0000-0000D0050000}"/>
    <cellStyle name="40% - Accent4 2 3 3 2" xfId="3331" xr:uid="{00000000-0005-0000-0000-0000D1050000}"/>
    <cellStyle name="40% - Accent4 2 3 3 2 2" xfId="7554" xr:uid="{00000000-0005-0000-0000-0000D2050000}"/>
    <cellStyle name="40% - Accent4 2 3 3 2 2 2" xfId="15989" xr:uid="{2928E933-E8A9-405E-8797-2342C3224807}"/>
    <cellStyle name="40% - Accent4 2 3 3 2 3" xfId="11771" xr:uid="{CCD7E701-685E-4AED-86DC-5B39C7A31600}"/>
    <cellStyle name="40% - Accent4 2 3 3 3" xfId="5409" xr:uid="{00000000-0005-0000-0000-0000D3050000}"/>
    <cellStyle name="40% - Accent4 2 3 3 3 2" xfId="13844" xr:uid="{D2074FFC-A1B8-4B53-8D52-59D0C06F92D9}"/>
    <cellStyle name="40% - Accent4 2 3 3 4" xfId="9626" xr:uid="{828CC037-D22C-418B-96B2-E2160AAE2B88}"/>
    <cellStyle name="40% - Accent4 2 3 4" xfId="1514" xr:uid="{00000000-0005-0000-0000-0000D4050000}"/>
    <cellStyle name="40% - Accent4 2 3 4 2" xfId="3744" xr:uid="{00000000-0005-0000-0000-0000D5050000}"/>
    <cellStyle name="40% - Accent4 2 3 4 2 2" xfId="7967" xr:uid="{00000000-0005-0000-0000-0000D6050000}"/>
    <cellStyle name="40% - Accent4 2 3 4 2 2 2" xfId="16402" xr:uid="{E9104DDD-A763-4F1F-BCAC-7F0D685D9864}"/>
    <cellStyle name="40% - Accent4 2 3 4 2 3" xfId="12184" xr:uid="{89A73F0A-7A2E-440C-B9CE-728CD350B704}"/>
    <cellStyle name="40% - Accent4 2 3 4 3" xfId="5822" xr:uid="{00000000-0005-0000-0000-0000D7050000}"/>
    <cellStyle name="40% - Accent4 2 3 4 3 2" xfId="14257" xr:uid="{3746E5F7-0B4E-411B-966F-AEF81FDD63AF}"/>
    <cellStyle name="40% - Accent4 2 3 4 4" xfId="10039" xr:uid="{94F647E2-F662-4C47-B4F8-184926E6262D}"/>
    <cellStyle name="40% - Accent4 2 3 5" xfId="1928" xr:uid="{00000000-0005-0000-0000-0000D8050000}"/>
    <cellStyle name="40% - Accent4 2 3 5 2" xfId="4157" xr:uid="{00000000-0005-0000-0000-0000D9050000}"/>
    <cellStyle name="40% - Accent4 2 3 5 2 2" xfId="8380" xr:uid="{00000000-0005-0000-0000-0000DA050000}"/>
    <cellStyle name="40% - Accent4 2 3 5 2 2 2" xfId="16815" xr:uid="{092E8766-CAFE-472C-9670-FD3E98C955E2}"/>
    <cellStyle name="40% - Accent4 2 3 5 2 3" xfId="12597" xr:uid="{CECE65DA-0811-4C34-B6B7-DFEAAA8EB917}"/>
    <cellStyle name="40% - Accent4 2 3 5 3" xfId="6235" xr:uid="{00000000-0005-0000-0000-0000DB050000}"/>
    <cellStyle name="40% - Accent4 2 3 5 3 2" xfId="14670" xr:uid="{10894222-D2FB-47BC-B8C2-BC1C83B2FDBD}"/>
    <cellStyle name="40% - Accent4 2 3 5 4" xfId="10452" xr:uid="{B4A0FCD2-DDDF-4BF1-AE65-687B63CAB8E8}"/>
    <cellStyle name="40% - Accent4 2 3 6" xfId="2341" xr:uid="{00000000-0005-0000-0000-0000DC050000}"/>
    <cellStyle name="40% - Accent4 2 3 6 2" xfId="6648" xr:uid="{00000000-0005-0000-0000-0000DD050000}"/>
    <cellStyle name="40% - Accent4 2 3 6 2 2" xfId="15083" xr:uid="{C24AE77F-5854-4736-A221-367D10DABD1D}"/>
    <cellStyle name="40% - Accent4 2 3 6 3" xfId="10865" xr:uid="{AB4F5B64-554C-4820-98CC-43CDC60EA1B9}"/>
    <cellStyle name="40% - Accent4 2 3 7" xfId="4582" xr:uid="{00000000-0005-0000-0000-0000DE050000}"/>
    <cellStyle name="40% - Accent4 2 3 7 2" xfId="13017" xr:uid="{9D565EAF-62A9-4B72-9176-2CF477C4FAFA}"/>
    <cellStyle name="40% - Accent4 2 3 8" xfId="8799" xr:uid="{9A3513E4-4B29-4754-A785-375F51D3F0BA}"/>
    <cellStyle name="40% - Accent4 2 4" xfId="644" xr:uid="{00000000-0005-0000-0000-0000DF050000}"/>
    <cellStyle name="40% - Accent4 2 4 2" xfId="2915" xr:uid="{00000000-0005-0000-0000-0000E0050000}"/>
    <cellStyle name="40% - Accent4 2 4 2 2" xfId="7138" xr:uid="{00000000-0005-0000-0000-0000E1050000}"/>
    <cellStyle name="40% - Accent4 2 4 2 2 2" xfId="15573" xr:uid="{8562A789-2A98-43B9-854F-297EA2B1079C}"/>
    <cellStyle name="40% - Accent4 2 4 2 3" xfId="11355" xr:uid="{9DEEC1EE-C67E-4D82-A0D2-65A8B34ACBD4}"/>
    <cellStyle name="40% - Accent4 2 4 3" xfId="4993" xr:uid="{00000000-0005-0000-0000-0000E2050000}"/>
    <cellStyle name="40% - Accent4 2 4 3 2" xfId="13428" xr:uid="{33EA50CD-94D1-406E-ADE3-311FBD14BD83}"/>
    <cellStyle name="40% - Accent4 2 4 4" xfId="9210" xr:uid="{5DCFA195-F618-445D-8B37-91E592EEE73C}"/>
    <cellStyle name="40% - Accent4 2 5" xfId="1097" xr:uid="{00000000-0005-0000-0000-0000E3050000}"/>
    <cellStyle name="40% - Accent4 2 5 2" xfId="3328" xr:uid="{00000000-0005-0000-0000-0000E4050000}"/>
    <cellStyle name="40% - Accent4 2 5 2 2" xfId="7551" xr:uid="{00000000-0005-0000-0000-0000E5050000}"/>
    <cellStyle name="40% - Accent4 2 5 2 2 2" xfId="15986" xr:uid="{84631A47-B0CB-471C-8767-881DAA408261}"/>
    <cellStyle name="40% - Accent4 2 5 2 3" xfId="11768" xr:uid="{6BA07C61-9CB6-4499-8C41-C87E92C9DA6F}"/>
    <cellStyle name="40% - Accent4 2 5 3" xfId="5406" xr:uid="{00000000-0005-0000-0000-0000E6050000}"/>
    <cellStyle name="40% - Accent4 2 5 3 2" xfId="13841" xr:uid="{8F267F6A-9703-4425-8F44-916A3AEA1FF0}"/>
    <cellStyle name="40% - Accent4 2 5 4" xfId="9623" xr:uid="{B3507313-683A-4435-9A49-786ECC78F5A2}"/>
    <cellStyle name="40% - Accent4 2 6" xfId="1511" xr:uid="{00000000-0005-0000-0000-0000E7050000}"/>
    <cellStyle name="40% - Accent4 2 6 2" xfId="3741" xr:uid="{00000000-0005-0000-0000-0000E8050000}"/>
    <cellStyle name="40% - Accent4 2 6 2 2" xfId="7964" xr:uid="{00000000-0005-0000-0000-0000E9050000}"/>
    <cellStyle name="40% - Accent4 2 6 2 2 2" xfId="16399" xr:uid="{F477D2CE-4623-4162-86B5-7A311BC7EF5C}"/>
    <cellStyle name="40% - Accent4 2 6 2 3" xfId="12181" xr:uid="{A3D05252-61EA-4F47-8C8C-91918E27A26D}"/>
    <cellStyle name="40% - Accent4 2 6 3" xfId="5819" xr:uid="{00000000-0005-0000-0000-0000EA050000}"/>
    <cellStyle name="40% - Accent4 2 6 3 2" xfId="14254" xr:uid="{8F81DCC1-F98D-44A5-ADC5-0297AE6606CD}"/>
    <cellStyle name="40% - Accent4 2 6 4" xfId="10036" xr:uid="{C97DBE2A-A0E7-40EE-AF09-CA58B01BD13E}"/>
    <cellStyle name="40% - Accent4 2 7" xfId="1925" xr:uid="{00000000-0005-0000-0000-0000EB050000}"/>
    <cellStyle name="40% - Accent4 2 7 2" xfId="4154" xr:uid="{00000000-0005-0000-0000-0000EC050000}"/>
    <cellStyle name="40% - Accent4 2 7 2 2" xfId="8377" xr:uid="{00000000-0005-0000-0000-0000ED050000}"/>
    <cellStyle name="40% - Accent4 2 7 2 2 2" xfId="16812" xr:uid="{CE3E3626-ECE0-4571-8399-E878418DB53D}"/>
    <cellStyle name="40% - Accent4 2 7 2 3" xfId="12594" xr:uid="{100AEBC7-E01D-4428-9A20-996C94F1322E}"/>
    <cellStyle name="40% - Accent4 2 7 3" xfId="6232" xr:uid="{00000000-0005-0000-0000-0000EE050000}"/>
    <cellStyle name="40% - Accent4 2 7 3 2" xfId="14667" xr:uid="{E288A28C-8919-49AD-BFBF-A0DEEBD39351}"/>
    <cellStyle name="40% - Accent4 2 7 4" xfId="10449" xr:uid="{9C0371E7-A3EC-494E-9A71-1B7638CCFFAC}"/>
    <cellStyle name="40% - Accent4 2 8" xfId="2338" xr:uid="{00000000-0005-0000-0000-0000EF050000}"/>
    <cellStyle name="40% - Accent4 2 8 2" xfId="6645" xr:uid="{00000000-0005-0000-0000-0000F0050000}"/>
    <cellStyle name="40% - Accent4 2 8 2 2" xfId="15080" xr:uid="{1CD83EEB-A927-4CCC-B579-FACB0EFAFF0B}"/>
    <cellStyle name="40% - Accent4 2 8 3" xfId="10862" xr:uid="{C0A256C8-B939-4ED3-9783-7F94B31428EB}"/>
    <cellStyle name="40% - Accent4 2 9" xfId="4579" xr:uid="{00000000-0005-0000-0000-0000F1050000}"/>
    <cellStyle name="40% - Accent4 2 9 2" xfId="13014" xr:uid="{2FF29E8B-5402-41EE-A753-03809BC1C73C}"/>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2 2 2" xfId="15578" xr:uid="{EF7E8328-5669-4809-8579-378B7F847D9F}"/>
    <cellStyle name="40% - Accent4 3 2 2 2 3" xfId="11360" xr:uid="{70F21D2A-96E1-4170-B484-9A6977565B91}"/>
    <cellStyle name="40% - Accent4 3 2 2 3" xfId="4998" xr:uid="{00000000-0005-0000-0000-0000F7050000}"/>
    <cellStyle name="40% - Accent4 3 2 2 3 2" xfId="13433" xr:uid="{6708C3E2-B3E0-4476-934E-AF0706D67D76}"/>
    <cellStyle name="40% - Accent4 3 2 2 4" xfId="9215" xr:uid="{9B60962C-6D55-4BC7-8622-585333E00B65}"/>
    <cellStyle name="40% - Accent4 3 2 3" xfId="1102" xr:uid="{00000000-0005-0000-0000-0000F8050000}"/>
    <cellStyle name="40% - Accent4 3 2 3 2" xfId="3333" xr:uid="{00000000-0005-0000-0000-0000F9050000}"/>
    <cellStyle name="40% - Accent4 3 2 3 2 2" xfId="7556" xr:uid="{00000000-0005-0000-0000-0000FA050000}"/>
    <cellStyle name="40% - Accent4 3 2 3 2 2 2" xfId="15991" xr:uid="{33C49A47-04D0-4560-8119-468F51437ED6}"/>
    <cellStyle name="40% - Accent4 3 2 3 2 3" xfId="11773" xr:uid="{63B9480D-1EDB-4477-BAEE-440065210766}"/>
    <cellStyle name="40% - Accent4 3 2 3 3" xfId="5411" xr:uid="{00000000-0005-0000-0000-0000FB050000}"/>
    <cellStyle name="40% - Accent4 3 2 3 3 2" xfId="13846" xr:uid="{DDC24CA0-43B9-449B-82DD-1ADE0BEEBD53}"/>
    <cellStyle name="40% - Accent4 3 2 3 4" xfId="9628" xr:uid="{A363B53E-3633-4225-B47F-BE06DEA3AA31}"/>
    <cellStyle name="40% - Accent4 3 2 4" xfId="1516" xr:uid="{00000000-0005-0000-0000-0000FC050000}"/>
    <cellStyle name="40% - Accent4 3 2 4 2" xfId="3746" xr:uid="{00000000-0005-0000-0000-0000FD050000}"/>
    <cellStyle name="40% - Accent4 3 2 4 2 2" xfId="7969" xr:uid="{00000000-0005-0000-0000-0000FE050000}"/>
    <cellStyle name="40% - Accent4 3 2 4 2 2 2" xfId="16404" xr:uid="{11268596-DE57-4CF6-8D3C-DC9A1D6B5924}"/>
    <cellStyle name="40% - Accent4 3 2 4 2 3" xfId="12186" xr:uid="{1063BE9B-1C8C-4FEE-A085-B460C4B91699}"/>
    <cellStyle name="40% - Accent4 3 2 4 3" xfId="5824" xr:uid="{00000000-0005-0000-0000-0000FF050000}"/>
    <cellStyle name="40% - Accent4 3 2 4 3 2" xfId="14259" xr:uid="{CE96D8BB-6B37-4A37-B36A-B74DB390A6F7}"/>
    <cellStyle name="40% - Accent4 3 2 4 4" xfId="10041" xr:uid="{16087B23-AF6D-4D02-A543-AA8BC2717211}"/>
    <cellStyle name="40% - Accent4 3 2 5" xfId="1930" xr:uid="{00000000-0005-0000-0000-000000060000}"/>
    <cellStyle name="40% - Accent4 3 2 5 2" xfId="4159" xr:uid="{00000000-0005-0000-0000-000001060000}"/>
    <cellStyle name="40% - Accent4 3 2 5 2 2" xfId="8382" xr:uid="{00000000-0005-0000-0000-000002060000}"/>
    <cellStyle name="40% - Accent4 3 2 5 2 2 2" xfId="16817" xr:uid="{E3BF17E6-CD06-4CEF-A3B6-880540316E88}"/>
    <cellStyle name="40% - Accent4 3 2 5 2 3" xfId="12599" xr:uid="{57B9F54C-8D6C-43D6-81DE-0CD93BAEF526}"/>
    <cellStyle name="40% - Accent4 3 2 5 3" xfId="6237" xr:uid="{00000000-0005-0000-0000-000003060000}"/>
    <cellStyle name="40% - Accent4 3 2 5 3 2" xfId="14672" xr:uid="{56F108E4-0BE9-4B7D-A506-C60BFBB88A8E}"/>
    <cellStyle name="40% - Accent4 3 2 5 4" xfId="10454" xr:uid="{C297312B-5DCB-4EB1-BBB9-F83B8C004481}"/>
    <cellStyle name="40% - Accent4 3 2 6" xfId="2343" xr:uid="{00000000-0005-0000-0000-000004060000}"/>
    <cellStyle name="40% - Accent4 3 2 6 2" xfId="6650" xr:uid="{00000000-0005-0000-0000-000005060000}"/>
    <cellStyle name="40% - Accent4 3 2 6 2 2" xfId="15085" xr:uid="{DDB6BC55-2DE3-4BD3-A0D5-27EAEE51B14A}"/>
    <cellStyle name="40% - Accent4 3 2 6 3" xfId="10867" xr:uid="{5E7EF0AF-D1B5-4173-8329-E3E303CAED39}"/>
    <cellStyle name="40% - Accent4 3 2 7" xfId="4584" xr:uid="{00000000-0005-0000-0000-000006060000}"/>
    <cellStyle name="40% - Accent4 3 2 7 2" xfId="13019" xr:uid="{950F168C-A4B5-49FD-9738-B5D186A475C2}"/>
    <cellStyle name="40% - Accent4 3 2 8" xfId="8801" xr:uid="{257F4DA3-DF3B-441B-BA30-7397469587F9}"/>
    <cellStyle name="40% - Accent4 3 3" xfId="648" xr:uid="{00000000-0005-0000-0000-000007060000}"/>
    <cellStyle name="40% - Accent4 3 3 2" xfId="2919" xr:uid="{00000000-0005-0000-0000-000008060000}"/>
    <cellStyle name="40% - Accent4 3 3 2 2" xfId="7142" xr:uid="{00000000-0005-0000-0000-000009060000}"/>
    <cellStyle name="40% - Accent4 3 3 2 2 2" xfId="15577" xr:uid="{26A43540-D351-4445-B35B-FFECB8361572}"/>
    <cellStyle name="40% - Accent4 3 3 2 3" xfId="11359" xr:uid="{4728368E-FAE1-4EF2-91EB-A91FFCA28DA5}"/>
    <cellStyle name="40% - Accent4 3 3 3" xfId="4997" xr:uid="{00000000-0005-0000-0000-00000A060000}"/>
    <cellStyle name="40% - Accent4 3 3 3 2" xfId="13432" xr:uid="{A693C4D4-F99A-4C38-BC8C-7D276211373B}"/>
    <cellStyle name="40% - Accent4 3 3 4" xfId="9214" xr:uid="{2B2188CA-20CE-4C74-8DCF-FA6DC2F2507A}"/>
    <cellStyle name="40% - Accent4 3 4" xfId="1101" xr:uid="{00000000-0005-0000-0000-00000B060000}"/>
    <cellStyle name="40% - Accent4 3 4 2" xfId="3332" xr:uid="{00000000-0005-0000-0000-00000C060000}"/>
    <cellStyle name="40% - Accent4 3 4 2 2" xfId="7555" xr:uid="{00000000-0005-0000-0000-00000D060000}"/>
    <cellStyle name="40% - Accent4 3 4 2 2 2" xfId="15990" xr:uid="{13AECC83-CFFE-4C0D-A618-166B771A1E61}"/>
    <cellStyle name="40% - Accent4 3 4 2 3" xfId="11772" xr:uid="{1922EDF2-2958-444A-A870-01CA28B3569F}"/>
    <cellStyle name="40% - Accent4 3 4 3" xfId="5410" xr:uid="{00000000-0005-0000-0000-00000E060000}"/>
    <cellStyle name="40% - Accent4 3 4 3 2" xfId="13845" xr:uid="{5987284C-DD20-40EF-AF62-8F455920EEE4}"/>
    <cellStyle name="40% - Accent4 3 4 4" xfId="9627" xr:uid="{B58B5B73-D0F2-4E91-A314-83DAA939C79D}"/>
    <cellStyle name="40% - Accent4 3 5" xfId="1515" xr:uid="{00000000-0005-0000-0000-00000F060000}"/>
    <cellStyle name="40% - Accent4 3 5 2" xfId="3745" xr:uid="{00000000-0005-0000-0000-000010060000}"/>
    <cellStyle name="40% - Accent4 3 5 2 2" xfId="7968" xr:uid="{00000000-0005-0000-0000-000011060000}"/>
    <cellStyle name="40% - Accent4 3 5 2 2 2" xfId="16403" xr:uid="{B554CC82-19B2-4C42-A406-B937D129CC6E}"/>
    <cellStyle name="40% - Accent4 3 5 2 3" xfId="12185" xr:uid="{A46659A3-21A1-4097-8C6A-9346B4E78054}"/>
    <cellStyle name="40% - Accent4 3 5 3" xfId="5823" xr:uid="{00000000-0005-0000-0000-000012060000}"/>
    <cellStyle name="40% - Accent4 3 5 3 2" xfId="14258" xr:uid="{B1B1601C-A522-473B-A958-1326E766F11C}"/>
    <cellStyle name="40% - Accent4 3 5 4" xfId="10040" xr:uid="{D0BBB798-0253-4E9C-AD2C-29AEFF1B4444}"/>
    <cellStyle name="40% - Accent4 3 6" xfId="1929" xr:uid="{00000000-0005-0000-0000-000013060000}"/>
    <cellStyle name="40% - Accent4 3 6 2" xfId="4158" xr:uid="{00000000-0005-0000-0000-000014060000}"/>
    <cellStyle name="40% - Accent4 3 6 2 2" xfId="8381" xr:uid="{00000000-0005-0000-0000-000015060000}"/>
    <cellStyle name="40% - Accent4 3 6 2 2 2" xfId="16816" xr:uid="{2F658014-AF7F-454D-9A6A-FD310181FBF0}"/>
    <cellStyle name="40% - Accent4 3 6 2 3" xfId="12598" xr:uid="{0907780B-0C41-4658-A60C-642FE35E77FA}"/>
    <cellStyle name="40% - Accent4 3 6 3" xfId="6236" xr:uid="{00000000-0005-0000-0000-000016060000}"/>
    <cellStyle name="40% - Accent4 3 6 3 2" xfId="14671" xr:uid="{430FC059-F57B-4FFF-97CF-1124F15FA5AB}"/>
    <cellStyle name="40% - Accent4 3 6 4" xfId="10453" xr:uid="{6C804C03-1DB4-40BE-AF02-9A8DE6891B7E}"/>
    <cellStyle name="40% - Accent4 3 7" xfId="2342" xr:uid="{00000000-0005-0000-0000-000017060000}"/>
    <cellStyle name="40% - Accent4 3 7 2" xfId="6649" xr:uid="{00000000-0005-0000-0000-000018060000}"/>
    <cellStyle name="40% - Accent4 3 7 2 2" xfId="15084" xr:uid="{76D27FE1-09E9-4B7C-8941-BC076FD35D8F}"/>
    <cellStyle name="40% - Accent4 3 7 3" xfId="10866" xr:uid="{7CBDB921-0CD8-4C45-A764-41113F58ADF8}"/>
    <cellStyle name="40% - Accent4 3 8" xfId="4583" xr:uid="{00000000-0005-0000-0000-000019060000}"/>
    <cellStyle name="40% - Accent4 3 8 2" xfId="13018" xr:uid="{02D16565-5F05-4EA4-BEDF-9B6648FA2AC5}"/>
    <cellStyle name="40% - Accent4 3 9" xfId="8800" xr:uid="{C5D34575-4A2E-4E40-BE6E-AF71F1AC5697}"/>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2 2 2" xfId="15579" xr:uid="{8F34B9FA-01EC-4909-B413-195213928924}"/>
    <cellStyle name="40% - Accent4 4 2 2 3" xfId="11361" xr:uid="{1D1E46CC-F6D0-424E-9DA7-6384FF8BD6F9}"/>
    <cellStyle name="40% - Accent4 4 2 3" xfId="4999" xr:uid="{00000000-0005-0000-0000-00001E060000}"/>
    <cellStyle name="40% - Accent4 4 2 3 2" xfId="13434" xr:uid="{48438D26-9717-48F5-AC14-5A1E556E6C15}"/>
    <cellStyle name="40% - Accent4 4 2 4" xfId="9216" xr:uid="{2F5C9621-C5E7-4906-B7CE-1DEBA0B5D270}"/>
    <cellStyle name="40% - Accent4 4 3" xfId="1103" xr:uid="{00000000-0005-0000-0000-00001F060000}"/>
    <cellStyle name="40% - Accent4 4 3 2" xfId="3334" xr:uid="{00000000-0005-0000-0000-000020060000}"/>
    <cellStyle name="40% - Accent4 4 3 2 2" xfId="7557" xr:uid="{00000000-0005-0000-0000-000021060000}"/>
    <cellStyle name="40% - Accent4 4 3 2 2 2" xfId="15992" xr:uid="{9E788999-9D51-4BBF-BA3D-6B53C0ABED59}"/>
    <cellStyle name="40% - Accent4 4 3 2 3" xfId="11774" xr:uid="{6AC337F2-2DDA-40D1-869D-457ED501387C}"/>
    <cellStyle name="40% - Accent4 4 3 3" xfId="5412" xr:uid="{00000000-0005-0000-0000-000022060000}"/>
    <cellStyle name="40% - Accent4 4 3 3 2" xfId="13847" xr:uid="{412A8AC2-0993-43AF-8A62-59B238BF6870}"/>
    <cellStyle name="40% - Accent4 4 3 4" xfId="9629" xr:uid="{4D4B950A-B42B-4E2B-B43E-516BE5600987}"/>
    <cellStyle name="40% - Accent4 4 4" xfId="1517" xr:uid="{00000000-0005-0000-0000-000023060000}"/>
    <cellStyle name="40% - Accent4 4 4 2" xfId="3747" xr:uid="{00000000-0005-0000-0000-000024060000}"/>
    <cellStyle name="40% - Accent4 4 4 2 2" xfId="7970" xr:uid="{00000000-0005-0000-0000-000025060000}"/>
    <cellStyle name="40% - Accent4 4 4 2 2 2" xfId="16405" xr:uid="{7D12DCF8-A01A-41AF-AE2D-FB51AFDFF1D2}"/>
    <cellStyle name="40% - Accent4 4 4 2 3" xfId="12187" xr:uid="{D426B273-002E-48C4-8C63-79EA65F0FC19}"/>
    <cellStyle name="40% - Accent4 4 4 3" xfId="5825" xr:uid="{00000000-0005-0000-0000-000026060000}"/>
    <cellStyle name="40% - Accent4 4 4 3 2" xfId="14260" xr:uid="{01CDAB6A-F414-405B-BF63-57A189D52B87}"/>
    <cellStyle name="40% - Accent4 4 4 4" xfId="10042" xr:uid="{6FB63E42-BDB1-4C13-BDF6-BD0A6EC3FAED}"/>
    <cellStyle name="40% - Accent4 4 5" xfId="1931" xr:uid="{00000000-0005-0000-0000-000027060000}"/>
    <cellStyle name="40% - Accent4 4 5 2" xfId="4160" xr:uid="{00000000-0005-0000-0000-000028060000}"/>
    <cellStyle name="40% - Accent4 4 5 2 2" xfId="8383" xr:uid="{00000000-0005-0000-0000-000029060000}"/>
    <cellStyle name="40% - Accent4 4 5 2 2 2" xfId="16818" xr:uid="{7D5FD515-4EBB-4C72-B4EB-B2AEF7DABB79}"/>
    <cellStyle name="40% - Accent4 4 5 2 3" xfId="12600" xr:uid="{0B3EA908-2C1F-4D88-B121-194E959845F7}"/>
    <cellStyle name="40% - Accent4 4 5 3" xfId="6238" xr:uid="{00000000-0005-0000-0000-00002A060000}"/>
    <cellStyle name="40% - Accent4 4 5 3 2" xfId="14673" xr:uid="{86EDBD44-C34D-406F-A0A9-A4156EEDCA76}"/>
    <cellStyle name="40% - Accent4 4 5 4" xfId="10455" xr:uid="{ABC1EFCF-E825-4AE0-87B7-4217D553084D}"/>
    <cellStyle name="40% - Accent4 4 6" xfId="2344" xr:uid="{00000000-0005-0000-0000-00002B060000}"/>
    <cellStyle name="40% - Accent4 4 6 2" xfId="6651" xr:uid="{00000000-0005-0000-0000-00002C060000}"/>
    <cellStyle name="40% - Accent4 4 6 2 2" xfId="15086" xr:uid="{6627C968-8FE6-4F41-A172-EA1E79536542}"/>
    <cellStyle name="40% - Accent4 4 6 3" xfId="10868" xr:uid="{E2F0BEDE-88B7-47DD-9AB5-D574DE8BF42C}"/>
    <cellStyle name="40% - Accent4 4 7" xfId="4585" xr:uid="{00000000-0005-0000-0000-00002D060000}"/>
    <cellStyle name="40% - Accent4 4 7 2" xfId="13020" xr:uid="{2C148D12-59FC-4C11-B41A-721DC55FC76A}"/>
    <cellStyle name="40% - Accent4 4 8" xfId="8802" xr:uid="{BF05C73C-6A83-4861-918A-724B7C655D0B}"/>
    <cellStyle name="40% - Accent4 5" xfId="643" xr:uid="{00000000-0005-0000-0000-00002E060000}"/>
    <cellStyle name="40% - Accent4 5 2" xfId="2914" xr:uid="{00000000-0005-0000-0000-00002F060000}"/>
    <cellStyle name="40% - Accent4 5 2 2" xfId="7137" xr:uid="{00000000-0005-0000-0000-000030060000}"/>
    <cellStyle name="40% - Accent4 5 2 2 2" xfId="15572" xr:uid="{CB8430C2-D471-4F29-9C03-7B303D6ED19F}"/>
    <cellStyle name="40% - Accent4 5 2 3" xfId="11354" xr:uid="{D3F91A90-3389-438B-AC95-D6390CCF7B82}"/>
    <cellStyle name="40% - Accent4 5 3" xfId="4992" xr:uid="{00000000-0005-0000-0000-000031060000}"/>
    <cellStyle name="40% - Accent4 5 3 2" xfId="13427" xr:uid="{9177361B-6BAE-4E55-995E-356C3A317439}"/>
    <cellStyle name="40% - Accent4 5 4" xfId="9209" xr:uid="{D930B5E1-5786-4723-A664-6A69C6198552}"/>
    <cellStyle name="40% - Accent4 6" xfId="1096" xr:uid="{00000000-0005-0000-0000-000032060000}"/>
    <cellStyle name="40% - Accent4 6 2" xfId="3327" xr:uid="{00000000-0005-0000-0000-000033060000}"/>
    <cellStyle name="40% - Accent4 6 2 2" xfId="7550" xr:uid="{00000000-0005-0000-0000-000034060000}"/>
    <cellStyle name="40% - Accent4 6 2 2 2" xfId="15985" xr:uid="{BDABC12C-AE47-46E9-98C0-986DBEDF068E}"/>
    <cellStyle name="40% - Accent4 6 2 3" xfId="11767" xr:uid="{AB4F5DD0-A6E1-4702-9854-C44FC5280454}"/>
    <cellStyle name="40% - Accent4 6 3" xfId="5405" xr:uid="{00000000-0005-0000-0000-000035060000}"/>
    <cellStyle name="40% - Accent4 6 3 2" xfId="13840" xr:uid="{3E00D7CC-C315-4385-BA36-4438FB4C64B2}"/>
    <cellStyle name="40% - Accent4 6 4" xfId="9622" xr:uid="{CEB25B0D-EDA9-4F4D-BBB6-147CBD7B0C64}"/>
    <cellStyle name="40% - Accent4 7" xfId="1510" xr:uid="{00000000-0005-0000-0000-000036060000}"/>
    <cellStyle name="40% - Accent4 7 2" xfId="3740" xr:uid="{00000000-0005-0000-0000-000037060000}"/>
    <cellStyle name="40% - Accent4 7 2 2" xfId="7963" xr:uid="{00000000-0005-0000-0000-000038060000}"/>
    <cellStyle name="40% - Accent4 7 2 2 2" xfId="16398" xr:uid="{CF539816-FBBF-45F8-911E-1FBC0C05FDE0}"/>
    <cellStyle name="40% - Accent4 7 2 3" xfId="12180" xr:uid="{03AC7E0D-41E9-4B13-9428-AF656973CFE1}"/>
    <cellStyle name="40% - Accent4 7 3" xfId="5818" xr:uid="{00000000-0005-0000-0000-000039060000}"/>
    <cellStyle name="40% - Accent4 7 3 2" xfId="14253" xr:uid="{004A2D06-0ED7-491A-BF3E-13A34B56C9B9}"/>
    <cellStyle name="40% - Accent4 7 4" xfId="10035" xr:uid="{97AC59F3-A719-47CD-A9BB-7326EE95B650}"/>
    <cellStyle name="40% - Accent4 8" xfId="1924" xr:uid="{00000000-0005-0000-0000-00003A060000}"/>
    <cellStyle name="40% - Accent4 8 2" xfId="4153" xr:uid="{00000000-0005-0000-0000-00003B060000}"/>
    <cellStyle name="40% - Accent4 8 2 2" xfId="8376" xr:uid="{00000000-0005-0000-0000-00003C060000}"/>
    <cellStyle name="40% - Accent4 8 2 2 2" xfId="16811" xr:uid="{1F79675B-D088-4439-981D-755D5698DD63}"/>
    <cellStyle name="40% - Accent4 8 2 3" xfId="12593" xr:uid="{F33D18B6-7102-4C77-B34E-2D3C32AF74B2}"/>
    <cellStyle name="40% - Accent4 8 3" xfId="6231" xr:uid="{00000000-0005-0000-0000-00003D060000}"/>
    <cellStyle name="40% - Accent4 8 3 2" xfId="14666" xr:uid="{CC4445BD-D997-4858-8A99-E30EFB295302}"/>
    <cellStyle name="40% - Accent4 8 4" xfId="10448" xr:uid="{9ACFBEBA-A4E0-4B8E-AB4D-BBEB3E7B0662}"/>
    <cellStyle name="40% - Accent4 9" xfId="2337" xr:uid="{00000000-0005-0000-0000-00003E060000}"/>
    <cellStyle name="40% - Accent4 9 2" xfId="6644" xr:uid="{00000000-0005-0000-0000-00003F060000}"/>
    <cellStyle name="40% - Accent4 9 2 2" xfId="15079" xr:uid="{E6F35C21-5F7E-4092-93F7-B45395819C0D}"/>
    <cellStyle name="40% - Accent4 9 3" xfId="10861" xr:uid="{60AEAD89-26BA-4993-BF92-3DE661920E60}"/>
    <cellStyle name="40% - Accent5" xfId="81" builtinId="47" customBuiltin="1"/>
    <cellStyle name="40% - Accent5 10" xfId="4586" xr:uid="{00000000-0005-0000-0000-000041060000}"/>
    <cellStyle name="40% - Accent5 10 2" xfId="13021" xr:uid="{1BCCE108-93E1-4715-BBD4-DE9E904891FF}"/>
    <cellStyle name="40% - Accent5 11" xfId="8803" xr:uid="{AE290B54-2CF8-4D24-9A42-F4115A8FA2EA}"/>
    <cellStyle name="40% - Accent5 2" xfId="82" xr:uid="{00000000-0005-0000-0000-000042060000}"/>
    <cellStyle name="40% - Accent5 2 10" xfId="8804" xr:uid="{95EB0C59-BDC6-49F4-85D4-A22E2C8A92CD}"/>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2 2 2" xfId="15583" xr:uid="{62D250C0-0530-45DD-9FF7-327CE7E35C01}"/>
    <cellStyle name="40% - Accent5 2 2 2 2 2 3" xfId="11365" xr:uid="{3F48511D-9BDD-41D8-91A1-327050996E38}"/>
    <cellStyle name="40% - Accent5 2 2 2 2 3" xfId="5003" xr:uid="{00000000-0005-0000-0000-000048060000}"/>
    <cellStyle name="40% - Accent5 2 2 2 2 3 2" xfId="13438" xr:uid="{EE09A4E6-407B-4387-AA8B-B805AC443729}"/>
    <cellStyle name="40% - Accent5 2 2 2 2 4" xfId="9220" xr:uid="{DB0DD92E-5B37-4C07-B273-916FE7CD4DFC}"/>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2 2 2" xfId="15996" xr:uid="{3116535F-DE3B-48E2-A010-AF3348C858E2}"/>
    <cellStyle name="40% - Accent5 2 2 2 3 2 3" xfId="11778" xr:uid="{9E80E16C-F232-470B-B5AD-135A790A4ECD}"/>
    <cellStyle name="40% - Accent5 2 2 2 3 3" xfId="5416" xr:uid="{00000000-0005-0000-0000-00004C060000}"/>
    <cellStyle name="40% - Accent5 2 2 2 3 3 2" xfId="13851" xr:uid="{711D1928-1591-4CC0-98F4-0D6C19C8A969}"/>
    <cellStyle name="40% - Accent5 2 2 2 3 4" xfId="9633" xr:uid="{EFF77A55-2A8A-42D8-99E4-A2B75852FD82}"/>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2 2 2" xfId="16409" xr:uid="{3005A9AD-3F47-490B-8D86-FC8BD75345B4}"/>
    <cellStyle name="40% - Accent5 2 2 2 4 2 3" xfId="12191" xr:uid="{85919191-57C4-4CD3-85BE-216743F34440}"/>
    <cellStyle name="40% - Accent5 2 2 2 4 3" xfId="5829" xr:uid="{00000000-0005-0000-0000-000050060000}"/>
    <cellStyle name="40% - Accent5 2 2 2 4 3 2" xfId="14264" xr:uid="{3C30864B-FE07-4359-B0B7-6AA3B13072E9}"/>
    <cellStyle name="40% - Accent5 2 2 2 4 4" xfId="10046" xr:uid="{F0FE3FCD-400D-497B-B1A8-E80A8FEEB479}"/>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2 2 2" xfId="16822" xr:uid="{8CE7B9FD-AC92-4A40-BD43-6C2D23AA62BC}"/>
    <cellStyle name="40% - Accent5 2 2 2 5 2 3" xfId="12604" xr:uid="{FB3F85F0-E0CB-486D-80EB-68946235BCD9}"/>
    <cellStyle name="40% - Accent5 2 2 2 5 3" xfId="6242" xr:uid="{00000000-0005-0000-0000-000054060000}"/>
    <cellStyle name="40% - Accent5 2 2 2 5 3 2" xfId="14677" xr:uid="{B8679217-FEE8-492A-BB47-ED5988639FC9}"/>
    <cellStyle name="40% - Accent5 2 2 2 5 4" xfId="10459" xr:uid="{2A8B5176-5316-40C1-8733-82A1E4D71D91}"/>
    <cellStyle name="40% - Accent5 2 2 2 6" xfId="2348" xr:uid="{00000000-0005-0000-0000-000055060000}"/>
    <cellStyle name="40% - Accent5 2 2 2 6 2" xfId="6655" xr:uid="{00000000-0005-0000-0000-000056060000}"/>
    <cellStyle name="40% - Accent5 2 2 2 6 2 2" xfId="15090" xr:uid="{5072D2D8-2244-4EA8-8137-3286A81A9AB0}"/>
    <cellStyle name="40% - Accent5 2 2 2 6 3" xfId="10872" xr:uid="{99AFCBD3-8562-4E2A-AAD8-5F1E719838A2}"/>
    <cellStyle name="40% - Accent5 2 2 2 7" xfId="4589" xr:uid="{00000000-0005-0000-0000-000057060000}"/>
    <cellStyle name="40% - Accent5 2 2 2 7 2" xfId="13024" xr:uid="{089C7F8D-EC05-4377-AF8D-6DC3643A4C0C}"/>
    <cellStyle name="40% - Accent5 2 2 2 8" xfId="8806" xr:uid="{A8D037CE-A088-4870-B7AF-64E24D44A06B}"/>
    <cellStyle name="40% - Accent5 2 2 3" xfId="653" xr:uid="{00000000-0005-0000-0000-000058060000}"/>
    <cellStyle name="40% - Accent5 2 2 3 2" xfId="2924" xr:uid="{00000000-0005-0000-0000-000059060000}"/>
    <cellStyle name="40% - Accent5 2 2 3 2 2" xfId="7147" xr:uid="{00000000-0005-0000-0000-00005A060000}"/>
    <cellStyle name="40% - Accent5 2 2 3 2 2 2" xfId="15582" xr:uid="{68F449D0-AA2E-4CD7-8886-D16BF4D204CC}"/>
    <cellStyle name="40% - Accent5 2 2 3 2 3" xfId="11364" xr:uid="{9EFCC6E5-9365-4C66-9B90-5B0C2620514C}"/>
    <cellStyle name="40% - Accent5 2 2 3 3" xfId="5002" xr:uid="{00000000-0005-0000-0000-00005B060000}"/>
    <cellStyle name="40% - Accent5 2 2 3 3 2" xfId="13437" xr:uid="{CAFE9784-8776-400D-A782-51720AA3F018}"/>
    <cellStyle name="40% - Accent5 2 2 3 4" xfId="9219" xr:uid="{445E3C6D-8BD6-436A-AD5F-B579748BA801}"/>
    <cellStyle name="40% - Accent5 2 2 4" xfId="1106" xr:uid="{00000000-0005-0000-0000-00005C060000}"/>
    <cellStyle name="40% - Accent5 2 2 4 2" xfId="3337" xr:uid="{00000000-0005-0000-0000-00005D060000}"/>
    <cellStyle name="40% - Accent5 2 2 4 2 2" xfId="7560" xr:uid="{00000000-0005-0000-0000-00005E060000}"/>
    <cellStyle name="40% - Accent5 2 2 4 2 2 2" xfId="15995" xr:uid="{87CD8167-31B6-47D2-B99F-C8C3D3DF5799}"/>
    <cellStyle name="40% - Accent5 2 2 4 2 3" xfId="11777" xr:uid="{F684D07A-9631-41DF-B379-5E06F8CDF673}"/>
    <cellStyle name="40% - Accent5 2 2 4 3" xfId="5415" xr:uid="{00000000-0005-0000-0000-00005F060000}"/>
    <cellStyle name="40% - Accent5 2 2 4 3 2" xfId="13850" xr:uid="{EC9532D4-79A7-4F3C-B1AD-5B4C8A4E0EC2}"/>
    <cellStyle name="40% - Accent5 2 2 4 4" xfId="9632" xr:uid="{CE97B851-B113-408C-AE40-2304F6CEAB0D}"/>
    <cellStyle name="40% - Accent5 2 2 5" xfId="1520" xr:uid="{00000000-0005-0000-0000-000060060000}"/>
    <cellStyle name="40% - Accent5 2 2 5 2" xfId="3750" xr:uid="{00000000-0005-0000-0000-000061060000}"/>
    <cellStyle name="40% - Accent5 2 2 5 2 2" xfId="7973" xr:uid="{00000000-0005-0000-0000-000062060000}"/>
    <cellStyle name="40% - Accent5 2 2 5 2 2 2" xfId="16408" xr:uid="{73200DE4-DB37-4C53-8864-A4862C1E47C0}"/>
    <cellStyle name="40% - Accent5 2 2 5 2 3" xfId="12190" xr:uid="{30402955-619A-4D1B-8CBB-EE82065E9701}"/>
    <cellStyle name="40% - Accent5 2 2 5 3" xfId="5828" xr:uid="{00000000-0005-0000-0000-000063060000}"/>
    <cellStyle name="40% - Accent5 2 2 5 3 2" xfId="14263" xr:uid="{84B48899-04CA-4B3A-830D-BD02ADFE88CB}"/>
    <cellStyle name="40% - Accent5 2 2 5 4" xfId="10045" xr:uid="{1CBB3093-83D0-4AB2-B3D2-8BAC7E951CD6}"/>
    <cellStyle name="40% - Accent5 2 2 6" xfId="1934" xr:uid="{00000000-0005-0000-0000-000064060000}"/>
    <cellStyle name="40% - Accent5 2 2 6 2" xfId="4163" xr:uid="{00000000-0005-0000-0000-000065060000}"/>
    <cellStyle name="40% - Accent5 2 2 6 2 2" xfId="8386" xr:uid="{00000000-0005-0000-0000-000066060000}"/>
    <cellStyle name="40% - Accent5 2 2 6 2 2 2" xfId="16821" xr:uid="{1DB768C2-3008-449C-B5AF-7EA832199C54}"/>
    <cellStyle name="40% - Accent5 2 2 6 2 3" xfId="12603" xr:uid="{F67D87BF-F6D1-488B-BC48-6C838958BE67}"/>
    <cellStyle name="40% - Accent5 2 2 6 3" xfId="6241" xr:uid="{00000000-0005-0000-0000-000067060000}"/>
    <cellStyle name="40% - Accent5 2 2 6 3 2" xfId="14676" xr:uid="{826FCDAD-22A4-4385-9C67-E27D5CECC147}"/>
    <cellStyle name="40% - Accent5 2 2 6 4" xfId="10458" xr:uid="{8277F8CF-A5EF-4936-A927-E353898D5CFB}"/>
    <cellStyle name="40% - Accent5 2 2 7" xfId="2347" xr:uid="{00000000-0005-0000-0000-000068060000}"/>
    <cellStyle name="40% - Accent5 2 2 7 2" xfId="6654" xr:uid="{00000000-0005-0000-0000-000069060000}"/>
    <cellStyle name="40% - Accent5 2 2 7 2 2" xfId="15089" xr:uid="{E64A04BA-1DF1-4ADE-AEA6-41480A3DD4C0}"/>
    <cellStyle name="40% - Accent5 2 2 7 3" xfId="10871" xr:uid="{AEDEF94F-EF78-4058-9B32-0DF628FA2DC8}"/>
    <cellStyle name="40% - Accent5 2 2 8" xfId="4588" xr:uid="{00000000-0005-0000-0000-00006A060000}"/>
    <cellStyle name="40% - Accent5 2 2 8 2" xfId="13023" xr:uid="{375F35F8-011A-47FA-B2FE-141375BBC40B}"/>
    <cellStyle name="40% - Accent5 2 2 9" xfId="8805" xr:uid="{B14FB749-D956-4649-A011-19BD1675A6DD}"/>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2 2 2" xfId="15584" xr:uid="{236C327B-A5C7-40A9-8D2B-6C0481350146}"/>
    <cellStyle name="40% - Accent5 2 3 2 2 3" xfId="11366" xr:uid="{11D3B3C5-1ECA-4D27-9F18-63B4D6CAD847}"/>
    <cellStyle name="40% - Accent5 2 3 2 3" xfId="5004" xr:uid="{00000000-0005-0000-0000-00006F060000}"/>
    <cellStyle name="40% - Accent5 2 3 2 3 2" xfId="13439" xr:uid="{5ACD8F21-0432-4D21-8C2D-CC095EA70F76}"/>
    <cellStyle name="40% - Accent5 2 3 2 4" xfId="9221" xr:uid="{6E4752CC-53C2-45AD-A4AB-BBA340D7A6FB}"/>
    <cellStyle name="40% - Accent5 2 3 3" xfId="1108" xr:uid="{00000000-0005-0000-0000-000070060000}"/>
    <cellStyle name="40% - Accent5 2 3 3 2" xfId="3339" xr:uid="{00000000-0005-0000-0000-000071060000}"/>
    <cellStyle name="40% - Accent5 2 3 3 2 2" xfId="7562" xr:uid="{00000000-0005-0000-0000-000072060000}"/>
    <cellStyle name="40% - Accent5 2 3 3 2 2 2" xfId="15997" xr:uid="{6E05D06D-A891-438E-84A0-AE8308DB367F}"/>
    <cellStyle name="40% - Accent5 2 3 3 2 3" xfId="11779" xr:uid="{3423133D-D4B6-4963-8874-09105B5741C6}"/>
    <cellStyle name="40% - Accent5 2 3 3 3" xfId="5417" xr:uid="{00000000-0005-0000-0000-000073060000}"/>
    <cellStyle name="40% - Accent5 2 3 3 3 2" xfId="13852" xr:uid="{AC6C38F9-C0BA-4609-AE6A-CA7010A80503}"/>
    <cellStyle name="40% - Accent5 2 3 3 4" xfId="9634" xr:uid="{3E81AB3F-EA86-421C-A3AE-8CC9C188A34D}"/>
    <cellStyle name="40% - Accent5 2 3 4" xfId="1522" xr:uid="{00000000-0005-0000-0000-000074060000}"/>
    <cellStyle name="40% - Accent5 2 3 4 2" xfId="3752" xr:uid="{00000000-0005-0000-0000-000075060000}"/>
    <cellStyle name="40% - Accent5 2 3 4 2 2" xfId="7975" xr:uid="{00000000-0005-0000-0000-000076060000}"/>
    <cellStyle name="40% - Accent5 2 3 4 2 2 2" xfId="16410" xr:uid="{F0E98EAE-F047-43BD-8F08-A9C01C893ADC}"/>
    <cellStyle name="40% - Accent5 2 3 4 2 3" xfId="12192" xr:uid="{51E31B6E-D319-4B81-9FDC-DAF7AE0930B9}"/>
    <cellStyle name="40% - Accent5 2 3 4 3" xfId="5830" xr:uid="{00000000-0005-0000-0000-000077060000}"/>
    <cellStyle name="40% - Accent5 2 3 4 3 2" xfId="14265" xr:uid="{07A33DCA-DEE7-4453-8817-11501C57F5A1}"/>
    <cellStyle name="40% - Accent5 2 3 4 4" xfId="10047" xr:uid="{31D36C71-8000-4734-A2C2-1213D2C23496}"/>
    <cellStyle name="40% - Accent5 2 3 5" xfId="1936" xr:uid="{00000000-0005-0000-0000-000078060000}"/>
    <cellStyle name="40% - Accent5 2 3 5 2" xfId="4165" xr:uid="{00000000-0005-0000-0000-000079060000}"/>
    <cellStyle name="40% - Accent5 2 3 5 2 2" xfId="8388" xr:uid="{00000000-0005-0000-0000-00007A060000}"/>
    <cellStyle name="40% - Accent5 2 3 5 2 2 2" xfId="16823" xr:uid="{6CA0D6D8-D210-41D9-929F-4D402567D60B}"/>
    <cellStyle name="40% - Accent5 2 3 5 2 3" xfId="12605" xr:uid="{62A12447-6200-4B97-94AC-C4F54DD3DAE7}"/>
    <cellStyle name="40% - Accent5 2 3 5 3" xfId="6243" xr:uid="{00000000-0005-0000-0000-00007B060000}"/>
    <cellStyle name="40% - Accent5 2 3 5 3 2" xfId="14678" xr:uid="{2FEC3998-2C62-4F28-B950-483327133DEC}"/>
    <cellStyle name="40% - Accent5 2 3 5 4" xfId="10460" xr:uid="{72BD4167-C500-440F-B890-109920B06048}"/>
    <cellStyle name="40% - Accent5 2 3 6" xfId="2349" xr:uid="{00000000-0005-0000-0000-00007C060000}"/>
    <cellStyle name="40% - Accent5 2 3 6 2" xfId="6656" xr:uid="{00000000-0005-0000-0000-00007D060000}"/>
    <cellStyle name="40% - Accent5 2 3 6 2 2" xfId="15091" xr:uid="{4FE66FDE-B48C-4F15-92F4-0657B643802D}"/>
    <cellStyle name="40% - Accent5 2 3 6 3" xfId="10873" xr:uid="{9FAF51C8-52CF-4E73-9F84-5F270404EA9A}"/>
    <cellStyle name="40% - Accent5 2 3 7" xfId="4590" xr:uid="{00000000-0005-0000-0000-00007E060000}"/>
    <cellStyle name="40% - Accent5 2 3 7 2" xfId="13025" xr:uid="{C33168EB-8F67-4E49-8467-25431B67229D}"/>
    <cellStyle name="40% - Accent5 2 3 8" xfId="8807" xr:uid="{75D8D027-B84A-4810-998F-75D963F16F34}"/>
    <cellStyle name="40% - Accent5 2 4" xfId="652" xr:uid="{00000000-0005-0000-0000-00007F060000}"/>
    <cellStyle name="40% - Accent5 2 4 2" xfId="2923" xr:uid="{00000000-0005-0000-0000-000080060000}"/>
    <cellStyle name="40% - Accent5 2 4 2 2" xfId="7146" xr:uid="{00000000-0005-0000-0000-000081060000}"/>
    <cellStyle name="40% - Accent5 2 4 2 2 2" xfId="15581" xr:uid="{35887656-FBC8-4EB6-86B7-3A517389218B}"/>
    <cellStyle name="40% - Accent5 2 4 2 3" xfId="11363" xr:uid="{02E28BEB-D862-4693-8618-9F7858B30C19}"/>
    <cellStyle name="40% - Accent5 2 4 3" xfId="5001" xr:uid="{00000000-0005-0000-0000-000082060000}"/>
    <cellStyle name="40% - Accent5 2 4 3 2" xfId="13436" xr:uid="{783799D9-9FFE-4C61-B2AF-A9B102318E92}"/>
    <cellStyle name="40% - Accent5 2 4 4" xfId="9218" xr:uid="{C7D3DEBC-C74D-4AAB-AB3A-322341FA612A}"/>
    <cellStyle name="40% - Accent5 2 5" xfId="1105" xr:uid="{00000000-0005-0000-0000-000083060000}"/>
    <cellStyle name="40% - Accent5 2 5 2" xfId="3336" xr:uid="{00000000-0005-0000-0000-000084060000}"/>
    <cellStyle name="40% - Accent5 2 5 2 2" xfId="7559" xr:uid="{00000000-0005-0000-0000-000085060000}"/>
    <cellStyle name="40% - Accent5 2 5 2 2 2" xfId="15994" xr:uid="{9B61B8E4-1D3F-4B52-A94A-E95BB3F2CA39}"/>
    <cellStyle name="40% - Accent5 2 5 2 3" xfId="11776" xr:uid="{963928F3-18B0-4562-ABBC-D341624B8892}"/>
    <cellStyle name="40% - Accent5 2 5 3" xfId="5414" xr:uid="{00000000-0005-0000-0000-000086060000}"/>
    <cellStyle name="40% - Accent5 2 5 3 2" xfId="13849" xr:uid="{152AD719-7117-4E29-8928-B7BBAB5E691E}"/>
    <cellStyle name="40% - Accent5 2 5 4" xfId="9631" xr:uid="{89D6AE21-15D9-425A-8D5E-45DF4BE1DD01}"/>
    <cellStyle name="40% - Accent5 2 6" xfId="1519" xr:uid="{00000000-0005-0000-0000-000087060000}"/>
    <cellStyle name="40% - Accent5 2 6 2" xfId="3749" xr:uid="{00000000-0005-0000-0000-000088060000}"/>
    <cellStyle name="40% - Accent5 2 6 2 2" xfId="7972" xr:uid="{00000000-0005-0000-0000-000089060000}"/>
    <cellStyle name="40% - Accent5 2 6 2 2 2" xfId="16407" xr:uid="{EFE03979-6D7F-4330-B218-29B4EF83BB3A}"/>
    <cellStyle name="40% - Accent5 2 6 2 3" xfId="12189" xr:uid="{D859192F-5B3E-4871-AFC6-E976D5ADC433}"/>
    <cellStyle name="40% - Accent5 2 6 3" xfId="5827" xr:uid="{00000000-0005-0000-0000-00008A060000}"/>
    <cellStyle name="40% - Accent5 2 6 3 2" xfId="14262" xr:uid="{AED4014B-4331-44D5-AC00-24B2C1396B73}"/>
    <cellStyle name="40% - Accent5 2 6 4" xfId="10044" xr:uid="{57FBF370-0F84-4516-AC2C-9A835F207118}"/>
    <cellStyle name="40% - Accent5 2 7" xfId="1933" xr:uid="{00000000-0005-0000-0000-00008B060000}"/>
    <cellStyle name="40% - Accent5 2 7 2" xfId="4162" xr:uid="{00000000-0005-0000-0000-00008C060000}"/>
    <cellStyle name="40% - Accent5 2 7 2 2" xfId="8385" xr:uid="{00000000-0005-0000-0000-00008D060000}"/>
    <cellStyle name="40% - Accent5 2 7 2 2 2" xfId="16820" xr:uid="{94DEFE2D-8C49-4461-80B8-87DDDBCCC9EE}"/>
    <cellStyle name="40% - Accent5 2 7 2 3" xfId="12602" xr:uid="{FD624550-C2EB-4B62-8C04-A22C6D68E0BF}"/>
    <cellStyle name="40% - Accent5 2 7 3" xfId="6240" xr:uid="{00000000-0005-0000-0000-00008E060000}"/>
    <cellStyle name="40% - Accent5 2 7 3 2" xfId="14675" xr:uid="{93AC6598-528B-4A04-ACBA-49F9A123E357}"/>
    <cellStyle name="40% - Accent5 2 7 4" xfId="10457" xr:uid="{45E14820-58A1-4D84-A8B5-537BAA4313CC}"/>
    <cellStyle name="40% - Accent5 2 8" xfId="2346" xr:uid="{00000000-0005-0000-0000-00008F060000}"/>
    <cellStyle name="40% - Accent5 2 8 2" xfId="6653" xr:uid="{00000000-0005-0000-0000-000090060000}"/>
    <cellStyle name="40% - Accent5 2 8 2 2" xfId="15088" xr:uid="{74ED1B44-1F24-492A-A0A6-63FE16950579}"/>
    <cellStyle name="40% - Accent5 2 8 3" xfId="10870" xr:uid="{BDA43436-728C-4D50-931E-AEF39F26D706}"/>
    <cellStyle name="40% - Accent5 2 9" xfId="4587" xr:uid="{00000000-0005-0000-0000-000091060000}"/>
    <cellStyle name="40% - Accent5 2 9 2" xfId="13022" xr:uid="{F32B1AA2-A090-4C1D-8B61-448A125B40CC}"/>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2 2 2" xfId="15586" xr:uid="{C2E44949-D222-4803-AACC-4B30E4155149}"/>
    <cellStyle name="40% - Accent5 3 2 2 2 3" xfId="11368" xr:uid="{EA555944-AEC5-4A65-87F0-161DD6FB7AF0}"/>
    <cellStyle name="40% - Accent5 3 2 2 3" xfId="5006" xr:uid="{00000000-0005-0000-0000-000097060000}"/>
    <cellStyle name="40% - Accent5 3 2 2 3 2" xfId="13441" xr:uid="{D74600DD-1D19-4F56-AEA9-99357E17971C}"/>
    <cellStyle name="40% - Accent5 3 2 2 4" xfId="9223" xr:uid="{63EF5667-16B4-415A-B9B1-E3CBD9B0636D}"/>
    <cellStyle name="40% - Accent5 3 2 3" xfId="1110" xr:uid="{00000000-0005-0000-0000-000098060000}"/>
    <cellStyle name="40% - Accent5 3 2 3 2" xfId="3341" xr:uid="{00000000-0005-0000-0000-000099060000}"/>
    <cellStyle name="40% - Accent5 3 2 3 2 2" xfId="7564" xr:uid="{00000000-0005-0000-0000-00009A060000}"/>
    <cellStyle name="40% - Accent5 3 2 3 2 2 2" xfId="15999" xr:uid="{AA603539-92A7-48DA-B82B-2D4964459B97}"/>
    <cellStyle name="40% - Accent5 3 2 3 2 3" xfId="11781" xr:uid="{2815B9D0-CA73-4C21-B789-ADFF4F177758}"/>
    <cellStyle name="40% - Accent5 3 2 3 3" xfId="5419" xr:uid="{00000000-0005-0000-0000-00009B060000}"/>
    <cellStyle name="40% - Accent5 3 2 3 3 2" xfId="13854" xr:uid="{90D47950-BA26-4F36-B557-99E58490084A}"/>
    <cellStyle name="40% - Accent5 3 2 3 4" xfId="9636" xr:uid="{B114053E-1416-49C6-831B-08E534E01FCD}"/>
    <cellStyle name="40% - Accent5 3 2 4" xfId="1524" xr:uid="{00000000-0005-0000-0000-00009C060000}"/>
    <cellStyle name="40% - Accent5 3 2 4 2" xfId="3754" xr:uid="{00000000-0005-0000-0000-00009D060000}"/>
    <cellStyle name="40% - Accent5 3 2 4 2 2" xfId="7977" xr:uid="{00000000-0005-0000-0000-00009E060000}"/>
    <cellStyle name="40% - Accent5 3 2 4 2 2 2" xfId="16412" xr:uid="{C00B573B-3CEC-4A6F-8AE7-F2FE0A9C2681}"/>
    <cellStyle name="40% - Accent5 3 2 4 2 3" xfId="12194" xr:uid="{146C1C82-3D2B-4264-A842-32FB00AA177C}"/>
    <cellStyle name="40% - Accent5 3 2 4 3" xfId="5832" xr:uid="{00000000-0005-0000-0000-00009F060000}"/>
    <cellStyle name="40% - Accent5 3 2 4 3 2" xfId="14267" xr:uid="{BB7F1FAF-E3F5-4C3D-9F5A-3BA6348D67BA}"/>
    <cellStyle name="40% - Accent5 3 2 4 4" xfId="10049" xr:uid="{1801FED7-4406-4927-87D3-3591C6764D3B}"/>
    <cellStyle name="40% - Accent5 3 2 5" xfId="1938" xr:uid="{00000000-0005-0000-0000-0000A0060000}"/>
    <cellStyle name="40% - Accent5 3 2 5 2" xfId="4167" xr:uid="{00000000-0005-0000-0000-0000A1060000}"/>
    <cellStyle name="40% - Accent5 3 2 5 2 2" xfId="8390" xr:uid="{00000000-0005-0000-0000-0000A2060000}"/>
    <cellStyle name="40% - Accent5 3 2 5 2 2 2" xfId="16825" xr:uid="{4F6D15D2-16E4-44CB-8715-4631284B2418}"/>
    <cellStyle name="40% - Accent5 3 2 5 2 3" xfId="12607" xr:uid="{EDC45E96-3319-4109-9650-154F19E325F1}"/>
    <cellStyle name="40% - Accent5 3 2 5 3" xfId="6245" xr:uid="{00000000-0005-0000-0000-0000A3060000}"/>
    <cellStyle name="40% - Accent5 3 2 5 3 2" xfId="14680" xr:uid="{11F368F7-88A6-4562-B231-74866763CBC3}"/>
    <cellStyle name="40% - Accent5 3 2 5 4" xfId="10462" xr:uid="{7DE75D33-46E9-4F5D-B29A-3268C8E3F0CE}"/>
    <cellStyle name="40% - Accent5 3 2 6" xfId="2351" xr:uid="{00000000-0005-0000-0000-0000A4060000}"/>
    <cellStyle name="40% - Accent5 3 2 6 2" xfId="6658" xr:uid="{00000000-0005-0000-0000-0000A5060000}"/>
    <cellStyle name="40% - Accent5 3 2 6 2 2" xfId="15093" xr:uid="{6BBFF6E7-B4F9-4735-87BE-9B464562E1CE}"/>
    <cellStyle name="40% - Accent5 3 2 6 3" xfId="10875" xr:uid="{ED8181B2-28F2-407F-ACA7-52FFF05F19D6}"/>
    <cellStyle name="40% - Accent5 3 2 7" xfId="4592" xr:uid="{00000000-0005-0000-0000-0000A6060000}"/>
    <cellStyle name="40% - Accent5 3 2 7 2" xfId="13027" xr:uid="{6266093E-8B4E-4C7B-9C95-A24C5D2A7D33}"/>
    <cellStyle name="40% - Accent5 3 2 8" xfId="8809" xr:uid="{5A19DD62-47D7-409F-97D1-9D29445CFB8B}"/>
    <cellStyle name="40% - Accent5 3 3" xfId="656" xr:uid="{00000000-0005-0000-0000-0000A7060000}"/>
    <cellStyle name="40% - Accent5 3 3 2" xfId="2927" xr:uid="{00000000-0005-0000-0000-0000A8060000}"/>
    <cellStyle name="40% - Accent5 3 3 2 2" xfId="7150" xr:uid="{00000000-0005-0000-0000-0000A9060000}"/>
    <cellStyle name="40% - Accent5 3 3 2 2 2" xfId="15585" xr:uid="{2515459E-D920-4268-8122-6415DE3853CF}"/>
    <cellStyle name="40% - Accent5 3 3 2 3" xfId="11367" xr:uid="{5EF20D8B-0F87-4139-8ED6-9C09324745C4}"/>
    <cellStyle name="40% - Accent5 3 3 3" xfId="5005" xr:uid="{00000000-0005-0000-0000-0000AA060000}"/>
    <cellStyle name="40% - Accent5 3 3 3 2" xfId="13440" xr:uid="{D0E05119-7849-468E-8192-F7407EE9E215}"/>
    <cellStyle name="40% - Accent5 3 3 4" xfId="9222" xr:uid="{BC22A300-DB00-4BCF-88EE-F059F5AC02AC}"/>
    <cellStyle name="40% - Accent5 3 4" xfId="1109" xr:uid="{00000000-0005-0000-0000-0000AB060000}"/>
    <cellStyle name="40% - Accent5 3 4 2" xfId="3340" xr:uid="{00000000-0005-0000-0000-0000AC060000}"/>
    <cellStyle name="40% - Accent5 3 4 2 2" xfId="7563" xr:uid="{00000000-0005-0000-0000-0000AD060000}"/>
    <cellStyle name="40% - Accent5 3 4 2 2 2" xfId="15998" xr:uid="{79143AD0-664F-4A59-9D67-A20C833DC358}"/>
    <cellStyle name="40% - Accent5 3 4 2 3" xfId="11780" xr:uid="{BA18BDE7-6DFD-4725-8F45-F35E1B1490E7}"/>
    <cellStyle name="40% - Accent5 3 4 3" xfId="5418" xr:uid="{00000000-0005-0000-0000-0000AE060000}"/>
    <cellStyle name="40% - Accent5 3 4 3 2" xfId="13853" xr:uid="{39B9BC36-8F07-4289-A6AC-5A7355990A8E}"/>
    <cellStyle name="40% - Accent5 3 4 4" xfId="9635" xr:uid="{AD3CB007-401B-44D5-AD7F-1D02F56625F4}"/>
    <cellStyle name="40% - Accent5 3 5" xfId="1523" xr:uid="{00000000-0005-0000-0000-0000AF060000}"/>
    <cellStyle name="40% - Accent5 3 5 2" xfId="3753" xr:uid="{00000000-0005-0000-0000-0000B0060000}"/>
    <cellStyle name="40% - Accent5 3 5 2 2" xfId="7976" xr:uid="{00000000-0005-0000-0000-0000B1060000}"/>
    <cellStyle name="40% - Accent5 3 5 2 2 2" xfId="16411" xr:uid="{AD9D83ED-CA03-4605-BC5D-5278CE261A13}"/>
    <cellStyle name="40% - Accent5 3 5 2 3" xfId="12193" xr:uid="{DBF7E412-27DB-4738-BC22-494512EA5A61}"/>
    <cellStyle name="40% - Accent5 3 5 3" xfId="5831" xr:uid="{00000000-0005-0000-0000-0000B2060000}"/>
    <cellStyle name="40% - Accent5 3 5 3 2" xfId="14266" xr:uid="{50B7389F-32D4-4594-B1C3-910B98632EDE}"/>
    <cellStyle name="40% - Accent5 3 5 4" xfId="10048" xr:uid="{4C71D193-DF86-41FA-9705-0B9E8C048CEC}"/>
    <cellStyle name="40% - Accent5 3 6" xfId="1937" xr:uid="{00000000-0005-0000-0000-0000B3060000}"/>
    <cellStyle name="40% - Accent5 3 6 2" xfId="4166" xr:uid="{00000000-0005-0000-0000-0000B4060000}"/>
    <cellStyle name="40% - Accent5 3 6 2 2" xfId="8389" xr:uid="{00000000-0005-0000-0000-0000B5060000}"/>
    <cellStyle name="40% - Accent5 3 6 2 2 2" xfId="16824" xr:uid="{46465B33-33D3-4FD5-BEC5-6541CD6D6073}"/>
    <cellStyle name="40% - Accent5 3 6 2 3" xfId="12606" xr:uid="{AB8AAEA0-D57D-4635-A22E-66F913683301}"/>
    <cellStyle name="40% - Accent5 3 6 3" xfId="6244" xr:uid="{00000000-0005-0000-0000-0000B6060000}"/>
    <cellStyle name="40% - Accent5 3 6 3 2" xfId="14679" xr:uid="{2BAEC19A-739F-45E8-A53D-908E0A2298CF}"/>
    <cellStyle name="40% - Accent5 3 6 4" xfId="10461" xr:uid="{1DEE3529-DDF4-4219-ADCC-CCC027162CCD}"/>
    <cellStyle name="40% - Accent5 3 7" xfId="2350" xr:uid="{00000000-0005-0000-0000-0000B7060000}"/>
    <cellStyle name="40% - Accent5 3 7 2" xfId="6657" xr:uid="{00000000-0005-0000-0000-0000B8060000}"/>
    <cellStyle name="40% - Accent5 3 7 2 2" xfId="15092" xr:uid="{20C27047-E431-4364-A944-C634F8CBB9FD}"/>
    <cellStyle name="40% - Accent5 3 7 3" xfId="10874" xr:uid="{6CBCB1C9-9BFE-46E6-A587-5649A7505AA3}"/>
    <cellStyle name="40% - Accent5 3 8" xfId="4591" xr:uid="{00000000-0005-0000-0000-0000B9060000}"/>
    <cellStyle name="40% - Accent5 3 8 2" xfId="13026" xr:uid="{6F068D7F-7469-4671-A995-CE65443EE558}"/>
    <cellStyle name="40% - Accent5 3 9" xfId="8808" xr:uid="{21B685A1-EA54-4E7B-BD41-8D48F768B2BA}"/>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2 2 2" xfId="15587" xr:uid="{E2396CD1-1A30-4CE0-8CD1-A921593C7344}"/>
    <cellStyle name="40% - Accent5 4 2 2 3" xfId="11369" xr:uid="{AF89DF28-60C5-4888-A04D-2D8244979EDD}"/>
    <cellStyle name="40% - Accent5 4 2 3" xfId="5007" xr:uid="{00000000-0005-0000-0000-0000BE060000}"/>
    <cellStyle name="40% - Accent5 4 2 3 2" xfId="13442" xr:uid="{38E41AC4-C858-4F7B-875C-BBD5AF1F37F0}"/>
    <cellStyle name="40% - Accent5 4 2 4" xfId="9224" xr:uid="{1DC633DF-1522-4CD2-A7FB-4BE48E4691E2}"/>
    <cellStyle name="40% - Accent5 4 3" xfId="1111" xr:uid="{00000000-0005-0000-0000-0000BF060000}"/>
    <cellStyle name="40% - Accent5 4 3 2" xfId="3342" xr:uid="{00000000-0005-0000-0000-0000C0060000}"/>
    <cellStyle name="40% - Accent5 4 3 2 2" xfId="7565" xr:uid="{00000000-0005-0000-0000-0000C1060000}"/>
    <cellStyle name="40% - Accent5 4 3 2 2 2" xfId="16000" xr:uid="{DF78589E-C971-42A9-9F02-00E27B53F645}"/>
    <cellStyle name="40% - Accent5 4 3 2 3" xfId="11782" xr:uid="{00CC5915-0C0E-404E-BA2A-853F6AE150BC}"/>
    <cellStyle name="40% - Accent5 4 3 3" xfId="5420" xr:uid="{00000000-0005-0000-0000-0000C2060000}"/>
    <cellStyle name="40% - Accent5 4 3 3 2" xfId="13855" xr:uid="{CD671805-CE7C-47D4-8A24-ADB97196F21A}"/>
    <cellStyle name="40% - Accent5 4 3 4" xfId="9637" xr:uid="{681941A6-9969-472F-B17A-A2D64882560E}"/>
    <cellStyle name="40% - Accent5 4 4" xfId="1525" xr:uid="{00000000-0005-0000-0000-0000C3060000}"/>
    <cellStyle name="40% - Accent5 4 4 2" xfId="3755" xr:uid="{00000000-0005-0000-0000-0000C4060000}"/>
    <cellStyle name="40% - Accent5 4 4 2 2" xfId="7978" xr:uid="{00000000-0005-0000-0000-0000C5060000}"/>
    <cellStyle name="40% - Accent5 4 4 2 2 2" xfId="16413" xr:uid="{2E30C952-3BD9-492A-97E7-5C942658F687}"/>
    <cellStyle name="40% - Accent5 4 4 2 3" xfId="12195" xr:uid="{5FF55FA2-415A-4138-B3E9-6D392F149F3E}"/>
    <cellStyle name="40% - Accent5 4 4 3" xfId="5833" xr:uid="{00000000-0005-0000-0000-0000C6060000}"/>
    <cellStyle name="40% - Accent5 4 4 3 2" xfId="14268" xr:uid="{49529DA5-2E51-495B-BF47-CA10B20FC1CE}"/>
    <cellStyle name="40% - Accent5 4 4 4" xfId="10050" xr:uid="{19331504-89A2-441B-BDC9-CCEB194F6FA8}"/>
    <cellStyle name="40% - Accent5 4 5" xfId="1939" xr:uid="{00000000-0005-0000-0000-0000C7060000}"/>
    <cellStyle name="40% - Accent5 4 5 2" xfId="4168" xr:uid="{00000000-0005-0000-0000-0000C8060000}"/>
    <cellStyle name="40% - Accent5 4 5 2 2" xfId="8391" xr:uid="{00000000-0005-0000-0000-0000C9060000}"/>
    <cellStyle name="40% - Accent5 4 5 2 2 2" xfId="16826" xr:uid="{94949271-3ED1-440C-8EE2-DBDA2A80270F}"/>
    <cellStyle name="40% - Accent5 4 5 2 3" xfId="12608" xr:uid="{D796BDE9-3E30-4D0E-BC2A-AAFCD508766D}"/>
    <cellStyle name="40% - Accent5 4 5 3" xfId="6246" xr:uid="{00000000-0005-0000-0000-0000CA060000}"/>
    <cellStyle name="40% - Accent5 4 5 3 2" xfId="14681" xr:uid="{9A235A05-D09E-4155-A39E-DAD131E2CFA4}"/>
    <cellStyle name="40% - Accent5 4 5 4" xfId="10463" xr:uid="{2378C68B-09AD-4C84-BEC0-281BA00782BA}"/>
    <cellStyle name="40% - Accent5 4 6" xfId="2352" xr:uid="{00000000-0005-0000-0000-0000CB060000}"/>
    <cellStyle name="40% - Accent5 4 6 2" xfId="6659" xr:uid="{00000000-0005-0000-0000-0000CC060000}"/>
    <cellStyle name="40% - Accent5 4 6 2 2" xfId="15094" xr:uid="{845D3E78-8EB9-42A8-BA9C-83719F22F36A}"/>
    <cellStyle name="40% - Accent5 4 6 3" xfId="10876" xr:uid="{AA3A9606-58B6-4D17-B3FD-18CEAE0D1687}"/>
    <cellStyle name="40% - Accent5 4 7" xfId="4593" xr:uid="{00000000-0005-0000-0000-0000CD060000}"/>
    <cellStyle name="40% - Accent5 4 7 2" xfId="13028" xr:uid="{BC2C088D-D6FD-4DF7-8EB0-7104CB7B69F8}"/>
    <cellStyle name="40% - Accent5 4 8" xfId="8810" xr:uid="{F55CB7DB-158F-4573-B797-883A8984DF53}"/>
    <cellStyle name="40% - Accent5 5" xfId="651" xr:uid="{00000000-0005-0000-0000-0000CE060000}"/>
    <cellStyle name="40% - Accent5 5 2" xfId="2922" xr:uid="{00000000-0005-0000-0000-0000CF060000}"/>
    <cellStyle name="40% - Accent5 5 2 2" xfId="7145" xr:uid="{00000000-0005-0000-0000-0000D0060000}"/>
    <cellStyle name="40% - Accent5 5 2 2 2" xfId="15580" xr:uid="{BAE256AC-6BAF-4E5C-A05F-A032EC80E74E}"/>
    <cellStyle name="40% - Accent5 5 2 3" xfId="11362" xr:uid="{285BF75B-DFC0-4E91-84DD-3BAB2EC336F8}"/>
    <cellStyle name="40% - Accent5 5 3" xfId="5000" xr:uid="{00000000-0005-0000-0000-0000D1060000}"/>
    <cellStyle name="40% - Accent5 5 3 2" xfId="13435" xr:uid="{518C5EEE-8C0D-4DCB-BF38-371ED14661E7}"/>
    <cellStyle name="40% - Accent5 5 4" xfId="9217" xr:uid="{03CAE83A-8BAD-4A40-B738-0085A6425C60}"/>
    <cellStyle name="40% - Accent5 6" xfId="1104" xr:uid="{00000000-0005-0000-0000-0000D2060000}"/>
    <cellStyle name="40% - Accent5 6 2" xfId="3335" xr:uid="{00000000-0005-0000-0000-0000D3060000}"/>
    <cellStyle name="40% - Accent5 6 2 2" xfId="7558" xr:uid="{00000000-0005-0000-0000-0000D4060000}"/>
    <cellStyle name="40% - Accent5 6 2 2 2" xfId="15993" xr:uid="{7D1FCF6C-720C-40C1-AA46-FE9BB4EB6BD9}"/>
    <cellStyle name="40% - Accent5 6 2 3" xfId="11775" xr:uid="{113F8EF0-7C4F-4316-982A-40F664EC3C07}"/>
    <cellStyle name="40% - Accent5 6 3" xfId="5413" xr:uid="{00000000-0005-0000-0000-0000D5060000}"/>
    <cellStyle name="40% - Accent5 6 3 2" xfId="13848" xr:uid="{2E0B7A89-4413-44FB-9DDE-25BD55DE8A4C}"/>
    <cellStyle name="40% - Accent5 6 4" xfId="9630" xr:uid="{2BD45CA4-5493-4260-9593-5DFE3436FE72}"/>
    <cellStyle name="40% - Accent5 7" xfId="1518" xr:uid="{00000000-0005-0000-0000-0000D6060000}"/>
    <cellStyle name="40% - Accent5 7 2" xfId="3748" xr:uid="{00000000-0005-0000-0000-0000D7060000}"/>
    <cellStyle name="40% - Accent5 7 2 2" xfId="7971" xr:uid="{00000000-0005-0000-0000-0000D8060000}"/>
    <cellStyle name="40% - Accent5 7 2 2 2" xfId="16406" xr:uid="{7981A9E0-C8A1-499E-B328-F2427E3EB841}"/>
    <cellStyle name="40% - Accent5 7 2 3" xfId="12188" xr:uid="{BE6F0EFC-524B-4A9F-9F59-7C88F7E47735}"/>
    <cellStyle name="40% - Accent5 7 3" xfId="5826" xr:uid="{00000000-0005-0000-0000-0000D9060000}"/>
    <cellStyle name="40% - Accent5 7 3 2" xfId="14261" xr:uid="{F160D2DF-38D3-4CE7-A159-669532C06A12}"/>
    <cellStyle name="40% - Accent5 7 4" xfId="10043" xr:uid="{1F207821-CEF2-4743-BF57-8B9B713C52AF}"/>
    <cellStyle name="40% - Accent5 8" xfId="1932" xr:uid="{00000000-0005-0000-0000-0000DA060000}"/>
    <cellStyle name="40% - Accent5 8 2" xfId="4161" xr:uid="{00000000-0005-0000-0000-0000DB060000}"/>
    <cellStyle name="40% - Accent5 8 2 2" xfId="8384" xr:uid="{00000000-0005-0000-0000-0000DC060000}"/>
    <cellStyle name="40% - Accent5 8 2 2 2" xfId="16819" xr:uid="{AB939CCB-037B-4A0D-A1C4-0A9D1F584AE3}"/>
    <cellStyle name="40% - Accent5 8 2 3" xfId="12601" xr:uid="{0F794812-29EE-47F5-BD68-773A7604D284}"/>
    <cellStyle name="40% - Accent5 8 3" xfId="6239" xr:uid="{00000000-0005-0000-0000-0000DD060000}"/>
    <cellStyle name="40% - Accent5 8 3 2" xfId="14674" xr:uid="{7425F40C-5193-49AF-AF0B-71249AAD6426}"/>
    <cellStyle name="40% - Accent5 8 4" xfId="10456" xr:uid="{58A8D81E-D415-4E64-97DC-EEBF2338DECA}"/>
    <cellStyle name="40% - Accent5 9" xfId="2345" xr:uid="{00000000-0005-0000-0000-0000DE060000}"/>
    <cellStyle name="40% - Accent5 9 2" xfId="6652" xr:uid="{00000000-0005-0000-0000-0000DF060000}"/>
    <cellStyle name="40% - Accent5 9 2 2" xfId="15087" xr:uid="{30E2C220-9E2C-4101-BCAF-B55056D0E5BC}"/>
    <cellStyle name="40% - Accent5 9 3" xfId="10869" xr:uid="{F0F61C41-DB70-4507-8B93-D095F785695C}"/>
    <cellStyle name="40% - Accent6" xfId="89" builtinId="51" customBuiltin="1"/>
    <cellStyle name="40% - Accent6 10" xfId="4594" xr:uid="{00000000-0005-0000-0000-0000E1060000}"/>
    <cellStyle name="40% - Accent6 10 2" xfId="13029" xr:uid="{151F4768-5304-4845-B265-267B6FBDB72A}"/>
    <cellStyle name="40% - Accent6 11" xfId="8811" xr:uid="{27CBCC0D-07E6-4CC2-B9CF-F78AAB704511}"/>
    <cellStyle name="40% - Accent6 2" xfId="90" xr:uid="{00000000-0005-0000-0000-0000E2060000}"/>
    <cellStyle name="40% - Accent6 2 10" xfId="8812" xr:uid="{8425EAD0-AE47-4877-A47C-CCEB0A7C018C}"/>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2 2 2" xfId="15591" xr:uid="{B4930C41-983B-4A17-8A3D-A11EA6989B04}"/>
    <cellStyle name="40% - Accent6 2 2 2 2 2 3" xfId="11373" xr:uid="{E776610E-6300-473D-B22D-A5BED708E97A}"/>
    <cellStyle name="40% - Accent6 2 2 2 2 3" xfId="5011" xr:uid="{00000000-0005-0000-0000-0000E8060000}"/>
    <cellStyle name="40% - Accent6 2 2 2 2 3 2" xfId="13446" xr:uid="{C75FC69A-58BE-44D7-BC07-D19A62B5DC47}"/>
    <cellStyle name="40% - Accent6 2 2 2 2 4" xfId="9228" xr:uid="{A001B86A-D589-4D9B-AA49-B017444539C9}"/>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2 2 2" xfId="16004" xr:uid="{0BB02C2A-A6C1-427F-BBF7-AC0501BDCDA6}"/>
    <cellStyle name="40% - Accent6 2 2 2 3 2 3" xfId="11786" xr:uid="{746AE77C-CCE5-4802-8319-3F53469F2B1B}"/>
    <cellStyle name="40% - Accent6 2 2 2 3 3" xfId="5424" xr:uid="{00000000-0005-0000-0000-0000EC060000}"/>
    <cellStyle name="40% - Accent6 2 2 2 3 3 2" xfId="13859" xr:uid="{B930989E-C2D1-44CA-91E9-5C111A1C9690}"/>
    <cellStyle name="40% - Accent6 2 2 2 3 4" xfId="9641" xr:uid="{E4870D6C-2C0D-45F2-B1A3-47E82A7FB971}"/>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2 2 2" xfId="16417" xr:uid="{EEF4C81E-544D-4F87-A97A-A7042F07A6BB}"/>
    <cellStyle name="40% - Accent6 2 2 2 4 2 3" xfId="12199" xr:uid="{F8FC28B5-8D16-4F16-BD84-FD51C26D4EDC}"/>
    <cellStyle name="40% - Accent6 2 2 2 4 3" xfId="5837" xr:uid="{00000000-0005-0000-0000-0000F0060000}"/>
    <cellStyle name="40% - Accent6 2 2 2 4 3 2" xfId="14272" xr:uid="{431E8A11-1F9D-49DA-8117-CB5DFE59FD5E}"/>
    <cellStyle name="40% - Accent6 2 2 2 4 4" xfId="10054" xr:uid="{C2C70F63-DAAD-4874-9006-89C142B9AF9D}"/>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2 2 2" xfId="16830" xr:uid="{0580E18C-D8EF-4515-8966-DE9717DBBBD9}"/>
    <cellStyle name="40% - Accent6 2 2 2 5 2 3" xfId="12612" xr:uid="{90538949-AD59-43C4-836D-F393707BEF07}"/>
    <cellStyle name="40% - Accent6 2 2 2 5 3" xfId="6250" xr:uid="{00000000-0005-0000-0000-0000F4060000}"/>
    <cellStyle name="40% - Accent6 2 2 2 5 3 2" xfId="14685" xr:uid="{2AF025AD-82A2-4D06-86E4-EB7D812856FF}"/>
    <cellStyle name="40% - Accent6 2 2 2 5 4" xfId="10467" xr:uid="{1882B93C-BD36-48AA-B126-0F3F672944FD}"/>
    <cellStyle name="40% - Accent6 2 2 2 6" xfId="2356" xr:uid="{00000000-0005-0000-0000-0000F5060000}"/>
    <cellStyle name="40% - Accent6 2 2 2 6 2" xfId="6663" xr:uid="{00000000-0005-0000-0000-0000F6060000}"/>
    <cellStyle name="40% - Accent6 2 2 2 6 2 2" xfId="15098" xr:uid="{778BA996-EBD3-4D9F-B0C4-14C2A1B122B3}"/>
    <cellStyle name="40% - Accent6 2 2 2 6 3" xfId="10880" xr:uid="{B90A83B5-A325-4C96-811F-89CA67228A5F}"/>
    <cellStyle name="40% - Accent6 2 2 2 7" xfId="4597" xr:uid="{00000000-0005-0000-0000-0000F7060000}"/>
    <cellStyle name="40% - Accent6 2 2 2 7 2" xfId="13032" xr:uid="{178630C8-E671-4FC4-BEAD-D015C3590B72}"/>
    <cellStyle name="40% - Accent6 2 2 2 8" xfId="8814" xr:uid="{735465B9-DA22-4A45-B240-081D44FBDC15}"/>
    <cellStyle name="40% - Accent6 2 2 3" xfId="661" xr:uid="{00000000-0005-0000-0000-0000F8060000}"/>
    <cellStyle name="40% - Accent6 2 2 3 2" xfId="2932" xr:uid="{00000000-0005-0000-0000-0000F9060000}"/>
    <cellStyle name="40% - Accent6 2 2 3 2 2" xfId="7155" xr:uid="{00000000-0005-0000-0000-0000FA060000}"/>
    <cellStyle name="40% - Accent6 2 2 3 2 2 2" xfId="15590" xr:uid="{AC5AFD08-0D19-4159-BD22-517DDD13457A}"/>
    <cellStyle name="40% - Accent6 2 2 3 2 3" xfId="11372" xr:uid="{E527B40C-5F4D-465D-B013-B0DA5EA458B5}"/>
    <cellStyle name="40% - Accent6 2 2 3 3" xfId="5010" xr:uid="{00000000-0005-0000-0000-0000FB060000}"/>
    <cellStyle name="40% - Accent6 2 2 3 3 2" xfId="13445" xr:uid="{80061818-1DE1-4327-B961-495F9C7B6957}"/>
    <cellStyle name="40% - Accent6 2 2 3 4" xfId="9227" xr:uid="{FBF77287-AD7C-4AA1-B805-0F8858F5B985}"/>
    <cellStyle name="40% - Accent6 2 2 4" xfId="1114" xr:uid="{00000000-0005-0000-0000-0000FC060000}"/>
    <cellStyle name="40% - Accent6 2 2 4 2" xfId="3345" xr:uid="{00000000-0005-0000-0000-0000FD060000}"/>
    <cellStyle name="40% - Accent6 2 2 4 2 2" xfId="7568" xr:uid="{00000000-0005-0000-0000-0000FE060000}"/>
    <cellStyle name="40% - Accent6 2 2 4 2 2 2" xfId="16003" xr:uid="{F5377B8E-E0F4-48FF-B30E-6E8349E6753D}"/>
    <cellStyle name="40% - Accent6 2 2 4 2 3" xfId="11785" xr:uid="{08E91917-9FCA-4D6A-8616-EA03BB7B6F69}"/>
    <cellStyle name="40% - Accent6 2 2 4 3" xfId="5423" xr:uid="{00000000-0005-0000-0000-0000FF060000}"/>
    <cellStyle name="40% - Accent6 2 2 4 3 2" xfId="13858" xr:uid="{7E575009-C680-4EFB-93D2-1511242EC5DB}"/>
    <cellStyle name="40% - Accent6 2 2 4 4" xfId="9640" xr:uid="{85AE27C8-3864-4E3E-9797-72F56203C491}"/>
    <cellStyle name="40% - Accent6 2 2 5" xfId="1528" xr:uid="{00000000-0005-0000-0000-000000070000}"/>
    <cellStyle name="40% - Accent6 2 2 5 2" xfId="3758" xr:uid="{00000000-0005-0000-0000-000001070000}"/>
    <cellStyle name="40% - Accent6 2 2 5 2 2" xfId="7981" xr:uid="{00000000-0005-0000-0000-000002070000}"/>
    <cellStyle name="40% - Accent6 2 2 5 2 2 2" xfId="16416" xr:uid="{8865F527-2F1B-4F4C-A6F7-FE4956FC15AF}"/>
    <cellStyle name="40% - Accent6 2 2 5 2 3" xfId="12198" xr:uid="{B8637D35-140D-407F-905E-F4F736277B51}"/>
    <cellStyle name="40% - Accent6 2 2 5 3" xfId="5836" xr:uid="{00000000-0005-0000-0000-000003070000}"/>
    <cellStyle name="40% - Accent6 2 2 5 3 2" xfId="14271" xr:uid="{A7C71772-F7F2-4C38-B442-D9B2C9DE7AFB}"/>
    <cellStyle name="40% - Accent6 2 2 5 4" xfId="10053" xr:uid="{5B163D45-7B5C-42D1-A35A-C3FD3CADDAD6}"/>
    <cellStyle name="40% - Accent6 2 2 6" xfId="1942" xr:uid="{00000000-0005-0000-0000-000004070000}"/>
    <cellStyle name="40% - Accent6 2 2 6 2" xfId="4171" xr:uid="{00000000-0005-0000-0000-000005070000}"/>
    <cellStyle name="40% - Accent6 2 2 6 2 2" xfId="8394" xr:uid="{00000000-0005-0000-0000-000006070000}"/>
    <cellStyle name="40% - Accent6 2 2 6 2 2 2" xfId="16829" xr:uid="{D32BCF6F-A215-4CAE-B5B5-51B175C1B68C}"/>
    <cellStyle name="40% - Accent6 2 2 6 2 3" xfId="12611" xr:uid="{DF9047D5-4739-441A-9BE8-CA4544C4CD19}"/>
    <cellStyle name="40% - Accent6 2 2 6 3" xfId="6249" xr:uid="{00000000-0005-0000-0000-000007070000}"/>
    <cellStyle name="40% - Accent6 2 2 6 3 2" xfId="14684" xr:uid="{1E38338D-12C1-4CBC-A557-D18927CDCA24}"/>
    <cellStyle name="40% - Accent6 2 2 6 4" xfId="10466" xr:uid="{D284BDFE-D966-46C9-810C-D022D58096DB}"/>
    <cellStyle name="40% - Accent6 2 2 7" xfId="2355" xr:uid="{00000000-0005-0000-0000-000008070000}"/>
    <cellStyle name="40% - Accent6 2 2 7 2" xfId="6662" xr:uid="{00000000-0005-0000-0000-000009070000}"/>
    <cellStyle name="40% - Accent6 2 2 7 2 2" xfId="15097" xr:uid="{12A3909D-BE72-448F-B9BD-B4A97C0870B7}"/>
    <cellStyle name="40% - Accent6 2 2 7 3" xfId="10879" xr:uid="{B79F7DC1-8793-4215-9DB9-E4A85FA52E36}"/>
    <cellStyle name="40% - Accent6 2 2 8" xfId="4596" xr:uid="{00000000-0005-0000-0000-00000A070000}"/>
    <cellStyle name="40% - Accent6 2 2 8 2" xfId="13031" xr:uid="{0A6EDBF6-1098-4BE6-A38D-6505D4CB1FCC}"/>
    <cellStyle name="40% - Accent6 2 2 9" xfId="8813" xr:uid="{9C0F4EAB-D0B6-4A35-A25C-D754411CB888}"/>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2 2 2" xfId="15592" xr:uid="{A89CFA63-18B9-4B71-BCBD-189272CAD381}"/>
    <cellStyle name="40% - Accent6 2 3 2 2 3" xfId="11374" xr:uid="{FA0A9029-E5A2-424C-B0BC-9C039007EA5E}"/>
    <cellStyle name="40% - Accent6 2 3 2 3" xfId="5012" xr:uid="{00000000-0005-0000-0000-00000F070000}"/>
    <cellStyle name="40% - Accent6 2 3 2 3 2" xfId="13447" xr:uid="{3A839925-8C43-4767-A50E-E0CAF490F13F}"/>
    <cellStyle name="40% - Accent6 2 3 2 4" xfId="9229" xr:uid="{FEB40092-0091-4119-99B9-1FA71BD34726}"/>
    <cellStyle name="40% - Accent6 2 3 3" xfId="1116" xr:uid="{00000000-0005-0000-0000-000010070000}"/>
    <cellStyle name="40% - Accent6 2 3 3 2" xfId="3347" xr:uid="{00000000-0005-0000-0000-000011070000}"/>
    <cellStyle name="40% - Accent6 2 3 3 2 2" xfId="7570" xr:uid="{00000000-0005-0000-0000-000012070000}"/>
    <cellStyle name="40% - Accent6 2 3 3 2 2 2" xfId="16005" xr:uid="{366BF484-C51B-42F2-ADD7-4F9EB973647C}"/>
    <cellStyle name="40% - Accent6 2 3 3 2 3" xfId="11787" xr:uid="{CBCB20F7-F8F4-4750-9D36-3ABF6721D1D6}"/>
    <cellStyle name="40% - Accent6 2 3 3 3" xfId="5425" xr:uid="{00000000-0005-0000-0000-000013070000}"/>
    <cellStyle name="40% - Accent6 2 3 3 3 2" xfId="13860" xr:uid="{FC658470-EF9B-4DF9-83F6-DCA297B17DC0}"/>
    <cellStyle name="40% - Accent6 2 3 3 4" xfId="9642" xr:uid="{7DE178E4-3144-488A-9F3D-2F67FAFA076D}"/>
    <cellStyle name="40% - Accent6 2 3 4" xfId="1530" xr:uid="{00000000-0005-0000-0000-000014070000}"/>
    <cellStyle name="40% - Accent6 2 3 4 2" xfId="3760" xr:uid="{00000000-0005-0000-0000-000015070000}"/>
    <cellStyle name="40% - Accent6 2 3 4 2 2" xfId="7983" xr:uid="{00000000-0005-0000-0000-000016070000}"/>
    <cellStyle name="40% - Accent6 2 3 4 2 2 2" xfId="16418" xr:uid="{5AB0C0C6-08BD-4CAC-B504-9327AE570582}"/>
    <cellStyle name="40% - Accent6 2 3 4 2 3" xfId="12200" xr:uid="{F1763EAC-7B36-4A91-B8F2-178AAFCBEEE5}"/>
    <cellStyle name="40% - Accent6 2 3 4 3" xfId="5838" xr:uid="{00000000-0005-0000-0000-000017070000}"/>
    <cellStyle name="40% - Accent6 2 3 4 3 2" xfId="14273" xr:uid="{E72E8744-0383-47A1-95D8-023BB7137F9B}"/>
    <cellStyle name="40% - Accent6 2 3 4 4" xfId="10055" xr:uid="{D62985E0-2867-4FF8-B026-FCF327C6DD6B}"/>
    <cellStyle name="40% - Accent6 2 3 5" xfId="1944" xr:uid="{00000000-0005-0000-0000-000018070000}"/>
    <cellStyle name="40% - Accent6 2 3 5 2" xfId="4173" xr:uid="{00000000-0005-0000-0000-000019070000}"/>
    <cellStyle name="40% - Accent6 2 3 5 2 2" xfId="8396" xr:uid="{00000000-0005-0000-0000-00001A070000}"/>
    <cellStyle name="40% - Accent6 2 3 5 2 2 2" xfId="16831" xr:uid="{C864DA04-BF35-4EC4-9C93-46794746B6DF}"/>
    <cellStyle name="40% - Accent6 2 3 5 2 3" xfId="12613" xr:uid="{BCB5C800-2CA8-48A6-87FC-4C2781F1FA6C}"/>
    <cellStyle name="40% - Accent6 2 3 5 3" xfId="6251" xr:uid="{00000000-0005-0000-0000-00001B070000}"/>
    <cellStyle name="40% - Accent6 2 3 5 3 2" xfId="14686" xr:uid="{820312AD-37F6-413B-B43F-62896E0B8DFA}"/>
    <cellStyle name="40% - Accent6 2 3 5 4" xfId="10468" xr:uid="{F1B8F417-5C67-4233-BC17-D8D79375605B}"/>
    <cellStyle name="40% - Accent6 2 3 6" xfId="2357" xr:uid="{00000000-0005-0000-0000-00001C070000}"/>
    <cellStyle name="40% - Accent6 2 3 6 2" xfId="6664" xr:uid="{00000000-0005-0000-0000-00001D070000}"/>
    <cellStyle name="40% - Accent6 2 3 6 2 2" xfId="15099" xr:uid="{438FD0E7-506D-4351-A596-56BD6B133032}"/>
    <cellStyle name="40% - Accent6 2 3 6 3" xfId="10881" xr:uid="{C165A709-E19B-4DD7-BD41-4D835D3C6DC1}"/>
    <cellStyle name="40% - Accent6 2 3 7" xfId="4598" xr:uid="{00000000-0005-0000-0000-00001E070000}"/>
    <cellStyle name="40% - Accent6 2 3 7 2" xfId="13033" xr:uid="{BADA6478-D59F-48F5-86B9-D0421C97491B}"/>
    <cellStyle name="40% - Accent6 2 3 8" xfId="8815" xr:uid="{E8220A3E-6918-464D-B14A-F889323BD0F2}"/>
    <cellStyle name="40% - Accent6 2 4" xfId="660" xr:uid="{00000000-0005-0000-0000-00001F070000}"/>
    <cellStyle name="40% - Accent6 2 4 2" xfId="2931" xr:uid="{00000000-0005-0000-0000-000020070000}"/>
    <cellStyle name="40% - Accent6 2 4 2 2" xfId="7154" xr:uid="{00000000-0005-0000-0000-000021070000}"/>
    <cellStyle name="40% - Accent6 2 4 2 2 2" xfId="15589" xr:uid="{2C39670B-9E89-4CED-B05F-F9467EDDC27A}"/>
    <cellStyle name="40% - Accent6 2 4 2 3" xfId="11371" xr:uid="{5049D6B1-5C6D-4749-B1D7-A48F7E063804}"/>
    <cellStyle name="40% - Accent6 2 4 3" xfId="5009" xr:uid="{00000000-0005-0000-0000-000022070000}"/>
    <cellStyle name="40% - Accent6 2 4 3 2" xfId="13444" xr:uid="{951E2364-2B24-411F-B06B-8FAC9455B7EB}"/>
    <cellStyle name="40% - Accent6 2 4 4" xfId="9226" xr:uid="{A0A85169-8BB7-4049-9EC2-4D89964F20C8}"/>
    <cellStyle name="40% - Accent6 2 5" xfId="1113" xr:uid="{00000000-0005-0000-0000-000023070000}"/>
    <cellStyle name="40% - Accent6 2 5 2" xfId="3344" xr:uid="{00000000-0005-0000-0000-000024070000}"/>
    <cellStyle name="40% - Accent6 2 5 2 2" xfId="7567" xr:uid="{00000000-0005-0000-0000-000025070000}"/>
    <cellStyle name="40% - Accent6 2 5 2 2 2" xfId="16002" xr:uid="{0F9D3DDD-97F8-4970-921A-A01F04145F66}"/>
    <cellStyle name="40% - Accent6 2 5 2 3" xfId="11784" xr:uid="{C819F162-EC07-4BAC-8289-42C580A7F3BD}"/>
    <cellStyle name="40% - Accent6 2 5 3" xfId="5422" xr:uid="{00000000-0005-0000-0000-000026070000}"/>
    <cellStyle name="40% - Accent6 2 5 3 2" xfId="13857" xr:uid="{241A971C-C7BA-42A6-9F45-942787F00198}"/>
    <cellStyle name="40% - Accent6 2 5 4" xfId="9639" xr:uid="{6229AA32-CE4C-4884-8C33-B4F1A6E5D303}"/>
    <cellStyle name="40% - Accent6 2 6" xfId="1527" xr:uid="{00000000-0005-0000-0000-000027070000}"/>
    <cellStyle name="40% - Accent6 2 6 2" xfId="3757" xr:uid="{00000000-0005-0000-0000-000028070000}"/>
    <cellStyle name="40% - Accent6 2 6 2 2" xfId="7980" xr:uid="{00000000-0005-0000-0000-000029070000}"/>
    <cellStyle name="40% - Accent6 2 6 2 2 2" xfId="16415" xr:uid="{087081A6-0E5F-466F-8666-B9855FE84098}"/>
    <cellStyle name="40% - Accent6 2 6 2 3" xfId="12197" xr:uid="{2B7BEFEF-C818-4E59-A9AC-E3050ED61C96}"/>
    <cellStyle name="40% - Accent6 2 6 3" xfId="5835" xr:uid="{00000000-0005-0000-0000-00002A070000}"/>
    <cellStyle name="40% - Accent6 2 6 3 2" xfId="14270" xr:uid="{A826BE2D-3CE9-4A57-A418-F07855C78832}"/>
    <cellStyle name="40% - Accent6 2 6 4" xfId="10052" xr:uid="{D8D1F980-4F6E-4DC7-B2BE-2245E865E698}"/>
    <cellStyle name="40% - Accent6 2 7" xfId="1941" xr:uid="{00000000-0005-0000-0000-00002B070000}"/>
    <cellStyle name="40% - Accent6 2 7 2" xfId="4170" xr:uid="{00000000-0005-0000-0000-00002C070000}"/>
    <cellStyle name="40% - Accent6 2 7 2 2" xfId="8393" xr:uid="{00000000-0005-0000-0000-00002D070000}"/>
    <cellStyle name="40% - Accent6 2 7 2 2 2" xfId="16828" xr:uid="{1C473B6A-A440-4F14-9A05-16C820E48264}"/>
    <cellStyle name="40% - Accent6 2 7 2 3" xfId="12610" xr:uid="{18CE011D-E4A0-497A-B3B6-031D6494E574}"/>
    <cellStyle name="40% - Accent6 2 7 3" xfId="6248" xr:uid="{00000000-0005-0000-0000-00002E070000}"/>
    <cellStyle name="40% - Accent6 2 7 3 2" xfId="14683" xr:uid="{199FE6D5-0382-48CA-B780-12577B531D22}"/>
    <cellStyle name="40% - Accent6 2 7 4" xfId="10465" xr:uid="{30BBBEDE-250E-4C26-B6A6-43EB8241ADD8}"/>
    <cellStyle name="40% - Accent6 2 8" xfId="2354" xr:uid="{00000000-0005-0000-0000-00002F070000}"/>
    <cellStyle name="40% - Accent6 2 8 2" xfId="6661" xr:uid="{00000000-0005-0000-0000-000030070000}"/>
    <cellStyle name="40% - Accent6 2 8 2 2" xfId="15096" xr:uid="{751E4310-12CD-4A57-A688-2248D5C19CBD}"/>
    <cellStyle name="40% - Accent6 2 8 3" xfId="10878" xr:uid="{E7CD7416-D998-4C64-9807-02DEA919C1C1}"/>
    <cellStyle name="40% - Accent6 2 9" xfId="4595" xr:uid="{00000000-0005-0000-0000-000031070000}"/>
    <cellStyle name="40% - Accent6 2 9 2" xfId="13030" xr:uid="{0588EC09-1F9D-41CE-9F68-20B4E581792E}"/>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2 2 2" xfId="15594" xr:uid="{560101E4-B5D2-4C25-990F-5C98055AB731}"/>
    <cellStyle name="40% - Accent6 3 2 2 2 3" xfId="11376" xr:uid="{73581685-1E78-47F4-94CF-554120E5F4F7}"/>
    <cellStyle name="40% - Accent6 3 2 2 3" xfId="5014" xr:uid="{00000000-0005-0000-0000-000037070000}"/>
    <cellStyle name="40% - Accent6 3 2 2 3 2" xfId="13449" xr:uid="{5C2C5CD5-4F97-4620-98BB-CC962473C0F3}"/>
    <cellStyle name="40% - Accent6 3 2 2 4" xfId="9231" xr:uid="{6EDD2A71-E947-486D-B4AD-747241719E26}"/>
    <cellStyle name="40% - Accent6 3 2 3" xfId="1118" xr:uid="{00000000-0005-0000-0000-000038070000}"/>
    <cellStyle name="40% - Accent6 3 2 3 2" xfId="3349" xr:uid="{00000000-0005-0000-0000-000039070000}"/>
    <cellStyle name="40% - Accent6 3 2 3 2 2" xfId="7572" xr:uid="{00000000-0005-0000-0000-00003A070000}"/>
    <cellStyle name="40% - Accent6 3 2 3 2 2 2" xfId="16007" xr:uid="{3FE4F873-1EBD-4199-B176-45D1F5BC4E1B}"/>
    <cellStyle name="40% - Accent6 3 2 3 2 3" xfId="11789" xr:uid="{94AF85B0-9C35-4963-B64C-CCDA8B5A5B26}"/>
    <cellStyle name="40% - Accent6 3 2 3 3" xfId="5427" xr:uid="{00000000-0005-0000-0000-00003B070000}"/>
    <cellStyle name="40% - Accent6 3 2 3 3 2" xfId="13862" xr:uid="{0BFD51AA-322A-498E-9A6E-CE63E4E517C0}"/>
    <cellStyle name="40% - Accent6 3 2 3 4" xfId="9644" xr:uid="{471D7EBB-C49D-44D9-AAE3-D21846ADFC08}"/>
    <cellStyle name="40% - Accent6 3 2 4" xfId="1532" xr:uid="{00000000-0005-0000-0000-00003C070000}"/>
    <cellStyle name="40% - Accent6 3 2 4 2" xfId="3762" xr:uid="{00000000-0005-0000-0000-00003D070000}"/>
    <cellStyle name="40% - Accent6 3 2 4 2 2" xfId="7985" xr:uid="{00000000-0005-0000-0000-00003E070000}"/>
    <cellStyle name="40% - Accent6 3 2 4 2 2 2" xfId="16420" xr:uid="{7F0826A0-82BD-40CF-AD0F-E7D4185C3CB2}"/>
    <cellStyle name="40% - Accent6 3 2 4 2 3" xfId="12202" xr:uid="{75733443-9E08-41A9-911E-F9F598A94514}"/>
    <cellStyle name="40% - Accent6 3 2 4 3" xfId="5840" xr:uid="{00000000-0005-0000-0000-00003F070000}"/>
    <cellStyle name="40% - Accent6 3 2 4 3 2" xfId="14275" xr:uid="{0F5728EA-2744-4F68-B05A-674AC8559C2E}"/>
    <cellStyle name="40% - Accent6 3 2 4 4" xfId="10057" xr:uid="{743DC5E2-F0EE-45E8-AAB7-4AEEB3C2906B}"/>
    <cellStyle name="40% - Accent6 3 2 5" xfId="1946" xr:uid="{00000000-0005-0000-0000-000040070000}"/>
    <cellStyle name="40% - Accent6 3 2 5 2" xfId="4175" xr:uid="{00000000-0005-0000-0000-000041070000}"/>
    <cellStyle name="40% - Accent6 3 2 5 2 2" xfId="8398" xr:uid="{00000000-0005-0000-0000-000042070000}"/>
    <cellStyle name="40% - Accent6 3 2 5 2 2 2" xfId="16833" xr:uid="{4E71A3BC-1D2C-43A8-8BA9-0A0A73B33403}"/>
    <cellStyle name="40% - Accent6 3 2 5 2 3" xfId="12615" xr:uid="{94C4B43A-0C5D-42A4-9C28-78B6FEA557E2}"/>
    <cellStyle name="40% - Accent6 3 2 5 3" xfId="6253" xr:uid="{00000000-0005-0000-0000-000043070000}"/>
    <cellStyle name="40% - Accent6 3 2 5 3 2" xfId="14688" xr:uid="{E0E8C051-B489-4278-8A34-FB77D51C3700}"/>
    <cellStyle name="40% - Accent6 3 2 5 4" xfId="10470" xr:uid="{6A54C9DE-FEE0-44ED-AB59-5C9E908E2C7B}"/>
    <cellStyle name="40% - Accent6 3 2 6" xfId="2359" xr:uid="{00000000-0005-0000-0000-000044070000}"/>
    <cellStyle name="40% - Accent6 3 2 6 2" xfId="6666" xr:uid="{00000000-0005-0000-0000-000045070000}"/>
    <cellStyle name="40% - Accent6 3 2 6 2 2" xfId="15101" xr:uid="{48255B63-3F7F-447C-BC8E-AE28A85BD107}"/>
    <cellStyle name="40% - Accent6 3 2 6 3" xfId="10883" xr:uid="{CA63896B-6CB1-47EF-BC2F-988A9CAE8356}"/>
    <cellStyle name="40% - Accent6 3 2 7" xfId="4600" xr:uid="{00000000-0005-0000-0000-000046070000}"/>
    <cellStyle name="40% - Accent6 3 2 7 2" xfId="13035" xr:uid="{86227558-B8FE-4E43-8143-3EB0FA8BD958}"/>
    <cellStyle name="40% - Accent6 3 2 8" xfId="8817" xr:uid="{45A65E99-01B7-45CA-806C-E257F2947C1C}"/>
    <cellStyle name="40% - Accent6 3 3" xfId="664" xr:uid="{00000000-0005-0000-0000-000047070000}"/>
    <cellStyle name="40% - Accent6 3 3 2" xfId="2935" xr:uid="{00000000-0005-0000-0000-000048070000}"/>
    <cellStyle name="40% - Accent6 3 3 2 2" xfId="7158" xr:uid="{00000000-0005-0000-0000-000049070000}"/>
    <cellStyle name="40% - Accent6 3 3 2 2 2" xfId="15593" xr:uid="{92B161E4-D609-451C-B154-BA7026C2CFE9}"/>
    <cellStyle name="40% - Accent6 3 3 2 3" xfId="11375" xr:uid="{D9F0D025-F7DB-45C0-A0FB-A018953E1ADC}"/>
    <cellStyle name="40% - Accent6 3 3 3" xfId="5013" xr:uid="{00000000-0005-0000-0000-00004A070000}"/>
    <cellStyle name="40% - Accent6 3 3 3 2" xfId="13448" xr:uid="{43EA4C50-4C9E-41D8-998E-1359C70DA55D}"/>
    <cellStyle name="40% - Accent6 3 3 4" xfId="9230" xr:uid="{518DBD31-4570-4BF7-95E9-33F4A2283A02}"/>
    <cellStyle name="40% - Accent6 3 4" xfId="1117" xr:uid="{00000000-0005-0000-0000-00004B070000}"/>
    <cellStyle name="40% - Accent6 3 4 2" xfId="3348" xr:uid="{00000000-0005-0000-0000-00004C070000}"/>
    <cellStyle name="40% - Accent6 3 4 2 2" xfId="7571" xr:uid="{00000000-0005-0000-0000-00004D070000}"/>
    <cellStyle name="40% - Accent6 3 4 2 2 2" xfId="16006" xr:uid="{3C3FE19E-78EA-46CC-B028-CEA965DB8573}"/>
    <cellStyle name="40% - Accent6 3 4 2 3" xfId="11788" xr:uid="{612CAD49-E775-4562-97D8-256F29DDD5B4}"/>
    <cellStyle name="40% - Accent6 3 4 3" xfId="5426" xr:uid="{00000000-0005-0000-0000-00004E070000}"/>
    <cellStyle name="40% - Accent6 3 4 3 2" xfId="13861" xr:uid="{43B17A1A-A827-47AA-A64A-C68D1CA7D8DD}"/>
    <cellStyle name="40% - Accent6 3 4 4" xfId="9643" xr:uid="{7B95744A-2E06-4AC3-8C84-DAF639CC895C}"/>
    <cellStyle name="40% - Accent6 3 5" xfId="1531" xr:uid="{00000000-0005-0000-0000-00004F070000}"/>
    <cellStyle name="40% - Accent6 3 5 2" xfId="3761" xr:uid="{00000000-0005-0000-0000-000050070000}"/>
    <cellStyle name="40% - Accent6 3 5 2 2" xfId="7984" xr:uid="{00000000-0005-0000-0000-000051070000}"/>
    <cellStyle name="40% - Accent6 3 5 2 2 2" xfId="16419" xr:uid="{C3059A43-1E4A-48E7-8777-83E5D66D08EC}"/>
    <cellStyle name="40% - Accent6 3 5 2 3" xfId="12201" xr:uid="{4FCB5ECE-EAAA-4758-9229-B9E30AC3DE17}"/>
    <cellStyle name="40% - Accent6 3 5 3" xfId="5839" xr:uid="{00000000-0005-0000-0000-000052070000}"/>
    <cellStyle name="40% - Accent6 3 5 3 2" xfId="14274" xr:uid="{9898BB68-7774-49F3-A394-E925935E2DEC}"/>
    <cellStyle name="40% - Accent6 3 5 4" xfId="10056" xr:uid="{90F27E53-876E-4EDA-A375-E7CDE716A73B}"/>
    <cellStyle name="40% - Accent6 3 6" xfId="1945" xr:uid="{00000000-0005-0000-0000-000053070000}"/>
    <cellStyle name="40% - Accent6 3 6 2" xfId="4174" xr:uid="{00000000-0005-0000-0000-000054070000}"/>
    <cellStyle name="40% - Accent6 3 6 2 2" xfId="8397" xr:uid="{00000000-0005-0000-0000-000055070000}"/>
    <cellStyle name="40% - Accent6 3 6 2 2 2" xfId="16832" xr:uid="{29A16525-A4B0-4432-8730-2CD8DC037068}"/>
    <cellStyle name="40% - Accent6 3 6 2 3" xfId="12614" xr:uid="{E15AD3DF-F7C8-4D3A-BED7-2A16E649301E}"/>
    <cellStyle name="40% - Accent6 3 6 3" xfId="6252" xr:uid="{00000000-0005-0000-0000-000056070000}"/>
    <cellStyle name="40% - Accent6 3 6 3 2" xfId="14687" xr:uid="{D4BEF665-D68E-4A9B-A617-65197BEF16B0}"/>
    <cellStyle name="40% - Accent6 3 6 4" xfId="10469" xr:uid="{019E86E3-9E66-4ED7-9B55-D09418E17F3A}"/>
    <cellStyle name="40% - Accent6 3 7" xfId="2358" xr:uid="{00000000-0005-0000-0000-000057070000}"/>
    <cellStyle name="40% - Accent6 3 7 2" xfId="6665" xr:uid="{00000000-0005-0000-0000-000058070000}"/>
    <cellStyle name="40% - Accent6 3 7 2 2" xfId="15100" xr:uid="{C273FDFA-FD08-49C2-BF16-90988C417D0A}"/>
    <cellStyle name="40% - Accent6 3 7 3" xfId="10882" xr:uid="{63D73350-A00C-4477-A526-F4FEE709718D}"/>
    <cellStyle name="40% - Accent6 3 8" xfId="4599" xr:uid="{00000000-0005-0000-0000-000059070000}"/>
    <cellStyle name="40% - Accent6 3 8 2" xfId="13034" xr:uid="{2B62D476-6642-4F1A-9C1A-359A4F93C3D8}"/>
    <cellStyle name="40% - Accent6 3 9" xfId="8816" xr:uid="{0E56BB5B-EC09-48F4-BDBD-6FE08EEE531C}"/>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2 2 2" xfId="15595" xr:uid="{080983AA-6AFF-4AE6-A6E6-0EBCFC923B5E}"/>
    <cellStyle name="40% - Accent6 4 2 2 3" xfId="11377" xr:uid="{25A8C2B3-3DCD-46C9-BEA9-F3B9C3BF0217}"/>
    <cellStyle name="40% - Accent6 4 2 3" xfId="5015" xr:uid="{00000000-0005-0000-0000-00005E070000}"/>
    <cellStyle name="40% - Accent6 4 2 3 2" xfId="13450" xr:uid="{12BEDFF1-0A31-4CEF-BDAB-ADA541BD67AC}"/>
    <cellStyle name="40% - Accent6 4 2 4" xfId="9232" xr:uid="{BA54B585-FC8A-4425-B04E-F1F333F6CA7A}"/>
    <cellStyle name="40% - Accent6 4 3" xfId="1119" xr:uid="{00000000-0005-0000-0000-00005F070000}"/>
    <cellStyle name="40% - Accent6 4 3 2" xfId="3350" xr:uid="{00000000-0005-0000-0000-000060070000}"/>
    <cellStyle name="40% - Accent6 4 3 2 2" xfId="7573" xr:uid="{00000000-0005-0000-0000-000061070000}"/>
    <cellStyle name="40% - Accent6 4 3 2 2 2" xfId="16008" xr:uid="{0559A216-E171-4FB2-A6F3-F58DA8105414}"/>
    <cellStyle name="40% - Accent6 4 3 2 3" xfId="11790" xr:uid="{875746D5-9C8A-4A7C-B8BF-989F1C467E62}"/>
    <cellStyle name="40% - Accent6 4 3 3" xfId="5428" xr:uid="{00000000-0005-0000-0000-000062070000}"/>
    <cellStyle name="40% - Accent6 4 3 3 2" xfId="13863" xr:uid="{E0DF3AA1-2F5C-4F4F-B9F2-8B8A613C7635}"/>
    <cellStyle name="40% - Accent6 4 3 4" xfId="9645" xr:uid="{0CDE2FAA-EBD4-4D05-A434-5AB1C0BA2566}"/>
    <cellStyle name="40% - Accent6 4 4" xfId="1533" xr:uid="{00000000-0005-0000-0000-000063070000}"/>
    <cellStyle name="40% - Accent6 4 4 2" xfId="3763" xr:uid="{00000000-0005-0000-0000-000064070000}"/>
    <cellStyle name="40% - Accent6 4 4 2 2" xfId="7986" xr:uid="{00000000-0005-0000-0000-000065070000}"/>
    <cellStyle name="40% - Accent6 4 4 2 2 2" xfId="16421" xr:uid="{E0CB75BC-45BC-4E9F-A408-593C5A8A35CE}"/>
    <cellStyle name="40% - Accent6 4 4 2 3" xfId="12203" xr:uid="{CD66CA53-A689-4679-9DCC-EAF30C80FF18}"/>
    <cellStyle name="40% - Accent6 4 4 3" xfId="5841" xr:uid="{00000000-0005-0000-0000-000066070000}"/>
    <cellStyle name="40% - Accent6 4 4 3 2" xfId="14276" xr:uid="{0EB6F0DF-7A0A-40DF-9A45-EA07352DA948}"/>
    <cellStyle name="40% - Accent6 4 4 4" xfId="10058" xr:uid="{F9BE4C6A-C8F1-41FD-820F-6E77A9565EC0}"/>
    <cellStyle name="40% - Accent6 4 5" xfId="1947" xr:uid="{00000000-0005-0000-0000-000067070000}"/>
    <cellStyle name="40% - Accent6 4 5 2" xfId="4176" xr:uid="{00000000-0005-0000-0000-000068070000}"/>
    <cellStyle name="40% - Accent6 4 5 2 2" xfId="8399" xr:uid="{00000000-0005-0000-0000-000069070000}"/>
    <cellStyle name="40% - Accent6 4 5 2 2 2" xfId="16834" xr:uid="{C93E029A-250C-4997-959A-C1A897739A6F}"/>
    <cellStyle name="40% - Accent6 4 5 2 3" xfId="12616" xr:uid="{93155D88-B6F9-4655-A212-02374DE883F4}"/>
    <cellStyle name="40% - Accent6 4 5 3" xfId="6254" xr:uid="{00000000-0005-0000-0000-00006A070000}"/>
    <cellStyle name="40% - Accent6 4 5 3 2" xfId="14689" xr:uid="{0057D51A-ED4F-41FF-963F-ED4F67DBCD4B}"/>
    <cellStyle name="40% - Accent6 4 5 4" xfId="10471" xr:uid="{F49C17C7-054E-45C1-8908-F82DA1A37D0A}"/>
    <cellStyle name="40% - Accent6 4 6" xfId="2360" xr:uid="{00000000-0005-0000-0000-00006B070000}"/>
    <cellStyle name="40% - Accent6 4 6 2" xfId="6667" xr:uid="{00000000-0005-0000-0000-00006C070000}"/>
    <cellStyle name="40% - Accent6 4 6 2 2" xfId="15102" xr:uid="{59311381-25AE-4BF2-B8DE-F7F525FD07D7}"/>
    <cellStyle name="40% - Accent6 4 6 3" xfId="10884" xr:uid="{DFAF59D9-2B5A-4FB5-AD3E-BE3FC7C576A3}"/>
    <cellStyle name="40% - Accent6 4 7" xfId="4601" xr:uid="{00000000-0005-0000-0000-00006D070000}"/>
    <cellStyle name="40% - Accent6 4 7 2" xfId="13036" xr:uid="{B32521D4-9180-447D-B5ED-5921260DA144}"/>
    <cellStyle name="40% - Accent6 4 8" xfId="8818" xr:uid="{9A240D32-EB91-462D-ACB3-62ADF3B47EAB}"/>
    <cellStyle name="40% - Accent6 5" xfId="659" xr:uid="{00000000-0005-0000-0000-00006E070000}"/>
    <cellStyle name="40% - Accent6 5 2" xfId="2930" xr:uid="{00000000-0005-0000-0000-00006F070000}"/>
    <cellStyle name="40% - Accent6 5 2 2" xfId="7153" xr:uid="{00000000-0005-0000-0000-000070070000}"/>
    <cellStyle name="40% - Accent6 5 2 2 2" xfId="15588" xr:uid="{9CAB3847-5249-4DD3-813B-834A53DDD5C9}"/>
    <cellStyle name="40% - Accent6 5 2 3" xfId="11370" xr:uid="{D2D8E88D-C648-4875-825D-F5EEECD3157A}"/>
    <cellStyle name="40% - Accent6 5 3" xfId="5008" xr:uid="{00000000-0005-0000-0000-000071070000}"/>
    <cellStyle name="40% - Accent6 5 3 2" xfId="13443" xr:uid="{649BF50A-D73B-4E7D-BC4C-0E465B358E94}"/>
    <cellStyle name="40% - Accent6 5 4" xfId="9225" xr:uid="{DCE0CD85-CECB-4C42-97BA-86CF20C938CE}"/>
    <cellStyle name="40% - Accent6 6" xfId="1112" xr:uid="{00000000-0005-0000-0000-000072070000}"/>
    <cellStyle name="40% - Accent6 6 2" xfId="3343" xr:uid="{00000000-0005-0000-0000-000073070000}"/>
    <cellStyle name="40% - Accent6 6 2 2" xfId="7566" xr:uid="{00000000-0005-0000-0000-000074070000}"/>
    <cellStyle name="40% - Accent6 6 2 2 2" xfId="16001" xr:uid="{F7EC30A8-E227-4E1F-A15D-063453641FEC}"/>
    <cellStyle name="40% - Accent6 6 2 3" xfId="11783" xr:uid="{604C258F-2CEF-4697-863A-75E89DC077F0}"/>
    <cellStyle name="40% - Accent6 6 3" xfId="5421" xr:uid="{00000000-0005-0000-0000-000075070000}"/>
    <cellStyle name="40% - Accent6 6 3 2" xfId="13856" xr:uid="{A12BD90C-B855-4652-AA14-3107AEFC7780}"/>
    <cellStyle name="40% - Accent6 6 4" xfId="9638" xr:uid="{1A6EFE62-DEF9-4B3D-9EE6-758A1740C6F2}"/>
    <cellStyle name="40% - Accent6 7" xfId="1526" xr:uid="{00000000-0005-0000-0000-000076070000}"/>
    <cellStyle name="40% - Accent6 7 2" xfId="3756" xr:uid="{00000000-0005-0000-0000-000077070000}"/>
    <cellStyle name="40% - Accent6 7 2 2" xfId="7979" xr:uid="{00000000-0005-0000-0000-000078070000}"/>
    <cellStyle name="40% - Accent6 7 2 2 2" xfId="16414" xr:uid="{DAE534A0-D7B9-4175-842B-BC8712C24CD0}"/>
    <cellStyle name="40% - Accent6 7 2 3" xfId="12196" xr:uid="{3EB961C2-BC9D-4112-8BB2-3DC127F8882C}"/>
    <cellStyle name="40% - Accent6 7 3" xfId="5834" xr:uid="{00000000-0005-0000-0000-000079070000}"/>
    <cellStyle name="40% - Accent6 7 3 2" xfId="14269" xr:uid="{4E0801FC-B863-4EE8-82F2-87ED18A74395}"/>
    <cellStyle name="40% - Accent6 7 4" xfId="10051" xr:uid="{E205B9E4-F482-4DB8-A5CC-3B310A5A1F80}"/>
    <cellStyle name="40% - Accent6 8" xfId="1940" xr:uid="{00000000-0005-0000-0000-00007A070000}"/>
    <cellStyle name="40% - Accent6 8 2" xfId="4169" xr:uid="{00000000-0005-0000-0000-00007B070000}"/>
    <cellStyle name="40% - Accent6 8 2 2" xfId="8392" xr:uid="{00000000-0005-0000-0000-00007C070000}"/>
    <cellStyle name="40% - Accent6 8 2 2 2" xfId="16827" xr:uid="{83B87A81-CA4E-446C-9E34-227DEA47E686}"/>
    <cellStyle name="40% - Accent6 8 2 3" xfId="12609" xr:uid="{F7053760-36A1-42C9-9B96-A05011A89FF1}"/>
    <cellStyle name="40% - Accent6 8 3" xfId="6247" xr:uid="{00000000-0005-0000-0000-00007D070000}"/>
    <cellStyle name="40% - Accent6 8 3 2" xfId="14682" xr:uid="{6AA78F6C-F830-47A3-B43E-499744E30E8E}"/>
    <cellStyle name="40% - Accent6 8 4" xfId="10464" xr:uid="{0A2BDE69-3D19-4EFD-B58A-A6AA61ADF8CB}"/>
    <cellStyle name="40% - Accent6 9" xfId="2353" xr:uid="{00000000-0005-0000-0000-00007E070000}"/>
    <cellStyle name="40% - Accent6 9 2" xfId="6660" xr:uid="{00000000-0005-0000-0000-00007F070000}"/>
    <cellStyle name="40% - Accent6 9 2 2" xfId="15095" xr:uid="{36424072-F559-4BF1-8D71-A4B358BFAE17}"/>
    <cellStyle name="40% - Accent6 9 3" xfId="10877" xr:uid="{A56CFB4A-73F0-4D17-96C0-37A3C3AB9C7C}"/>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0 2 2" xfId="15420" xr:uid="{36A7AE3D-A4AD-4ABC-8B08-24132DE0766B}"/>
    <cellStyle name="Comma 4 2 2 2 10 3" xfId="11202" xr:uid="{09BE34DE-55A4-4BAA-9BE7-36754B62A4DC}"/>
    <cellStyle name="Comma 4 2 2 2 11" xfId="4602" xr:uid="{00000000-0005-0000-0000-0000A3070000}"/>
    <cellStyle name="Comma 4 2 2 2 11 2" xfId="13037" xr:uid="{28AF5E42-F4CA-43AC-9987-93B894B75B1F}"/>
    <cellStyle name="Comma 4 2 2 2 12" xfId="8819" xr:uid="{414D4738-04D2-4637-ACFF-5EA7CC4D7EAD}"/>
    <cellStyle name="Comma 4 2 2 2 2" xfId="129" xr:uid="{00000000-0005-0000-0000-0000A4070000}"/>
    <cellStyle name="Comma 4 2 2 2 2 10" xfId="4603" xr:uid="{00000000-0005-0000-0000-0000A5070000}"/>
    <cellStyle name="Comma 4 2 2 2 2 10 2" xfId="13038" xr:uid="{ACE2FDAC-C780-427E-A075-BB63540941CC}"/>
    <cellStyle name="Comma 4 2 2 2 2 11" xfId="8820" xr:uid="{D0BE3A61-6556-4F27-AE73-44F5DCBD9F35}"/>
    <cellStyle name="Comma 4 2 2 2 2 2" xfId="130" xr:uid="{00000000-0005-0000-0000-0000A6070000}"/>
    <cellStyle name="Comma 4 2 2 2 2 2 10" xfId="8821" xr:uid="{E5032ADB-3926-49B9-87E6-43A4A516E65C}"/>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2 2 2" xfId="15598" xr:uid="{CEE0C59A-6B0A-4260-B7A8-A7EEFCBA385D}"/>
    <cellStyle name="Comma 4 2 2 2 2 2 2 2 3" xfId="11380" xr:uid="{F8C84632-6C1C-4F7E-AACE-F9BC60C8ABB8}"/>
    <cellStyle name="Comma 4 2 2 2 2 2 2 3" xfId="5018" xr:uid="{00000000-0005-0000-0000-0000AA070000}"/>
    <cellStyle name="Comma 4 2 2 2 2 2 2 3 2" xfId="13453" xr:uid="{AF4ED7F8-3834-4A2D-A76E-C718C7D0C1CF}"/>
    <cellStyle name="Comma 4 2 2 2 2 2 2 4" xfId="9235" xr:uid="{739E9FFA-22A4-4D3F-AFCB-B0853DB19F61}"/>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2 2 2" xfId="16011" xr:uid="{0D2ABD52-3033-4DFD-97A9-7D0FF8E03197}"/>
    <cellStyle name="Comma 4 2 2 2 2 2 3 2 3" xfId="11793" xr:uid="{CDBE9C6E-F8DF-4EEC-922A-F9D963F9E7F6}"/>
    <cellStyle name="Comma 4 2 2 2 2 2 3 3" xfId="5431" xr:uid="{00000000-0005-0000-0000-0000AE070000}"/>
    <cellStyle name="Comma 4 2 2 2 2 2 3 3 2" xfId="13866" xr:uid="{F525AC04-FD03-4AE3-8081-E789054FC39D}"/>
    <cellStyle name="Comma 4 2 2 2 2 2 3 4" xfId="9648" xr:uid="{2FFB074A-99B4-4611-B0D8-D60DE8193DF1}"/>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2 2 2" xfId="16424" xr:uid="{C79D2877-20BC-427A-94B8-D7AAF00FD9BC}"/>
    <cellStyle name="Comma 4 2 2 2 2 2 4 2 3" xfId="12206" xr:uid="{4FF54588-4F09-4F83-9FD1-0FC44CA009AD}"/>
    <cellStyle name="Comma 4 2 2 2 2 2 4 3" xfId="5844" xr:uid="{00000000-0005-0000-0000-0000B2070000}"/>
    <cellStyle name="Comma 4 2 2 2 2 2 4 3 2" xfId="14279" xr:uid="{7111B2B9-C5FE-482F-BFED-05060A8E942B}"/>
    <cellStyle name="Comma 4 2 2 2 2 2 4 4" xfId="10061" xr:uid="{F4D4470F-197C-4B2B-BE55-295AA224277B}"/>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2 2 2" xfId="16837" xr:uid="{8BBE5238-AEF6-4471-834C-0441B4E380EE}"/>
    <cellStyle name="Comma 4 2 2 2 2 2 5 2 3" xfId="12619" xr:uid="{E0FBDBF6-A956-4352-9C01-ABAA52B15211}"/>
    <cellStyle name="Comma 4 2 2 2 2 2 5 3" xfId="6257" xr:uid="{00000000-0005-0000-0000-0000B6070000}"/>
    <cellStyle name="Comma 4 2 2 2 2 2 5 3 2" xfId="14692" xr:uid="{ADCF45B2-55AA-48ED-A61E-D849029A39B6}"/>
    <cellStyle name="Comma 4 2 2 2 2 2 5 4" xfId="10474" xr:uid="{ADC21132-D859-4D92-BADD-DE4C481B4E62}"/>
    <cellStyle name="Comma 4 2 2 2 2 2 6" xfId="2385" xr:uid="{00000000-0005-0000-0000-0000B7070000}"/>
    <cellStyle name="Comma 4 2 2 2 2 2 6 2" xfId="6670" xr:uid="{00000000-0005-0000-0000-0000B8070000}"/>
    <cellStyle name="Comma 4 2 2 2 2 2 6 2 2" xfId="15105" xr:uid="{1095A69C-DC49-484C-A3DD-3DECC00E0021}"/>
    <cellStyle name="Comma 4 2 2 2 2 2 6 3" xfId="10887" xr:uid="{720DAA6B-CD0F-4F66-A8BF-6E5E807AB0E0}"/>
    <cellStyle name="Comma 4 2 2 2 2 2 7" xfId="2380" xr:uid="{00000000-0005-0000-0000-0000B9070000}"/>
    <cellStyle name="Comma 4 2 2 2 2 2 8" xfId="2763" xr:uid="{00000000-0005-0000-0000-0000BA070000}"/>
    <cellStyle name="Comma 4 2 2 2 2 2 8 2" xfId="6987" xr:uid="{00000000-0005-0000-0000-0000BB070000}"/>
    <cellStyle name="Comma 4 2 2 2 2 2 8 2 2" xfId="15422" xr:uid="{FDE35910-2A44-4F43-94B7-006A582BFB6C}"/>
    <cellStyle name="Comma 4 2 2 2 2 2 8 3" xfId="11204" xr:uid="{C3D2EC22-0E96-49A4-9C57-8F9384EBD319}"/>
    <cellStyle name="Comma 4 2 2 2 2 2 9" xfId="4604" xr:uid="{00000000-0005-0000-0000-0000BC070000}"/>
    <cellStyle name="Comma 4 2 2 2 2 2 9 2" xfId="13039" xr:uid="{CBC26EBF-09B5-4C44-AFA1-998879DA6E3F}"/>
    <cellStyle name="Comma 4 2 2 2 2 3" xfId="668" xr:uid="{00000000-0005-0000-0000-0000BD070000}"/>
    <cellStyle name="Comma 4 2 2 2 2 3 2" xfId="2939" xr:uid="{00000000-0005-0000-0000-0000BE070000}"/>
    <cellStyle name="Comma 4 2 2 2 2 3 2 2" xfId="7162" xr:uid="{00000000-0005-0000-0000-0000BF070000}"/>
    <cellStyle name="Comma 4 2 2 2 2 3 2 2 2" xfId="15597" xr:uid="{0F1A6481-7B5E-40A9-97A4-BCEF3323F425}"/>
    <cellStyle name="Comma 4 2 2 2 2 3 2 3" xfId="11379" xr:uid="{92C56348-F121-4F28-AEC0-C8E3F36EE092}"/>
    <cellStyle name="Comma 4 2 2 2 2 3 3" xfId="5017" xr:uid="{00000000-0005-0000-0000-0000C0070000}"/>
    <cellStyle name="Comma 4 2 2 2 2 3 3 2" xfId="13452" xr:uid="{53AEAA26-C2EE-47DC-A274-81525A0666B8}"/>
    <cellStyle name="Comma 4 2 2 2 2 3 4" xfId="9234" xr:uid="{D101CF3E-A32D-41EC-B0D0-45F48A73C6C1}"/>
    <cellStyle name="Comma 4 2 2 2 2 4" xfId="1121" xr:uid="{00000000-0005-0000-0000-0000C1070000}"/>
    <cellStyle name="Comma 4 2 2 2 2 4 2" xfId="3352" xr:uid="{00000000-0005-0000-0000-0000C2070000}"/>
    <cellStyle name="Comma 4 2 2 2 2 4 2 2" xfId="7575" xr:uid="{00000000-0005-0000-0000-0000C3070000}"/>
    <cellStyle name="Comma 4 2 2 2 2 4 2 2 2" xfId="16010" xr:uid="{CEC7813C-C15D-413F-A7EE-6226C5B76A78}"/>
    <cellStyle name="Comma 4 2 2 2 2 4 2 3" xfId="11792" xr:uid="{2EA87B9F-2697-4EF1-87D7-130742BCB0D3}"/>
    <cellStyle name="Comma 4 2 2 2 2 4 3" xfId="5430" xr:uid="{00000000-0005-0000-0000-0000C4070000}"/>
    <cellStyle name="Comma 4 2 2 2 2 4 3 2" xfId="13865" xr:uid="{47E6235E-8BE5-484B-96EB-C1709E2C27C9}"/>
    <cellStyle name="Comma 4 2 2 2 2 4 4" xfId="9647" xr:uid="{D974B18E-F062-4159-AFA9-F209F7C69AAB}"/>
    <cellStyle name="Comma 4 2 2 2 2 5" xfId="1535" xr:uid="{00000000-0005-0000-0000-0000C5070000}"/>
    <cellStyle name="Comma 4 2 2 2 2 5 2" xfId="3765" xr:uid="{00000000-0005-0000-0000-0000C6070000}"/>
    <cellStyle name="Comma 4 2 2 2 2 5 2 2" xfId="7988" xr:uid="{00000000-0005-0000-0000-0000C7070000}"/>
    <cellStyle name="Comma 4 2 2 2 2 5 2 2 2" xfId="16423" xr:uid="{CF2FD750-2344-4B4C-8940-90D00CA1FBDE}"/>
    <cellStyle name="Comma 4 2 2 2 2 5 2 3" xfId="12205" xr:uid="{B712F346-5CE2-4F9A-BF56-71D5B52BBC62}"/>
    <cellStyle name="Comma 4 2 2 2 2 5 3" xfId="5843" xr:uid="{00000000-0005-0000-0000-0000C8070000}"/>
    <cellStyle name="Comma 4 2 2 2 2 5 3 2" xfId="14278" xr:uid="{01A9D332-7776-4BE4-8CD5-C7628E8A8C11}"/>
    <cellStyle name="Comma 4 2 2 2 2 5 4" xfId="10060" xr:uid="{DBE2BBAD-94C3-4D1E-9569-705AF834B571}"/>
    <cellStyle name="Comma 4 2 2 2 2 6" xfId="1949" xr:uid="{00000000-0005-0000-0000-0000C9070000}"/>
    <cellStyle name="Comma 4 2 2 2 2 6 2" xfId="4178" xr:uid="{00000000-0005-0000-0000-0000CA070000}"/>
    <cellStyle name="Comma 4 2 2 2 2 6 2 2" xfId="8401" xr:uid="{00000000-0005-0000-0000-0000CB070000}"/>
    <cellStyle name="Comma 4 2 2 2 2 6 2 2 2" xfId="16836" xr:uid="{8233D1F7-2FDD-4CC8-A644-63707C7609DA}"/>
    <cellStyle name="Comma 4 2 2 2 2 6 2 3" xfId="12618" xr:uid="{4CF9F287-591A-4E06-A48C-3752C530FC1A}"/>
    <cellStyle name="Comma 4 2 2 2 2 6 3" xfId="6256" xr:uid="{00000000-0005-0000-0000-0000CC070000}"/>
    <cellStyle name="Comma 4 2 2 2 2 6 3 2" xfId="14691" xr:uid="{0A33273E-1437-4C5E-90E6-2A4F2E56568F}"/>
    <cellStyle name="Comma 4 2 2 2 2 6 4" xfId="10473" xr:uid="{AEB4CE29-76D7-417A-9046-F43A078C9183}"/>
    <cellStyle name="Comma 4 2 2 2 2 7" xfId="2384" xr:uid="{00000000-0005-0000-0000-0000CD070000}"/>
    <cellStyle name="Comma 4 2 2 2 2 7 2" xfId="6669" xr:uid="{00000000-0005-0000-0000-0000CE070000}"/>
    <cellStyle name="Comma 4 2 2 2 2 7 2 2" xfId="15104" xr:uid="{CA2D1006-948E-4BBA-ABAC-6CCDE172D8B3}"/>
    <cellStyle name="Comma 4 2 2 2 2 7 3" xfId="10886" xr:uid="{CB3021C5-2ECF-4C13-A14D-E891EC04A4A2}"/>
    <cellStyle name="Comma 4 2 2 2 2 8" xfId="2381" xr:uid="{00000000-0005-0000-0000-0000CF070000}"/>
    <cellStyle name="Comma 4 2 2 2 2 9" xfId="2762" xr:uid="{00000000-0005-0000-0000-0000D0070000}"/>
    <cellStyle name="Comma 4 2 2 2 2 9 2" xfId="6986" xr:uid="{00000000-0005-0000-0000-0000D1070000}"/>
    <cellStyle name="Comma 4 2 2 2 2 9 2 2" xfId="15421" xr:uid="{06B08772-BC05-4050-AAB5-744DA2682FB0}"/>
    <cellStyle name="Comma 4 2 2 2 2 9 3" xfId="11203" xr:uid="{92273DAF-E030-4F11-AAF0-1CA52224BF74}"/>
    <cellStyle name="Comma 4 2 2 2 3" xfId="131" xr:uid="{00000000-0005-0000-0000-0000D2070000}"/>
    <cellStyle name="Comma 4 2 2 2 3 10" xfId="8822" xr:uid="{49D9DE7D-4AE8-4ABD-A6A9-C2827E933C6A}"/>
    <cellStyle name="Comma 4 2 2 2 3 2" xfId="670" xr:uid="{00000000-0005-0000-0000-0000D3070000}"/>
    <cellStyle name="Comma 4 2 2 2 3 2 2" xfId="2941" xr:uid="{00000000-0005-0000-0000-0000D4070000}"/>
    <cellStyle name="Comma 4 2 2 2 3 2 2 2" xfId="7164" xr:uid="{00000000-0005-0000-0000-0000D5070000}"/>
    <cellStyle name="Comma 4 2 2 2 3 2 2 2 2" xfId="15599" xr:uid="{0C775815-D557-4968-81C7-B52C344C5A40}"/>
    <cellStyle name="Comma 4 2 2 2 3 2 2 3" xfId="11381" xr:uid="{98BE7EDD-23F4-4C2D-BB7E-23C847B61E37}"/>
    <cellStyle name="Comma 4 2 2 2 3 2 3" xfId="5019" xr:uid="{00000000-0005-0000-0000-0000D6070000}"/>
    <cellStyle name="Comma 4 2 2 2 3 2 3 2" xfId="13454" xr:uid="{F02D1838-B8B1-4AA5-A569-D174DA0D6B3D}"/>
    <cellStyle name="Comma 4 2 2 2 3 2 4" xfId="9236" xr:uid="{C2A10AE7-344D-4FF5-84BF-2C87135AAB52}"/>
    <cellStyle name="Comma 4 2 2 2 3 3" xfId="1123" xr:uid="{00000000-0005-0000-0000-0000D7070000}"/>
    <cellStyle name="Comma 4 2 2 2 3 3 2" xfId="3354" xr:uid="{00000000-0005-0000-0000-0000D8070000}"/>
    <cellStyle name="Comma 4 2 2 2 3 3 2 2" xfId="7577" xr:uid="{00000000-0005-0000-0000-0000D9070000}"/>
    <cellStyle name="Comma 4 2 2 2 3 3 2 2 2" xfId="16012" xr:uid="{D13B3AC3-8273-4D6B-BF18-AF6F1E50426A}"/>
    <cellStyle name="Comma 4 2 2 2 3 3 2 3" xfId="11794" xr:uid="{1B51AECC-F96D-4792-906A-86D135105E38}"/>
    <cellStyle name="Comma 4 2 2 2 3 3 3" xfId="5432" xr:uid="{00000000-0005-0000-0000-0000DA070000}"/>
    <cellStyle name="Comma 4 2 2 2 3 3 3 2" xfId="13867" xr:uid="{389FACCD-52E6-4546-A66F-D91477F59004}"/>
    <cellStyle name="Comma 4 2 2 2 3 3 4" xfId="9649" xr:uid="{0DAA01ED-A92B-4FEF-8EEA-A8D2B21C92A1}"/>
    <cellStyle name="Comma 4 2 2 2 3 4" xfId="1537" xr:uid="{00000000-0005-0000-0000-0000DB070000}"/>
    <cellStyle name="Comma 4 2 2 2 3 4 2" xfId="3767" xr:uid="{00000000-0005-0000-0000-0000DC070000}"/>
    <cellStyle name="Comma 4 2 2 2 3 4 2 2" xfId="7990" xr:uid="{00000000-0005-0000-0000-0000DD070000}"/>
    <cellStyle name="Comma 4 2 2 2 3 4 2 2 2" xfId="16425" xr:uid="{2B2FD915-4DDD-4219-8FC5-11F9169F2372}"/>
    <cellStyle name="Comma 4 2 2 2 3 4 2 3" xfId="12207" xr:uid="{D43724A1-4CF0-4DBB-8716-24264E802CB2}"/>
    <cellStyle name="Comma 4 2 2 2 3 4 3" xfId="5845" xr:uid="{00000000-0005-0000-0000-0000DE070000}"/>
    <cellStyle name="Comma 4 2 2 2 3 4 3 2" xfId="14280" xr:uid="{51219785-C503-4C1F-9A59-DA651DA44C54}"/>
    <cellStyle name="Comma 4 2 2 2 3 4 4" xfId="10062" xr:uid="{C1FEEE7E-D91D-4301-A26D-DACEF413D4B5}"/>
    <cellStyle name="Comma 4 2 2 2 3 5" xfId="1951" xr:uid="{00000000-0005-0000-0000-0000DF070000}"/>
    <cellStyle name="Comma 4 2 2 2 3 5 2" xfId="4180" xr:uid="{00000000-0005-0000-0000-0000E0070000}"/>
    <cellStyle name="Comma 4 2 2 2 3 5 2 2" xfId="8403" xr:uid="{00000000-0005-0000-0000-0000E1070000}"/>
    <cellStyle name="Comma 4 2 2 2 3 5 2 2 2" xfId="16838" xr:uid="{31C205DD-D92A-463E-B101-C14A280ABDDF}"/>
    <cellStyle name="Comma 4 2 2 2 3 5 2 3" xfId="12620" xr:uid="{DBC13EDB-F994-4535-AAF0-3F034EB682D8}"/>
    <cellStyle name="Comma 4 2 2 2 3 5 3" xfId="6258" xr:uid="{00000000-0005-0000-0000-0000E2070000}"/>
    <cellStyle name="Comma 4 2 2 2 3 5 3 2" xfId="14693" xr:uid="{E4B35E22-6D39-4AB7-A2B8-633FECF15B59}"/>
    <cellStyle name="Comma 4 2 2 2 3 5 4" xfId="10475" xr:uid="{7A231492-95DC-48AF-B6FF-932B2AF69683}"/>
    <cellStyle name="Comma 4 2 2 2 3 6" xfId="2386" xr:uid="{00000000-0005-0000-0000-0000E3070000}"/>
    <cellStyle name="Comma 4 2 2 2 3 6 2" xfId="6671" xr:uid="{00000000-0005-0000-0000-0000E4070000}"/>
    <cellStyle name="Comma 4 2 2 2 3 6 2 2" xfId="15106" xr:uid="{6972261B-A050-4C20-8E6D-4D7AFD2C8772}"/>
    <cellStyle name="Comma 4 2 2 2 3 6 3" xfId="10888" xr:uid="{81DB248C-8EC6-49D8-A49C-9A5FB7ED9087}"/>
    <cellStyle name="Comma 4 2 2 2 3 7" xfId="2379" xr:uid="{00000000-0005-0000-0000-0000E5070000}"/>
    <cellStyle name="Comma 4 2 2 2 3 8" xfId="2764" xr:uid="{00000000-0005-0000-0000-0000E6070000}"/>
    <cellStyle name="Comma 4 2 2 2 3 8 2" xfId="6988" xr:uid="{00000000-0005-0000-0000-0000E7070000}"/>
    <cellStyle name="Comma 4 2 2 2 3 8 2 2" xfId="15423" xr:uid="{CEC94488-23F6-4C49-85C3-827B62B635FD}"/>
    <cellStyle name="Comma 4 2 2 2 3 8 3" xfId="11205" xr:uid="{7F5FFEDD-CAF5-4FC1-89CD-B597AAB00CCA}"/>
    <cellStyle name="Comma 4 2 2 2 3 9" xfId="4605" xr:uid="{00000000-0005-0000-0000-0000E8070000}"/>
    <cellStyle name="Comma 4 2 2 2 3 9 2" xfId="13040" xr:uid="{7C984553-C9F7-4103-9183-055C2419C3DA}"/>
    <cellStyle name="Comma 4 2 2 2 4" xfId="667" xr:uid="{00000000-0005-0000-0000-0000E9070000}"/>
    <cellStyle name="Comma 4 2 2 2 4 2" xfId="2938" xr:uid="{00000000-0005-0000-0000-0000EA070000}"/>
    <cellStyle name="Comma 4 2 2 2 4 2 2" xfId="7161" xr:uid="{00000000-0005-0000-0000-0000EB070000}"/>
    <cellStyle name="Comma 4 2 2 2 4 2 2 2" xfId="15596" xr:uid="{02B53022-7415-4815-9C29-F9E36F9DC38A}"/>
    <cellStyle name="Comma 4 2 2 2 4 2 3" xfId="11378" xr:uid="{50E7AD12-F3B5-4F7D-B0BF-A42586C72879}"/>
    <cellStyle name="Comma 4 2 2 2 4 3" xfId="5016" xr:uid="{00000000-0005-0000-0000-0000EC070000}"/>
    <cellStyle name="Comma 4 2 2 2 4 3 2" xfId="13451" xr:uid="{7235F9BB-DB11-4D55-8CEE-F920DFABA9C3}"/>
    <cellStyle name="Comma 4 2 2 2 4 4" xfId="9233" xr:uid="{FFBF104F-5187-448C-B477-1196FDBC4B56}"/>
    <cellStyle name="Comma 4 2 2 2 5" xfId="1120" xr:uid="{00000000-0005-0000-0000-0000ED070000}"/>
    <cellStyle name="Comma 4 2 2 2 5 2" xfId="3351" xr:uid="{00000000-0005-0000-0000-0000EE070000}"/>
    <cellStyle name="Comma 4 2 2 2 5 2 2" xfId="7574" xr:uid="{00000000-0005-0000-0000-0000EF070000}"/>
    <cellStyle name="Comma 4 2 2 2 5 2 2 2" xfId="16009" xr:uid="{630A0791-2090-4AB6-8590-3F73C6536DA2}"/>
    <cellStyle name="Comma 4 2 2 2 5 2 3" xfId="11791" xr:uid="{56A9281D-FDC1-451B-86D9-31B10954F228}"/>
    <cellStyle name="Comma 4 2 2 2 5 3" xfId="5429" xr:uid="{00000000-0005-0000-0000-0000F0070000}"/>
    <cellStyle name="Comma 4 2 2 2 5 3 2" xfId="13864" xr:uid="{326D5FBD-3924-4C23-9901-75F4AE80E9B0}"/>
    <cellStyle name="Comma 4 2 2 2 5 4" xfId="9646" xr:uid="{B6C29BF7-94E3-4D2B-91EB-609B8C70FB60}"/>
    <cellStyle name="Comma 4 2 2 2 6" xfId="1534" xr:uid="{00000000-0005-0000-0000-0000F1070000}"/>
    <cellStyle name="Comma 4 2 2 2 6 2" xfId="3764" xr:uid="{00000000-0005-0000-0000-0000F2070000}"/>
    <cellStyle name="Comma 4 2 2 2 6 2 2" xfId="7987" xr:uid="{00000000-0005-0000-0000-0000F3070000}"/>
    <cellStyle name="Comma 4 2 2 2 6 2 2 2" xfId="16422" xr:uid="{16196521-5A53-41F8-B2C4-5C37F4EEEB52}"/>
    <cellStyle name="Comma 4 2 2 2 6 2 3" xfId="12204" xr:uid="{B6E2E55B-23A4-482E-8052-66DB8957ACF6}"/>
    <cellStyle name="Comma 4 2 2 2 6 3" xfId="5842" xr:uid="{00000000-0005-0000-0000-0000F4070000}"/>
    <cellStyle name="Comma 4 2 2 2 6 3 2" xfId="14277" xr:uid="{D9F5B00B-333D-484E-9230-413D671373FF}"/>
    <cellStyle name="Comma 4 2 2 2 6 4" xfId="10059" xr:uid="{5C8679EB-6B9F-4D6C-A638-6FB311BD9BF4}"/>
    <cellStyle name="Comma 4 2 2 2 7" xfId="1948" xr:uid="{00000000-0005-0000-0000-0000F5070000}"/>
    <cellStyle name="Comma 4 2 2 2 7 2" xfId="4177" xr:uid="{00000000-0005-0000-0000-0000F6070000}"/>
    <cellStyle name="Comma 4 2 2 2 7 2 2" xfId="8400" xr:uid="{00000000-0005-0000-0000-0000F7070000}"/>
    <cellStyle name="Comma 4 2 2 2 7 2 2 2" xfId="16835" xr:uid="{98A6ED1F-CA7F-4136-B82A-3C0AF4F53816}"/>
    <cellStyle name="Comma 4 2 2 2 7 2 3" xfId="12617" xr:uid="{C59458AA-4667-4FD1-B2B2-5B711810A1AC}"/>
    <cellStyle name="Comma 4 2 2 2 7 3" xfId="6255" xr:uid="{00000000-0005-0000-0000-0000F8070000}"/>
    <cellStyle name="Comma 4 2 2 2 7 3 2" xfId="14690" xr:uid="{89E08DF7-42D0-4E2C-8FDD-5C6F9A0ECBF3}"/>
    <cellStyle name="Comma 4 2 2 2 7 4" xfId="10472" xr:uid="{92981C45-81C8-4321-9B6E-DCB810C2DFB6}"/>
    <cellStyle name="Comma 4 2 2 2 8" xfId="2383" xr:uid="{00000000-0005-0000-0000-0000F9070000}"/>
    <cellStyle name="Comma 4 2 2 2 8 2" xfId="6668" xr:uid="{00000000-0005-0000-0000-0000FA070000}"/>
    <cellStyle name="Comma 4 2 2 2 8 2 2" xfId="15103" xr:uid="{FE11FAC9-DB4C-47DD-B10B-CB13244AF9A2}"/>
    <cellStyle name="Comma 4 2 2 2 8 3" xfId="10885" xr:uid="{D5570291-50D0-475E-AEE4-1545F2ABE81E}"/>
    <cellStyle name="Comma 4 2 2 2 9" xfId="2382" xr:uid="{00000000-0005-0000-0000-0000FB070000}"/>
    <cellStyle name="Comma 4 2 2 3" xfId="132" xr:uid="{00000000-0005-0000-0000-0000FC070000}"/>
    <cellStyle name="Comma 4 2 2 3 10" xfId="4606" xr:uid="{00000000-0005-0000-0000-0000FD070000}"/>
    <cellStyle name="Comma 4 2 2 3 10 2" xfId="13041" xr:uid="{0E6908A7-6385-42DA-B7AF-E5BAA9166A7C}"/>
    <cellStyle name="Comma 4 2 2 3 11" xfId="8823" xr:uid="{3FD8B2A4-56A8-4578-AEE2-62B47CE42881}"/>
    <cellStyle name="Comma 4 2 2 3 2" xfId="133" xr:uid="{00000000-0005-0000-0000-0000FE070000}"/>
    <cellStyle name="Comma 4 2 2 3 2 10" xfId="8824" xr:uid="{32B06CAA-740F-4B53-A6C4-466F4CD09AAE}"/>
    <cellStyle name="Comma 4 2 2 3 2 2" xfId="672" xr:uid="{00000000-0005-0000-0000-0000FF070000}"/>
    <cellStyle name="Comma 4 2 2 3 2 2 2" xfId="2943" xr:uid="{00000000-0005-0000-0000-000000080000}"/>
    <cellStyle name="Comma 4 2 2 3 2 2 2 2" xfId="7166" xr:uid="{00000000-0005-0000-0000-000001080000}"/>
    <cellStyle name="Comma 4 2 2 3 2 2 2 2 2" xfId="15601" xr:uid="{A3D9E371-7B9A-424F-A954-4617FD30DFE6}"/>
    <cellStyle name="Comma 4 2 2 3 2 2 2 3" xfId="11383" xr:uid="{3DD0FC46-51A1-4A04-8161-45037F943775}"/>
    <cellStyle name="Comma 4 2 2 3 2 2 3" xfId="5021" xr:uid="{00000000-0005-0000-0000-000002080000}"/>
    <cellStyle name="Comma 4 2 2 3 2 2 3 2" xfId="13456" xr:uid="{3EEE5D47-2472-4F79-92B9-AE5C4CD8D410}"/>
    <cellStyle name="Comma 4 2 2 3 2 2 4" xfId="9238" xr:uid="{003A659D-B60E-47F7-9E79-634E8ACC82A1}"/>
    <cellStyle name="Comma 4 2 2 3 2 3" xfId="1125" xr:uid="{00000000-0005-0000-0000-000003080000}"/>
    <cellStyle name="Comma 4 2 2 3 2 3 2" xfId="3356" xr:uid="{00000000-0005-0000-0000-000004080000}"/>
    <cellStyle name="Comma 4 2 2 3 2 3 2 2" xfId="7579" xr:uid="{00000000-0005-0000-0000-000005080000}"/>
    <cellStyle name="Comma 4 2 2 3 2 3 2 2 2" xfId="16014" xr:uid="{F6E52F9B-A077-4DB0-855E-2416E6CC5005}"/>
    <cellStyle name="Comma 4 2 2 3 2 3 2 3" xfId="11796" xr:uid="{6B45B3FE-5CAE-4474-9087-314AEA541C12}"/>
    <cellStyle name="Comma 4 2 2 3 2 3 3" xfId="5434" xr:uid="{00000000-0005-0000-0000-000006080000}"/>
    <cellStyle name="Comma 4 2 2 3 2 3 3 2" xfId="13869" xr:uid="{F1B6F495-1435-49BE-BF36-D46C907A37BB}"/>
    <cellStyle name="Comma 4 2 2 3 2 3 4" xfId="9651" xr:uid="{317C85D7-62B9-49A4-880A-5DFBF8DAEFDF}"/>
    <cellStyle name="Comma 4 2 2 3 2 4" xfId="1539" xr:uid="{00000000-0005-0000-0000-000007080000}"/>
    <cellStyle name="Comma 4 2 2 3 2 4 2" xfId="3769" xr:uid="{00000000-0005-0000-0000-000008080000}"/>
    <cellStyle name="Comma 4 2 2 3 2 4 2 2" xfId="7992" xr:uid="{00000000-0005-0000-0000-000009080000}"/>
    <cellStyle name="Comma 4 2 2 3 2 4 2 2 2" xfId="16427" xr:uid="{5E536266-794E-4626-8EDE-43AC3A072BB8}"/>
    <cellStyle name="Comma 4 2 2 3 2 4 2 3" xfId="12209" xr:uid="{93EBEF17-E41D-43B0-AC94-CD5F560D9765}"/>
    <cellStyle name="Comma 4 2 2 3 2 4 3" xfId="5847" xr:uid="{00000000-0005-0000-0000-00000A080000}"/>
    <cellStyle name="Comma 4 2 2 3 2 4 3 2" xfId="14282" xr:uid="{21D78008-0541-49B7-8D26-2F558AFDFF7A}"/>
    <cellStyle name="Comma 4 2 2 3 2 4 4" xfId="10064" xr:uid="{7B568EBD-7623-4185-B780-53BBBAA5099A}"/>
    <cellStyle name="Comma 4 2 2 3 2 5" xfId="1953" xr:uid="{00000000-0005-0000-0000-00000B080000}"/>
    <cellStyle name="Comma 4 2 2 3 2 5 2" xfId="4182" xr:uid="{00000000-0005-0000-0000-00000C080000}"/>
    <cellStyle name="Comma 4 2 2 3 2 5 2 2" xfId="8405" xr:uid="{00000000-0005-0000-0000-00000D080000}"/>
    <cellStyle name="Comma 4 2 2 3 2 5 2 2 2" xfId="16840" xr:uid="{E22F35AD-B2AE-44B5-AB7F-AA61305FC3CF}"/>
    <cellStyle name="Comma 4 2 2 3 2 5 2 3" xfId="12622" xr:uid="{6FFE95E9-84C6-4A04-BD65-87B5B68732DB}"/>
    <cellStyle name="Comma 4 2 2 3 2 5 3" xfId="6260" xr:uid="{00000000-0005-0000-0000-00000E080000}"/>
    <cellStyle name="Comma 4 2 2 3 2 5 3 2" xfId="14695" xr:uid="{8CFBDEEB-6411-48F9-84F4-E4EFEAB02946}"/>
    <cellStyle name="Comma 4 2 2 3 2 5 4" xfId="10477" xr:uid="{CBE57F81-EEAF-47BB-BE3D-31C9CB52E483}"/>
    <cellStyle name="Comma 4 2 2 3 2 6" xfId="2388" xr:uid="{00000000-0005-0000-0000-00000F080000}"/>
    <cellStyle name="Comma 4 2 2 3 2 6 2" xfId="6673" xr:uid="{00000000-0005-0000-0000-000010080000}"/>
    <cellStyle name="Comma 4 2 2 3 2 6 2 2" xfId="15108" xr:uid="{24D6E55C-8FE1-469A-969E-4894B9FC5937}"/>
    <cellStyle name="Comma 4 2 2 3 2 6 3" xfId="10890" xr:uid="{3DFB9E52-D9F5-4B14-AB5D-6C18C04853AF}"/>
    <cellStyle name="Comma 4 2 2 3 2 7" xfId="2377" xr:uid="{00000000-0005-0000-0000-000011080000}"/>
    <cellStyle name="Comma 4 2 2 3 2 8" xfId="2766" xr:uid="{00000000-0005-0000-0000-000012080000}"/>
    <cellStyle name="Comma 4 2 2 3 2 8 2" xfId="6990" xr:uid="{00000000-0005-0000-0000-000013080000}"/>
    <cellStyle name="Comma 4 2 2 3 2 8 2 2" xfId="15425" xr:uid="{3C170EAE-2342-40F4-ADD5-968A406AFAC5}"/>
    <cellStyle name="Comma 4 2 2 3 2 8 3" xfId="11207" xr:uid="{3623E180-E5D9-45AB-9947-1D24F16A386E}"/>
    <cellStyle name="Comma 4 2 2 3 2 9" xfId="4607" xr:uid="{00000000-0005-0000-0000-000014080000}"/>
    <cellStyle name="Comma 4 2 2 3 2 9 2" xfId="13042" xr:uid="{E88C1F46-24BC-4A91-90AA-4F6F9891A10E}"/>
    <cellStyle name="Comma 4 2 2 3 3" xfId="671" xr:uid="{00000000-0005-0000-0000-000015080000}"/>
    <cellStyle name="Comma 4 2 2 3 3 2" xfId="2942" xr:uid="{00000000-0005-0000-0000-000016080000}"/>
    <cellStyle name="Comma 4 2 2 3 3 2 2" xfId="7165" xr:uid="{00000000-0005-0000-0000-000017080000}"/>
    <cellStyle name="Comma 4 2 2 3 3 2 2 2" xfId="15600" xr:uid="{91D0ED00-538D-4E30-B4BA-CFFC64680961}"/>
    <cellStyle name="Comma 4 2 2 3 3 2 3" xfId="11382" xr:uid="{0C96C83A-815C-41AD-99B4-1EDAB2C6C94D}"/>
    <cellStyle name="Comma 4 2 2 3 3 3" xfId="5020" xr:uid="{00000000-0005-0000-0000-000018080000}"/>
    <cellStyle name="Comma 4 2 2 3 3 3 2" xfId="13455" xr:uid="{5586E792-7834-4C2F-8FA7-A2F6EE8C332D}"/>
    <cellStyle name="Comma 4 2 2 3 3 4" xfId="9237" xr:uid="{37689826-0A32-4F29-A033-1E972643D47B}"/>
    <cellStyle name="Comma 4 2 2 3 4" xfId="1124" xr:uid="{00000000-0005-0000-0000-000019080000}"/>
    <cellStyle name="Comma 4 2 2 3 4 2" xfId="3355" xr:uid="{00000000-0005-0000-0000-00001A080000}"/>
    <cellStyle name="Comma 4 2 2 3 4 2 2" xfId="7578" xr:uid="{00000000-0005-0000-0000-00001B080000}"/>
    <cellStyle name="Comma 4 2 2 3 4 2 2 2" xfId="16013" xr:uid="{FF11365E-93D5-4CEF-9C34-D0E924F20412}"/>
    <cellStyle name="Comma 4 2 2 3 4 2 3" xfId="11795" xr:uid="{D17B603A-D350-41FE-9C86-D26FD591C9CA}"/>
    <cellStyle name="Comma 4 2 2 3 4 3" xfId="5433" xr:uid="{00000000-0005-0000-0000-00001C080000}"/>
    <cellStyle name="Comma 4 2 2 3 4 3 2" xfId="13868" xr:uid="{D39810AF-B695-49D9-A49A-E51659752C3E}"/>
    <cellStyle name="Comma 4 2 2 3 4 4" xfId="9650" xr:uid="{482E7F44-65FE-44B1-925F-7269D6BBDC8A}"/>
    <cellStyle name="Comma 4 2 2 3 5" xfId="1538" xr:uid="{00000000-0005-0000-0000-00001D080000}"/>
    <cellStyle name="Comma 4 2 2 3 5 2" xfId="3768" xr:uid="{00000000-0005-0000-0000-00001E080000}"/>
    <cellStyle name="Comma 4 2 2 3 5 2 2" xfId="7991" xr:uid="{00000000-0005-0000-0000-00001F080000}"/>
    <cellStyle name="Comma 4 2 2 3 5 2 2 2" xfId="16426" xr:uid="{0818C0E7-7F3B-4C50-B66E-8860C7D201C1}"/>
    <cellStyle name="Comma 4 2 2 3 5 2 3" xfId="12208" xr:uid="{3B2C16B9-99A3-450F-8CB6-A452F9762908}"/>
    <cellStyle name="Comma 4 2 2 3 5 3" xfId="5846" xr:uid="{00000000-0005-0000-0000-000020080000}"/>
    <cellStyle name="Comma 4 2 2 3 5 3 2" xfId="14281" xr:uid="{6F3D06C3-4A31-491A-8D62-55674FF927FC}"/>
    <cellStyle name="Comma 4 2 2 3 5 4" xfId="10063" xr:uid="{74C155F7-3B23-45EE-BA89-C81A8FBEE65C}"/>
    <cellStyle name="Comma 4 2 2 3 6" xfId="1952" xr:uid="{00000000-0005-0000-0000-000021080000}"/>
    <cellStyle name="Comma 4 2 2 3 6 2" xfId="4181" xr:uid="{00000000-0005-0000-0000-000022080000}"/>
    <cellStyle name="Comma 4 2 2 3 6 2 2" xfId="8404" xr:uid="{00000000-0005-0000-0000-000023080000}"/>
    <cellStyle name="Comma 4 2 2 3 6 2 2 2" xfId="16839" xr:uid="{1A3B5FD9-4E92-46E0-B28F-AE2D617963F0}"/>
    <cellStyle name="Comma 4 2 2 3 6 2 3" xfId="12621" xr:uid="{A53E8F6C-717E-408F-A25B-EE6C7C8C0213}"/>
    <cellStyle name="Comma 4 2 2 3 6 3" xfId="6259" xr:uid="{00000000-0005-0000-0000-000024080000}"/>
    <cellStyle name="Comma 4 2 2 3 6 3 2" xfId="14694" xr:uid="{AADBFE04-36A3-4F4F-A016-200B17F910E1}"/>
    <cellStyle name="Comma 4 2 2 3 6 4" xfId="10476" xr:uid="{2AC8372B-0C7C-4D2E-A5B4-1AC499B48E47}"/>
    <cellStyle name="Comma 4 2 2 3 7" xfId="2387" xr:uid="{00000000-0005-0000-0000-000025080000}"/>
    <cellStyle name="Comma 4 2 2 3 7 2" xfId="6672" xr:uid="{00000000-0005-0000-0000-000026080000}"/>
    <cellStyle name="Comma 4 2 2 3 7 2 2" xfId="15107" xr:uid="{EE8A9C49-CD3C-4492-902E-8258FF0A48D3}"/>
    <cellStyle name="Comma 4 2 2 3 7 3" xfId="10889" xr:uid="{DC5F2188-1A1C-4D4A-B7A9-CA7C291328E8}"/>
    <cellStyle name="Comma 4 2 2 3 8" xfId="2378" xr:uid="{00000000-0005-0000-0000-000027080000}"/>
    <cellStyle name="Comma 4 2 2 3 9" xfId="2765" xr:uid="{00000000-0005-0000-0000-000028080000}"/>
    <cellStyle name="Comma 4 2 2 3 9 2" xfId="6989" xr:uid="{00000000-0005-0000-0000-000029080000}"/>
    <cellStyle name="Comma 4 2 2 3 9 2 2" xfId="15424" xr:uid="{108FDC3D-1989-48FD-B7F4-F96B29908245}"/>
    <cellStyle name="Comma 4 2 2 3 9 3" xfId="11206" xr:uid="{28FEB58C-7208-4482-A077-DC35FF11BCBB}"/>
    <cellStyle name="Comma 4 2 2 4" xfId="134" xr:uid="{00000000-0005-0000-0000-00002A080000}"/>
    <cellStyle name="Comma 4 2 2 4 10" xfId="8825" xr:uid="{BEB9AD7B-27D4-455C-BA23-7A56839CA7E3}"/>
    <cellStyle name="Comma 4 2 2 4 2" xfId="673" xr:uid="{00000000-0005-0000-0000-00002B080000}"/>
    <cellStyle name="Comma 4 2 2 4 2 2" xfId="2944" xr:uid="{00000000-0005-0000-0000-00002C080000}"/>
    <cellStyle name="Comma 4 2 2 4 2 2 2" xfId="7167" xr:uid="{00000000-0005-0000-0000-00002D080000}"/>
    <cellStyle name="Comma 4 2 2 4 2 2 2 2" xfId="15602" xr:uid="{F3A00E6D-4D82-4950-93A4-AAAF67B06CA7}"/>
    <cellStyle name="Comma 4 2 2 4 2 2 3" xfId="11384" xr:uid="{3E9EA8F6-BA38-4AA9-A971-63765A87F48B}"/>
    <cellStyle name="Comma 4 2 2 4 2 3" xfId="5022" xr:uid="{00000000-0005-0000-0000-00002E080000}"/>
    <cellStyle name="Comma 4 2 2 4 2 3 2" xfId="13457" xr:uid="{0090D4AE-C7A2-4B11-94C6-8EAE0198E4A3}"/>
    <cellStyle name="Comma 4 2 2 4 2 4" xfId="9239" xr:uid="{8DFF2ECB-43E4-4FF5-94FD-CADE5C6BEA21}"/>
    <cellStyle name="Comma 4 2 2 4 3" xfId="1126" xr:uid="{00000000-0005-0000-0000-00002F080000}"/>
    <cellStyle name="Comma 4 2 2 4 3 2" xfId="3357" xr:uid="{00000000-0005-0000-0000-000030080000}"/>
    <cellStyle name="Comma 4 2 2 4 3 2 2" xfId="7580" xr:uid="{00000000-0005-0000-0000-000031080000}"/>
    <cellStyle name="Comma 4 2 2 4 3 2 2 2" xfId="16015" xr:uid="{3A11027B-F087-4D14-8A2F-BCDFAFD791D9}"/>
    <cellStyle name="Comma 4 2 2 4 3 2 3" xfId="11797" xr:uid="{ADE2D042-2524-474F-9EC2-3FD3FD5BB761}"/>
    <cellStyle name="Comma 4 2 2 4 3 3" xfId="5435" xr:uid="{00000000-0005-0000-0000-000032080000}"/>
    <cellStyle name="Comma 4 2 2 4 3 3 2" xfId="13870" xr:uid="{1B5F22BA-AA7D-4406-9D53-6206AB4CB4EA}"/>
    <cellStyle name="Comma 4 2 2 4 3 4" xfId="9652" xr:uid="{071DDDDF-C031-4FDA-B539-769E00AFCDB7}"/>
    <cellStyle name="Comma 4 2 2 4 4" xfId="1540" xr:uid="{00000000-0005-0000-0000-000033080000}"/>
    <cellStyle name="Comma 4 2 2 4 4 2" xfId="3770" xr:uid="{00000000-0005-0000-0000-000034080000}"/>
    <cellStyle name="Comma 4 2 2 4 4 2 2" xfId="7993" xr:uid="{00000000-0005-0000-0000-000035080000}"/>
    <cellStyle name="Comma 4 2 2 4 4 2 2 2" xfId="16428" xr:uid="{924D6A1C-F987-41F4-80E3-7D42A6C5FA33}"/>
    <cellStyle name="Comma 4 2 2 4 4 2 3" xfId="12210" xr:uid="{78159700-1BA6-4A35-B807-CFCFAAAB3660}"/>
    <cellStyle name="Comma 4 2 2 4 4 3" xfId="5848" xr:uid="{00000000-0005-0000-0000-000036080000}"/>
    <cellStyle name="Comma 4 2 2 4 4 3 2" xfId="14283" xr:uid="{2705CA85-5E57-45A7-8D42-C04D1559207F}"/>
    <cellStyle name="Comma 4 2 2 4 4 4" xfId="10065" xr:uid="{6C56AD13-4B28-4E42-BA82-6713778ED161}"/>
    <cellStyle name="Comma 4 2 2 4 5" xfId="1954" xr:uid="{00000000-0005-0000-0000-000037080000}"/>
    <cellStyle name="Comma 4 2 2 4 5 2" xfId="4183" xr:uid="{00000000-0005-0000-0000-000038080000}"/>
    <cellStyle name="Comma 4 2 2 4 5 2 2" xfId="8406" xr:uid="{00000000-0005-0000-0000-000039080000}"/>
    <cellStyle name="Comma 4 2 2 4 5 2 2 2" xfId="16841" xr:uid="{D07CBF20-0876-4B75-8E41-03352EB3A88D}"/>
    <cellStyle name="Comma 4 2 2 4 5 2 3" xfId="12623" xr:uid="{70887400-2D0D-472D-B7F1-A1AAAB65E5C7}"/>
    <cellStyle name="Comma 4 2 2 4 5 3" xfId="6261" xr:uid="{00000000-0005-0000-0000-00003A080000}"/>
    <cellStyle name="Comma 4 2 2 4 5 3 2" xfId="14696" xr:uid="{ACCCD94F-3251-4D53-8361-8A5117559E89}"/>
    <cellStyle name="Comma 4 2 2 4 5 4" xfId="10478" xr:uid="{871E8274-C053-491C-B5F0-43D43B7B5525}"/>
    <cellStyle name="Comma 4 2 2 4 6" xfId="2389" xr:uid="{00000000-0005-0000-0000-00003B080000}"/>
    <cellStyle name="Comma 4 2 2 4 6 2" xfId="6674" xr:uid="{00000000-0005-0000-0000-00003C080000}"/>
    <cellStyle name="Comma 4 2 2 4 6 2 2" xfId="15109" xr:uid="{4DA61D2D-ECAB-4125-B0C5-AAC1FA9E9D1F}"/>
    <cellStyle name="Comma 4 2 2 4 6 3" xfId="10891" xr:uid="{7C783C9E-AFBF-409E-A095-232688124E36}"/>
    <cellStyle name="Comma 4 2 2 4 7" xfId="2376" xr:uid="{00000000-0005-0000-0000-00003D080000}"/>
    <cellStyle name="Comma 4 2 2 4 8" xfId="2767" xr:uid="{00000000-0005-0000-0000-00003E080000}"/>
    <cellStyle name="Comma 4 2 2 4 8 2" xfId="6991" xr:uid="{00000000-0005-0000-0000-00003F080000}"/>
    <cellStyle name="Comma 4 2 2 4 8 2 2" xfId="15426" xr:uid="{5CB70325-0026-442D-803A-B270777F52BC}"/>
    <cellStyle name="Comma 4 2 2 4 8 3" xfId="11208" xr:uid="{14CCA781-E152-413C-A256-B5EC5A392EE4}"/>
    <cellStyle name="Comma 4 2 2 4 9" xfId="4608" xr:uid="{00000000-0005-0000-0000-000040080000}"/>
    <cellStyle name="Comma 4 2 2 4 9 2" xfId="13043" xr:uid="{5D200F75-EEA5-4975-8DB5-D00A5DBECAF7}"/>
    <cellStyle name="Comma 4 2 2 5" xfId="135" xr:uid="{00000000-0005-0000-0000-000041080000}"/>
    <cellStyle name="Comma 4 2 2 5 10" xfId="8826" xr:uid="{1CFFDD5C-4930-487C-B9EB-6FBA6F4ABBDD}"/>
    <cellStyle name="Comma 4 2 2 5 2" xfId="674" xr:uid="{00000000-0005-0000-0000-000042080000}"/>
    <cellStyle name="Comma 4 2 2 5 2 2" xfId="2945" xr:uid="{00000000-0005-0000-0000-000043080000}"/>
    <cellStyle name="Comma 4 2 2 5 2 2 2" xfId="7168" xr:uid="{00000000-0005-0000-0000-000044080000}"/>
    <cellStyle name="Comma 4 2 2 5 2 2 2 2" xfId="15603" xr:uid="{B9CE9C65-AEEE-4A2B-BBD4-C08813A5246D}"/>
    <cellStyle name="Comma 4 2 2 5 2 2 3" xfId="11385" xr:uid="{0D3DA1AD-BDB7-4F5D-A61F-5FFF727634C2}"/>
    <cellStyle name="Comma 4 2 2 5 2 3" xfId="5023" xr:uid="{00000000-0005-0000-0000-000045080000}"/>
    <cellStyle name="Comma 4 2 2 5 2 3 2" xfId="13458" xr:uid="{AE88C945-CD8D-4D73-B2D7-B23C0324EDA1}"/>
    <cellStyle name="Comma 4 2 2 5 2 4" xfId="9240" xr:uid="{23356450-14BC-4DB4-88F9-E2ED242638D0}"/>
    <cellStyle name="Comma 4 2 2 5 3" xfId="1127" xr:uid="{00000000-0005-0000-0000-000046080000}"/>
    <cellStyle name="Comma 4 2 2 5 3 2" xfId="3358" xr:uid="{00000000-0005-0000-0000-000047080000}"/>
    <cellStyle name="Comma 4 2 2 5 3 2 2" xfId="7581" xr:uid="{00000000-0005-0000-0000-000048080000}"/>
    <cellStyle name="Comma 4 2 2 5 3 2 2 2" xfId="16016" xr:uid="{12EFC622-120D-4AA9-A7C4-70449F4ACAD0}"/>
    <cellStyle name="Comma 4 2 2 5 3 2 3" xfId="11798" xr:uid="{DE128ADE-FB11-4F93-90DF-844D5CA11197}"/>
    <cellStyle name="Comma 4 2 2 5 3 3" xfId="5436" xr:uid="{00000000-0005-0000-0000-000049080000}"/>
    <cellStyle name="Comma 4 2 2 5 3 3 2" xfId="13871" xr:uid="{5AE37FAB-F7F4-4DDC-A4CB-8CA7C38041DD}"/>
    <cellStyle name="Comma 4 2 2 5 3 4" xfId="9653" xr:uid="{B979F471-6C09-4385-9E04-21C61C525EED}"/>
    <cellStyle name="Comma 4 2 2 5 4" xfId="1541" xr:uid="{00000000-0005-0000-0000-00004A080000}"/>
    <cellStyle name="Comma 4 2 2 5 4 2" xfId="3771" xr:uid="{00000000-0005-0000-0000-00004B080000}"/>
    <cellStyle name="Comma 4 2 2 5 4 2 2" xfId="7994" xr:uid="{00000000-0005-0000-0000-00004C080000}"/>
    <cellStyle name="Comma 4 2 2 5 4 2 2 2" xfId="16429" xr:uid="{E2EECE40-E731-4E3E-9945-7DBA7B4AEC7B}"/>
    <cellStyle name="Comma 4 2 2 5 4 2 3" xfId="12211" xr:uid="{0464BB06-159B-404A-8D09-4E7E08C6C48E}"/>
    <cellStyle name="Comma 4 2 2 5 4 3" xfId="5849" xr:uid="{00000000-0005-0000-0000-00004D080000}"/>
    <cellStyle name="Comma 4 2 2 5 4 3 2" xfId="14284" xr:uid="{363CFB32-FB37-4E0F-A3B4-A816A77970CC}"/>
    <cellStyle name="Comma 4 2 2 5 4 4" xfId="10066" xr:uid="{B2BBC41E-BDA7-44B6-A200-5124B4FEB95A}"/>
    <cellStyle name="Comma 4 2 2 5 5" xfId="1955" xr:uid="{00000000-0005-0000-0000-00004E080000}"/>
    <cellStyle name="Comma 4 2 2 5 5 2" xfId="4184" xr:uid="{00000000-0005-0000-0000-00004F080000}"/>
    <cellStyle name="Comma 4 2 2 5 5 2 2" xfId="8407" xr:uid="{00000000-0005-0000-0000-000050080000}"/>
    <cellStyle name="Comma 4 2 2 5 5 2 2 2" xfId="16842" xr:uid="{DBF134DA-25F1-474B-B66B-6FCC494C4CD8}"/>
    <cellStyle name="Comma 4 2 2 5 5 2 3" xfId="12624" xr:uid="{C4FEB17D-296E-47BE-A982-0672219E50CF}"/>
    <cellStyle name="Comma 4 2 2 5 5 3" xfId="6262" xr:uid="{00000000-0005-0000-0000-000051080000}"/>
    <cellStyle name="Comma 4 2 2 5 5 3 2" xfId="14697" xr:uid="{D1F0C567-09E2-4B69-8F8A-6F2C48474AE5}"/>
    <cellStyle name="Comma 4 2 2 5 5 4" xfId="10479" xr:uid="{393D373B-453E-4675-BBE7-8A57A4B51B8A}"/>
    <cellStyle name="Comma 4 2 2 5 6" xfId="2390" xr:uid="{00000000-0005-0000-0000-000052080000}"/>
    <cellStyle name="Comma 4 2 2 5 6 2" xfId="6675" xr:uid="{00000000-0005-0000-0000-000053080000}"/>
    <cellStyle name="Comma 4 2 2 5 6 2 2" xfId="15110" xr:uid="{642CAA21-50FB-4D49-AD54-C9A569C3E6DD}"/>
    <cellStyle name="Comma 4 2 2 5 6 3" xfId="10892" xr:uid="{E563BE10-79A8-4264-BD54-162100EE516D}"/>
    <cellStyle name="Comma 4 2 2 5 7" xfId="2375" xr:uid="{00000000-0005-0000-0000-000054080000}"/>
    <cellStyle name="Comma 4 2 2 5 8" xfId="2768" xr:uid="{00000000-0005-0000-0000-000055080000}"/>
    <cellStyle name="Comma 4 2 2 5 8 2" xfId="6992" xr:uid="{00000000-0005-0000-0000-000056080000}"/>
    <cellStyle name="Comma 4 2 2 5 8 2 2" xfId="15427" xr:uid="{7B69F17B-13C9-4549-AB35-CAD00AE2CB57}"/>
    <cellStyle name="Comma 4 2 2 5 8 3" xfId="11209" xr:uid="{C786B450-2E2B-4BD3-A1C6-4D61C1FE6553}"/>
    <cellStyle name="Comma 4 2 2 5 9" xfId="4609" xr:uid="{00000000-0005-0000-0000-000057080000}"/>
    <cellStyle name="Comma 4 2 2 5 9 2" xfId="13044" xr:uid="{AA6B5E72-0DBD-4CFC-B42F-D892E8F6CCD8}"/>
    <cellStyle name="Comma 4 2 3" xfId="136" xr:uid="{00000000-0005-0000-0000-000058080000}"/>
    <cellStyle name="Comma 4 2 3 10" xfId="2769" xr:uid="{00000000-0005-0000-0000-000059080000}"/>
    <cellStyle name="Comma 4 2 3 10 2" xfId="6993" xr:uid="{00000000-0005-0000-0000-00005A080000}"/>
    <cellStyle name="Comma 4 2 3 10 2 2" xfId="15428" xr:uid="{BF67D686-3DBE-4060-BF3E-758052895F95}"/>
    <cellStyle name="Comma 4 2 3 10 3" xfId="11210" xr:uid="{A19D9C0F-ECC1-459D-8CC5-2167B7192DFC}"/>
    <cellStyle name="Comma 4 2 3 11" xfId="4610" xr:uid="{00000000-0005-0000-0000-00005B080000}"/>
    <cellStyle name="Comma 4 2 3 11 2" xfId="13045" xr:uid="{40139D5D-28AD-4A74-A62A-B4D4AC8E33EB}"/>
    <cellStyle name="Comma 4 2 3 12" xfId="8827" xr:uid="{C2C94D46-CD49-4A66-B829-B9166A64A685}"/>
    <cellStyle name="Comma 4 2 3 2" xfId="137" xr:uid="{00000000-0005-0000-0000-00005C080000}"/>
    <cellStyle name="Comma 4 2 3 2 10" xfId="4611" xr:uid="{00000000-0005-0000-0000-00005D080000}"/>
    <cellStyle name="Comma 4 2 3 2 10 2" xfId="13046" xr:uid="{A8703F78-462F-4C34-BE62-D21E5E95C3B8}"/>
    <cellStyle name="Comma 4 2 3 2 11" xfId="8828" xr:uid="{E2943338-DBE2-4442-BA86-273B5AB3FA08}"/>
    <cellStyle name="Comma 4 2 3 2 2" xfId="138" xr:uid="{00000000-0005-0000-0000-00005E080000}"/>
    <cellStyle name="Comma 4 2 3 2 2 10" xfId="8829" xr:uid="{A6E635FB-61E6-4809-B319-B0A7077EA944}"/>
    <cellStyle name="Comma 4 2 3 2 2 2" xfId="677" xr:uid="{00000000-0005-0000-0000-00005F080000}"/>
    <cellStyle name="Comma 4 2 3 2 2 2 2" xfId="2948" xr:uid="{00000000-0005-0000-0000-000060080000}"/>
    <cellStyle name="Comma 4 2 3 2 2 2 2 2" xfId="7171" xr:uid="{00000000-0005-0000-0000-000061080000}"/>
    <cellStyle name="Comma 4 2 3 2 2 2 2 2 2" xfId="15606" xr:uid="{476F1346-C648-48FB-99FD-728326BAEF85}"/>
    <cellStyle name="Comma 4 2 3 2 2 2 2 3" xfId="11388" xr:uid="{86742AD3-CD35-4EE2-9FC8-59586007D59F}"/>
    <cellStyle name="Comma 4 2 3 2 2 2 3" xfId="5026" xr:uid="{00000000-0005-0000-0000-000062080000}"/>
    <cellStyle name="Comma 4 2 3 2 2 2 3 2" xfId="13461" xr:uid="{4BB561F6-0128-44F8-AC09-86CF17453363}"/>
    <cellStyle name="Comma 4 2 3 2 2 2 4" xfId="9243" xr:uid="{C887B182-8360-4591-AC50-1F543B760594}"/>
    <cellStyle name="Comma 4 2 3 2 2 3" xfId="1130" xr:uid="{00000000-0005-0000-0000-000063080000}"/>
    <cellStyle name="Comma 4 2 3 2 2 3 2" xfId="3361" xr:uid="{00000000-0005-0000-0000-000064080000}"/>
    <cellStyle name="Comma 4 2 3 2 2 3 2 2" xfId="7584" xr:uid="{00000000-0005-0000-0000-000065080000}"/>
    <cellStyle name="Comma 4 2 3 2 2 3 2 2 2" xfId="16019" xr:uid="{1652BD7E-90FD-4210-9F09-069CC6F2A378}"/>
    <cellStyle name="Comma 4 2 3 2 2 3 2 3" xfId="11801" xr:uid="{0BF4CDF3-F452-46FC-AEC2-8E72F677B0D4}"/>
    <cellStyle name="Comma 4 2 3 2 2 3 3" xfId="5439" xr:uid="{00000000-0005-0000-0000-000066080000}"/>
    <cellStyle name="Comma 4 2 3 2 2 3 3 2" xfId="13874" xr:uid="{A7995237-5255-454D-933F-2EEAA97E1EEC}"/>
    <cellStyle name="Comma 4 2 3 2 2 3 4" xfId="9656" xr:uid="{395ABE5E-078F-4E22-863A-0A95AA805159}"/>
    <cellStyle name="Comma 4 2 3 2 2 4" xfId="1544" xr:uid="{00000000-0005-0000-0000-000067080000}"/>
    <cellStyle name="Comma 4 2 3 2 2 4 2" xfId="3774" xr:uid="{00000000-0005-0000-0000-000068080000}"/>
    <cellStyle name="Comma 4 2 3 2 2 4 2 2" xfId="7997" xr:uid="{00000000-0005-0000-0000-000069080000}"/>
    <cellStyle name="Comma 4 2 3 2 2 4 2 2 2" xfId="16432" xr:uid="{A4DB7979-4FFF-47F5-A58B-4A3821B5C0B0}"/>
    <cellStyle name="Comma 4 2 3 2 2 4 2 3" xfId="12214" xr:uid="{96AA2BF8-C004-42B0-AC0B-5635FB74F355}"/>
    <cellStyle name="Comma 4 2 3 2 2 4 3" xfId="5852" xr:uid="{00000000-0005-0000-0000-00006A080000}"/>
    <cellStyle name="Comma 4 2 3 2 2 4 3 2" xfId="14287" xr:uid="{05C245D3-F9BF-4BB9-AF76-492CA3FCEA28}"/>
    <cellStyle name="Comma 4 2 3 2 2 4 4" xfId="10069" xr:uid="{56978005-42FD-4B2C-AA4E-FA8D940A6500}"/>
    <cellStyle name="Comma 4 2 3 2 2 5" xfId="1958" xr:uid="{00000000-0005-0000-0000-00006B080000}"/>
    <cellStyle name="Comma 4 2 3 2 2 5 2" xfId="4187" xr:uid="{00000000-0005-0000-0000-00006C080000}"/>
    <cellStyle name="Comma 4 2 3 2 2 5 2 2" xfId="8410" xr:uid="{00000000-0005-0000-0000-00006D080000}"/>
    <cellStyle name="Comma 4 2 3 2 2 5 2 2 2" xfId="16845" xr:uid="{16658A30-7D2D-4FC5-98BF-EA5724FA18D0}"/>
    <cellStyle name="Comma 4 2 3 2 2 5 2 3" xfId="12627" xr:uid="{8C0C3CCE-733E-4D3C-AFFA-F4DD84F5A005}"/>
    <cellStyle name="Comma 4 2 3 2 2 5 3" xfId="6265" xr:uid="{00000000-0005-0000-0000-00006E080000}"/>
    <cellStyle name="Comma 4 2 3 2 2 5 3 2" xfId="14700" xr:uid="{860D4BDE-96DC-4080-9438-92F445734435}"/>
    <cellStyle name="Comma 4 2 3 2 2 5 4" xfId="10482" xr:uid="{FEF2A99E-10CE-4646-8339-B62FDC2CF403}"/>
    <cellStyle name="Comma 4 2 3 2 2 6" xfId="2393" xr:uid="{00000000-0005-0000-0000-00006F080000}"/>
    <cellStyle name="Comma 4 2 3 2 2 6 2" xfId="6678" xr:uid="{00000000-0005-0000-0000-000070080000}"/>
    <cellStyle name="Comma 4 2 3 2 2 6 2 2" xfId="15113" xr:uid="{26DD1A3E-0093-4FAB-93DB-BF61BEA3E7EE}"/>
    <cellStyle name="Comma 4 2 3 2 2 6 3" xfId="10895" xr:uid="{EE66F993-1DFC-48F6-BAF0-CE10FEF115B3}"/>
    <cellStyle name="Comma 4 2 3 2 2 7" xfId="2372" xr:uid="{00000000-0005-0000-0000-000071080000}"/>
    <cellStyle name="Comma 4 2 3 2 2 8" xfId="2771" xr:uid="{00000000-0005-0000-0000-000072080000}"/>
    <cellStyle name="Comma 4 2 3 2 2 8 2" xfId="6995" xr:uid="{00000000-0005-0000-0000-000073080000}"/>
    <cellStyle name="Comma 4 2 3 2 2 8 2 2" xfId="15430" xr:uid="{C99EDF16-817A-47DE-B70B-6720FE76D140}"/>
    <cellStyle name="Comma 4 2 3 2 2 8 3" xfId="11212" xr:uid="{7BC2D72B-F0B4-4411-87B6-1151C7E5CAAD}"/>
    <cellStyle name="Comma 4 2 3 2 2 9" xfId="4612" xr:uid="{00000000-0005-0000-0000-000074080000}"/>
    <cellStyle name="Comma 4 2 3 2 2 9 2" xfId="13047" xr:uid="{292C130F-9B01-4CEF-8247-DF924A2C39D0}"/>
    <cellStyle name="Comma 4 2 3 2 3" xfId="676" xr:uid="{00000000-0005-0000-0000-000075080000}"/>
    <cellStyle name="Comma 4 2 3 2 3 2" xfId="2947" xr:uid="{00000000-0005-0000-0000-000076080000}"/>
    <cellStyle name="Comma 4 2 3 2 3 2 2" xfId="7170" xr:uid="{00000000-0005-0000-0000-000077080000}"/>
    <cellStyle name="Comma 4 2 3 2 3 2 2 2" xfId="15605" xr:uid="{E1EB64BE-6218-48D8-9343-5676B7D115AB}"/>
    <cellStyle name="Comma 4 2 3 2 3 2 3" xfId="11387" xr:uid="{0F560B86-118D-4DF3-B584-3479736484E2}"/>
    <cellStyle name="Comma 4 2 3 2 3 3" xfId="5025" xr:uid="{00000000-0005-0000-0000-000078080000}"/>
    <cellStyle name="Comma 4 2 3 2 3 3 2" xfId="13460" xr:uid="{7375486E-8CE5-4AB6-82B7-9F64A501B64F}"/>
    <cellStyle name="Comma 4 2 3 2 3 4" xfId="9242" xr:uid="{C0C9A25B-3590-4CCC-BECE-0A9CA3C73FC6}"/>
    <cellStyle name="Comma 4 2 3 2 4" xfId="1129" xr:uid="{00000000-0005-0000-0000-000079080000}"/>
    <cellStyle name="Comma 4 2 3 2 4 2" xfId="3360" xr:uid="{00000000-0005-0000-0000-00007A080000}"/>
    <cellStyle name="Comma 4 2 3 2 4 2 2" xfId="7583" xr:uid="{00000000-0005-0000-0000-00007B080000}"/>
    <cellStyle name="Comma 4 2 3 2 4 2 2 2" xfId="16018" xr:uid="{67FCDD97-072A-4DC3-9FDC-56DECA6358A5}"/>
    <cellStyle name="Comma 4 2 3 2 4 2 3" xfId="11800" xr:uid="{04AFF1B6-9D19-46DB-A121-0F9D4440981B}"/>
    <cellStyle name="Comma 4 2 3 2 4 3" xfId="5438" xr:uid="{00000000-0005-0000-0000-00007C080000}"/>
    <cellStyle name="Comma 4 2 3 2 4 3 2" xfId="13873" xr:uid="{0A072484-E99B-4E19-B961-AAEA980CD146}"/>
    <cellStyle name="Comma 4 2 3 2 4 4" xfId="9655" xr:uid="{389EE22B-F2A9-4CC8-A784-D811BF468114}"/>
    <cellStyle name="Comma 4 2 3 2 5" xfId="1543" xr:uid="{00000000-0005-0000-0000-00007D080000}"/>
    <cellStyle name="Comma 4 2 3 2 5 2" xfId="3773" xr:uid="{00000000-0005-0000-0000-00007E080000}"/>
    <cellStyle name="Comma 4 2 3 2 5 2 2" xfId="7996" xr:uid="{00000000-0005-0000-0000-00007F080000}"/>
    <cellStyle name="Comma 4 2 3 2 5 2 2 2" xfId="16431" xr:uid="{955B27BE-FCD9-43EC-A946-592FB192BFE3}"/>
    <cellStyle name="Comma 4 2 3 2 5 2 3" xfId="12213" xr:uid="{1C26E606-B780-42AA-B0C2-E0288E204AE5}"/>
    <cellStyle name="Comma 4 2 3 2 5 3" xfId="5851" xr:uid="{00000000-0005-0000-0000-000080080000}"/>
    <cellStyle name="Comma 4 2 3 2 5 3 2" xfId="14286" xr:uid="{B40C4823-C174-4A24-876C-EC9312BACE13}"/>
    <cellStyle name="Comma 4 2 3 2 5 4" xfId="10068" xr:uid="{6AD85371-9BA7-4AB4-9218-B189B652CE88}"/>
    <cellStyle name="Comma 4 2 3 2 6" xfId="1957" xr:uid="{00000000-0005-0000-0000-000081080000}"/>
    <cellStyle name="Comma 4 2 3 2 6 2" xfId="4186" xr:uid="{00000000-0005-0000-0000-000082080000}"/>
    <cellStyle name="Comma 4 2 3 2 6 2 2" xfId="8409" xr:uid="{00000000-0005-0000-0000-000083080000}"/>
    <cellStyle name="Comma 4 2 3 2 6 2 2 2" xfId="16844" xr:uid="{370F454B-4F81-4C3F-A982-1DFEFAC665C1}"/>
    <cellStyle name="Comma 4 2 3 2 6 2 3" xfId="12626" xr:uid="{CD531F39-8A4B-4496-BDD9-2BC5E62BD3C5}"/>
    <cellStyle name="Comma 4 2 3 2 6 3" xfId="6264" xr:uid="{00000000-0005-0000-0000-000084080000}"/>
    <cellStyle name="Comma 4 2 3 2 6 3 2" xfId="14699" xr:uid="{7F6A35B0-704B-473F-9BDD-F6791F8F1EE7}"/>
    <cellStyle name="Comma 4 2 3 2 6 4" xfId="10481" xr:uid="{513E00C5-A63A-443A-9E8B-CAA7C25DC966}"/>
    <cellStyle name="Comma 4 2 3 2 7" xfId="2392" xr:uid="{00000000-0005-0000-0000-000085080000}"/>
    <cellStyle name="Comma 4 2 3 2 7 2" xfId="6677" xr:uid="{00000000-0005-0000-0000-000086080000}"/>
    <cellStyle name="Comma 4 2 3 2 7 2 2" xfId="15112" xr:uid="{C10F9D79-D94D-4E9A-9F58-B934AE39EE4F}"/>
    <cellStyle name="Comma 4 2 3 2 7 3" xfId="10894" xr:uid="{BF0BAACF-4DDE-42BA-A41C-D6B8856D60F0}"/>
    <cellStyle name="Comma 4 2 3 2 8" xfId="2373" xr:uid="{00000000-0005-0000-0000-000087080000}"/>
    <cellStyle name="Comma 4 2 3 2 9" xfId="2770" xr:uid="{00000000-0005-0000-0000-000088080000}"/>
    <cellStyle name="Comma 4 2 3 2 9 2" xfId="6994" xr:uid="{00000000-0005-0000-0000-000089080000}"/>
    <cellStyle name="Comma 4 2 3 2 9 2 2" xfId="15429" xr:uid="{E3C03B52-846F-441D-A615-D56114FE78FC}"/>
    <cellStyle name="Comma 4 2 3 2 9 3" xfId="11211" xr:uid="{CA8010AF-BC70-43D3-81B2-5F602E29395B}"/>
    <cellStyle name="Comma 4 2 3 3" xfId="139" xr:uid="{00000000-0005-0000-0000-00008A080000}"/>
    <cellStyle name="Comma 4 2 3 3 10" xfId="8830" xr:uid="{362B8153-22BD-40FD-BF6F-92FEE06120B6}"/>
    <cellStyle name="Comma 4 2 3 3 2" xfId="678" xr:uid="{00000000-0005-0000-0000-00008B080000}"/>
    <cellStyle name="Comma 4 2 3 3 2 2" xfId="2949" xr:uid="{00000000-0005-0000-0000-00008C080000}"/>
    <cellStyle name="Comma 4 2 3 3 2 2 2" xfId="7172" xr:uid="{00000000-0005-0000-0000-00008D080000}"/>
    <cellStyle name="Comma 4 2 3 3 2 2 2 2" xfId="15607" xr:uid="{BCD96245-159C-4840-AC9C-85A98C8129B9}"/>
    <cellStyle name="Comma 4 2 3 3 2 2 3" xfId="11389" xr:uid="{DA105D49-3C68-4F9C-9D26-BBC0EEDDD587}"/>
    <cellStyle name="Comma 4 2 3 3 2 3" xfId="5027" xr:uid="{00000000-0005-0000-0000-00008E080000}"/>
    <cellStyle name="Comma 4 2 3 3 2 3 2" xfId="13462" xr:uid="{62180177-0FEE-4A1B-85E0-F93E174B6B2D}"/>
    <cellStyle name="Comma 4 2 3 3 2 4" xfId="9244" xr:uid="{72412956-4C9B-4479-AB24-90DF827B1F23}"/>
    <cellStyle name="Comma 4 2 3 3 3" xfId="1131" xr:uid="{00000000-0005-0000-0000-00008F080000}"/>
    <cellStyle name="Comma 4 2 3 3 3 2" xfId="3362" xr:uid="{00000000-0005-0000-0000-000090080000}"/>
    <cellStyle name="Comma 4 2 3 3 3 2 2" xfId="7585" xr:uid="{00000000-0005-0000-0000-000091080000}"/>
    <cellStyle name="Comma 4 2 3 3 3 2 2 2" xfId="16020" xr:uid="{583891EB-D579-4CC2-AC35-7FA041F3C249}"/>
    <cellStyle name="Comma 4 2 3 3 3 2 3" xfId="11802" xr:uid="{80D87E8F-758B-4FBB-8DBB-346B8F10A097}"/>
    <cellStyle name="Comma 4 2 3 3 3 3" xfId="5440" xr:uid="{00000000-0005-0000-0000-000092080000}"/>
    <cellStyle name="Comma 4 2 3 3 3 3 2" xfId="13875" xr:uid="{BC5F0F00-D68B-4AAC-8AC7-F1AE5AB52641}"/>
    <cellStyle name="Comma 4 2 3 3 3 4" xfId="9657" xr:uid="{34817317-956F-42F7-9058-BB79B1EC68F5}"/>
    <cellStyle name="Comma 4 2 3 3 4" xfId="1545" xr:uid="{00000000-0005-0000-0000-000093080000}"/>
    <cellStyle name="Comma 4 2 3 3 4 2" xfId="3775" xr:uid="{00000000-0005-0000-0000-000094080000}"/>
    <cellStyle name="Comma 4 2 3 3 4 2 2" xfId="7998" xr:uid="{00000000-0005-0000-0000-000095080000}"/>
    <cellStyle name="Comma 4 2 3 3 4 2 2 2" xfId="16433" xr:uid="{B23E92F7-D853-40B7-B75A-87D7D1B3398F}"/>
    <cellStyle name="Comma 4 2 3 3 4 2 3" xfId="12215" xr:uid="{376DDAED-EFFE-49BE-99C6-E77AEB914B96}"/>
    <cellStyle name="Comma 4 2 3 3 4 3" xfId="5853" xr:uid="{00000000-0005-0000-0000-000096080000}"/>
    <cellStyle name="Comma 4 2 3 3 4 3 2" xfId="14288" xr:uid="{FE4FFB07-30F3-4677-B7C8-9B075E59D904}"/>
    <cellStyle name="Comma 4 2 3 3 4 4" xfId="10070" xr:uid="{EC415B87-C15E-4450-A816-4316DCDC84AA}"/>
    <cellStyle name="Comma 4 2 3 3 5" xfId="1959" xr:uid="{00000000-0005-0000-0000-000097080000}"/>
    <cellStyle name="Comma 4 2 3 3 5 2" xfId="4188" xr:uid="{00000000-0005-0000-0000-000098080000}"/>
    <cellStyle name="Comma 4 2 3 3 5 2 2" xfId="8411" xr:uid="{00000000-0005-0000-0000-000099080000}"/>
    <cellStyle name="Comma 4 2 3 3 5 2 2 2" xfId="16846" xr:uid="{AD6269CA-3604-4A28-89C5-7890A2DD8565}"/>
    <cellStyle name="Comma 4 2 3 3 5 2 3" xfId="12628" xr:uid="{6EA72E7A-79A5-4CBE-818F-C765194F4B5E}"/>
    <cellStyle name="Comma 4 2 3 3 5 3" xfId="6266" xr:uid="{00000000-0005-0000-0000-00009A080000}"/>
    <cellStyle name="Comma 4 2 3 3 5 3 2" xfId="14701" xr:uid="{E4C8B166-9191-48F8-B5D0-5CE61F4E8D7E}"/>
    <cellStyle name="Comma 4 2 3 3 5 4" xfId="10483" xr:uid="{1DEC31CB-03C9-492F-87AB-8EFF60BC5BC5}"/>
    <cellStyle name="Comma 4 2 3 3 6" xfId="2394" xr:uid="{00000000-0005-0000-0000-00009B080000}"/>
    <cellStyle name="Comma 4 2 3 3 6 2" xfId="6679" xr:uid="{00000000-0005-0000-0000-00009C080000}"/>
    <cellStyle name="Comma 4 2 3 3 6 2 2" xfId="15114" xr:uid="{BE9FD831-3D0B-42F0-AD11-51CDF820F16D}"/>
    <cellStyle name="Comma 4 2 3 3 6 3" xfId="10896" xr:uid="{D6269D90-333C-4BEA-ABA8-F488B82F8C20}"/>
    <cellStyle name="Comma 4 2 3 3 7" xfId="2371" xr:uid="{00000000-0005-0000-0000-00009D080000}"/>
    <cellStyle name="Comma 4 2 3 3 8" xfId="2772" xr:uid="{00000000-0005-0000-0000-00009E080000}"/>
    <cellStyle name="Comma 4 2 3 3 8 2" xfId="6996" xr:uid="{00000000-0005-0000-0000-00009F080000}"/>
    <cellStyle name="Comma 4 2 3 3 8 2 2" xfId="15431" xr:uid="{F000F9A7-3110-4FC4-8E23-1D12BE2E3FD8}"/>
    <cellStyle name="Comma 4 2 3 3 8 3" xfId="11213" xr:uid="{F4DE38E8-E806-4B08-88C4-416501C535DD}"/>
    <cellStyle name="Comma 4 2 3 3 9" xfId="4613" xr:uid="{00000000-0005-0000-0000-0000A0080000}"/>
    <cellStyle name="Comma 4 2 3 3 9 2" xfId="13048" xr:uid="{0A91F217-CD2C-4C04-A7AA-D22BAA5CF69B}"/>
    <cellStyle name="Comma 4 2 3 4" xfId="675" xr:uid="{00000000-0005-0000-0000-0000A1080000}"/>
    <cellStyle name="Comma 4 2 3 4 2" xfId="2946" xr:uid="{00000000-0005-0000-0000-0000A2080000}"/>
    <cellStyle name="Comma 4 2 3 4 2 2" xfId="7169" xr:uid="{00000000-0005-0000-0000-0000A3080000}"/>
    <cellStyle name="Comma 4 2 3 4 2 2 2" xfId="15604" xr:uid="{AB1B22BF-4776-41AB-B0F8-448F498FF0B3}"/>
    <cellStyle name="Comma 4 2 3 4 2 3" xfId="11386" xr:uid="{8334896F-8367-4C23-A5F9-38A32B5511D3}"/>
    <cellStyle name="Comma 4 2 3 4 3" xfId="5024" xr:uid="{00000000-0005-0000-0000-0000A4080000}"/>
    <cellStyle name="Comma 4 2 3 4 3 2" xfId="13459" xr:uid="{C239B8FB-84DD-48E9-9F10-CF6FBACDC0E6}"/>
    <cellStyle name="Comma 4 2 3 4 4" xfId="9241" xr:uid="{678C8D46-808B-4FE9-8EA9-0165A45FECCB}"/>
    <cellStyle name="Comma 4 2 3 5" xfId="1128" xr:uid="{00000000-0005-0000-0000-0000A5080000}"/>
    <cellStyle name="Comma 4 2 3 5 2" xfId="3359" xr:uid="{00000000-0005-0000-0000-0000A6080000}"/>
    <cellStyle name="Comma 4 2 3 5 2 2" xfId="7582" xr:uid="{00000000-0005-0000-0000-0000A7080000}"/>
    <cellStyle name="Comma 4 2 3 5 2 2 2" xfId="16017" xr:uid="{0F1CD401-364D-4823-89B6-790F0E0B9D4C}"/>
    <cellStyle name="Comma 4 2 3 5 2 3" xfId="11799" xr:uid="{8F028A7B-D863-47AE-90FD-83A89374F7E4}"/>
    <cellStyle name="Comma 4 2 3 5 3" xfId="5437" xr:uid="{00000000-0005-0000-0000-0000A8080000}"/>
    <cellStyle name="Comma 4 2 3 5 3 2" xfId="13872" xr:uid="{9C8FA4C9-7ACB-434A-B978-5397428B7BA6}"/>
    <cellStyle name="Comma 4 2 3 5 4" xfId="9654" xr:uid="{62AE3D23-91DB-4300-A8A0-0C619EAFEC74}"/>
    <cellStyle name="Comma 4 2 3 6" xfId="1542" xr:uid="{00000000-0005-0000-0000-0000A9080000}"/>
    <cellStyle name="Comma 4 2 3 6 2" xfId="3772" xr:uid="{00000000-0005-0000-0000-0000AA080000}"/>
    <cellStyle name="Comma 4 2 3 6 2 2" xfId="7995" xr:uid="{00000000-0005-0000-0000-0000AB080000}"/>
    <cellStyle name="Comma 4 2 3 6 2 2 2" xfId="16430" xr:uid="{BA31DDCC-2F6C-490C-B636-DFCDE201C71A}"/>
    <cellStyle name="Comma 4 2 3 6 2 3" xfId="12212" xr:uid="{3785135A-5F37-4A1E-8529-1E57BEE80D8D}"/>
    <cellStyle name="Comma 4 2 3 6 3" xfId="5850" xr:uid="{00000000-0005-0000-0000-0000AC080000}"/>
    <cellStyle name="Comma 4 2 3 6 3 2" xfId="14285" xr:uid="{73BBA023-C8E0-4D2F-8E82-5B1BEE5AB778}"/>
    <cellStyle name="Comma 4 2 3 6 4" xfId="10067" xr:uid="{57F52F62-F354-49A6-82AA-2C6E54D6B364}"/>
    <cellStyle name="Comma 4 2 3 7" xfId="1956" xr:uid="{00000000-0005-0000-0000-0000AD080000}"/>
    <cellStyle name="Comma 4 2 3 7 2" xfId="4185" xr:uid="{00000000-0005-0000-0000-0000AE080000}"/>
    <cellStyle name="Comma 4 2 3 7 2 2" xfId="8408" xr:uid="{00000000-0005-0000-0000-0000AF080000}"/>
    <cellStyle name="Comma 4 2 3 7 2 2 2" xfId="16843" xr:uid="{B6540C49-2BBC-4039-BBC2-9116C4B2736D}"/>
    <cellStyle name="Comma 4 2 3 7 2 3" xfId="12625" xr:uid="{48C01831-5629-44E3-A734-AEB5D14E0ACF}"/>
    <cellStyle name="Comma 4 2 3 7 3" xfId="6263" xr:uid="{00000000-0005-0000-0000-0000B0080000}"/>
    <cellStyle name="Comma 4 2 3 7 3 2" xfId="14698" xr:uid="{7F77F7E7-289D-41E1-A072-FBF7BA1379F2}"/>
    <cellStyle name="Comma 4 2 3 7 4" xfId="10480" xr:uid="{EA1B3CD1-92D8-46C7-8E3E-B53BB50C54FD}"/>
    <cellStyle name="Comma 4 2 3 8" xfId="2391" xr:uid="{00000000-0005-0000-0000-0000B1080000}"/>
    <cellStyle name="Comma 4 2 3 8 2" xfId="6676" xr:uid="{00000000-0005-0000-0000-0000B2080000}"/>
    <cellStyle name="Comma 4 2 3 8 2 2" xfId="15111" xr:uid="{8D072BFE-ADCF-4D5E-8C6D-0E6A0215A02E}"/>
    <cellStyle name="Comma 4 2 3 8 3" xfId="10893" xr:uid="{FD05EDD4-847C-42E8-BCC1-16345A677F5F}"/>
    <cellStyle name="Comma 4 2 3 9" xfId="2374" xr:uid="{00000000-0005-0000-0000-0000B3080000}"/>
    <cellStyle name="Comma 4 2 4" xfId="140" xr:uid="{00000000-0005-0000-0000-0000B4080000}"/>
    <cellStyle name="Comma 4 2 4 10" xfId="4614" xr:uid="{00000000-0005-0000-0000-0000B5080000}"/>
    <cellStyle name="Comma 4 2 4 10 2" xfId="13049" xr:uid="{52E9B3D8-A6E6-4152-83C8-220329F05918}"/>
    <cellStyle name="Comma 4 2 4 11" xfId="8831" xr:uid="{7B0B1658-D0F4-4A72-B7D6-D8BB18DC66E4}"/>
    <cellStyle name="Comma 4 2 4 2" xfId="141" xr:uid="{00000000-0005-0000-0000-0000B6080000}"/>
    <cellStyle name="Comma 4 2 4 2 10" xfId="8832" xr:uid="{FCEB5507-50DE-466D-BF68-230E5B0F469C}"/>
    <cellStyle name="Comma 4 2 4 2 2" xfId="680" xr:uid="{00000000-0005-0000-0000-0000B7080000}"/>
    <cellStyle name="Comma 4 2 4 2 2 2" xfId="2951" xr:uid="{00000000-0005-0000-0000-0000B8080000}"/>
    <cellStyle name="Comma 4 2 4 2 2 2 2" xfId="7174" xr:uid="{00000000-0005-0000-0000-0000B9080000}"/>
    <cellStyle name="Comma 4 2 4 2 2 2 2 2" xfId="15609" xr:uid="{4E7D6118-CF46-4694-A60A-3561043ABEBE}"/>
    <cellStyle name="Comma 4 2 4 2 2 2 3" xfId="11391" xr:uid="{A9227D34-DC54-474B-A240-AF05F8BED6A4}"/>
    <cellStyle name="Comma 4 2 4 2 2 3" xfId="5029" xr:uid="{00000000-0005-0000-0000-0000BA080000}"/>
    <cellStyle name="Comma 4 2 4 2 2 3 2" xfId="13464" xr:uid="{F322A0A6-5057-472E-8914-8B1E7BC315E3}"/>
    <cellStyle name="Comma 4 2 4 2 2 4" xfId="9246" xr:uid="{C1C79F46-062F-4D4E-823F-111C57BB1D03}"/>
    <cellStyle name="Comma 4 2 4 2 3" xfId="1133" xr:uid="{00000000-0005-0000-0000-0000BB080000}"/>
    <cellStyle name="Comma 4 2 4 2 3 2" xfId="3364" xr:uid="{00000000-0005-0000-0000-0000BC080000}"/>
    <cellStyle name="Comma 4 2 4 2 3 2 2" xfId="7587" xr:uid="{00000000-0005-0000-0000-0000BD080000}"/>
    <cellStyle name="Comma 4 2 4 2 3 2 2 2" xfId="16022" xr:uid="{D681CAD0-BD52-4217-AC2B-90086DCBBA82}"/>
    <cellStyle name="Comma 4 2 4 2 3 2 3" xfId="11804" xr:uid="{08384CBC-18A7-4D08-A3FE-D05E42077A8C}"/>
    <cellStyle name="Comma 4 2 4 2 3 3" xfId="5442" xr:uid="{00000000-0005-0000-0000-0000BE080000}"/>
    <cellStyle name="Comma 4 2 4 2 3 3 2" xfId="13877" xr:uid="{C78D3DE4-B15E-4A73-8B21-843D17CBD238}"/>
    <cellStyle name="Comma 4 2 4 2 3 4" xfId="9659" xr:uid="{41493B34-A9A2-484F-8711-73E765F6C6E7}"/>
    <cellStyle name="Comma 4 2 4 2 4" xfId="1547" xr:uid="{00000000-0005-0000-0000-0000BF080000}"/>
    <cellStyle name="Comma 4 2 4 2 4 2" xfId="3777" xr:uid="{00000000-0005-0000-0000-0000C0080000}"/>
    <cellStyle name="Comma 4 2 4 2 4 2 2" xfId="8000" xr:uid="{00000000-0005-0000-0000-0000C1080000}"/>
    <cellStyle name="Comma 4 2 4 2 4 2 2 2" xfId="16435" xr:uid="{D5B5DCA8-08BE-480A-85D1-B0606D142415}"/>
    <cellStyle name="Comma 4 2 4 2 4 2 3" xfId="12217" xr:uid="{809B6541-ACBE-4E8C-B714-45B6F3FC88D3}"/>
    <cellStyle name="Comma 4 2 4 2 4 3" xfId="5855" xr:uid="{00000000-0005-0000-0000-0000C2080000}"/>
    <cellStyle name="Comma 4 2 4 2 4 3 2" xfId="14290" xr:uid="{E945444A-AC76-4D5F-A6BF-37BA57FB14BE}"/>
    <cellStyle name="Comma 4 2 4 2 4 4" xfId="10072" xr:uid="{9865486E-453A-4670-BEDA-719FA987BC3D}"/>
    <cellStyle name="Comma 4 2 4 2 5" xfId="1961" xr:uid="{00000000-0005-0000-0000-0000C3080000}"/>
    <cellStyle name="Comma 4 2 4 2 5 2" xfId="4190" xr:uid="{00000000-0005-0000-0000-0000C4080000}"/>
    <cellStyle name="Comma 4 2 4 2 5 2 2" xfId="8413" xr:uid="{00000000-0005-0000-0000-0000C5080000}"/>
    <cellStyle name="Comma 4 2 4 2 5 2 2 2" xfId="16848" xr:uid="{932017C3-72D3-4F53-87EA-D33189B8DFA8}"/>
    <cellStyle name="Comma 4 2 4 2 5 2 3" xfId="12630" xr:uid="{C93AE756-166C-42F7-8E37-CA6ACBE2FC12}"/>
    <cellStyle name="Comma 4 2 4 2 5 3" xfId="6268" xr:uid="{00000000-0005-0000-0000-0000C6080000}"/>
    <cellStyle name="Comma 4 2 4 2 5 3 2" xfId="14703" xr:uid="{5CD9456B-3EC2-404B-9017-EB64DE27D290}"/>
    <cellStyle name="Comma 4 2 4 2 5 4" xfId="10485" xr:uid="{26D4C67B-AF3C-4814-BFC2-03E78AE5FF61}"/>
    <cellStyle name="Comma 4 2 4 2 6" xfId="2396" xr:uid="{00000000-0005-0000-0000-0000C7080000}"/>
    <cellStyle name="Comma 4 2 4 2 6 2" xfId="6681" xr:uid="{00000000-0005-0000-0000-0000C8080000}"/>
    <cellStyle name="Comma 4 2 4 2 6 2 2" xfId="15116" xr:uid="{FCB10E3E-83F0-4520-ADFE-F3531C3E5C1F}"/>
    <cellStyle name="Comma 4 2 4 2 6 3" xfId="10898" xr:uid="{06F3E820-26C3-418B-9C0D-7AE09500332D}"/>
    <cellStyle name="Comma 4 2 4 2 7" xfId="2369" xr:uid="{00000000-0005-0000-0000-0000C9080000}"/>
    <cellStyle name="Comma 4 2 4 2 8" xfId="2774" xr:uid="{00000000-0005-0000-0000-0000CA080000}"/>
    <cellStyle name="Comma 4 2 4 2 8 2" xfId="6998" xr:uid="{00000000-0005-0000-0000-0000CB080000}"/>
    <cellStyle name="Comma 4 2 4 2 8 2 2" xfId="15433" xr:uid="{26674F56-934F-4F59-914D-C89858ED1CCC}"/>
    <cellStyle name="Comma 4 2 4 2 8 3" xfId="11215" xr:uid="{95272478-3C6A-40D1-9DE0-651C3791C8CA}"/>
    <cellStyle name="Comma 4 2 4 2 9" xfId="4615" xr:uid="{00000000-0005-0000-0000-0000CC080000}"/>
    <cellStyle name="Comma 4 2 4 2 9 2" xfId="13050" xr:uid="{53D3FD34-E268-4A20-B098-9CE5CC0FE265}"/>
    <cellStyle name="Comma 4 2 4 3" xfId="679" xr:uid="{00000000-0005-0000-0000-0000CD080000}"/>
    <cellStyle name="Comma 4 2 4 3 2" xfId="2950" xr:uid="{00000000-0005-0000-0000-0000CE080000}"/>
    <cellStyle name="Comma 4 2 4 3 2 2" xfId="7173" xr:uid="{00000000-0005-0000-0000-0000CF080000}"/>
    <cellStyle name="Comma 4 2 4 3 2 2 2" xfId="15608" xr:uid="{581F6D6B-6246-4766-AFFA-170506FE8362}"/>
    <cellStyle name="Comma 4 2 4 3 2 3" xfId="11390" xr:uid="{E655A0BB-7ECF-457C-AEF4-17CA5020021F}"/>
    <cellStyle name="Comma 4 2 4 3 3" xfId="5028" xr:uid="{00000000-0005-0000-0000-0000D0080000}"/>
    <cellStyle name="Comma 4 2 4 3 3 2" xfId="13463" xr:uid="{0D25CDE0-ADCB-4C8C-9668-33C8EC108D2E}"/>
    <cellStyle name="Comma 4 2 4 3 4" xfId="9245" xr:uid="{E28563C0-2B37-48BD-BE5B-D1DB525538E6}"/>
    <cellStyle name="Comma 4 2 4 4" xfId="1132" xr:uid="{00000000-0005-0000-0000-0000D1080000}"/>
    <cellStyle name="Comma 4 2 4 4 2" xfId="3363" xr:uid="{00000000-0005-0000-0000-0000D2080000}"/>
    <cellStyle name="Comma 4 2 4 4 2 2" xfId="7586" xr:uid="{00000000-0005-0000-0000-0000D3080000}"/>
    <cellStyle name="Comma 4 2 4 4 2 2 2" xfId="16021" xr:uid="{CA90055B-6176-4F0D-BBCE-1FBA1E330AD9}"/>
    <cellStyle name="Comma 4 2 4 4 2 3" xfId="11803" xr:uid="{FCF86D73-E3C3-42C7-BDC6-A002D0D9F756}"/>
    <cellStyle name="Comma 4 2 4 4 3" xfId="5441" xr:uid="{00000000-0005-0000-0000-0000D4080000}"/>
    <cellStyle name="Comma 4 2 4 4 3 2" xfId="13876" xr:uid="{4ACEFAB6-8224-4C7B-8D1F-3836B55782E9}"/>
    <cellStyle name="Comma 4 2 4 4 4" xfId="9658" xr:uid="{D4A030B5-8556-414F-B53B-F91444C4DBCD}"/>
    <cellStyle name="Comma 4 2 4 5" xfId="1546" xr:uid="{00000000-0005-0000-0000-0000D5080000}"/>
    <cellStyle name="Comma 4 2 4 5 2" xfId="3776" xr:uid="{00000000-0005-0000-0000-0000D6080000}"/>
    <cellStyle name="Comma 4 2 4 5 2 2" xfId="7999" xr:uid="{00000000-0005-0000-0000-0000D7080000}"/>
    <cellStyle name="Comma 4 2 4 5 2 2 2" xfId="16434" xr:uid="{0D717F4F-C04C-4675-9426-785F3D50CF81}"/>
    <cellStyle name="Comma 4 2 4 5 2 3" xfId="12216" xr:uid="{887FA7E9-E1F2-4FD7-BF62-979A8E04BE12}"/>
    <cellStyle name="Comma 4 2 4 5 3" xfId="5854" xr:uid="{00000000-0005-0000-0000-0000D8080000}"/>
    <cellStyle name="Comma 4 2 4 5 3 2" xfId="14289" xr:uid="{51E5904B-B523-405B-BA73-FFA4D416B5F4}"/>
    <cellStyle name="Comma 4 2 4 5 4" xfId="10071" xr:uid="{D0921E39-4163-47E2-AE11-6868A5311499}"/>
    <cellStyle name="Comma 4 2 4 6" xfId="1960" xr:uid="{00000000-0005-0000-0000-0000D9080000}"/>
    <cellStyle name="Comma 4 2 4 6 2" xfId="4189" xr:uid="{00000000-0005-0000-0000-0000DA080000}"/>
    <cellStyle name="Comma 4 2 4 6 2 2" xfId="8412" xr:uid="{00000000-0005-0000-0000-0000DB080000}"/>
    <cellStyle name="Comma 4 2 4 6 2 2 2" xfId="16847" xr:uid="{D788BCF2-CAF8-4195-8EC3-EDFFDE44E865}"/>
    <cellStyle name="Comma 4 2 4 6 2 3" xfId="12629" xr:uid="{3D00E229-1B41-4CE4-9749-2118D7D6A1EA}"/>
    <cellStyle name="Comma 4 2 4 6 3" xfId="6267" xr:uid="{00000000-0005-0000-0000-0000DC080000}"/>
    <cellStyle name="Comma 4 2 4 6 3 2" xfId="14702" xr:uid="{A027F8F2-8C60-4C14-A896-C86F8E9F09DF}"/>
    <cellStyle name="Comma 4 2 4 6 4" xfId="10484" xr:uid="{F3AE0639-4B0E-485E-8701-AA84F5D384FD}"/>
    <cellStyle name="Comma 4 2 4 7" xfId="2395" xr:uid="{00000000-0005-0000-0000-0000DD080000}"/>
    <cellStyle name="Comma 4 2 4 7 2" xfId="6680" xr:uid="{00000000-0005-0000-0000-0000DE080000}"/>
    <cellStyle name="Comma 4 2 4 7 2 2" xfId="15115" xr:uid="{F2DC4C01-3E92-45ED-AE56-B2D3775A1022}"/>
    <cellStyle name="Comma 4 2 4 7 3" xfId="10897" xr:uid="{ECA284F6-4993-4FF4-A46A-FF4A6BD07877}"/>
    <cellStyle name="Comma 4 2 4 8" xfId="2370" xr:uid="{00000000-0005-0000-0000-0000DF080000}"/>
    <cellStyle name="Comma 4 2 4 9" xfId="2773" xr:uid="{00000000-0005-0000-0000-0000E0080000}"/>
    <cellStyle name="Comma 4 2 4 9 2" xfId="6997" xr:uid="{00000000-0005-0000-0000-0000E1080000}"/>
    <cellStyle name="Comma 4 2 4 9 2 2" xfId="15432" xr:uid="{A02EC0CE-6C80-48E7-B90B-32E5FC15A58B}"/>
    <cellStyle name="Comma 4 2 4 9 3" xfId="11214" xr:uid="{EA3A4D83-8332-43EE-A2B4-9A3ACA3E66D8}"/>
    <cellStyle name="Comma 4 2 5" xfId="142" xr:uid="{00000000-0005-0000-0000-0000E2080000}"/>
    <cellStyle name="Comma 4 2 5 10" xfId="8833" xr:uid="{6867AA56-AEDF-44E3-AD4E-90447ADD17B9}"/>
    <cellStyle name="Comma 4 2 5 2" xfId="681" xr:uid="{00000000-0005-0000-0000-0000E3080000}"/>
    <cellStyle name="Comma 4 2 5 2 2" xfId="2952" xr:uid="{00000000-0005-0000-0000-0000E4080000}"/>
    <cellStyle name="Comma 4 2 5 2 2 2" xfId="7175" xr:uid="{00000000-0005-0000-0000-0000E5080000}"/>
    <cellStyle name="Comma 4 2 5 2 2 2 2" xfId="15610" xr:uid="{12E572EE-80A8-48BC-9A3E-EFADFBDF320A}"/>
    <cellStyle name="Comma 4 2 5 2 2 3" xfId="11392" xr:uid="{FB440BA5-5312-4F60-B472-A271A6B8773A}"/>
    <cellStyle name="Comma 4 2 5 2 3" xfId="5030" xr:uid="{00000000-0005-0000-0000-0000E6080000}"/>
    <cellStyle name="Comma 4 2 5 2 3 2" xfId="13465" xr:uid="{04C76F98-E8C5-4D96-8F02-5B81988E84B9}"/>
    <cellStyle name="Comma 4 2 5 2 4" xfId="9247" xr:uid="{2C672009-E132-4244-8F60-836C189506D0}"/>
    <cellStyle name="Comma 4 2 5 3" xfId="1134" xr:uid="{00000000-0005-0000-0000-0000E7080000}"/>
    <cellStyle name="Comma 4 2 5 3 2" xfId="3365" xr:uid="{00000000-0005-0000-0000-0000E8080000}"/>
    <cellStyle name="Comma 4 2 5 3 2 2" xfId="7588" xr:uid="{00000000-0005-0000-0000-0000E9080000}"/>
    <cellStyle name="Comma 4 2 5 3 2 2 2" xfId="16023" xr:uid="{FD9A5693-FC61-45C4-AEF0-5D1E0FEADF7A}"/>
    <cellStyle name="Comma 4 2 5 3 2 3" xfId="11805" xr:uid="{58DBE5C5-0623-4D0A-9C3C-F835F39DB738}"/>
    <cellStyle name="Comma 4 2 5 3 3" xfId="5443" xr:uid="{00000000-0005-0000-0000-0000EA080000}"/>
    <cellStyle name="Comma 4 2 5 3 3 2" xfId="13878" xr:uid="{EFDB1EFA-D399-4377-B350-279E7B496384}"/>
    <cellStyle name="Comma 4 2 5 3 4" xfId="9660" xr:uid="{C20A203F-CB42-4D29-BA7F-B74A380B418C}"/>
    <cellStyle name="Comma 4 2 5 4" xfId="1548" xr:uid="{00000000-0005-0000-0000-0000EB080000}"/>
    <cellStyle name="Comma 4 2 5 4 2" xfId="3778" xr:uid="{00000000-0005-0000-0000-0000EC080000}"/>
    <cellStyle name="Comma 4 2 5 4 2 2" xfId="8001" xr:uid="{00000000-0005-0000-0000-0000ED080000}"/>
    <cellStyle name="Comma 4 2 5 4 2 2 2" xfId="16436" xr:uid="{27E9E126-2B0D-45DD-9AB3-71C2277EABA8}"/>
    <cellStyle name="Comma 4 2 5 4 2 3" xfId="12218" xr:uid="{DA0228C3-428F-415B-B258-6CE0BF040383}"/>
    <cellStyle name="Comma 4 2 5 4 3" xfId="5856" xr:uid="{00000000-0005-0000-0000-0000EE080000}"/>
    <cellStyle name="Comma 4 2 5 4 3 2" xfId="14291" xr:uid="{0BE67225-9DF1-4173-BFEF-F26AF5451919}"/>
    <cellStyle name="Comma 4 2 5 4 4" xfId="10073" xr:uid="{E2288828-51A1-48A7-BE0E-864BC7C656A5}"/>
    <cellStyle name="Comma 4 2 5 5" xfId="1962" xr:uid="{00000000-0005-0000-0000-0000EF080000}"/>
    <cellStyle name="Comma 4 2 5 5 2" xfId="4191" xr:uid="{00000000-0005-0000-0000-0000F0080000}"/>
    <cellStyle name="Comma 4 2 5 5 2 2" xfId="8414" xr:uid="{00000000-0005-0000-0000-0000F1080000}"/>
    <cellStyle name="Comma 4 2 5 5 2 2 2" xfId="16849" xr:uid="{D145A100-DB16-4406-83D0-4CD4D14B1F02}"/>
    <cellStyle name="Comma 4 2 5 5 2 3" xfId="12631" xr:uid="{44700DDB-CC13-445D-AAF4-99A9DCF2A5B3}"/>
    <cellStyle name="Comma 4 2 5 5 3" xfId="6269" xr:uid="{00000000-0005-0000-0000-0000F2080000}"/>
    <cellStyle name="Comma 4 2 5 5 3 2" xfId="14704" xr:uid="{1FFBB0E8-D6A7-4D31-8AFF-C1D326C78C3E}"/>
    <cellStyle name="Comma 4 2 5 5 4" xfId="10486" xr:uid="{1394D3FF-4FCB-4740-802F-653CF28824DF}"/>
    <cellStyle name="Comma 4 2 5 6" xfId="2397" xr:uid="{00000000-0005-0000-0000-0000F3080000}"/>
    <cellStyle name="Comma 4 2 5 6 2" xfId="6682" xr:uid="{00000000-0005-0000-0000-0000F4080000}"/>
    <cellStyle name="Comma 4 2 5 6 2 2" xfId="15117" xr:uid="{EA3D6ACE-60E1-4826-96C7-D530F22CC98E}"/>
    <cellStyle name="Comma 4 2 5 6 3" xfId="10899" xr:uid="{1A4C5C88-D7BF-47B4-94DC-C77324C2A58F}"/>
    <cellStyle name="Comma 4 2 5 7" xfId="2368" xr:uid="{00000000-0005-0000-0000-0000F5080000}"/>
    <cellStyle name="Comma 4 2 5 8" xfId="2775" xr:uid="{00000000-0005-0000-0000-0000F6080000}"/>
    <cellStyle name="Comma 4 2 5 8 2" xfId="6999" xr:uid="{00000000-0005-0000-0000-0000F7080000}"/>
    <cellStyle name="Comma 4 2 5 8 2 2" xfId="15434" xr:uid="{3761D1E5-94C9-4975-B249-FC730292DDA5}"/>
    <cellStyle name="Comma 4 2 5 8 3" xfId="11216" xr:uid="{5D3FFD76-DD6F-4906-BFAD-E45C8737B86A}"/>
    <cellStyle name="Comma 4 2 5 9" xfId="4616" xr:uid="{00000000-0005-0000-0000-0000F8080000}"/>
    <cellStyle name="Comma 4 2 5 9 2" xfId="13051" xr:uid="{0E8FCEF7-ADFD-4FD2-B6AD-665E29959978}"/>
    <cellStyle name="Comma 4 2 6" xfId="143" xr:uid="{00000000-0005-0000-0000-0000F9080000}"/>
    <cellStyle name="Comma 4 2 6 10" xfId="8834" xr:uid="{7519092B-15BB-4818-AFCA-F0482F7DCC80}"/>
    <cellStyle name="Comma 4 2 6 2" xfId="682" xr:uid="{00000000-0005-0000-0000-0000FA080000}"/>
    <cellStyle name="Comma 4 2 6 2 2" xfId="2953" xr:uid="{00000000-0005-0000-0000-0000FB080000}"/>
    <cellStyle name="Comma 4 2 6 2 2 2" xfId="7176" xr:uid="{00000000-0005-0000-0000-0000FC080000}"/>
    <cellStyle name="Comma 4 2 6 2 2 2 2" xfId="15611" xr:uid="{779EDDE8-C4E6-4F03-9AA0-8662E01EC454}"/>
    <cellStyle name="Comma 4 2 6 2 2 3" xfId="11393" xr:uid="{E5C69A5B-2E2A-4536-9B0C-2D6D7859ACF9}"/>
    <cellStyle name="Comma 4 2 6 2 3" xfId="5031" xr:uid="{00000000-0005-0000-0000-0000FD080000}"/>
    <cellStyle name="Comma 4 2 6 2 3 2" xfId="13466" xr:uid="{25F3F4FC-32D3-425B-8AD8-8F74F2CCC890}"/>
    <cellStyle name="Comma 4 2 6 2 4" xfId="9248" xr:uid="{80B419EC-16E1-4803-9164-72C93DA33D0D}"/>
    <cellStyle name="Comma 4 2 6 3" xfId="1135" xr:uid="{00000000-0005-0000-0000-0000FE080000}"/>
    <cellStyle name="Comma 4 2 6 3 2" xfId="3366" xr:uid="{00000000-0005-0000-0000-0000FF080000}"/>
    <cellStyle name="Comma 4 2 6 3 2 2" xfId="7589" xr:uid="{00000000-0005-0000-0000-000000090000}"/>
    <cellStyle name="Comma 4 2 6 3 2 2 2" xfId="16024" xr:uid="{5BB020B1-A61E-423B-9CF2-7E1C0FD29852}"/>
    <cellStyle name="Comma 4 2 6 3 2 3" xfId="11806" xr:uid="{7A64B511-D5B6-4866-B7C6-A2C661A4B337}"/>
    <cellStyle name="Comma 4 2 6 3 3" xfId="5444" xr:uid="{00000000-0005-0000-0000-000001090000}"/>
    <cellStyle name="Comma 4 2 6 3 3 2" xfId="13879" xr:uid="{69AF9218-F9C3-445A-B803-043F83397435}"/>
    <cellStyle name="Comma 4 2 6 3 4" xfId="9661" xr:uid="{2D19287A-23FF-4A3A-82E1-7C1018E6BB9D}"/>
    <cellStyle name="Comma 4 2 6 4" xfId="1549" xr:uid="{00000000-0005-0000-0000-000002090000}"/>
    <cellStyle name="Comma 4 2 6 4 2" xfId="3779" xr:uid="{00000000-0005-0000-0000-000003090000}"/>
    <cellStyle name="Comma 4 2 6 4 2 2" xfId="8002" xr:uid="{00000000-0005-0000-0000-000004090000}"/>
    <cellStyle name="Comma 4 2 6 4 2 2 2" xfId="16437" xr:uid="{6F16A38D-F312-47A4-A8F6-721A827AE04E}"/>
    <cellStyle name="Comma 4 2 6 4 2 3" xfId="12219" xr:uid="{F998CF81-3871-412C-B02C-34F23D5F1DEA}"/>
    <cellStyle name="Comma 4 2 6 4 3" xfId="5857" xr:uid="{00000000-0005-0000-0000-000005090000}"/>
    <cellStyle name="Comma 4 2 6 4 3 2" xfId="14292" xr:uid="{7A9D28B6-C0B9-4D21-AFFD-1A51FF77FC1C}"/>
    <cellStyle name="Comma 4 2 6 4 4" xfId="10074" xr:uid="{CF61C4E5-207D-4913-AD5F-2846CBC22FDE}"/>
    <cellStyle name="Comma 4 2 6 5" xfId="1963" xr:uid="{00000000-0005-0000-0000-000006090000}"/>
    <cellStyle name="Comma 4 2 6 5 2" xfId="4192" xr:uid="{00000000-0005-0000-0000-000007090000}"/>
    <cellStyle name="Comma 4 2 6 5 2 2" xfId="8415" xr:uid="{00000000-0005-0000-0000-000008090000}"/>
    <cellStyle name="Comma 4 2 6 5 2 2 2" xfId="16850" xr:uid="{ECC4DC53-BC8C-4346-9CDB-D7118882F6A1}"/>
    <cellStyle name="Comma 4 2 6 5 2 3" xfId="12632" xr:uid="{AC390020-D9A7-4726-88E6-FF8FFA9F51A7}"/>
    <cellStyle name="Comma 4 2 6 5 3" xfId="6270" xr:uid="{00000000-0005-0000-0000-000009090000}"/>
    <cellStyle name="Comma 4 2 6 5 3 2" xfId="14705" xr:uid="{95604E6D-7CFF-4AC0-9449-B198ACF16597}"/>
    <cellStyle name="Comma 4 2 6 5 4" xfId="10487" xr:uid="{E935A06B-1DDB-43C3-A385-08717917FA29}"/>
    <cellStyle name="Comma 4 2 6 6" xfId="2398" xr:uid="{00000000-0005-0000-0000-00000A090000}"/>
    <cellStyle name="Comma 4 2 6 6 2" xfId="6683" xr:uid="{00000000-0005-0000-0000-00000B090000}"/>
    <cellStyle name="Comma 4 2 6 6 2 2" xfId="15118" xr:uid="{8DE126E3-6219-4DB1-BE6E-4E6BD6D3AC8D}"/>
    <cellStyle name="Comma 4 2 6 6 3" xfId="10900" xr:uid="{8290F59B-0DFB-4C13-B759-26A8C698AD6B}"/>
    <cellStyle name="Comma 4 2 6 7" xfId="2367" xr:uid="{00000000-0005-0000-0000-00000C090000}"/>
    <cellStyle name="Comma 4 2 6 8" xfId="2776" xr:uid="{00000000-0005-0000-0000-00000D090000}"/>
    <cellStyle name="Comma 4 2 6 8 2" xfId="7000" xr:uid="{00000000-0005-0000-0000-00000E090000}"/>
    <cellStyle name="Comma 4 2 6 8 2 2" xfId="15435" xr:uid="{3B4C86E5-E817-4118-82D9-D3097CD476C8}"/>
    <cellStyle name="Comma 4 2 6 8 3" xfId="11217" xr:uid="{AEE26F6B-B339-4CAC-8E2C-D79B69746BB4}"/>
    <cellStyle name="Comma 4 2 6 9" xfId="4617" xr:uid="{00000000-0005-0000-0000-00000F090000}"/>
    <cellStyle name="Comma 4 2 6 9 2" xfId="13052" xr:uid="{BF0BC29B-A456-4685-9159-E65D1EC95A2E}"/>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0 2 2" xfId="15436" xr:uid="{6EE4950B-2DFF-43B7-9356-A8FD699A6523}"/>
    <cellStyle name="Comma 4 3 2 10 3" xfId="11218" xr:uid="{65013F59-39B1-405F-B0D7-52ACA44A4EDA}"/>
    <cellStyle name="Comma 4 3 2 11" xfId="4618" xr:uid="{00000000-0005-0000-0000-000014090000}"/>
    <cellStyle name="Comma 4 3 2 11 2" xfId="13053" xr:uid="{6C675F24-A3BB-444B-8E27-463F0046E015}"/>
    <cellStyle name="Comma 4 3 2 12" xfId="8835" xr:uid="{927E567C-E8DD-42B8-B690-9D5A20FBBD54}"/>
    <cellStyle name="Comma 4 3 2 2" xfId="146" xr:uid="{00000000-0005-0000-0000-000015090000}"/>
    <cellStyle name="Comma 4 3 2 2 10" xfId="4619" xr:uid="{00000000-0005-0000-0000-000016090000}"/>
    <cellStyle name="Comma 4 3 2 2 10 2" xfId="13054" xr:uid="{E6CF9727-3F5B-49EB-9A13-F68925F64C6B}"/>
    <cellStyle name="Comma 4 3 2 2 11" xfId="8836" xr:uid="{70D449B0-FB73-49CB-AA5A-BE058DCE0151}"/>
    <cellStyle name="Comma 4 3 2 2 2" xfId="147" xr:uid="{00000000-0005-0000-0000-000017090000}"/>
    <cellStyle name="Comma 4 3 2 2 2 10" xfId="8837" xr:uid="{F6D2B13F-1ABB-4CA7-900B-1202DEE44350}"/>
    <cellStyle name="Comma 4 3 2 2 2 2" xfId="685" xr:uid="{00000000-0005-0000-0000-000018090000}"/>
    <cellStyle name="Comma 4 3 2 2 2 2 2" xfId="2956" xr:uid="{00000000-0005-0000-0000-000019090000}"/>
    <cellStyle name="Comma 4 3 2 2 2 2 2 2" xfId="7179" xr:uid="{00000000-0005-0000-0000-00001A090000}"/>
    <cellStyle name="Comma 4 3 2 2 2 2 2 2 2" xfId="15614" xr:uid="{FEEB466F-32E5-4151-B933-41F27D339B88}"/>
    <cellStyle name="Comma 4 3 2 2 2 2 2 3" xfId="11396" xr:uid="{B8ACA783-77AB-4A87-B47D-A0498FF93E34}"/>
    <cellStyle name="Comma 4 3 2 2 2 2 3" xfId="5034" xr:uid="{00000000-0005-0000-0000-00001B090000}"/>
    <cellStyle name="Comma 4 3 2 2 2 2 3 2" xfId="13469" xr:uid="{A17101CD-CC22-43C0-A869-5ED3BDF841CE}"/>
    <cellStyle name="Comma 4 3 2 2 2 2 4" xfId="9251" xr:uid="{36DDFEE9-5C14-4E11-967F-4C967E11B54D}"/>
    <cellStyle name="Comma 4 3 2 2 2 3" xfId="1138" xr:uid="{00000000-0005-0000-0000-00001C090000}"/>
    <cellStyle name="Comma 4 3 2 2 2 3 2" xfId="3369" xr:uid="{00000000-0005-0000-0000-00001D090000}"/>
    <cellStyle name="Comma 4 3 2 2 2 3 2 2" xfId="7592" xr:uid="{00000000-0005-0000-0000-00001E090000}"/>
    <cellStyle name="Comma 4 3 2 2 2 3 2 2 2" xfId="16027" xr:uid="{0EEC8640-6F18-4C19-A6FA-D0DBBF3B1DE8}"/>
    <cellStyle name="Comma 4 3 2 2 2 3 2 3" xfId="11809" xr:uid="{B338D51B-50E0-48B5-9F8F-9B7705A5D4FD}"/>
    <cellStyle name="Comma 4 3 2 2 2 3 3" xfId="5447" xr:uid="{00000000-0005-0000-0000-00001F090000}"/>
    <cellStyle name="Comma 4 3 2 2 2 3 3 2" xfId="13882" xr:uid="{71320EA1-2D1D-443A-9253-AEAF4A2548F4}"/>
    <cellStyle name="Comma 4 3 2 2 2 3 4" xfId="9664" xr:uid="{9DC9E14F-035C-466A-B487-EF1A3B8192E4}"/>
    <cellStyle name="Comma 4 3 2 2 2 4" xfId="1552" xr:uid="{00000000-0005-0000-0000-000020090000}"/>
    <cellStyle name="Comma 4 3 2 2 2 4 2" xfId="3782" xr:uid="{00000000-0005-0000-0000-000021090000}"/>
    <cellStyle name="Comma 4 3 2 2 2 4 2 2" xfId="8005" xr:uid="{00000000-0005-0000-0000-000022090000}"/>
    <cellStyle name="Comma 4 3 2 2 2 4 2 2 2" xfId="16440" xr:uid="{EBE801B2-1CC4-4BC3-845E-3709CBBD2AF8}"/>
    <cellStyle name="Comma 4 3 2 2 2 4 2 3" xfId="12222" xr:uid="{AA0AFDF4-12C6-4392-AFDA-E347C2F347DB}"/>
    <cellStyle name="Comma 4 3 2 2 2 4 3" xfId="5860" xr:uid="{00000000-0005-0000-0000-000023090000}"/>
    <cellStyle name="Comma 4 3 2 2 2 4 3 2" xfId="14295" xr:uid="{6EC1B13F-AC99-42F0-8E4C-87FCF5FA0094}"/>
    <cellStyle name="Comma 4 3 2 2 2 4 4" xfId="10077" xr:uid="{4687CA46-D729-4904-833B-0D3B090D3939}"/>
    <cellStyle name="Comma 4 3 2 2 2 5" xfId="1966" xr:uid="{00000000-0005-0000-0000-000024090000}"/>
    <cellStyle name="Comma 4 3 2 2 2 5 2" xfId="4195" xr:uid="{00000000-0005-0000-0000-000025090000}"/>
    <cellStyle name="Comma 4 3 2 2 2 5 2 2" xfId="8418" xr:uid="{00000000-0005-0000-0000-000026090000}"/>
    <cellStyle name="Comma 4 3 2 2 2 5 2 2 2" xfId="16853" xr:uid="{E1D7822F-0DF4-4AAE-BF61-388839D11DE1}"/>
    <cellStyle name="Comma 4 3 2 2 2 5 2 3" xfId="12635" xr:uid="{83842869-FFA9-45D0-BDF1-BFB727AD0C4F}"/>
    <cellStyle name="Comma 4 3 2 2 2 5 3" xfId="6273" xr:uid="{00000000-0005-0000-0000-000027090000}"/>
    <cellStyle name="Comma 4 3 2 2 2 5 3 2" xfId="14708" xr:uid="{50946363-7F79-4CEC-9405-E6DDDB564D38}"/>
    <cellStyle name="Comma 4 3 2 2 2 5 4" xfId="10490" xr:uid="{FCB646EB-4BAF-488C-900B-A556C7F1E3F0}"/>
    <cellStyle name="Comma 4 3 2 2 2 6" xfId="2401" xr:uid="{00000000-0005-0000-0000-000028090000}"/>
    <cellStyle name="Comma 4 3 2 2 2 6 2" xfId="6686" xr:uid="{00000000-0005-0000-0000-000029090000}"/>
    <cellStyle name="Comma 4 3 2 2 2 6 2 2" xfId="15121" xr:uid="{8DAA9389-BE3A-4F0F-AE30-DD1B0F4AA6FA}"/>
    <cellStyle name="Comma 4 3 2 2 2 6 3" xfId="10903" xr:uid="{1A90FBA7-267E-4EEA-876D-A850D229CBC1}"/>
    <cellStyle name="Comma 4 3 2 2 2 7" xfId="2364" xr:uid="{00000000-0005-0000-0000-00002A090000}"/>
    <cellStyle name="Comma 4 3 2 2 2 8" xfId="2779" xr:uid="{00000000-0005-0000-0000-00002B090000}"/>
    <cellStyle name="Comma 4 3 2 2 2 8 2" xfId="7003" xr:uid="{00000000-0005-0000-0000-00002C090000}"/>
    <cellStyle name="Comma 4 3 2 2 2 8 2 2" xfId="15438" xr:uid="{0A19F83F-CD58-4CBE-ACF0-51CDCCA1CAC9}"/>
    <cellStyle name="Comma 4 3 2 2 2 8 3" xfId="11220" xr:uid="{8E7306D7-B667-4547-9523-25D1F4CE1E56}"/>
    <cellStyle name="Comma 4 3 2 2 2 9" xfId="4620" xr:uid="{00000000-0005-0000-0000-00002D090000}"/>
    <cellStyle name="Comma 4 3 2 2 2 9 2" xfId="13055" xr:uid="{E27333CB-0DDC-4BE5-AFFC-5418F3BFADEC}"/>
    <cellStyle name="Comma 4 3 2 2 3" xfId="684" xr:uid="{00000000-0005-0000-0000-00002E090000}"/>
    <cellStyle name="Comma 4 3 2 2 3 2" xfId="2955" xr:uid="{00000000-0005-0000-0000-00002F090000}"/>
    <cellStyle name="Comma 4 3 2 2 3 2 2" xfId="7178" xr:uid="{00000000-0005-0000-0000-000030090000}"/>
    <cellStyle name="Comma 4 3 2 2 3 2 2 2" xfId="15613" xr:uid="{6F22D9D9-2DF7-4DCF-ACFB-F8BDC90A9EF9}"/>
    <cellStyle name="Comma 4 3 2 2 3 2 3" xfId="11395" xr:uid="{42F46E1C-4B31-46DC-B7CD-36E97D9E89E7}"/>
    <cellStyle name="Comma 4 3 2 2 3 3" xfId="5033" xr:uid="{00000000-0005-0000-0000-000031090000}"/>
    <cellStyle name="Comma 4 3 2 2 3 3 2" xfId="13468" xr:uid="{C22FC068-C1B7-4923-921A-73BDDBC338ED}"/>
    <cellStyle name="Comma 4 3 2 2 3 4" xfId="9250" xr:uid="{154ECD45-E3B0-4F17-AF75-4311B6B9C172}"/>
    <cellStyle name="Comma 4 3 2 2 4" xfId="1137" xr:uid="{00000000-0005-0000-0000-000032090000}"/>
    <cellStyle name="Comma 4 3 2 2 4 2" xfId="3368" xr:uid="{00000000-0005-0000-0000-000033090000}"/>
    <cellStyle name="Comma 4 3 2 2 4 2 2" xfId="7591" xr:uid="{00000000-0005-0000-0000-000034090000}"/>
    <cellStyle name="Comma 4 3 2 2 4 2 2 2" xfId="16026" xr:uid="{C7196CCA-37FF-489D-8316-F70D42B6EC30}"/>
    <cellStyle name="Comma 4 3 2 2 4 2 3" xfId="11808" xr:uid="{14DEA5FE-2615-4A9E-AF4B-02F870A5C3E9}"/>
    <cellStyle name="Comma 4 3 2 2 4 3" xfId="5446" xr:uid="{00000000-0005-0000-0000-000035090000}"/>
    <cellStyle name="Comma 4 3 2 2 4 3 2" xfId="13881" xr:uid="{CB4471FB-8697-4516-9AE6-7AFA52E99892}"/>
    <cellStyle name="Comma 4 3 2 2 4 4" xfId="9663" xr:uid="{9E24F00A-235A-43A4-A3A0-A6BD5ABC6E43}"/>
    <cellStyle name="Comma 4 3 2 2 5" xfId="1551" xr:uid="{00000000-0005-0000-0000-000036090000}"/>
    <cellStyle name="Comma 4 3 2 2 5 2" xfId="3781" xr:uid="{00000000-0005-0000-0000-000037090000}"/>
    <cellStyle name="Comma 4 3 2 2 5 2 2" xfId="8004" xr:uid="{00000000-0005-0000-0000-000038090000}"/>
    <cellStyle name="Comma 4 3 2 2 5 2 2 2" xfId="16439" xr:uid="{74F96923-E826-4750-A582-57D496E18A72}"/>
    <cellStyle name="Comma 4 3 2 2 5 2 3" xfId="12221" xr:uid="{0CE6049C-601A-4B77-A9D5-1B280904C5E5}"/>
    <cellStyle name="Comma 4 3 2 2 5 3" xfId="5859" xr:uid="{00000000-0005-0000-0000-000039090000}"/>
    <cellStyle name="Comma 4 3 2 2 5 3 2" xfId="14294" xr:uid="{F4F3D634-EDAC-48AE-A14F-D18DE0103817}"/>
    <cellStyle name="Comma 4 3 2 2 5 4" xfId="10076" xr:uid="{972F7B79-9CBF-4EE1-9B1B-04B919235A7E}"/>
    <cellStyle name="Comma 4 3 2 2 6" xfId="1965" xr:uid="{00000000-0005-0000-0000-00003A090000}"/>
    <cellStyle name="Comma 4 3 2 2 6 2" xfId="4194" xr:uid="{00000000-0005-0000-0000-00003B090000}"/>
    <cellStyle name="Comma 4 3 2 2 6 2 2" xfId="8417" xr:uid="{00000000-0005-0000-0000-00003C090000}"/>
    <cellStyle name="Comma 4 3 2 2 6 2 2 2" xfId="16852" xr:uid="{2D3162D4-5828-418D-BD75-50DE7A4AD23F}"/>
    <cellStyle name="Comma 4 3 2 2 6 2 3" xfId="12634" xr:uid="{03D716CA-5844-49C3-92FD-68223B379AC9}"/>
    <cellStyle name="Comma 4 3 2 2 6 3" xfId="6272" xr:uid="{00000000-0005-0000-0000-00003D090000}"/>
    <cellStyle name="Comma 4 3 2 2 6 3 2" xfId="14707" xr:uid="{D176BB62-91AD-49F8-A2F0-FF97E4C02FC0}"/>
    <cellStyle name="Comma 4 3 2 2 6 4" xfId="10489" xr:uid="{5ED85CF5-7C31-4C6A-8BF0-402FE90F9A75}"/>
    <cellStyle name="Comma 4 3 2 2 7" xfId="2400" xr:uid="{00000000-0005-0000-0000-00003E090000}"/>
    <cellStyle name="Comma 4 3 2 2 7 2" xfId="6685" xr:uid="{00000000-0005-0000-0000-00003F090000}"/>
    <cellStyle name="Comma 4 3 2 2 7 2 2" xfId="15120" xr:uid="{203709B4-523A-468F-8E1A-FC2D0E1E7585}"/>
    <cellStyle name="Comma 4 3 2 2 7 3" xfId="10902" xr:uid="{3F3695CE-85B4-4EC4-A0AB-907D0449382B}"/>
    <cellStyle name="Comma 4 3 2 2 8" xfId="2365" xr:uid="{00000000-0005-0000-0000-000040090000}"/>
    <cellStyle name="Comma 4 3 2 2 9" xfId="2778" xr:uid="{00000000-0005-0000-0000-000041090000}"/>
    <cellStyle name="Comma 4 3 2 2 9 2" xfId="7002" xr:uid="{00000000-0005-0000-0000-000042090000}"/>
    <cellStyle name="Comma 4 3 2 2 9 2 2" xfId="15437" xr:uid="{6AFB9AAA-BB8A-4612-BDE7-ED02380C3798}"/>
    <cellStyle name="Comma 4 3 2 2 9 3" xfId="11219" xr:uid="{B90DECE2-B254-46B1-9F26-C29D0CE821B9}"/>
    <cellStyle name="Comma 4 3 2 3" xfId="148" xr:uid="{00000000-0005-0000-0000-000043090000}"/>
    <cellStyle name="Comma 4 3 2 3 10" xfId="8838" xr:uid="{EB641269-8BB2-4A37-98EF-5F5FB8571ECE}"/>
    <cellStyle name="Comma 4 3 2 3 2" xfId="686" xr:uid="{00000000-0005-0000-0000-000044090000}"/>
    <cellStyle name="Comma 4 3 2 3 2 2" xfId="2957" xr:uid="{00000000-0005-0000-0000-000045090000}"/>
    <cellStyle name="Comma 4 3 2 3 2 2 2" xfId="7180" xr:uid="{00000000-0005-0000-0000-000046090000}"/>
    <cellStyle name="Comma 4 3 2 3 2 2 2 2" xfId="15615" xr:uid="{FC1F4C61-7A28-4775-8F9E-7DCA5D37504F}"/>
    <cellStyle name="Comma 4 3 2 3 2 2 3" xfId="11397" xr:uid="{47F0ABA8-F69F-45C9-94A8-03AF8115D294}"/>
    <cellStyle name="Comma 4 3 2 3 2 3" xfId="5035" xr:uid="{00000000-0005-0000-0000-000047090000}"/>
    <cellStyle name="Comma 4 3 2 3 2 3 2" xfId="13470" xr:uid="{B0E5D8AB-82D4-4538-B6C6-4A79B1BA19BC}"/>
    <cellStyle name="Comma 4 3 2 3 2 4" xfId="9252" xr:uid="{3E2E8B33-A138-49DD-91CF-2D61F7E123B8}"/>
    <cellStyle name="Comma 4 3 2 3 3" xfId="1139" xr:uid="{00000000-0005-0000-0000-000048090000}"/>
    <cellStyle name="Comma 4 3 2 3 3 2" xfId="3370" xr:uid="{00000000-0005-0000-0000-000049090000}"/>
    <cellStyle name="Comma 4 3 2 3 3 2 2" xfId="7593" xr:uid="{00000000-0005-0000-0000-00004A090000}"/>
    <cellStyle name="Comma 4 3 2 3 3 2 2 2" xfId="16028" xr:uid="{18B2843E-D45A-47E7-B2FE-277C75CF0755}"/>
    <cellStyle name="Comma 4 3 2 3 3 2 3" xfId="11810" xr:uid="{8FC0D2F2-1934-4F6D-8032-A2E0853DA466}"/>
    <cellStyle name="Comma 4 3 2 3 3 3" xfId="5448" xr:uid="{00000000-0005-0000-0000-00004B090000}"/>
    <cellStyle name="Comma 4 3 2 3 3 3 2" xfId="13883" xr:uid="{A8E23469-6403-43B3-9F55-1AE0FC615714}"/>
    <cellStyle name="Comma 4 3 2 3 3 4" xfId="9665" xr:uid="{B26FD4EE-E09D-44FB-9EE7-ABEF729B37BD}"/>
    <cellStyle name="Comma 4 3 2 3 4" xfId="1553" xr:uid="{00000000-0005-0000-0000-00004C090000}"/>
    <cellStyle name="Comma 4 3 2 3 4 2" xfId="3783" xr:uid="{00000000-0005-0000-0000-00004D090000}"/>
    <cellStyle name="Comma 4 3 2 3 4 2 2" xfId="8006" xr:uid="{00000000-0005-0000-0000-00004E090000}"/>
    <cellStyle name="Comma 4 3 2 3 4 2 2 2" xfId="16441" xr:uid="{E75DB697-9D18-46F9-8BC9-88BBB10CF8D5}"/>
    <cellStyle name="Comma 4 3 2 3 4 2 3" xfId="12223" xr:uid="{B9BBE836-6AA8-4FBB-9AA6-F81D290639F8}"/>
    <cellStyle name="Comma 4 3 2 3 4 3" xfId="5861" xr:uid="{00000000-0005-0000-0000-00004F090000}"/>
    <cellStyle name="Comma 4 3 2 3 4 3 2" xfId="14296" xr:uid="{4E9E00C1-EB9C-4900-8D6B-AA4E6E01CFB8}"/>
    <cellStyle name="Comma 4 3 2 3 4 4" xfId="10078" xr:uid="{53E951AE-3067-49DD-AB18-33640140B6C7}"/>
    <cellStyle name="Comma 4 3 2 3 5" xfId="1967" xr:uid="{00000000-0005-0000-0000-000050090000}"/>
    <cellStyle name="Comma 4 3 2 3 5 2" xfId="4196" xr:uid="{00000000-0005-0000-0000-000051090000}"/>
    <cellStyle name="Comma 4 3 2 3 5 2 2" xfId="8419" xr:uid="{00000000-0005-0000-0000-000052090000}"/>
    <cellStyle name="Comma 4 3 2 3 5 2 2 2" xfId="16854" xr:uid="{AC19760D-FF7E-4DFD-A442-0A65E434690B}"/>
    <cellStyle name="Comma 4 3 2 3 5 2 3" xfId="12636" xr:uid="{3282E662-A527-4A76-B65F-CFAF1235977E}"/>
    <cellStyle name="Comma 4 3 2 3 5 3" xfId="6274" xr:uid="{00000000-0005-0000-0000-000053090000}"/>
    <cellStyle name="Comma 4 3 2 3 5 3 2" xfId="14709" xr:uid="{14E69BBD-C25D-4F02-AEF2-1CCA8DCBE8A4}"/>
    <cellStyle name="Comma 4 3 2 3 5 4" xfId="10491" xr:uid="{6F02524B-915D-4541-AD28-F7014CF80003}"/>
    <cellStyle name="Comma 4 3 2 3 6" xfId="2402" xr:uid="{00000000-0005-0000-0000-000054090000}"/>
    <cellStyle name="Comma 4 3 2 3 6 2" xfId="6687" xr:uid="{00000000-0005-0000-0000-000055090000}"/>
    <cellStyle name="Comma 4 3 2 3 6 2 2" xfId="15122" xr:uid="{2A71CC89-AF54-4E27-A713-9DC868B8ACDF}"/>
    <cellStyle name="Comma 4 3 2 3 6 3" xfId="10904" xr:uid="{2D694D97-215B-4ABF-897F-EDAFD6082C2E}"/>
    <cellStyle name="Comma 4 3 2 3 7" xfId="2363" xr:uid="{00000000-0005-0000-0000-000056090000}"/>
    <cellStyle name="Comma 4 3 2 3 8" xfId="2780" xr:uid="{00000000-0005-0000-0000-000057090000}"/>
    <cellStyle name="Comma 4 3 2 3 8 2" xfId="7004" xr:uid="{00000000-0005-0000-0000-000058090000}"/>
    <cellStyle name="Comma 4 3 2 3 8 2 2" xfId="15439" xr:uid="{E268B0D3-AF52-4716-9AE9-E732E6DB45F6}"/>
    <cellStyle name="Comma 4 3 2 3 8 3" xfId="11221" xr:uid="{8060B2A1-50E7-4F9B-B77F-D19D639EF4A2}"/>
    <cellStyle name="Comma 4 3 2 3 9" xfId="4621" xr:uid="{00000000-0005-0000-0000-000059090000}"/>
    <cellStyle name="Comma 4 3 2 3 9 2" xfId="13056" xr:uid="{6D82AA94-54D0-415F-B74B-1CF94AC2022A}"/>
    <cellStyle name="Comma 4 3 2 4" xfId="683" xr:uid="{00000000-0005-0000-0000-00005A090000}"/>
    <cellStyle name="Comma 4 3 2 4 2" xfId="2954" xr:uid="{00000000-0005-0000-0000-00005B090000}"/>
    <cellStyle name="Comma 4 3 2 4 2 2" xfId="7177" xr:uid="{00000000-0005-0000-0000-00005C090000}"/>
    <cellStyle name="Comma 4 3 2 4 2 2 2" xfId="15612" xr:uid="{654718FD-75AB-444B-80AF-AD28FCC0DD2B}"/>
    <cellStyle name="Comma 4 3 2 4 2 3" xfId="11394" xr:uid="{BAA8BF52-E540-4DA2-8830-C237FCF9B1C6}"/>
    <cellStyle name="Comma 4 3 2 4 3" xfId="5032" xr:uid="{00000000-0005-0000-0000-00005D090000}"/>
    <cellStyle name="Comma 4 3 2 4 3 2" xfId="13467" xr:uid="{FF0AC9B3-A2DC-4948-BC9B-43FA485B13DA}"/>
    <cellStyle name="Comma 4 3 2 4 4" xfId="9249" xr:uid="{1412E592-9EC7-41E8-B777-91EA8FC00913}"/>
    <cellStyle name="Comma 4 3 2 5" xfId="1136" xr:uid="{00000000-0005-0000-0000-00005E090000}"/>
    <cellStyle name="Comma 4 3 2 5 2" xfId="3367" xr:uid="{00000000-0005-0000-0000-00005F090000}"/>
    <cellStyle name="Comma 4 3 2 5 2 2" xfId="7590" xr:uid="{00000000-0005-0000-0000-000060090000}"/>
    <cellStyle name="Comma 4 3 2 5 2 2 2" xfId="16025" xr:uid="{5522D26E-2B82-4962-BC16-03C7A709E136}"/>
    <cellStyle name="Comma 4 3 2 5 2 3" xfId="11807" xr:uid="{F0DB9609-3677-411F-A800-84D5A80B6DA7}"/>
    <cellStyle name="Comma 4 3 2 5 3" xfId="5445" xr:uid="{00000000-0005-0000-0000-000061090000}"/>
    <cellStyle name="Comma 4 3 2 5 3 2" xfId="13880" xr:uid="{E134D910-1487-4988-B40B-850E9B2EF781}"/>
    <cellStyle name="Comma 4 3 2 5 4" xfId="9662" xr:uid="{6EC08728-FD5B-424A-8203-E313BB0B36B6}"/>
    <cellStyle name="Comma 4 3 2 6" xfId="1550" xr:uid="{00000000-0005-0000-0000-000062090000}"/>
    <cellStyle name="Comma 4 3 2 6 2" xfId="3780" xr:uid="{00000000-0005-0000-0000-000063090000}"/>
    <cellStyle name="Comma 4 3 2 6 2 2" xfId="8003" xr:uid="{00000000-0005-0000-0000-000064090000}"/>
    <cellStyle name="Comma 4 3 2 6 2 2 2" xfId="16438" xr:uid="{119AD52A-E03B-4E26-8EA2-4477B4DA5833}"/>
    <cellStyle name="Comma 4 3 2 6 2 3" xfId="12220" xr:uid="{0DBC69B6-5214-43CB-B86D-77F2AD6DF0FF}"/>
    <cellStyle name="Comma 4 3 2 6 3" xfId="5858" xr:uid="{00000000-0005-0000-0000-000065090000}"/>
    <cellStyle name="Comma 4 3 2 6 3 2" xfId="14293" xr:uid="{0ADDBA85-61F1-43D1-A5EC-7F3BE5459E72}"/>
    <cellStyle name="Comma 4 3 2 6 4" xfId="10075" xr:uid="{28034435-9037-481F-8201-193CE14BA810}"/>
    <cellStyle name="Comma 4 3 2 7" xfId="1964" xr:uid="{00000000-0005-0000-0000-000066090000}"/>
    <cellStyle name="Comma 4 3 2 7 2" xfId="4193" xr:uid="{00000000-0005-0000-0000-000067090000}"/>
    <cellStyle name="Comma 4 3 2 7 2 2" xfId="8416" xr:uid="{00000000-0005-0000-0000-000068090000}"/>
    <cellStyle name="Comma 4 3 2 7 2 2 2" xfId="16851" xr:uid="{51A7C441-7BB5-45BB-8653-0DC1F31FF9C9}"/>
    <cellStyle name="Comma 4 3 2 7 2 3" xfId="12633" xr:uid="{A03DFA57-00F8-4CC2-9541-C5AEF3B73182}"/>
    <cellStyle name="Comma 4 3 2 7 3" xfId="6271" xr:uid="{00000000-0005-0000-0000-000069090000}"/>
    <cellStyle name="Comma 4 3 2 7 3 2" xfId="14706" xr:uid="{D3B8AA43-131D-4C47-9862-931352017334}"/>
    <cellStyle name="Comma 4 3 2 7 4" xfId="10488" xr:uid="{78B68B91-B028-42C9-B8A1-E7A0D28C43FF}"/>
    <cellStyle name="Comma 4 3 2 8" xfId="2399" xr:uid="{00000000-0005-0000-0000-00006A090000}"/>
    <cellStyle name="Comma 4 3 2 8 2" xfId="6684" xr:uid="{00000000-0005-0000-0000-00006B090000}"/>
    <cellStyle name="Comma 4 3 2 8 2 2" xfId="15119" xr:uid="{E0839CF7-67EB-42A9-A475-4E4042F5D8EA}"/>
    <cellStyle name="Comma 4 3 2 8 3" xfId="10901" xr:uid="{2393045B-5445-4261-9CFE-0672B865670D}"/>
    <cellStyle name="Comma 4 3 2 9" xfId="2366" xr:uid="{00000000-0005-0000-0000-00006C090000}"/>
    <cellStyle name="Comma 4 3 3" xfId="149" xr:uid="{00000000-0005-0000-0000-00006D090000}"/>
    <cellStyle name="Comma 4 3 3 10" xfId="4622" xr:uid="{00000000-0005-0000-0000-00006E090000}"/>
    <cellStyle name="Comma 4 3 3 10 2" xfId="13057" xr:uid="{BFE01CFC-B106-4E2D-9B97-30BD3F71473E}"/>
    <cellStyle name="Comma 4 3 3 11" xfId="8839" xr:uid="{A7AE31C8-A5DD-4ED2-9DB6-DE887A492C3C}"/>
    <cellStyle name="Comma 4 3 3 2" xfId="150" xr:uid="{00000000-0005-0000-0000-00006F090000}"/>
    <cellStyle name="Comma 4 3 3 2 10" xfId="8840" xr:uid="{CA40B9D6-82D5-49BE-A47D-DAE402B3C7A5}"/>
    <cellStyle name="Comma 4 3 3 2 2" xfId="688" xr:uid="{00000000-0005-0000-0000-000070090000}"/>
    <cellStyle name="Comma 4 3 3 2 2 2" xfId="2959" xr:uid="{00000000-0005-0000-0000-000071090000}"/>
    <cellStyle name="Comma 4 3 3 2 2 2 2" xfId="7182" xr:uid="{00000000-0005-0000-0000-000072090000}"/>
    <cellStyle name="Comma 4 3 3 2 2 2 2 2" xfId="15617" xr:uid="{D8D7E737-32A5-4E90-B6C6-8B8399945A4D}"/>
    <cellStyle name="Comma 4 3 3 2 2 2 3" xfId="11399" xr:uid="{FFCF5C22-AC67-4587-96EA-8184744CD1ED}"/>
    <cellStyle name="Comma 4 3 3 2 2 3" xfId="5037" xr:uid="{00000000-0005-0000-0000-000073090000}"/>
    <cellStyle name="Comma 4 3 3 2 2 3 2" xfId="13472" xr:uid="{4E7BF59E-9A0D-4466-8488-018D82C88B84}"/>
    <cellStyle name="Comma 4 3 3 2 2 4" xfId="9254" xr:uid="{8B932624-F0F0-4F1B-BDAA-8386B57BD7F3}"/>
    <cellStyle name="Comma 4 3 3 2 3" xfId="1141" xr:uid="{00000000-0005-0000-0000-000074090000}"/>
    <cellStyle name="Comma 4 3 3 2 3 2" xfId="3372" xr:uid="{00000000-0005-0000-0000-000075090000}"/>
    <cellStyle name="Comma 4 3 3 2 3 2 2" xfId="7595" xr:uid="{00000000-0005-0000-0000-000076090000}"/>
    <cellStyle name="Comma 4 3 3 2 3 2 2 2" xfId="16030" xr:uid="{0F9DEA3D-B253-4E2A-A3CF-A3093DEAC946}"/>
    <cellStyle name="Comma 4 3 3 2 3 2 3" xfId="11812" xr:uid="{000BCE08-FD86-4FE1-98CA-E80FEA5B6FFA}"/>
    <cellStyle name="Comma 4 3 3 2 3 3" xfId="5450" xr:uid="{00000000-0005-0000-0000-000077090000}"/>
    <cellStyle name="Comma 4 3 3 2 3 3 2" xfId="13885" xr:uid="{F227DD6F-9F23-499F-8C7D-1CDF3A633F53}"/>
    <cellStyle name="Comma 4 3 3 2 3 4" xfId="9667" xr:uid="{AEB7FB66-2857-4292-92D3-7533A82AE8E2}"/>
    <cellStyle name="Comma 4 3 3 2 4" xfId="1555" xr:uid="{00000000-0005-0000-0000-000078090000}"/>
    <cellStyle name="Comma 4 3 3 2 4 2" xfId="3785" xr:uid="{00000000-0005-0000-0000-000079090000}"/>
    <cellStyle name="Comma 4 3 3 2 4 2 2" xfId="8008" xr:uid="{00000000-0005-0000-0000-00007A090000}"/>
    <cellStyle name="Comma 4 3 3 2 4 2 2 2" xfId="16443" xr:uid="{BE70A074-8C6A-4772-813D-71FE08327ABD}"/>
    <cellStyle name="Comma 4 3 3 2 4 2 3" xfId="12225" xr:uid="{5B4AA9FA-B158-4541-BC37-D976A31601D5}"/>
    <cellStyle name="Comma 4 3 3 2 4 3" xfId="5863" xr:uid="{00000000-0005-0000-0000-00007B090000}"/>
    <cellStyle name="Comma 4 3 3 2 4 3 2" xfId="14298" xr:uid="{74A49A04-738E-45DB-96D3-29BA7809C7B2}"/>
    <cellStyle name="Comma 4 3 3 2 4 4" xfId="10080" xr:uid="{17BFA81D-9883-4CFD-931E-07625E45D9E5}"/>
    <cellStyle name="Comma 4 3 3 2 5" xfId="1969" xr:uid="{00000000-0005-0000-0000-00007C090000}"/>
    <cellStyle name="Comma 4 3 3 2 5 2" xfId="4198" xr:uid="{00000000-0005-0000-0000-00007D090000}"/>
    <cellStyle name="Comma 4 3 3 2 5 2 2" xfId="8421" xr:uid="{00000000-0005-0000-0000-00007E090000}"/>
    <cellStyle name="Comma 4 3 3 2 5 2 2 2" xfId="16856" xr:uid="{EDD74B81-CF05-47F5-8FC0-C5D4D8861904}"/>
    <cellStyle name="Comma 4 3 3 2 5 2 3" xfId="12638" xr:uid="{6F85E9BA-4D8D-4863-82CC-A64385FEA512}"/>
    <cellStyle name="Comma 4 3 3 2 5 3" xfId="6276" xr:uid="{00000000-0005-0000-0000-00007F090000}"/>
    <cellStyle name="Comma 4 3 3 2 5 3 2" xfId="14711" xr:uid="{5A425E6A-A640-4368-9383-218A1EBA695F}"/>
    <cellStyle name="Comma 4 3 3 2 5 4" xfId="10493" xr:uid="{5FF07094-4AB9-4912-8D58-83F41D42CF89}"/>
    <cellStyle name="Comma 4 3 3 2 6" xfId="2404" xr:uid="{00000000-0005-0000-0000-000080090000}"/>
    <cellStyle name="Comma 4 3 3 2 6 2" xfId="6689" xr:uid="{00000000-0005-0000-0000-000081090000}"/>
    <cellStyle name="Comma 4 3 3 2 6 2 2" xfId="15124" xr:uid="{7B1C4F09-DF96-4311-BD5F-6F8C5782DC46}"/>
    <cellStyle name="Comma 4 3 3 2 6 3" xfId="10906" xr:uid="{67FC64D9-8CB6-4F4A-BB96-1F0DFC61AA0E}"/>
    <cellStyle name="Comma 4 3 3 2 7" xfId="2361" xr:uid="{00000000-0005-0000-0000-000082090000}"/>
    <cellStyle name="Comma 4 3 3 2 8" xfId="2782" xr:uid="{00000000-0005-0000-0000-000083090000}"/>
    <cellStyle name="Comma 4 3 3 2 8 2" xfId="7006" xr:uid="{00000000-0005-0000-0000-000084090000}"/>
    <cellStyle name="Comma 4 3 3 2 8 2 2" xfId="15441" xr:uid="{29933B7A-38F5-4273-9F4A-78C7767C3F07}"/>
    <cellStyle name="Comma 4 3 3 2 8 3" xfId="11223" xr:uid="{99E00995-3F81-47CC-B040-A651A1754EFF}"/>
    <cellStyle name="Comma 4 3 3 2 9" xfId="4623" xr:uid="{00000000-0005-0000-0000-000085090000}"/>
    <cellStyle name="Comma 4 3 3 2 9 2" xfId="13058" xr:uid="{6A8E847D-12BD-4C04-95FA-9F5479E6FE47}"/>
    <cellStyle name="Comma 4 3 3 3" xfId="687" xr:uid="{00000000-0005-0000-0000-000086090000}"/>
    <cellStyle name="Comma 4 3 3 3 2" xfId="2958" xr:uid="{00000000-0005-0000-0000-000087090000}"/>
    <cellStyle name="Comma 4 3 3 3 2 2" xfId="7181" xr:uid="{00000000-0005-0000-0000-000088090000}"/>
    <cellStyle name="Comma 4 3 3 3 2 2 2" xfId="15616" xr:uid="{CB505FA2-8D0F-4A67-A72A-25BEBA26AFDE}"/>
    <cellStyle name="Comma 4 3 3 3 2 3" xfId="11398" xr:uid="{D0B9A210-E646-41CA-885F-EF3522F8A3A4}"/>
    <cellStyle name="Comma 4 3 3 3 3" xfId="5036" xr:uid="{00000000-0005-0000-0000-000089090000}"/>
    <cellStyle name="Comma 4 3 3 3 3 2" xfId="13471" xr:uid="{2C5F610B-490D-4ADD-AA88-7EA8E47BECCB}"/>
    <cellStyle name="Comma 4 3 3 3 4" xfId="9253" xr:uid="{C8044E5C-5BF3-42E3-868D-1ABE2514B5D6}"/>
    <cellStyle name="Comma 4 3 3 4" xfId="1140" xr:uid="{00000000-0005-0000-0000-00008A090000}"/>
    <cellStyle name="Comma 4 3 3 4 2" xfId="3371" xr:uid="{00000000-0005-0000-0000-00008B090000}"/>
    <cellStyle name="Comma 4 3 3 4 2 2" xfId="7594" xr:uid="{00000000-0005-0000-0000-00008C090000}"/>
    <cellStyle name="Comma 4 3 3 4 2 2 2" xfId="16029" xr:uid="{80F0AEA6-C247-41DC-94C0-0D2D2E0C7B29}"/>
    <cellStyle name="Comma 4 3 3 4 2 3" xfId="11811" xr:uid="{4D2A4049-48D0-4488-A9C5-A1209EB9D6EF}"/>
    <cellStyle name="Comma 4 3 3 4 3" xfId="5449" xr:uid="{00000000-0005-0000-0000-00008D090000}"/>
    <cellStyle name="Comma 4 3 3 4 3 2" xfId="13884" xr:uid="{50DE437E-F6F5-4733-A2AB-91A7427792C7}"/>
    <cellStyle name="Comma 4 3 3 4 4" xfId="9666" xr:uid="{3034A72A-9DF6-4D0F-9034-CFE58EEE61FD}"/>
    <cellStyle name="Comma 4 3 3 5" xfId="1554" xr:uid="{00000000-0005-0000-0000-00008E090000}"/>
    <cellStyle name="Comma 4 3 3 5 2" xfId="3784" xr:uid="{00000000-0005-0000-0000-00008F090000}"/>
    <cellStyle name="Comma 4 3 3 5 2 2" xfId="8007" xr:uid="{00000000-0005-0000-0000-000090090000}"/>
    <cellStyle name="Comma 4 3 3 5 2 2 2" xfId="16442" xr:uid="{1DF0D64D-538A-482E-91C0-88A614C7F831}"/>
    <cellStyle name="Comma 4 3 3 5 2 3" xfId="12224" xr:uid="{20FE9F0B-0C7B-4FD8-B894-D9D6B93E5CFD}"/>
    <cellStyle name="Comma 4 3 3 5 3" xfId="5862" xr:uid="{00000000-0005-0000-0000-000091090000}"/>
    <cellStyle name="Comma 4 3 3 5 3 2" xfId="14297" xr:uid="{2E1A539C-6516-4EE8-B74C-A2E91DA4B0F0}"/>
    <cellStyle name="Comma 4 3 3 5 4" xfId="10079" xr:uid="{27758CB3-EC4B-42AC-A8D5-04E882345B76}"/>
    <cellStyle name="Comma 4 3 3 6" xfId="1968" xr:uid="{00000000-0005-0000-0000-000092090000}"/>
    <cellStyle name="Comma 4 3 3 6 2" xfId="4197" xr:uid="{00000000-0005-0000-0000-000093090000}"/>
    <cellStyle name="Comma 4 3 3 6 2 2" xfId="8420" xr:uid="{00000000-0005-0000-0000-000094090000}"/>
    <cellStyle name="Comma 4 3 3 6 2 2 2" xfId="16855" xr:uid="{FBE94C02-479F-4D24-8372-0779DCFD8BA3}"/>
    <cellStyle name="Comma 4 3 3 6 2 3" xfId="12637" xr:uid="{267F601B-F396-4E65-B24A-F82CB25CE6F4}"/>
    <cellStyle name="Comma 4 3 3 6 3" xfId="6275" xr:uid="{00000000-0005-0000-0000-000095090000}"/>
    <cellStyle name="Comma 4 3 3 6 3 2" xfId="14710" xr:uid="{ED660D7E-A570-46E3-B443-2C6C7ACA6B97}"/>
    <cellStyle name="Comma 4 3 3 6 4" xfId="10492" xr:uid="{8E607054-2A4D-4122-A426-51E743302BC5}"/>
    <cellStyle name="Comma 4 3 3 7" xfId="2403" xr:uid="{00000000-0005-0000-0000-000096090000}"/>
    <cellStyle name="Comma 4 3 3 7 2" xfId="6688" xr:uid="{00000000-0005-0000-0000-000097090000}"/>
    <cellStyle name="Comma 4 3 3 7 2 2" xfId="15123" xr:uid="{887139C7-3B4D-4B40-BE0D-8BC98F34C207}"/>
    <cellStyle name="Comma 4 3 3 7 3" xfId="10905" xr:uid="{6DF27F00-B591-4573-A3BD-95B6ABB31F1A}"/>
    <cellStyle name="Comma 4 3 3 8" xfId="2362" xr:uid="{00000000-0005-0000-0000-000098090000}"/>
    <cellStyle name="Comma 4 3 3 9" xfId="2781" xr:uid="{00000000-0005-0000-0000-000099090000}"/>
    <cellStyle name="Comma 4 3 3 9 2" xfId="7005" xr:uid="{00000000-0005-0000-0000-00009A090000}"/>
    <cellStyle name="Comma 4 3 3 9 2 2" xfId="15440" xr:uid="{62C6FC49-7827-43F0-9A37-7AA14C468965}"/>
    <cellStyle name="Comma 4 3 3 9 3" xfId="11222" xr:uid="{EDDA2D61-E2D5-48B4-BE9D-9B3CEA13A62A}"/>
    <cellStyle name="Comma 4 3 4" xfId="151" xr:uid="{00000000-0005-0000-0000-00009B090000}"/>
    <cellStyle name="Comma 4 3 4 10" xfId="8841" xr:uid="{B15DE27A-F237-44A4-A391-FB2DC0D656FD}"/>
    <cellStyle name="Comma 4 3 4 2" xfId="689" xr:uid="{00000000-0005-0000-0000-00009C090000}"/>
    <cellStyle name="Comma 4 3 4 2 2" xfId="2960" xr:uid="{00000000-0005-0000-0000-00009D090000}"/>
    <cellStyle name="Comma 4 3 4 2 2 2" xfId="7183" xr:uid="{00000000-0005-0000-0000-00009E090000}"/>
    <cellStyle name="Comma 4 3 4 2 2 2 2" xfId="15618" xr:uid="{54656A73-D4CE-493E-A2CF-C76B0CDC73AD}"/>
    <cellStyle name="Comma 4 3 4 2 2 3" xfId="11400" xr:uid="{402EAE50-D87A-4DDE-A1D5-825A71579F9D}"/>
    <cellStyle name="Comma 4 3 4 2 3" xfId="5038" xr:uid="{00000000-0005-0000-0000-00009F090000}"/>
    <cellStyle name="Comma 4 3 4 2 3 2" xfId="13473" xr:uid="{F369415B-15E3-49E0-9544-29BCBFE2B842}"/>
    <cellStyle name="Comma 4 3 4 2 4" xfId="9255" xr:uid="{FDBDE874-2AB4-4A37-9924-58305697249D}"/>
    <cellStyle name="Comma 4 3 4 3" xfId="1142" xr:uid="{00000000-0005-0000-0000-0000A0090000}"/>
    <cellStyle name="Comma 4 3 4 3 2" xfId="3373" xr:uid="{00000000-0005-0000-0000-0000A1090000}"/>
    <cellStyle name="Comma 4 3 4 3 2 2" xfId="7596" xr:uid="{00000000-0005-0000-0000-0000A2090000}"/>
    <cellStyle name="Comma 4 3 4 3 2 2 2" xfId="16031" xr:uid="{F1DB8C0C-1CB0-4944-92A2-6D38F71BE65C}"/>
    <cellStyle name="Comma 4 3 4 3 2 3" xfId="11813" xr:uid="{C311EB6E-C858-45E1-A7CB-DA30CD01CF0C}"/>
    <cellStyle name="Comma 4 3 4 3 3" xfId="5451" xr:uid="{00000000-0005-0000-0000-0000A3090000}"/>
    <cellStyle name="Comma 4 3 4 3 3 2" xfId="13886" xr:uid="{A5B1905A-B16F-4BA1-9D3F-AF5C24DFA593}"/>
    <cellStyle name="Comma 4 3 4 3 4" xfId="9668" xr:uid="{6E0E2D1E-94A6-41F4-884D-947B0053F867}"/>
    <cellStyle name="Comma 4 3 4 4" xfId="1556" xr:uid="{00000000-0005-0000-0000-0000A4090000}"/>
    <cellStyle name="Comma 4 3 4 4 2" xfId="3786" xr:uid="{00000000-0005-0000-0000-0000A5090000}"/>
    <cellStyle name="Comma 4 3 4 4 2 2" xfId="8009" xr:uid="{00000000-0005-0000-0000-0000A6090000}"/>
    <cellStyle name="Comma 4 3 4 4 2 2 2" xfId="16444" xr:uid="{E9A48E15-B209-48DB-BAAD-13C2488909FB}"/>
    <cellStyle name="Comma 4 3 4 4 2 3" xfId="12226" xr:uid="{5CA9F6E3-A566-4914-BD42-5172DE33D269}"/>
    <cellStyle name="Comma 4 3 4 4 3" xfId="5864" xr:uid="{00000000-0005-0000-0000-0000A7090000}"/>
    <cellStyle name="Comma 4 3 4 4 3 2" xfId="14299" xr:uid="{656B6F0C-5F38-4A62-9F83-C579759E0ED2}"/>
    <cellStyle name="Comma 4 3 4 4 4" xfId="10081" xr:uid="{A4A62E9D-AD3E-40CD-A65B-FD0E6023587B}"/>
    <cellStyle name="Comma 4 3 4 5" xfId="1970" xr:uid="{00000000-0005-0000-0000-0000A8090000}"/>
    <cellStyle name="Comma 4 3 4 5 2" xfId="4199" xr:uid="{00000000-0005-0000-0000-0000A9090000}"/>
    <cellStyle name="Comma 4 3 4 5 2 2" xfId="8422" xr:uid="{00000000-0005-0000-0000-0000AA090000}"/>
    <cellStyle name="Comma 4 3 4 5 2 2 2" xfId="16857" xr:uid="{690CA663-D34E-4236-A3AA-54AC961A586C}"/>
    <cellStyle name="Comma 4 3 4 5 2 3" xfId="12639" xr:uid="{12F2D98C-0AA2-4E03-943A-2302D959C501}"/>
    <cellStyle name="Comma 4 3 4 5 3" xfId="6277" xr:uid="{00000000-0005-0000-0000-0000AB090000}"/>
    <cellStyle name="Comma 4 3 4 5 3 2" xfId="14712" xr:uid="{735F4DEF-03A0-48BE-AABA-1EB791D7BBEE}"/>
    <cellStyle name="Comma 4 3 4 5 4" xfId="10494" xr:uid="{010E1802-DB4C-44C9-B0FC-1D552EECDE3F}"/>
    <cellStyle name="Comma 4 3 4 6" xfId="2405" xr:uid="{00000000-0005-0000-0000-0000AC090000}"/>
    <cellStyle name="Comma 4 3 4 6 2" xfId="6690" xr:uid="{00000000-0005-0000-0000-0000AD090000}"/>
    <cellStyle name="Comma 4 3 4 6 2 2" xfId="15125" xr:uid="{F1E75DE3-02E7-4A1E-A102-C78E832A7BFE}"/>
    <cellStyle name="Comma 4 3 4 6 3" xfId="10907" xr:uid="{6C223F94-3D60-4AFE-9291-031A3E368E65}"/>
    <cellStyle name="Comma 4 3 4 7" xfId="2701" xr:uid="{00000000-0005-0000-0000-0000AE090000}"/>
    <cellStyle name="Comma 4 3 4 8" xfId="2783" xr:uid="{00000000-0005-0000-0000-0000AF090000}"/>
    <cellStyle name="Comma 4 3 4 8 2" xfId="7007" xr:uid="{00000000-0005-0000-0000-0000B0090000}"/>
    <cellStyle name="Comma 4 3 4 8 2 2" xfId="15442" xr:uid="{F97F479C-FD57-432A-A30D-BF9205683663}"/>
    <cellStyle name="Comma 4 3 4 8 3" xfId="11224" xr:uid="{F5FE9781-ABC3-4C43-9A29-21758CB398D7}"/>
    <cellStyle name="Comma 4 3 4 9" xfId="4624" xr:uid="{00000000-0005-0000-0000-0000B1090000}"/>
    <cellStyle name="Comma 4 3 4 9 2" xfId="13059" xr:uid="{8A621C87-A348-4403-9031-533C1ED3AE95}"/>
    <cellStyle name="Comma 4 3 5" xfId="152" xr:uid="{00000000-0005-0000-0000-0000B2090000}"/>
    <cellStyle name="Comma 4 3 5 10" xfId="8842" xr:uid="{D4ECB9C9-06F4-4D75-AE38-77F8E59713F4}"/>
    <cellStyle name="Comma 4 3 5 2" xfId="690" xr:uid="{00000000-0005-0000-0000-0000B3090000}"/>
    <cellStyle name="Comma 4 3 5 2 2" xfId="2961" xr:uid="{00000000-0005-0000-0000-0000B4090000}"/>
    <cellStyle name="Comma 4 3 5 2 2 2" xfId="7184" xr:uid="{00000000-0005-0000-0000-0000B5090000}"/>
    <cellStyle name="Comma 4 3 5 2 2 2 2" xfId="15619" xr:uid="{7FABF3F1-6799-408B-BFA1-22CE12A8C1E4}"/>
    <cellStyle name="Comma 4 3 5 2 2 3" xfId="11401" xr:uid="{142D8D50-4FB2-4A6A-90EA-5A61BE8CDC84}"/>
    <cellStyle name="Comma 4 3 5 2 3" xfId="5039" xr:uid="{00000000-0005-0000-0000-0000B6090000}"/>
    <cellStyle name="Comma 4 3 5 2 3 2" xfId="13474" xr:uid="{7AE04A36-3DE6-417E-B0B1-7D2BF292A6B7}"/>
    <cellStyle name="Comma 4 3 5 2 4" xfId="9256" xr:uid="{4AA323E8-4F7B-4732-B776-610319B54C7B}"/>
    <cellStyle name="Comma 4 3 5 3" xfId="1143" xr:uid="{00000000-0005-0000-0000-0000B7090000}"/>
    <cellStyle name="Comma 4 3 5 3 2" xfId="3374" xr:uid="{00000000-0005-0000-0000-0000B8090000}"/>
    <cellStyle name="Comma 4 3 5 3 2 2" xfId="7597" xr:uid="{00000000-0005-0000-0000-0000B9090000}"/>
    <cellStyle name="Comma 4 3 5 3 2 2 2" xfId="16032" xr:uid="{925EB310-B43A-4362-BE8D-51756C07F5AA}"/>
    <cellStyle name="Comma 4 3 5 3 2 3" xfId="11814" xr:uid="{DFC1ADD8-81CE-4658-A994-390211B1D3F0}"/>
    <cellStyle name="Comma 4 3 5 3 3" xfId="5452" xr:uid="{00000000-0005-0000-0000-0000BA090000}"/>
    <cellStyle name="Comma 4 3 5 3 3 2" xfId="13887" xr:uid="{945EA473-B8D6-4B38-B6B6-1E09DE534DE2}"/>
    <cellStyle name="Comma 4 3 5 3 4" xfId="9669" xr:uid="{FFA83463-FAA7-47D8-A90F-4056611FBEDC}"/>
    <cellStyle name="Comma 4 3 5 4" xfId="1557" xr:uid="{00000000-0005-0000-0000-0000BB090000}"/>
    <cellStyle name="Comma 4 3 5 4 2" xfId="3787" xr:uid="{00000000-0005-0000-0000-0000BC090000}"/>
    <cellStyle name="Comma 4 3 5 4 2 2" xfId="8010" xr:uid="{00000000-0005-0000-0000-0000BD090000}"/>
    <cellStyle name="Comma 4 3 5 4 2 2 2" xfId="16445" xr:uid="{8FAC378A-BB07-44F5-A9E2-204C6C5C4F7B}"/>
    <cellStyle name="Comma 4 3 5 4 2 3" xfId="12227" xr:uid="{9831D86D-F72A-4236-8AF8-1E6602A0D780}"/>
    <cellStyle name="Comma 4 3 5 4 3" xfId="5865" xr:uid="{00000000-0005-0000-0000-0000BE090000}"/>
    <cellStyle name="Comma 4 3 5 4 3 2" xfId="14300" xr:uid="{01A6D733-505A-46BE-82CA-3122E0984673}"/>
    <cellStyle name="Comma 4 3 5 4 4" xfId="10082" xr:uid="{90FDC3BD-CFEE-4445-A0AD-A7700A25C88D}"/>
    <cellStyle name="Comma 4 3 5 5" xfId="1971" xr:uid="{00000000-0005-0000-0000-0000BF090000}"/>
    <cellStyle name="Comma 4 3 5 5 2" xfId="4200" xr:uid="{00000000-0005-0000-0000-0000C0090000}"/>
    <cellStyle name="Comma 4 3 5 5 2 2" xfId="8423" xr:uid="{00000000-0005-0000-0000-0000C1090000}"/>
    <cellStyle name="Comma 4 3 5 5 2 2 2" xfId="16858" xr:uid="{8247B424-01FC-4C1E-B767-1FBBE13D52BA}"/>
    <cellStyle name="Comma 4 3 5 5 2 3" xfId="12640" xr:uid="{D4312706-ECA8-4086-8660-F9BEA4F967B3}"/>
    <cellStyle name="Comma 4 3 5 5 3" xfId="6278" xr:uid="{00000000-0005-0000-0000-0000C2090000}"/>
    <cellStyle name="Comma 4 3 5 5 3 2" xfId="14713" xr:uid="{AB9E3B2A-E8F2-475E-9A8B-7A292FB9D463}"/>
    <cellStyle name="Comma 4 3 5 5 4" xfId="10495" xr:uid="{D358942E-CFBB-47D9-BDC9-034DBADA0D76}"/>
    <cellStyle name="Comma 4 3 5 6" xfId="2406" xr:uid="{00000000-0005-0000-0000-0000C3090000}"/>
    <cellStyle name="Comma 4 3 5 6 2" xfId="6691" xr:uid="{00000000-0005-0000-0000-0000C4090000}"/>
    <cellStyle name="Comma 4 3 5 6 2 2" xfId="15126" xr:uid="{B63E2A30-EDA8-4191-A0AA-7ADB6385ED9E}"/>
    <cellStyle name="Comma 4 3 5 6 3" xfId="10908" xr:uid="{465BA66F-2C51-4C83-ACD5-FFDC0E8C9C70}"/>
    <cellStyle name="Comma 4 3 5 7" xfId="2702" xr:uid="{00000000-0005-0000-0000-0000C5090000}"/>
    <cellStyle name="Comma 4 3 5 8" xfId="2784" xr:uid="{00000000-0005-0000-0000-0000C6090000}"/>
    <cellStyle name="Comma 4 3 5 8 2" xfId="7008" xr:uid="{00000000-0005-0000-0000-0000C7090000}"/>
    <cellStyle name="Comma 4 3 5 8 2 2" xfId="15443" xr:uid="{35FBAAB6-6927-4E9A-95AB-0714D3BB602E}"/>
    <cellStyle name="Comma 4 3 5 8 3" xfId="11225" xr:uid="{92C0524D-362E-445F-9059-21BF98290FC8}"/>
    <cellStyle name="Comma 4 3 5 9" xfId="4625" xr:uid="{00000000-0005-0000-0000-0000C8090000}"/>
    <cellStyle name="Comma 4 3 5 9 2" xfId="13060" xr:uid="{375E2DC7-DAB1-4404-8353-33CE0B162372}"/>
    <cellStyle name="Comma 4 4" xfId="153" xr:uid="{00000000-0005-0000-0000-0000C9090000}"/>
    <cellStyle name="Comma 4 4 10" xfId="2785" xr:uid="{00000000-0005-0000-0000-0000CA090000}"/>
    <cellStyle name="Comma 4 4 10 2" xfId="7009" xr:uid="{00000000-0005-0000-0000-0000CB090000}"/>
    <cellStyle name="Comma 4 4 10 2 2" xfId="15444" xr:uid="{CA0EE674-551D-4B4D-9484-6FF49392D0D1}"/>
    <cellStyle name="Comma 4 4 10 3" xfId="11226" xr:uid="{760D6325-C4BA-4236-921C-A8C08E11D7EC}"/>
    <cellStyle name="Comma 4 4 11" xfId="4626" xr:uid="{00000000-0005-0000-0000-0000CC090000}"/>
    <cellStyle name="Comma 4 4 11 2" xfId="13061" xr:uid="{545C2F68-9A06-4784-90D1-80E60659CA07}"/>
    <cellStyle name="Comma 4 4 12" xfId="8843" xr:uid="{7BE1A5EF-C801-4D44-A65F-3418C80C4ADD}"/>
    <cellStyle name="Comma 4 4 2" xfId="154" xr:uid="{00000000-0005-0000-0000-0000CD090000}"/>
    <cellStyle name="Comma 4 4 2 10" xfId="4627" xr:uid="{00000000-0005-0000-0000-0000CE090000}"/>
    <cellStyle name="Comma 4 4 2 10 2" xfId="13062" xr:uid="{B18D627E-7AEC-435D-A9FE-72DDA37BDC80}"/>
    <cellStyle name="Comma 4 4 2 11" xfId="8844" xr:uid="{146EFD6F-0327-45A7-8E2E-00532FD12517}"/>
    <cellStyle name="Comma 4 4 2 2" xfId="155" xr:uid="{00000000-0005-0000-0000-0000CF090000}"/>
    <cellStyle name="Comma 4 4 2 2 10" xfId="8845" xr:uid="{037B0677-5D28-4128-9C73-CDDE6F9F20CA}"/>
    <cellStyle name="Comma 4 4 2 2 2" xfId="693" xr:uid="{00000000-0005-0000-0000-0000D0090000}"/>
    <cellStyle name="Comma 4 4 2 2 2 2" xfId="2964" xr:uid="{00000000-0005-0000-0000-0000D1090000}"/>
    <cellStyle name="Comma 4 4 2 2 2 2 2" xfId="7187" xr:uid="{00000000-0005-0000-0000-0000D2090000}"/>
    <cellStyle name="Comma 4 4 2 2 2 2 2 2" xfId="15622" xr:uid="{15DD9C31-776B-47E9-8015-6E5D259C617A}"/>
    <cellStyle name="Comma 4 4 2 2 2 2 3" xfId="11404" xr:uid="{7257EF0B-7A15-4390-BA23-AC3315807B46}"/>
    <cellStyle name="Comma 4 4 2 2 2 3" xfId="5042" xr:uid="{00000000-0005-0000-0000-0000D3090000}"/>
    <cellStyle name="Comma 4 4 2 2 2 3 2" xfId="13477" xr:uid="{ACBC4629-4DE3-4EAD-9279-7A54D7F052EF}"/>
    <cellStyle name="Comma 4 4 2 2 2 4" xfId="9259" xr:uid="{32BCD532-F0F1-4C41-968F-04B5EEB03EE1}"/>
    <cellStyle name="Comma 4 4 2 2 3" xfId="1146" xr:uid="{00000000-0005-0000-0000-0000D4090000}"/>
    <cellStyle name="Comma 4 4 2 2 3 2" xfId="3377" xr:uid="{00000000-0005-0000-0000-0000D5090000}"/>
    <cellStyle name="Comma 4 4 2 2 3 2 2" xfId="7600" xr:uid="{00000000-0005-0000-0000-0000D6090000}"/>
    <cellStyle name="Comma 4 4 2 2 3 2 2 2" xfId="16035" xr:uid="{5414F696-BDAE-41AA-8006-538EC425EF0A}"/>
    <cellStyle name="Comma 4 4 2 2 3 2 3" xfId="11817" xr:uid="{2BB7B152-9862-4EB9-95B8-DDACA37D274C}"/>
    <cellStyle name="Comma 4 4 2 2 3 3" xfId="5455" xr:uid="{00000000-0005-0000-0000-0000D7090000}"/>
    <cellStyle name="Comma 4 4 2 2 3 3 2" xfId="13890" xr:uid="{BBB6B66E-D590-447A-AD07-0A34B6499503}"/>
    <cellStyle name="Comma 4 4 2 2 3 4" xfId="9672" xr:uid="{E0855760-5322-412D-A068-29E23D0E0E88}"/>
    <cellStyle name="Comma 4 4 2 2 4" xfId="1560" xr:uid="{00000000-0005-0000-0000-0000D8090000}"/>
    <cellStyle name="Comma 4 4 2 2 4 2" xfId="3790" xr:uid="{00000000-0005-0000-0000-0000D9090000}"/>
    <cellStyle name="Comma 4 4 2 2 4 2 2" xfId="8013" xr:uid="{00000000-0005-0000-0000-0000DA090000}"/>
    <cellStyle name="Comma 4 4 2 2 4 2 2 2" xfId="16448" xr:uid="{FAE1158B-D3C7-4C7E-B0F2-162E994BBB8D}"/>
    <cellStyle name="Comma 4 4 2 2 4 2 3" xfId="12230" xr:uid="{60EDE906-A168-4F30-B9CC-8FCB905101B7}"/>
    <cellStyle name="Comma 4 4 2 2 4 3" xfId="5868" xr:uid="{00000000-0005-0000-0000-0000DB090000}"/>
    <cellStyle name="Comma 4 4 2 2 4 3 2" xfId="14303" xr:uid="{12756052-803C-408E-A75A-701FAD1BE73D}"/>
    <cellStyle name="Comma 4 4 2 2 4 4" xfId="10085" xr:uid="{8B99589C-0DFA-441C-9FD7-0859C7A4532B}"/>
    <cellStyle name="Comma 4 4 2 2 5" xfId="1974" xr:uid="{00000000-0005-0000-0000-0000DC090000}"/>
    <cellStyle name="Comma 4 4 2 2 5 2" xfId="4203" xr:uid="{00000000-0005-0000-0000-0000DD090000}"/>
    <cellStyle name="Comma 4 4 2 2 5 2 2" xfId="8426" xr:uid="{00000000-0005-0000-0000-0000DE090000}"/>
    <cellStyle name="Comma 4 4 2 2 5 2 2 2" xfId="16861" xr:uid="{BC7E99B9-4D72-4E8F-AB9F-9B0E90407BD1}"/>
    <cellStyle name="Comma 4 4 2 2 5 2 3" xfId="12643" xr:uid="{F04EFD24-9C47-4833-8248-008644193106}"/>
    <cellStyle name="Comma 4 4 2 2 5 3" xfId="6281" xr:uid="{00000000-0005-0000-0000-0000DF090000}"/>
    <cellStyle name="Comma 4 4 2 2 5 3 2" xfId="14716" xr:uid="{A838F62E-6367-426A-861C-5CFBF24FF2A0}"/>
    <cellStyle name="Comma 4 4 2 2 5 4" xfId="10498" xr:uid="{F1B74A53-1666-4CC7-83E4-F3B62B25EE24}"/>
    <cellStyle name="Comma 4 4 2 2 6" xfId="2409" xr:uid="{00000000-0005-0000-0000-0000E0090000}"/>
    <cellStyle name="Comma 4 4 2 2 6 2" xfId="6694" xr:uid="{00000000-0005-0000-0000-0000E1090000}"/>
    <cellStyle name="Comma 4 4 2 2 6 2 2" xfId="15129" xr:uid="{82E51421-8572-4508-B4A5-223640324BBA}"/>
    <cellStyle name="Comma 4 4 2 2 6 3" xfId="10911" xr:uid="{23EABB22-71D0-46F7-9740-AEC004CBC312}"/>
    <cellStyle name="Comma 4 4 2 2 7" xfId="2705" xr:uid="{00000000-0005-0000-0000-0000E2090000}"/>
    <cellStyle name="Comma 4 4 2 2 8" xfId="2787" xr:uid="{00000000-0005-0000-0000-0000E3090000}"/>
    <cellStyle name="Comma 4 4 2 2 8 2" xfId="7011" xr:uid="{00000000-0005-0000-0000-0000E4090000}"/>
    <cellStyle name="Comma 4 4 2 2 8 2 2" xfId="15446" xr:uid="{54C3293F-A766-42B9-AAAC-6F1847DA9232}"/>
    <cellStyle name="Comma 4 4 2 2 8 3" xfId="11228" xr:uid="{F171BE5F-5837-4367-8771-293CD9B06FAA}"/>
    <cellStyle name="Comma 4 4 2 2 9" xfId="4628" xr:uid="{00000000-0005-0000-0000-0000E5090000}"/>
    <cellStyle name="Comma 4 4 2 2 9 2" xfId="13063" xr:uid="{4FBC6BCE-C97F-43A6-8767-E14F4FBA6F79}"/>
    <cellStyle name="Comma 4 4 2 3" xfId="692" xr:uid="{00000000-0005-0000-0000-0000E6090000}"/>
    <cellStyle name="Comma 4 4 2 3 2" xfId="2963" xr:uid="{00000000-0005-0000-0000-0000E7090000}"/>
    <cellStyle name="Comma 4 4 2 3 2 2" xfId="7186" xr:uid="{00000000-0005-0000-0000-0000E8090000}"/>
    <cellStyle name="Comma 4 4 2 3 2 2 2" xfId="15621" xr:uid="{8B848DFE-FFE0-44C3-A63A-8DB82136A721}"/>
    <cellStyle name="Comma 4 4 2 3 2 3" xfId="11403" xr:uid="{B8D6BA60-30A6-4766-BFC8-6D9B67AE17A2}"/>
    <cellStyle name="Comma 4 4 2 3 3" xfId="5041" xr:uid="{00000000-0005-0000-0000-0000E9090000}"/>
    <cellStyle name="Comma 4 4 2 3 3 2" xfId="13476" xr:uid="{09DA1328-DDBD-4221-A834-A718E5FBA95A}"/>
    <cellStyle name="Comma 4 4 2 3 4" xfId="9258" xr:uid="{186C25D8-3065-498B-BFC7-50BCD7B0E616}"/>
    <cellStyle name="Comma 4 4 2 4" xfId="1145" xr:uid="{00000000-0005-0000-0000-0000EA090000}"/>
    <cellStyle name="Comma 4 4 2 4 2" xfId="3376" xr:uid="{00000000-0005-0000-0000-0000EB090000}"/>
    <cellStyle name="Comma 4 4 2 4 2 2" xfId="7599" xr:uid="{00000000-0005-0000-0000-0000EC090000}"/>
    <cellStyle name="Comma 4 4 2 4 2 2 2" xfId="16034" xr:uid="{D1C78EF1-0C48-45B2-AEE8-019C840E2A85}"/>
    <cellStyle name="Comma 4 4 2 4 2 3" xfId="11816" xr:uid="{41D42186-3736-4C85-8276-0BD43B383E61}"/>
    <cellStyle name="Comma 4 4 2 4 3" xfId="5454" xr:uid="{00000000-0005-0000-0000-0000ED090000}"/>
    <cellStyle name="Comma 4 4 2 4 3 2" xfId="13889" xr:uid="{7E1EF194-C5FB-46BD-89DC-F879B2172096}"/>
    <cellStyle name="Comma 4 4 2 4 4" xfId="9671" xr:uid="{E254469D-7FC8-43F5-8B24-2171C0A2EC68}"/>
    <cellStyle name="Comma 4 4 2 5" xfId="1559" xr:uid="{00000000-0005-0000-0000-0000EE090000}"/>
    <cellStyle name="Comma 4 4 2 5 2" xfId="3789" xr:uid="{00000000-0005-0000-0000-0000EF090000}"/>
    <cellStyle name="Comma 4 4 2 5 2 2" xfId="8012" xr:uid="{00000000-0005-0000-0000-0000F0090000}"/>
    <cellStyle name="Comma 4 4 2 5 2 2 2" xfId="16447" xr:uid="{66740094-AEA4-41B4-8055-8B50BC9BDEAC}"/>
    <cellStyle name="Comma 4 4 2 5 2 3" xfId="12229" xr:uid="{88B1E29A-E23D-426E-A53C-C6AF5017F12C}"/>
    <cellStyle name="Comma 4 4 2 5 3" xfId="5867" xr:uid="{00000000-0005-0000-0000-0000F1090000}"/>
    <cellStyle name="Comma 4 4 2 5 3 2" xfId="14302" xr:uid="{3ECDBCD8-E59B-45AA-A9B1-3F894D1F7F33}"/>
    <cellStyle name="Comma 4 4 2 5 4" xfId="10084" xr:uid="{3A23C73F-BA7D-4EDC-A1BA-B3EAABBB8D14}"/>
    <cellStyle name="Comma 4 4 2 6" xfId="1973" xr:uid="{00000000-0005-0000-0000-0000F2090000}"/>
    <cellStyle name="Comma 4 4 2 6 2" xfId="4202" xr:uid="{00000000-0005-0000-0000-0000F3090000}"/>
    <cellStyle name="Comma 4 4 2 6 2 2" xfId="8425" xr:uid="{00000000-0005-0000-0000-0000F4090000}"/>
    <cellStyle name="Comma 4 4 2 6 2 2 2" xfId="16860" xr:uid="{C82AAAAB-045B-4D28-B379-CB83F43101A7}"/>
    <cellStyle name="Comma 4 4 2 6 2 3" xfId="12642" xr:uid="{EB51FD78-503C-4252-B30E-1EED1B58397F}"/>
    <cellStyle name="Comma 4 4 2 6 3" xfId="6280" xr:uid="{00000000-0005-0000-0000-0000F5090000}"/>
    <cellStyle name="Comma 4 4 2 6 3 2" xfId="14715" xr:uid="{BCD928DE-FC5F-4C2D-8CDA-6A2A9E531FF4}"/>
    <cellStyle name="Comma 4 4 2 6 4" xfId="10497" xr:uid="{3BA067E7-A6BE-4B0A-9FD7-88DCC9A308AA}"/>
    <cellStyle name="Comma 4 4 2 7" xfId="2408" xr:uid="{00000000-0005-0000-0000-0000F6090000}"/>
    <cellStyle name="Comma 4 4 2 7 2" xfId="6693" xr:uid="{00000000-0005-0000-0000-0000F7090000}"/>
    <cellStyle name="Comma 4 4 2 7 2 2" xfId="15128" xr:uid="{6EB6A69F-A5AF-409E-BFFD-628A6C6277BB}"/>
    <cellStyle name="Comma 4 4 2 7 3" xfId="10910" xr:uid="{8B2C5F32-9A98-4FCB-ACBB-9425234E4E4D}"/>
    <cellStyle name="Comma 4 4 2 8" xfId="2704" xr:uid="{00000000-0005-0000-0000-0000F8090000}"/>
    <cellStyle name="Comma 4 4 2 9" xfId="2786" xr:uid="{00000000-0005-0000-0000-0000F9090000}"/>
    <cellStyle name="Comma 4 4 2 9 2" xfId="7010" xr:uid="{00000000-0005-0000-0000-0000FA090000}"/>
    <cellStyle name="Comma 4 4 2 9 2 2" xfId="15445" xr:uid="{DC79BA57-F87F-4988-A95A-887BC722CF64}"/>
    <cellStyle name="Comma 4 4 2 9 3" xfId="11227" xr:uid="{55667C33-C92B-4041-9757-00C9336B5693}"/>
    <cellStyle name="Comma 4 4 3" xfId="156" xr:uid="{00000000-0005-0000-0000-0000FB090000}"/>
    <cellStyle name="Comma 4 4 3 10" xfId="8846" xr:uid="{475B5A5B-5044-4F7A-95CE-8CA538F44B9B}"/>
    <cellStyle name="Comma 4 4 3 2" xfId="694" xr:uid="{00000000-0005-0000-0000-0000FC090000}"/>
    <cellStyle name="Comma 4 4 3 2 2" xfId="2965" xr:uid="{00000000-0005-0000-0000-0000FD090000}"/>
    <cellStyle name="Comma 4 4 3 2 2 2" xfId="7188" xr:uid="{00000000-0005-0000-0000-0000FE090000}"/>
    <cellStyle name="Comma 4 4 3 2 2 2 2" xfId="15623" xr:uid="{36AD5A5B-E72B-4193-8339-02AF08C24B2A}"/>
    <cellStyle name="Comma 4 4 3 2 2 3" xfId="11405" xr:uid="{0DB72506-CE68-4DB7-B5D8-F0F4A2941F7D}"/>
    <cellStyle name="Comma 4 4 3 2 3" xfId="5043" xr:uid="{00000000-0005-0000-0000-0000FF090000}"/>
    <cellStyle name="Comma 4 4 3 2 3 2" xfId="13478" xr:uid="{67D45850-F4E4-47EC-960F-D89299E6A59B}"/>
    <cellStyle name="Comma 4 4 3 2 4" xfId="9260" xr:uid="{4866A693-375B-45FB-B55A-F47B0FFB9245}"/>
    <cellStyle name="Comma 4 4 3 3" xfId="1147" xr:uid="{00000000-0005-0000-0000-0000000A0000}"/>
    <cellStyle name="Comma 4 4 3 3 2" xfId="3378" xr:uid="{00000000-0005-0000-0000-0000010A0000}"/>
    <cellStyle name="Comma 4 4 3 3 2 2" xfId="7601" xr:uid="{00000000-0005-0000-0000-0000020A0000}"/>
    <cellStyle name="Comma 4 4 3 3 2 2 2" xfId="16036" xr:uid="{3A28DB81-6906-407B-B4F8-285690BBEA37}"/>
    <cellStyle name="Comma 4 4 3 3 2 3" xfId="11818" xr:uid="{4609767F-4B94-4974-93FF-0187D3500916}"/>
    <cellStyle name="Comma 4 4 3 3 3" xfId="5456" xr:uid="{00000000-0005-0000-0000-0000030A0000}"/>
    <cellStyle name="Comma 4 4 3 3 3 2" xfId="13891" xr:uid="{EB529FE8-2DE6-48DC-8F33-DABA785F43D6}"/>
    <cellStyle name="Comma 4 4 3 3 4" xfId="9673" xr:uid="{D0FC5D07-2CAD-4DCD-9DB2-56414B7156C0}"/>
    <cellStyle name="Comma 4 4 3 4" xfId="1561" xr:uid="{00000000-0005-0000-0000-0000040A0000}"/>
    <cellStyle name="Comma 4 4 3 4 2" xfId="3791" xr:uid="{00000000-0005-0000-0000-0000050A0000}"/>
    <cellStyle name="Comma 4 4 3 4 2 2" xfId="8014" xr:uid="{00000000-0005-0000-0000-0000060A0000}"/>
    <cellStyle name="Comma 4 4 3 4 2 2 2" xfId="16449" xr:uid="{9424AD1B-1E3E-498B-AB8A-6A886366F78F}"/>
    <cellStyle name="Comma 4 4 3 4 2 3" xfId="12231" xr:uid="{D010AE4A-68D1-485A-8CA7-38179F356F54}"/>
    <cellStyle name="Comma 4 4 3 4 3" xfId="5869" xr:uid="{00000000-0005-0000-0000-0000070A0000}"/>
    <cellStyle name="Comma 4 4 3 4 3 2" xfId="14304" xr:uid="{73529379-F2FE-46A5-851F-416060289440}"/>
    <cellStyle name="Comma 4 4 3 4 4" xfId="10086" xr:uid="{D9FC2C50-B9E1-49B1-B687-C1E8FADE3C1C}"/>
    <cellStyle name="Comma 4 4 3 5" xfId="1975" xr:uid="{00000000-0005-0000-0000-0000080A0000}"/>
    <cellStyle name="Comma 4 4 3 5 2" xfId="4204" xr:uid="{00000000-0005-0000-0000-0000090A0000}"/>
    <cellStyle name="Comma 4 4 3 5 2 2" xfId="8427" xr:uid="{00000000-0005-0000-0000-00000A0A0000}"/>
    <cellStyle name="Comma 4 4 3 5 2 2 2" xfId="16862" xr:uid="{C738342E-FF9F-4103-A42D-99AB12ECF6DF}"/>
    <cellStyle name="Comma 4 4 3 5 2 3" xfId="12644" xr:uid="{73D99769-8709-4948-8A8A-596E49384611}"/>
    <cellStyle name="Comma 4 4 3 5 3" xfId="6282" xr:uid="{00000000-0005-0000-0000-00000B0A0000}"/>
    <cellStyle name="Comma 4 4 3 5 3 2" xfId="14717" xr:uid="{EA9D3C08-6F0E-44DD-8AE4-41701FE07DB1}"/>
    <cellStyle name="Comma 4 4 3 5 4" xfId="10499" xr:uid="{6FA0E8A4-83F3-447E-B18A-77147AED7D57}"/>
    <cellStyle name="Comma 4 4 3 6" xfId="2410" xr:uid="{00000000-0005-0000-0000-00000C0A0000}"/>
    <cellStyle name="Comma 4 4 3 6 2" xfId="6695" xr:uid="{00000000-0005-0000-0000-00000D0A0000}"/>
    <cellStyle name="Comma 4 4 3 6 2 2" xfId="15130" xr:uid="{F5134BFC-AFD3-4D27-B080-CE8A4E22F8C9}"/>
    <cellStyle name="Comma 4 4 3 6 3" xfId="10912" xr:uid="{DB74F7EC-9DBD-4C3E-941F-5660CB221641}"/>
    <cellStyle name="Comma 4 4 3 7" xfId="2706" xr:uid="{00000000-0005-0000-0000-00000E0A0000}"/>
    <cellStyle name="Comma 4 4 3 8" xfId="2788" xr:uid="{00000000-0005-0000-0000-00000F0A0000}"/>
    <cellStyle name="Comma 4 4 3 8 2" xfId="7012" xr:uid="{00000000-0005-0000-0000-0000100A0000}"/>
    <cellStyle name="Comma 4 4 3 8 2 2" xfId="15447" xr:uid="{8F433C85-AC62-4821-A431-843F016A5DCF}"/>
    <cellStyle name="Comma 4 4 3 8 3" xfId="11229" xr:uid="{9DF07B9D-E9E8-4552-9FAC-38FF11FF96C4}"/>
    <cellStyle name="Comma 4 4 3 9" xfId="4629" xr:uid="{00000000-0005-0000-0000-0000110A0000}"/>
    <cellStyle name="Comma 4 4 3 9 2" xfId="13064" xr:uid="{D5B28821-94FB-47C4-AA1A-694A80425DC8}"/>
    <cellStyle name="Comma 4 4 4" xfId="691" xr:uid="{00000000-0005-0000-0000-0000120A0000}"/>
    <cellStyle name="Comma 4 4 4 2" xfId="2962" xr:uid="{00000000-0005-0000-0000-0000130A0000}"/>
    <cellStyle name="Comma 4 4 4 2 2" xfId="7185" xr:uid="{00000000-0005-0000-0000-0000140A0000}"/>
    <cellStyle name="Comma 4 4 4 2 2 2" xfId="15620" xr:uid="{0A5AE760-117B-44E0-AD38-984C4207C87F}"/>
    <cellStyle name="Comma 4 4 4 2 3" xfId="11402" xr:uid="{CC83FBD1-1664-4DCB-989D-2B6F4D7AF6EA}"/>
    <cellStyle name="Comma 4 4 4 3" xfId="5040" xr:uid="{00000000-0005-0000-0000-0000150A0000}"/>
    <cellStyle name="Comma 4 4 4 3 2" xfId="13475" xr:uid="{19A27F6A-255C-40F0-B48B-F2C1D286F0E5}"/>
    <cellStyle name="Comma 4 4 4 4" xfId="9257" xr:uid="{38385380-61B5-4B1F-819E-E2DAA49BC0E4}"/>
    <cellStyle name="Comma 4 4 5" xfId="1144" xr:uid="{00000000-0005-0000-0000-0000160A0000}"/>
    <cellStyle name="Comma 4 4 5 2" xfId="3375" xr:uid="{00000000-0005-0000-0000-0000170A0000}"/>
    <cellStyle name="Comma 4 4 5 2 2" xfId="7598" xr:uid="{00000000-0005-0000-0000-0000180A0000}"/>
    <cellStyle name="Comma 4 4 5 2 2 2" xfId="16033" xr:uid="{7DD4BFB9-2A1C-4EC2-AA88-B9CECAD09269}"/>
    <cellStyle name="Comma 4 4 5 2 3" xfId="11815" xr:uid="{F69A336A-822E-42D5-BBCA-753CFEEBE93E}"/>
    <cellStyle name="Comma 4 4 5 3" xfId="5453" xr:uid="{00000000-0005-0000-0000-0000190A0000}"/>
    <cellStyle name="Comma 4 4 5 3 2" xfId="13888" xr:uid="{9D3B9606-018D-4803-8171-D151A8B893B7}"/>
    <cellStyle name="Comma 4 4 5 4" xfId="9670" xr:uid="{B9E31697-C16F-4868-9A4F-577983C61693}"/>
    <cellStyle name="Comma 4 4 6" xfId="1558" xr:uid="{00000000-0005-0000-0000-00001A0A0000}"/>
    <cellStyle name="Comma 4 4 6 2" xfId="3788" xr:uid="{00000000-0005-0000-0000-00001B0A0000}"/>
    <cellStyle name="Comma 4 4 6 2 2" xfId="8011" xr:uid="{00000000-0005-0000-0000-00001C0A0000}"/>
    <cellStyle name="Comma 4 4 6 2 2 2" xfId="16446" xr:uid="{D7E359F9-D1BE-495F-9C32-ACBC1BF214AA}"/>
    <cellStyle name="Comma 4 4 6 2 3" xfId="12228" xr:uid="{DF8AB315-5758-466B-A3E1-2D37FE7596CB}"/>
    <cellStyle name="Comma 4 4 6 3" xfId="5866" xr:uid="{00000000-0005-0000-0000-00001D0A0000}"/>
    <cellStyle name="Comma 4 4 6 3 2" xfId="14301" xr:uid="{156C8949-29E3-4E80-BC13-24757C492CC6}"/>
    <cellStyle name="Comma 4 4 6 4" xfId="10083" xr:uid="{EC8EBC87-5248-42B0-B0A1-568419CEB651}"/>
    <cellStyle name="Comma 4 4 7" xfId="1972" xr:uid="{00000000-0005-0000-0000-00001E0A0000}"/>
    <cellStyle name="Comma 4 4 7 2" xfId="4201" xr:uid="{00000000-0005-0000-0000-00001F0A0000}"/>
    <cellStyle name="Comma 4 4 7 2 2" xfId="8424" xr:uid="{00000000-0005-0000-0000-0000200A0000}"/>
    <cellStyle name="Comma 4 4 7 2 2 2" xfId="16859" xr:uid="{848AD260-ACC8-4068-BF7E-A5E2A1AC63F6}"/>
    <cellStyle name="Comma 4 4 7 2 3" xfId="12641" xr:uid="{5EC31524-022A-47AC-8088-957C0F100E98}"/>
    <cellStyle name="Comma 4 4 7 3" xfId="6279" xr:uid="{00000000-0005-0000-0000-0000210A0000}"/>
    <cellStyle name="Comma 4 4 7 3 2" xfId="14714" xr:uid="{23891036-0F67-48C4-A838-23A1993421CA}"/>
    <cellStyle name="Comma 4 4 7 4" xfId="10496" xr:uid="{7B46A766-7A47-4311-B599-76C856CD365A}"/>
    <cellStyle name="Comma 4 4 8" xfId="2407" xr:uid="{00000000-0005-0000-0000-0000220A0000}"/>
    <cellStyle name="Comma 4 4 8 2" xfId="6692" xr:uid="{00000000-0005-0000-0000-0000230A0000}"/>
    <cellStyle name="Comma 4 4 8 2 2" xfId="15127" xr:uid="{8BC6D452-38B8-41D1-87E6-8A6ABB30FC54}"/>
    <cellStyle name="Comma 4 4 8 3" xfId="10909" xr:uid="{ED23A544-4C3D-49DE-B3DA-6AA1DCDC4A74}"/>
    <cellStyle name="Comma 4 4 9" xfId="2703" xr:uid="{00000000-0005-0000-0000-0000240A0000}"/>
    <cellStyle name="Comma 4 5" xfId="157" xr:uid="{00000000-0005-0000-0000-0000250A0000}"/>
    <cellStyle name="Comma 4 5 10" xfId="4630" xr:uid="{00000000-0005-0000-0000-0000260A0000}"/>
    <cellStyle name="Comma 4 5 10 2" xfId="13065" xr:uid="{58807755-9871-4997-8F13-017790D7A2E2}"/>
    <cellStyle name="Comma 4 5 11" xfId="8847" xr:uid="{8E8A2AA5-C6A9-4BDE-99EB-4924A5726577}"/>
    <cellStyle name="Comma 4 5 2" xfId="158" xr:uid="{00000000-0005-0000-0000-0000270A0000}"/>
    <cellStyle name="Comma 4 5 2 10" xfId="8848" xr:uid="{29876282-64B4-48A9-8A15-C9AC34CFA6D6}"/>
    <cellStyle name="Comma 4 5 2 2" xfId="696" xr:uid="{00000000-0005-0000-0000-0000280A0000}"/>
    <cellStyle name="Comma 4 5 2 2 2" xfId="2967" xr:uid="{00000000-0005-0000-0000-0000290A0000}"/>
    <cellStyle name="Comma 4 5 2 2 2 2" xfId="7190" xr:uid="{00000000-0005-0000-0000-00002A0A0000}"/>
    <cellStyle name="Comma 4 5 2 2 2 2 2" xfId="15625" xr:uid="{182B8F7A-378A-419A-9B5C-60154079027A}"/>
    <cellStyle name="Comma 4 5 2 2 2 3" xfId="11407" xr:uid="{EEA09E07-56DD-48E0-9185-DF884FEBFF46}"/>
    <cellStyle name="Comma 4 5 2 2 3" xfId="5045" xr:uid="{00000000-0005-0000-0000-00002B0A0000}"/>
    <cellStyle name="Comma 4 5 2 2 3 2" xfId="13480" xr:uid="{EB860247-3E37-4F56-942B-BBC358AB7364}"/>
    <cellStyle name="Comma 4 5 2 2 4" xfId="9262" xr:uid="{D64F0287-62A9-4515-B99C-2FFEA79234EC}"/>
    <cellStyle name="Comma 4 5 2 3" xfId="1149" xr:uid="{00000000-0005-0000-0000-00002C0A0000}"/>
    <cellStyle name="Comma 4 5 2 3 2" xfId="3380" xr:uid="{00000000-0005-0000-0000-00002D0A0000}"/>
    <cellStyle name="Comma 4 5 2 3 2 2" xfId="7603" xr:uid="{00000000-0005-0000-0000-00002E0A0000}"/>
    <cellStyle name="Comma 4 5 2 3 2 2 2" xfId="16038" xr:uid="{45AF75DE-E8C1-4EF5-B070-37A4E675FCB0}"/>
    <cellStyle name="Comma 4 5 2 3 2 3" xfId="11820" xr:uid="{A0C5AE1E-4A7A-463A-8DC9-45B3CB5251C9}"/>
    <cellStyle name="Comma 4 5 2 3 3" xfId="5458" xr:uid="{00000000-0005-0000-0000-00002F0A0000}"/>
    <cellStyle name="Comma 4 5 2 3 3 2" xfId="13893" xr:uid="{67389174-B21B-4B3A-8771-8C5104D9057B}"/>
    <cellStyle name="Comma 4 5 2 3 4" xfId="9675" xr:uid="{D981A323-1828-4813-8D95-04B209081E64}"/>
    <cellStyle name="Comma 4 5 2 4" xfId="1563" xr:uid="{00000000-0005-0000-0000-0000300A0000}"/>
    <cellStyle name="Comma 4 5 2 4 2" xfId="3793" xr:uid="{00000000-0005-0000-0000-0000310A0000}"/>
    <cellStyle name="Comma 4 5 2 4 2 2" xfId="8016" xr:uid="{00000000-0005-0000-0000-0000320A0000}"/>
    <cellStyle name="Comma 4 5 2 4 2 2 2" xfId="16451" xr:uid="{EE5E44A0-2193-4AD1-9FFE-2221431C321B}"/>
    <cellStyle name="Comma 4 5 2 4 2 3" xfId="12233" xr:uid="{6003F01B-F7EC-44ED-99B2-B6257B5AD795}"/>
    <cellStyle name="Comma 4 5 2 4 3" xfId="5871" xr:uid="{00000000-0005-0000-0000-0000330A0000}"/>
    <cellStyle name="Comma 4 5 2 4 3 2" xfId="14306" xr:uid="{F7B0D7C4-EC4C-4DB3-9343-0763E16F4363}"/>
    <cellStyle name="Comma 4 5 2 4 4" xfId="10088" xr:uid="{FE8AED53-5AAF-4537-964E-258368E2A350}"/>
    <cellStyle name="Comma 4 5 2 5" xfId="1977" xr:uid="{00000000-0005-0000-0000-0000340A0000}"/>
    <cellStyle name="Comma 4 5 2 5 2" xfId="4206" xr:uid="{00000000-0005-0000-0000-0000350A0000}"/>
    <cellStyle name="Comma 4 5 2 5 2 2" xfId="8429" xr:uid="{00000000-0005-0000-0000-0000360A0000}"/>
    <cellStyle name="Comma 4 5 2 5 2 2 2" xfId="16864" xr:uid="{732E84A0-7257-4AB9-A029-ADE58819ACF1}"/>
    <cellStyle name="Comma 4 5 2 5 2 3" xfId="12646" xr:uid="{AADF6CC3-B4BA-458C-B70D-BFF2D62783A2}"/>
    <cellStyle name="Comma 4 5 2 5 3" xfId="6284" xr:uid="{00000000-0005-0000-0000-0000370A0000}"/>
    <cellStyle name="Comma 4 5 2 5 3 2" xfId="14719" xr:uid="{CE9F6D0C-30B9-43F9-B779-A12EB9F51F24}"/>
    <cellStyle name="Comma 4 5 2 5 4" xfId="10501" xr:uid="{B55C715C-F92F-4E55-97BC-C6FEE2F37553}"/>
    <cellStyle name="Comma 4 5 2 6" xfId="2412" xr:uid="{00000000-0005-0000-0000-0000380A0000}"/>
    <cellStyle name="Comma 4 5 2 6 2" xfId="6697" xr:uid="{00000000-0005-0000-0000-0000390A0000}"/>
    <cellStyle name="Comma 4 5 2 6 2 2" xfId="15132" xr:uid="{3578DA14-E29D-4DB3-90A1-41219C43D2DF}"/>
    <cellStyle name="Comma 4 5 2 6 3" xfId="10914" xr:uid="{431C3C41-FD3A-400E-8B70-D40149E5B4D2}"/>
    <cellStyle name="Comma 4 5 2 7" xfId="2708" xr:uid="{00000000-0005-0000-0000-00003A0A0000}"/>
    <cellStyle name="Comma 4 5 2 8" xfId="2790" xr:uid="{00000000-0005-0000-0000-00003B0A0000}"/>
    <cellStyle name="Comma 4 5 2 8 2" xfId="7014" xr:uid="{00000000-0005-0000-0000-00003C0A0000}"/>
    <cellStyle name="Comma 4 5 2 8 2 2" xfId="15449" xr:uid="{2D974BEF-B68E-4FEC-8786-0CEC5E762E04}"/>
    <cellStyle name="Comma 4 5 2 8 3" xfId="11231" xr:uid="{C16A348D-7EBB-4C78-876F-8657CA8D937A}"/>
    <cellStyle name="Comma 4 5 2 9" xfId="4631" xr:uid="{00000000-0005-0000-0000-00003D0A0000}"/>
    <cellStyle name="Comma 4 5 2 9 2" xfId="13066" xr:uid="{DBE4FA30-1709-4767-8C9A-7AF98D668D63}"/>
    <cellStyle name="Comma 4 5 3" xfId="695" xr:uid="{00000000-0005-0000-0000-00003E0A0000}"/>
    <cellStyle name="Comma 4 5 3 2" xfId="2966" xr:uid="{00000000-0005-0000-0000-00003F0A0000}"/>
    <cellStyle name="Comma 4 5 3 2 2" xfId="7189" xr:uid="{00000000-0005-0000-0000-0000400A0000}"/>
    <cellStyle name="Comma 4 5 3 2 2 2" xfId="15624" xr:uid="{CC31E6BC-5B8F-422A-919D-AF5AB97018D7}"/>
    <cellStyle name="Comma 4 5 3 2 3" xfId="11406" xr:uid="{73B4B0C4-DF72-4FD5-8813-D6234B0949C6}"/>
    <cellStyle name="Comma 4 5 3 3" xfId="5044" xr:uid="{00000000-0005-0000-0000-0000410A0000}"/>
    <cellStyle name="Comma 4 5 3 3 2" xfId="13479" xr:uid="{3BC2F69A-8ADE-4FBB-9843-D1A4E1C0BE92}"/>
    <cellStyle name="Comma 4 5 3 4" xfId="9261" xr:uid="{E9287E5A-276C-4396-99AD-67BE467BA6AE}"/>
    <cellStyle name="Comma 4 5 4" xfId="1148" xr:uid="{00000000-0005-0000-0000-0000420A0000}"/>
    <cellStyle name="Comma 4 5 4 2" xfId="3379" xr:uid="{00000000-0005-0000-0000-0000430A0000}"/>
    <cellStyle name="Comma 4 5 4 2 2" xfId="7602" xr:uid="{00000000-0005-0000-0000-0000440A0000}"/>
    <cellStyle name="Comma 4 5 4 2 2 2" xfId="16037" xr:uid="{B7325364-FD87-45F7-8C09-145AA74FA9D3}"/>
    <cellStyle name="Comma 4 5 4 2 3" xfId="11819" xr:uid="{8CD96575-113B-4D41-9298-89572583888E}"/>
    <cellStyle name="Comma 4 5 4 3" xfId="5457" xr:uid="{00000000-0005-0000-0000-0000450A0000}"/>
    <cellStyle name="Comma 4 5 4 3 2" xfId="13892" xr:uid="{430CFB9B-88B4-4004-81C0-4D74657BF0B3}"/>
    <cellStyle name="Comma 4 5 4 4" xfId="9674" xr:uid="{066056D3-89BF-4B4D-9960-3C35B30155A3}"/>
    <cellStyle name="Comma 4 5 5" xfId="1562" xr:uid="{00000000-0005-0000-0000-0000460A0000}"/>
    <cellStyle name="Comma 4 5 5 2" xfId="3792" xr:uid="{00000000-0005-0000-0000-0000470A0000}"/>
    <cellStyle name="Comma 4 5 5 2 2" xfId="8015" xr:uid="{00000000-0005-0000-0000-0000480A0000}"/>
    <cellStyle name="Comma 4 5 5 2 2 2" xfId="16450" xr:uid="{74FD0D64-75D7-4EBA-8892-CD2C976BC8D2}"/>
    <cellStyle name="Comma 4 5 5 2 3" xfId="12232" xr:uid="{A3108AD4-5699-4A59-83F8-42E55E9228DF}"/>
    <cellStyle name="Comma 4 5 5 3" xfId="5870" xr:uid="{00000000-0005-0000-0000-0000490A0000}"/>
    <cellStyle name="Comma 4 5 5 3 2" xfId="14305" xr:uid="{D4B32C8D-E03C-44F2-B097-28841F87E6C4}"/>
    <cellStyle name="Comma 4 5 5 4" xfId="10087" xr:uid="{D37675CC-E189-4BA8-A5EB-185A4F731DAC}"/>
    <cellStyle name="Comma 4 5 6" xfId="1976" xr:uid="{00000000-0005-0000-0000-00004A0A0000}"/>
    <cellStyle name="Comma 4 5 6 2" xfId="4205" xr:uid="{00000000-0005-0000-0000-00004B0A0000}"/>
    <cellStyle name="Comma 4 5 6 2 2" xfId="8428" xr:uid="{00000000-0005-0000-0000-00004C0A0000}"/>
    <cellStyle name="Comma 4 5 6 2 2 2" xfId="16863" xr:uid="{982D13C5-41DD-4730-86E6-5598F4D546B1}"/>
    <cellStyle name="Comma 4 5 6 2 3" xfId="12645" xr:uid="{44FF34E7-49AC-4709-AE92-560F5ED04BA7}"/>
    <cellStyle name="Comma 4 5 6 3" xfId="6283" xr:uid="{00000000-0005-0000-0000-00004D0A0000}"/>
    <cellStyle name="Comma 4 5 6 3 2" xfId="14718" xr:uid="{22C1D5DB-835F-4FAD-8C90-0DC357AF1718}"/>
    <cellStyle name="Comma 4 5 6 4" xfId="10500" xr:uid="{E7F71093-ABDC-4B77-9096-8CE7974350C5}"/>
    <cellStyle name="Comma 4 5 7" xfId="2411" xr:uid="{00000000-0005-0000-0000-00004E0A0000}"/>
    <cellStyle name="Comma 4 5 7 2" xfId="6696" xr:uid="{00000000-0005-0000-0000-00004F0A0000}"/>
    <cellStyle name="Comma 4 5 7 2 2" xfId="15131" xr:uid="{D1844D9A-8F4A-4451-8551-7F188A55AA66}"/>
    <cellStyle name="Comma 4 5 7 3" xfId="10913" xr:uid="{A2BD13CC-E18B-4165-B5C0-ACFC671B2B31}"/>
    <cellStyle name="Comma 4 5 8" xfId="2707" xr:uid="{00000000-0005-0000-0000-0000500A0000}"/>
    <cellStyle name="Comma 4 5 9" xfId="2789" xr:uid="{00000000-0005-0000-0000-0000510A0000}"/>
    <cellStyle name="Comma 4 5 9 2" xfId="7013" xr:uid="{00000000-0005-0000-0000-0000520A0000}"/>
    <cellStyle name="Comma 4 5 9 2 2" xfId="15448" xr:uid="{773A88EC-E491-4FF2-A777-9479220E111E}"/>
    <cellStyle name="Comma 4 5 9 3" xfId="11230" xr:uid="{E330A079-2DF9-4E37-918E-D4E25AB7292C}"/>
    <cellStyle name="Comma 4 6" xfId="159" xr:uid="{00000000-0005-0000-0000-0000530A0000}"/>
    <cellStyle name="Comma 4 6 10" xfId="8849" xr:uid="{86C752F8-D086-4381-BB5A-312126B61DAC}"/>
    <cellStyle name="Comma 4 6 2" xfId="697" xr:uid="{00000000-0005-0000-0000-0000540A0000}"/>
    <cellStyle name="Comma 4 6 2 2" xfId="2968" xr:uid="{00000000-0005-0000-0000-0000550A0000}"/>
    <cellStyle name="Comma 4 6 2 2 2" xfId="7191" xr:uid="{00000000-0005-0000-0000-0000560A0000}"/>
    <cellStyle name="Comma 4 6 2 2 2 2" xfId="15626" xr:uid="{3FA7392E-23AE-457D-A4D0-615EC588CADB}"/>
    <cellStyle name="Comma 4 6 2 2 3" xfId="11408" xr:uid="{49F8B656-206F-49F7-A08E-480204F59564}"/>
    <cellStyle name="Comma 4 6 2 3" xfId="5046" xr:uid="{00000000-0005-0000-0000-0000570A0000}"/>
    <cellStyle name="Comma 4 6 2 3 2" xfId="13481" xr:uid="{8B9CB034-470F-4169-9B5A-D14D614C9085}"/>
    <cellStyle name="Comma 4 6 2 4" xfId="9263" xr:uid="{51220A5D-EDA2-44FD-B716-814071617713}"/>
    <cellStyle name="Comma 4 6 3" xfId="1150" xr:uid="{00000000-0005-0000-0000-0000580A0000}"/>
    <cellStyle name="Comma 4 6 3 2" xfId="3381" xr:uid="{00000000-0005-0000-0000-0000590A0000}"/>
    <cellStyle name="Comma 4 6 3 2 2" xfId="7604" xr:uid="{00000000-0005-0000-0000-00005A0A0000}"/>
    <cellStyle name="Comma 4 6 3 2 2 2" xfId="16039" xr:uid="{E300E0CB-FA18-4191-9F7E-7A0E11FCBD7A}"/>
    <cellStyle name="Comma 4 6 3 2 3" xfId="11821" xr:uid="{C74F627B-5819-4AA7-9620-34618F95C161}"/>
    <cellStyle name="Comma 4 6 3 3" xfId="5459" xr:uid="{00000000-0005-0000-0000-00005B0A0000}"/>
    <cellStyle name="Comma 4 6 3 3 2" xfId="13894" xr:uid="{240699BE-A40F-4AFA-A1BE-7791661360B6}"/>
    <cellStyle name="Comma 4 6 3 4" xfId="9676" xr:uid="{AA501E04-B975-4EBD-BE4B-A0053307679B}"/>
    <cellStyle name="Comma 4 6 4" xfId="1564" xr:uid="{00000000-0005-0000-0000-00005C0A0000}"/>
    <cellStyle name="Comma 4 6 4 2" xfId="3794" xr:uid="{00000000-0005-0000-0000-00005D0A0000}"/>
    <cellStyle name="Comma 4 6 4 2 2" xfId="8017" xr:uid="{00000000-0005-0000-0000-00005E0A0000}"/>
    <cellStyle name="Comma 4 6 4 2 2 2" xfId="16452" xr:uid="{B29E6250-8CC4-4F43-8422-9A32F2AC740E}"/>
    <cellStyle name="Comma 4 6 4 2 3" xfId="12234" xr:uid="{A86F75D5-8129-459B-A87F-A19DB72D5D94}"/>
    <cellStyle name="Comma 4 6 4 3" xfId="5872" xr:uid="{00000000-0005-0000-0000-00005F0A0000}"/>
    <cellStyle name="Comma 4 6 4 3 2" xfId="14307" xr:uid="{ED1CE115-A592-4F85-8AB2-10BE7153B3DC}"/>
    <cellStyle name="Comma 4 6 4 4" xfId="10089" xr:uid="{1C2D132E-B434-4CE9-9261-164F39ED1861}"/>
    <cellStyle name="Comma 4 6 5" xfId="1978" xr:uid="{00000000-0005-0000-0000-0000600A0000}"/>
    <cellStyle name="Comma 4 6 5 2" xfId="4207" xr:uid="{00000000-0005-0000-0000-0000610A0000}"/>
    <cellStyle name="Comma 4 6 5 2 2" xfId="8430" xr:uid="{00000000-0005-0000-0000-0000620A0000}"/>
    <cellStyle name="Comma 4 6 5 2 2 2" xfId="16865" xr:uid="{935E3A87-C3CB-432E-B5F8-D499D65B52FC}"/>
    <cellStyle name="Comma 4 6 5 2 3" xfId="12647" xr:uid="{8DC70E82-707A-4AFF-935A-501E1BC81D7B}"/>
    <cellStyle name="Comma 4 6 5 3" xfId="6285" xr:uid="{00000000-0005-0000-0000-0000630A0000}"/>
    <cellStyle name="Comma 4 6 5 3 2" xfId="14720" xr:uid="{19C324C6-97A5-444E-8463-B0F9826A9818}"/>
    <cellStyle name="Comma 4 6 5 4" xfId="10502" xr:uid="{00FB6A7F-F826-401B-BB94-7A6587AD29E4}"/>
    <cellStyle name="Comma 4 6 6" xfId="2413" xr:uid="{00000000-0005-0000-0000-0000640A0000}"/>
    <cellStyle name="Comma 4 6 6 2" xfId="6698" xr:uid="{00000000-0005-0000-0000-0000650A0000}"/>
    <cellStyle name="Comma 4 6 6 2 2" xfId="15133" xr:uid="{084EBC16-D84A-4FA5-94EA-E10E20A394E2}"/>
    <cellStyle name="Comma 4 6 6 3" xfId="10915" xr:uid="{BC1653F9-2753-456B-8A12-4C977620B4AF}"/>
    <cellStyle name="Comma 4 6 7" xfId="2709" xr:uid="{00000000-0005-0000-0000-0000660A0000}"/>
    <cellStyle name="Comma 4 6 8" xfId="2791" xr:uid="{00000000-0005-0000-0000-0000670A0000}"/>
    <cellStyle name="Comma 4 6 8 2" xfId="7015" xr:uid="{00000000-0005-0000-0000-0000680A0000}"/>
    <cellStyle name="Comma 4 6 8 2 2" xfId="15450" xr:uid="{17090F91-023E-449C-9952-96A92DF70C2D}"/>
    <cellStyle name="Comma 4 6 8 3" xfId="11232" xr:uid="{296E6794-BF8C-44B9-B08F-0A7D78D88C8E}"/>
    <cellStyle name="Comma 4 6 9" xfId="4632" xr:uid="{00000000-0005-0000-0000-0000690A0000}"/>
    <cellStyle name="Comma 4 6 9 2" xfId="13067" xr:uid="{A3A51E8D-8169-4051-8AEE-DE51B2DEEFD5}"/>
    <cellStyle name="Comma 4 7" xfId="160" xr:uid="{00000000-0005-0000-0000-00006A0A0000}"/>
    <cellStyle name="Comma 4 7 10" xfId="8850" xr:uid="{F8BA2598-23CE-441C-9C11-55BCCC547923}"/>
    <cellStyle name="Comma 4 7 2" xfId="698" xr:uid="{00000000-0005-0000-0000-00006B0A0000}"/>
    <cellStyle name="Comma 4 7 2 2" xfId="2969" xr:uid="{00000000-0005-0000-0000-00006C0A0000}"/>
    <cellStyle name="Comma 4 7 2 2 2" xfId="7192" xr:uid="{00000000-0005-0000-0000-00006D0A0000}"/>
    <cellStyle name="Comma 4 7 2 2 2 2" xfId="15627" xr:uid="{A916D8A1-22DD-4CF5-8856-4E2C8A7577C2}"/>
    <cellStyle name="Comma 4 7 2 2 3" xfId="11409" xr:uid="{13B679BB-100F-45CA-A7AB-F7CBFBFC6256}"/>
    <cellStyle name="Comma 4 7 2 3" xfId="5047" xr:uid="{00000000-0005-0000-0000-00006E0A0000}"/>
    <cellStyle name="Comma 4 7 2 3 2" xfId="13482" xr:uid="{F8125692-79B3-4BE7-9C99-3DCC02D7EB23}"/>
    <cellStyle name="Comma 4 7 2 4" xfId="9264" xr:uid="{E3A3AA0C-4992-48E6-B0EA-DE816E5D6D52}"/>
    <cellStyle name="Comma 4 7 3" xfId="1151" xr:uid="{00000000-0005-0000-0000-00006F0A0000}"/>
    <cellStyle name="Comma 4 7 3 2" xfId="3382" xr:uid="{00000000-0005-0000-0000-0000700A0000}"/>
    <cellStyle name="Comma 4 7 3 2 2" xfId="7605" xr:uid="{00000000-0005-0000-0000-0000710A0000}"/>
    <cellStyle name="Comma 4 7 3 2 2 2" xfId="16040" xr:uid="{B47ED69B-5C46-4880-BE67-C7E809F24E13}"/>
    <cellStyle name="Comma 4 7 3 2 3" xfId="11822" xr:uid="{BD28226A-A0C0-47D9-9481-40EF6735B1EC}"/>
    <cellStyle name="Comma 4 7 3 3" xfId="5460" xr:uid="{00000000-0005-0000-0000-0000720A0000}"/>
    <cellStyle name="Comma 4 7 3 3 2" xfId="13895" xr:uid="{1E2F5D33-EDA4-443F-B2FE-E0CC8E8A6D18}"/>
    <cellStyle name="Comma 4 7 3 4" xfId="9677" xr:uid="{2F73ED70-339E-4417-BC54-33F0F6AD5160}"/>
    <cellStyle name="Comma 4 7 4" xfId="1565" xr:uid="{00000000-0005-0000-0000-0000730A0000}"/>
    <cellStyle name="Comma 4 7 4 2" xfId="3795" xr:uid="{00000000-0005-0000-0000-0000740A0000}"/>
    <cellStyle name="Comma 4 7 4 2 2" xfId="8018" xr:uid="{00000000-0005-0000-0000-0000750A0000}"/>
    <cellStyle name="Comma 4 7 4 2 2 2" xfId="16453" xr:uid="{AEC28D93-4E51-4D36-AAFA-2FB5959B2710}"/>
    <cellStyle name="Comma 4 7 4 2 3" xfId="12235" xr:uid="{8FBE0F82-BE39-4F17-BD0D-7E691E5E30D6}"/>
    <cellStyle name="Comma 4 7 4 3" xfId="5873" xr:uid="{00000000-0005-0000-0000-0000760A0000}"/>
    <cellStyle name="Comma 4 7 4 3 2" xfId="14308" xr:uid="{B21A0D4E-A8C2-4B4E-8B8E-56FCA0CF2AA5}"/>
    <cellStyle name="Comma 4 7 4 4" xfId="10090" xr:uid="{17FFC15D-0023-4721-AC0F-7B96241EA5D0}"/>
    <cellStyle name="Comma 4 7 5" xfId="1979" xr:uid="{00000000-0005-0000-0000-0000770A0000}"/>
    <cellStyle name="Comma 4 7 5 2" xfId="4208" xr:uid="{00000000-0005-0000-0000-0000780A0000}"/>
    <cellStyle name="Comma 4 7 5 2 2" xfId="8431" xr:uid="{00000000-0005-0000-0000-0000790A0000}"/>
    <cellStyle name="Comma 4 7 5 2 2 2" xfId="16866" xr:uid="{1BA5DED5-F46A-491F-9DA3-16FFF60A0CA1}"/>
    <cellStyle name="Comma 4 7 5 2 3" xfId="12648" xr:uid="{82BFC878-9715-4DDB-82B1-CCDDEAB48C00}"/>
    <cellStyle name="Comma 4 7 5 3" xfId="6286" xr:uid="{00000000-0005-0000-0000-00007A0A0000}"/>
    <cellStyle name="Comma 4 7 5 3 2" xfId="14721" xr:uid="{57CD0E97-BEA4-4ED8-AD0B-7A5CF214F0DC}"/>
    <cellStyle name="Comma 4 7 5 4" xfId="10503" xr:uid="{2A184B4B-3667-453F-A2CE-6325B02DB711}"/>
    <cellStyle name="Comma 4 7 6" xfId="2414" xr:uid="{00000000-0005-0000-0000-00007B0A0000}"/>
    <cellStyle name="Comma 4 7 6 2" xfId="6699" xr:uid="{00000000-0005-0000-0000-00007C0A0000}"/>
    <cellStyle name="Comma 4 7 6 2 2" xfId="15134" xr:uid="{C56A9DF5-824E-4383-8DA3-A95CB9D0DB00}"/>
    <cellStyle name="Comma 4 7 6 3" xfId="10916" xr:uid="{701B23A7-DFDC-42F1-ACE8-2FCC90DDEB92}"/>
    <cellStyle name="Comma 4 7 7" xfId="2710" xr:uid="{00000000-0005-0000-0000-00007D0A0000}"/>
    <cellStyle name="Comma 4 7 8" xfId="2792" xr:uid="{00000000-0005-0000-0000-00007E0A0000}"/>
    <cellStyle name="Comma 4 7 8 2" xfId="7016" xr:uid="{00000000-0005-0000-0000-00007F0A0000}"/>
    <cellStyle name="Comma 4 7 8 2 2" xfId="15451" xr:uid="{A73B4052-9041-483D-BE6B-95D8FBA27FCC}"/>
    <cellStyle name="Comma 4 7 8 3" xfId="11233" xr:uid="{189DC889-4F15-4272-9766-775F71F6D974}"/>
    <cellStyle name="Comma 4 7 9" xfId="4633" xr:uid="{00000000-0005-0000-0000-0000800A0000}"/>
    <cellStyle name="Comma 4 7 9 2" xfId="13068" xr:uid="{C88D1932-A008-46C7-869A-4921DA1DA63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6" xr:uid="{AF04AEBD-D9BC-476D-9A7B-DC39DCA72CEE}"/>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2 2" xfId="17153" xr:uid="{5789DA8A-F80D-4CD5-A49E-92B8FA96AB27}"/>
    <cellStyle name="Currency 14 3" xfId="8721" xr:uid="{729B09A7-2394-4D7C-912C-1471FB3455A3}"/>
    <cellStyle name="Currency 14 3 2" xfId="17156" xr:uid="{19FBB205-1346-4F55-9D6D-BF228E0760FE}"/>
    <cellStyle name="Currency 14 4" xfId="12939" xr:uid="{FC9A4513-8741-4C47-9407-66B6919D7A26}"/>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0 2 2" xfId="15452" xr:uid="{F368F28F-BC4C-4760-B4B9-E8D67D2E979A}"/>
    <cellStyle name="Currency 3 2 2 10 3" xfId="11234" xr:uid="{94590E66-54E2-4CC6-9068-D460F915CA06}"/>
    <cellStyle name="Currency 3 2 2 11" xfId="4634" xr:uid="{00000000-0005-0000-0000-0000A50A0000}"/>
    <cellStyle name="Currency 3 2 2 11 2" xfId="13069" xr:uid="{03799D7A-56A7-43D7-9823-2EBBCB95A1AB}"/>
    <cellStyle name="Currency 3 2 2 12" xfId="8851" xr:uid="{FE696482-6A7A-4FC1-B23B-21F8D8485B88}"/>
    <cellStyle name="Currency 3 2 2 2" xfId="179" xr:uid="{00000000-0005-0000-0000-0000A60A0000}"/>
    <cellStyle name="Currency 3 2 2 2 10" xfId="4635" xr:uid="{00000000-0005-0000-0000-0000A70A0000}"/>
    <cellStyle name="Currency 3 2 2 2 10 2" xfId="13070" xr:uid="{E6CC6CBD-04E6-4125-A869-9FE2562F9750}"/>
    <cellStyle name="Currency 3 2 2 2 11" xfId="8852" xr:uid="{ABB5E84C-CDDE-4DD2-A021-15F838DC621C}"/>
    <cellStyle name="Currency 3 2 2 2 2" xfId="180" xr:uid="{00000000-0005-0000-0000-0000A80A0000}"/>
    <cellStyle name="Currency 3 2 2 2 2 10" xfId="8853" xr:uid="{CF979F55-6371-48C3-A11E-129D37D02A2C}"/>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2 2 2" xfId="15630" xr:uid="{0463DF09-006D-4165-8F3B-3A8B0B917404}"/>
    <cellStyle name="Currency 3 2 2 2 2 2 2 3" xfId="11412" xr:uid="{F2731564-E732-4322-B236-8C7DBB94BD34}"/>
    <cellStyle name="Currency 3 2 2 2 2 2 3" xfId="5050" xr:uid="{00000000-0005-0000-0000-0000AC0A0000}"/>
    <cellStyle name="Currency 3 2 2 2 2 2 3 2" xfId="13485" xr:uid="{0550216A-C276-4E24-8080-E48AFC7D295D}"/>
    <cellStyle name="Currency 3 2 2 2 2 2 4" xfId="9267" xr:uid="{0B156D9C-3888-41E9-B4D4-0041B8A6E8F4}"/>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2 2 2" xfId="16043" xr:uid="{F0ED39AF-E66A-4141-96B7-87BC833C29B0}"/>
    <cellStyle name="Currency 3 2 2 2 2 3 2 3" xfId="11825" xr:uid="{22D9AFBE-9604-4028-B4C3-362DF2DC7663}"/>
    <cellStyle name="Currency 3 2 2 2 2 3 3" xfId="5463" xr:uid="{00000000-0005-0000-0000-0000B00A0000}"/>
    <cellStyle name="Currency 3 2 2 2 2 3 3 2" xfId="13898" xr:uid="{C71CABBC-24A0-4051-9353-A45027D28B3A}"/>
    <cellStyle name="Currency 3 2 2 2 2 3 4" xfId="9680" xr:uid="{C83BFA67-66A8-47FE-B0F2-0294AB6A0ADB}"/>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2 2 2" xfId="16456" xr:uid="{D42F8D38-FF09-498A-838A-834CDB49D7F8}"/>
    <cellStyle name="Currency 3 2 2 2 2 4 2 3" xfId="12238" xr:uid="{43710648-3BDA-4972-ADA0-6E6F9EC484D3}"/>
    <cellStyle name="Currency 3 2 2 2 2 4 3" xfId="5876" xr:uid="{00000000-0005-0000-0000-0000B40A0000}"/>
    <cellStyle name="Currency 3 2 2 2 2 4 3 2" xfId="14311" xr:uid="{8F3D2E28-A70A-4D5D-B76A-DA79BFCDCA8D}"/>
    <cellStyle name="Currency 3 2 2 2 2 4 4" xfId="10093" xr:uid="{3CE38AED-B56F-4130-9D5F-898DDDFC8134}"/>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2 2 2" xfId="16869" xr:uid="{AC8CF110-C424-4CDC-A1B5-1C20EA0DAAB5}"/>
    <cellStyle name="Currency 3 2 2 2 2 5 2 3" xfId="12651" xr:uid="{36FF17E7-95D5-4714-B152-70486BED0F04}"/>
    <cellStyle name="Currency 3 2 2 2 2 5 3" xfId="6289" xr:uid="{00000000-0005-0000-0000-0000B80A0000}"/>
    <cellStyle name="Currency 3 2 2 2 2 5 3 2" xfId="14724" xr:uid="{D596E94D-BD3F-4D08-9F86-47EE2EC594F0}"/>
    <cellStyle name="Currency 3 2 2 2 2 5 4" xfId="10506" xr:uid="{334AFCD4-6BCC-4E17-A942-0C71CBA3A761}"/>
    <cellStyle name="Currency 3 2 2 2 2 6" xfId="2417" xr:uid="{00000000-0005-0000-0000-0000B90A0000}"/>
    <cellStyle name="Currency 3 2 2 2 2 6 2" xfId="6702" xr:uid="{00000000-0005-0000-0000-0000BA0A0000}"/>
    <cellStyle name="Currency 3 2 2 2 2 6 2 2" xfId="15137" xr:uid="{FB48AB7F-251D-4CA7-B18C-95717AB5F230}"/>
    <cellStyle name="Currency 3 2 2 2 2 6 3" xfId="10919" xr:uid="{51EC4ED3-424C-41E3-8D32-DC83BDE19DF2}"/>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8 2 2" xfId="15454" xr:uid="{637318FD-361E-437E-8AD9-46CEDE950018}"/>
    <cellStyle name="Currency 3 2 2 2 2 8 3" xfId="11236" xr:uid="{203DB933-E5D0-4A74-973E-AB00B5352DE2}"/>
    <cellStyle name="Currency 3 2 2 2 2 9" xfId="4636" xr:uid="{00000000-0005-0000-0000-0000BE0A0000}"/>
    <cellStyle name="Currency 3 2 2 2 2 9 2" xfId="13071" xr:uid="{2058C626-D8CD-43B6-BD76-05165D1971D3}"/>
    <cellStyle name="Currency 3 2 2 2 3" xfId="710" xr:uid="{00000000-0005-0000-0000-0000BF0A0000}"/>
    <cellStyle name="Currency 3 2 2 2 3 2" xfId="2971" xr:uid="{00000000-0005-0000-0000-0000C00A0000}"/>
    <cellStyle name="Currency 3 2 2 2 3 2 2" xfId="7194" xr:uid="{00000000-0005-0000-0000-0000C10A0000}"/>
    <cellStyle name="Currency 3 2 2 2 3 2 2 2" xfId="15629" xr:uid="{C341E9BA-C7E2-4038-8C3D-984300B515FF}"/>
    <cellStyle name="Currency 3 2 2 2 3 2 3" xfId="11411" xr:uid="{0DA768CD-37C1-4B16-AE3F-8ECCFC5DEAA7}"/>
    <cellStyle name="Currency 3 2 2 2 3 3" xfId="5049" xr:uid="{00000000-0005-0000-0000-0000C20A0000}"/>
    <cellStyle name="Currency 3 2 2 2 3 3 2" xfId="13484" xr:uid="{E23A560C-01DF-45A1-80DE-C733A5E76BCA}"/>
    <cellStyle name="Currency 3 2 2 2 3 4" xfId="9266" xr:uid="{70C82AF7-B981-4A2A-9B94-5062656B8914}"/>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2 2 2" xfId="16042" xr:uid="{D42A57DC-30BD-4B07-BAFE-936970A53EF5}"/>
    <cellStyle name="Currency 3 2 2 2 4 2 3" xfId="11824" xr:uid="{016FE00C-28AF-43C9-8198-A1EE7EBC7975}"/>
    <cellStyle name="Currency 3 2 2 2 4 3" xfId="5462" xr:uid="{00000000-0005-0000-0000-0000C60A0000}"/>
    <cellStyle name="Currency 3 2 2 2 4 3 2" xfId="13897" xr:uid="{F35E85D6-7113-4AFA-A747-F0231B0FCB69}"/>
    <cellStyle name="Currency 3 2 2 2 4 4" xfId="9679" xr:uid="{D260378D-9BF1-423E-B36B-996A6CF20546}"/>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2 2 2" xfId="16455" xr:uid="{7F96FE3E-595C-4456-B4F9-ACB6BC8BE814}"/>
    <cellStyle name="Currency 3 2 2 2 5 2 3" xfId="12237" xr:uid="{FEB16573-4334-4DFC-88FB-44BC0B6B2E86}"/>
    <cellStyle name="Currency 3 2 2 2 5 3" xfId="5875" xr:uid="{00000000-0005-0000-0000-0000CA0A0000}"/>
    <cellStyle name="Currency 3 2 2 2 5 3 2" xfId="14310" xr:uid="{7FC1E782-170D-4FBB-A399-15F8D3E6D79F}"/>
    <cellStyle name="Currency 3 2 2 2 5 4" xfId="10092" xr:uid="{76CA7D29-5C4A-4F84-AA30-E78F125613F9}"/>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2 2 2" xfId="16868" xr:uid="{55F1E5E6-63ED-4D92-BAE0-178DF1B19235}"/>
    <cellStyle name="Currency 3 2 2 2 6 2 3" xfId="12650" xr:uid="{855ACE20-87A4-4D1D-930B-D75E4B6ADA0C}"/>
    <cellStyle name="Currency 3 2 2 2 6 3" xfId="6288" xr:uid="{00000000-0005-0000-0000-0000CE0A0000}"/>
    <cellStyle name="Currency 3 2 2 2 6 3 2" xfId="14723" xr:uid="{555B2E72-DF4A-4C25-8C0E-42EEA592F83B}"/>
    <cellStyle name="Currency 3 2 2 2 6 4" xfId="10505" xr:uid="{59A1000F-DF3D-4994-BE6E-A083B0C80AF7}"/>
    <cellStyle name="Currency 3 2 2 2 7" xfId="2416" xr:uid="{00000000-0005-0000-0000-0000CF0A0000}"/>
    <cellStyle name="Currency 3 2 2 2 7 2" xfId="6701" xr:uid="{00000000-0005-0000-0000-0000D00A0000}"/>
    <cellStyle name="Currency 3 2 2 2 7 2 2" xfId="15136" xr:uid="{4DE6F82B-1BD7-404E-B7A6-CA562F436399}"/>
    <cellStyle name="Currency 3 2 2 2 7 3" xfId="10918" xr:uid="{E1F02971-8022-4221-99E1-3CE6E464ACCB}"/>
    <cellStyle name="Currency 3 2 2 2 8" xfId="2713" xr:uid="{00000000-0005-0000-0000-0000D10A0000}"/>
    <cellStyle name="Currency 3 2 2 2 9" xfId="2794" xr:uid="{00000000-0005-0000-0000-0000D20A0000}"/>
    <cellStyle name="Currency 3 2 2 2 9 2" xfId="7018" xr:uid="{00000000-0005-0000-0000-0000D30A0000}"/>
    <cellStyle name="Currency 3 2 2 2 9 2 2" xfId="15453" xr:uid="{40BBD605-053F-4B10-923E-DDB06DFA43BF}"/>
    <cellStyle name="Currency 3 2 2 2 9 3" xfId="11235" xr:uid="{F9E5B964-84D7-4F58-A4FC-25538AB1D996}"/>
    <cellStyle name="Currency 3 2 2 3" xfId="181" xr:uid="{00000000-0005-0000-0000-0000D40A0000}"/>
    <cellStyle name="Currency 3 2 2 3 10" xfId="8854" xr:uid="{971E0D7A-3CB3-4B59-8851-6509F1B3C2FC}"/>
    <cellStyle name="Currency 3 2 2 3 2" xfId="712" xr:uid="{00000000-0005-0000-0000-0000D50A0000}"/>
    <cellStyle name="Currency 3 2 2 3 2 2" xfId="2973" xr:uid="{00000000-0005-0000-0000-0000D60A0000}"/>
    <cellStyle name="Currency 3 2 2 3 2 2 2" xfId="7196" xr:uid="{00000000-0005-0000-0000-0000D70A0000}"/>
    <cellStyle name="Currency 3 2 2 3 2 2 2 2" xfId="15631" xr:uid="{FB69CE9B-C516-41D4-AB8E-B735544E7793}"/>
    <cellStyle name="Currency 3 2 2 3 2 2 3" xfId="11413" xr:uid="{A0A52084-2A1B-44CD-A36B-1064D179A536}"/>
    <cellStyle name="Currency 3 2 2 3 2 3" xfId="5051" xr:uid="{00000000-0005-0000-0000-0000D80A0000}"/>
    <cellStyle name="Currency 3 2 2 3 2 3 2" xfId="13486" xr:uid="{E3038E1A-2B6A-4787-9998-6139BD2FE816}"/>
    <cellStyle name="Currency 3 2 2 3 2 4" xfId="9268" xr:uid="{99467A56-96C1-42EB-880F-354F70518686}"/>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2 2 2" xfId="16044" xr:uid="{E104CA52-843D-4134-A1CE-C2F7D6B02C27}"/>
    <cellStyle name="Currency 3 2 2 3 3 2 3" xfId="11826" xr:uid="{D3E002F2-37B4-4D11-80CF-79802C95EBD2}"/>
    <cellStyle name="Currency 3 2 2 3 3 3" xfId="5464" xr:uid="{00000000-0005-0000-0000-0000DC0A0000}"/>
    <cellStyle name="Currency 3 2 2 3 3 3 2" xfId="13899" xr:uid="{B39C6980-59C2-4370-A69D-10D68F52A3BD}"/>
    <cellStyle name="Currency 3 2 2 3 3 4" xfId="9681" xr:uid="{D9CC4B9B-34E3-40BC-9536-B7A64B0A379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2 2 2" xfId="16457" xr:uid="{44D9044C-E36A-46FB-A443-57D8C811DE33}"/>
    <cellStyle name="Currency 3 2 2 3 4 2 3" xfId="12239" xr:uid="{DE3B90A6-7E39-4732-8FF3-2BF058EB9890}"/>
    <cellStyle name="Currency 3 2 2 3 4 3" xfId="5877" xr:uid="{00000000-0005-0000-0000-0000E00A0000}"/>
    <cellStyle name="Currency 3 2 2 3 4 3 2" xfId="14312" xr:uid="{1C6C2E3D-CC81-48D9-B2EE-9AD41ACE18F5}"/>
    <cellStyle name="Currency 3 2 2 3 4 4" xfId="10094" xr:uid="{07034C12-3DE8-40D4-85F4-5448EFB585F1}"/>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2 2 2" xfId="16870" xr:uid="{8218F642-E1E3-4529-AFAA-91AD1638597E}"/>
    <cellStyle name="Currency 3 2 2 3 5 2 3" xfId="12652" xr:uid="{BCE61E59-42E7-447D-A4C8-01B7677BCE0B}"/>
    <cellStyle name="Currency 3 2 2 3 5 3" xfId="6290" xr:uid="{00000000-0005-0000-0000-0000E40A0000}"/>
    <cellStyle name="Currency 3 2 2 3 5 3 2" xfId="14725" xr:uid="{A950535F-9847-4645-BD29-DE3726DC66D7}"/>
    <cellStyle name="Currency 3 2 2 3 5 4" xfId="10507" xr:uid="{6ED50C70-C341-47C9-8D39-30A301FE4E76}"/>
    <cellStyle name="Currency 3 2 2 3 6" xfId="2418" xr:uid="{00000000-0005-0000-0000-0000E50A0000}"/>
    <cellStyle name="Currency 3 2 2 3 6 2" xfId="6703" xr:uid="{00000000-0005-0000-0000-0000E60A0000}"/>
    <cellStyle name="Currency 3 2 2 3 6 2 2" xfId="15138" xr:uid="{2A13059B-42F7-4D60-880D-3097F9DA4309}"/>
    <cellStyle name="Currency 3 2 2 3 6 3" xfId="10920" xr:uid="{0F3D09AC-39EC-4EBA-8232-C49962F07D27}"/>
    <cellStyle name="Currency 3 2 2 3 7" xfId="2715" xr:uid="{00000000-0005-0000-0000-0000E70A0000}"/>
    <cellStyle name="Currency 3 2 2 3 8" xfId="2796" xr:uid="{00000000-0005-0000-0000-0000E80A0000}"/>
    <cellStyle name="Currency 3 2 2 3 8 2" xfId="7020" xr:uid="{00000000-0005-0000-0000-0000E90A0000}"/>
    <cellStyle name="Currency 3 2 2 3 8 2 2" xfId="15455" xr:uid="{0EE34890-5469-4128-AB62-9457533D660B}"/>
    <cellStyle name="Currency 3 2 2 3 8 3" xfId="11237" xr:uid="{A4FD20FD-CB97-463B-9C83-9C809B733B4E}"/>
    <cellStyle name="Currency 3 2 2 3 9" xfId="4637" xr:uid="{00000000-0005-0000-0000-0000EA0A0000}"/>
    <cellStyle name="Currency 3 2 2 3 9 2" xfId="13072" xr:uid="{1AAE4DAF-7210-4A59-9B46-F7FDFC3279EF}"/>
    <cellStyle name="Currency 3 2 2 4" xfId="709" xr:uid="{00000000-0005-0000-0000-0000EB0A0000}"/>
    <cellStyle name="Currency 3 2 2 4 2" xfId="2970" xr:uid="{00000000-0005-0000-0000-0000EC0A0000}"/>
    <cellStyle name="Currency 3 2 2 4 2 2" xfId="7193" xr:uid="{00000000-0005-0000-0000-0000ED0A0000}"/>
    <cellStyle name="Currency 3 2 2 4 2 2 2" xfId="15628" xr:uid="{60886815-E41A-4ECB-9527-99DD088F2124}"/>
    <cellStyle name="Currency 3 2 2 4 2 3" xfId="11410" xr:uid="{27616F2F-C82F-461B-B171-2DA6F1A27865}"/>
    <cellStyle name="Currency 3 2 2 4 3" xfId="5048" xr:uid="{00000000-0005-0000-0000-0000EE0A0000}"/>
    <cellStyle name="Currency 3 2 2 4 3 2" xfId="13483" xr:uid="{D580452D-D50F-42DD-B092-2B2DC809FF1B}"/>
    <cellStyle name="Currency 3 2 2 4 4" xfId="9265" xr:uid="{FFCA7B19-A0A2-4CD0-AFB7-1BF2D5B9E5E2}"/>
    <cellStyle name="Currency 3 2 2 5" xfId="1152" xr:uid="{00000000-0005-0000-0000-0000EF0A0000}"/>
    <cellStyle name="Currency 3 2 2 5 2" xfId="3383" xr:uid="{00000000-0005-0000-0000-0000F00A0000}"/>
    <cellStyle name="Currency 3 2 2 5 2 2" xfId="7606" xr:uid="{00000000-0005-0000-0000-0000F10A0000}"/>
    <cellStyle name="Currency 3 2 2 5 2 2 2" xfId="16041" xr:uid="{5D57BCE7-6FCD-42C9-AE9A-A69806371ED6}"/>
    <cellStyle name="Currency 3 2 2 5 2 3" xfId="11823" xr:uid="{95071EDA-439A-4A46-A15F-E7708AE2507A}"/>
    <cellStyle name="Currency 3 2 2 5 3" xfId="5461" xr:uid="{00000000-0005-0000-0000-0000F20A0000}"/>
    <cellStyle name="Currency 3 2 2 5 3 2" xfId="13896" xr:uid="{C784F3E6-CDEC-4573-B6E4-E18C97774FD6}"/>
    <cellStyle name="Currency 3 2 2 5 4" xfId="9678" xr:uid="{DFA43306-035E-4DF9-B956-F3CB126512AA}"/>
    <cellStyle name="Currency 3 2 2 6" xfId="1566" xr:uid="{00000000-0005-0000-0000-0000F30A0000}"/>
    <cellStyle name="Currency 3 2 2 6 2" xfId="3796" xr:uid="{00000000-0005-0000-0000-0000F40A0000}"/>
    <cellStyle name="Currency 3 2 2 6 2 2" xfId="8019" xr:uid="{00000000-0005-0000-0000-0000F50A0000}"/>
    <cellStyle name="Currency 3 2 2 6 2 2 2" xfId="16454" xr:uid="{9AB11E8E-E7C8-4D68-9534-07688FF25014}"/>
    <cellStyle name="Currency 3 2 2 6 2 3" xfId="12236" xr:uid="{DD4BCB6A-645A-42DD-B4B4-B0309F57FCA0}"/>
    <cellStyle name="Currency 3 2 2 6 3" xfId="5874" xr:uid="{00000000-0005-0000-0000-0000F60A0000}"/>
    <cellStyle name="Currency 3 2 2 6 3 2" xfId="14309" xr:uid="{9A4BD958-C708-40D6-934C-8082BE7B9CBD}"/>
    <cellStyle name="Currency 3 2 2 6 4" xfId="10091" xr:uid="{3FCAA0C7-CAF2-4EEC-8461-6ADFC86850D6}"/>
    <cellStyle name="Currency 3 2 2 7" xfId="1980" xr:uid="{00000000-0005-0000-0000-0000F70A0000}"/>
    <cellStyle name="Currency 3 2 2 7 2" xfId="4209" xr:uid="{00000000-0005-0000-0000-0000F80A0000}"/>
    <cellStyle name="Currency 3 2 2 7 2 2" xfId="8432" xr:uid="{00000000-0005-0000-0000-0000F90A0000}"/>
    <cellStyle name="Currency 3 2 2 7 2 2 2" xfId="16867" xr:uid="{A5E7CC00-67D8-4909-B31C-30ED9595AC89}"/>
    <cellStyle name="Currency 3 2 2 7 2 3" xfId="12649" xr:uid="{0E3A9376-C959-49B9-B455-BB703B142178}"/>
    <cellStyle name="Currency 3 2 2 7 3" xfId="6287" xr:uid="{00000000-0005-0000-0000-0000FA0A0000}"/>
    <cellStyle name="Currency 3 2 2 7 3 2" xfId="14722" xr:uid="{E59CC8C7-665C-4203-BCCC-3821A1E346F6}"/>
    <cellStyle name="Currency 3 2 2 7 4" xfId="10504" xr:uid="{90891E19-B4CC-45C1-BAFD-D532B1FE74E2}"/>
    <cellStyle name="Currency 3 2 2 8" xfId="2415" xr:uid="{00000000-0005-0000-0000-0000FB0A0000}"/>
    <cellStyle name="Currency 3 2 2 8 2" xfId="6700" xr:uid="{00000000-0005-0000-0000-0000FC0A0000}"/>
    <cellStyle name="Currency 3 2 2 8 2 2" xfId="15135" xr:uid="{0EAE00A1-039D-4937-B2DE-00E05070674C}"/>
    <cellStyle name="Currency 3 2 2 8 3" xfId="10917" xr:uid="{D5830208-8915-4C64-81F8-A20C17D4CF76}"/>
    <cellStyle name="Currency 3 2 2 9" xfId="2712" xr:uid="{00000000-0005-0000-0000-0000FD0A0000}"/>
    <cellStyle name="Currency 3 2 3" xfId="182" xr:uid="{00000000-0005-0000-0000-0000FE0A0000}"/>
    <cellStyle name="Currency 3 2 3 10" xfId="4638" xr:uid="{00000000-0005-0000-0000-0000FF0A0000}"/>
    <cellStyle name="Currency 3 2 3 10 2" xfId="13073" xr:uid="{F77D601D-D7EE-4D7B-A400-236F97C70654}"/>
    <cellStyle name="Currency 3 2 3 11" xfId="8855" xr:uid="{4913910C-97FD-4165-AD2B-BF07B5842B83}"/>
    <cellStyle name="Currency 3 2 3 2" xfId="183" xr:uid="{00000000-0005-0000-0000-0000000B0000}"/>
    <cellStyle name="Currency 3 2 3 2 10" xfId="8856" xr:uid="{4AE31D6B-F7B6-438D-AC8E-30A18562C169}"/>
    <cellStyle name="Currency 3 2 3 2 2" xfId="714" xr:uid="{00000000-0005-0000-0000-0000010B0000}"/>
    <cellStyle name="Currency 3 2 3 2 2 2" xfId="2975" xr:uid="{00000000-0005-0000-0000-0000020B0000}"/>
    <cellStyle name="Currency 3 2 3 2 2 2 2" xfId="7198" xr:uid="{00000000-0005-0000-0000-0000030B0000}"/>
    <cellStyle name="Currency 3 2 3 2 2 2 2 2" xfId="15633" xr:uid="{708B9724-9FDA-4BDF-A87C-49E8E0EF74F8}"/>
    <cellStyle name="Currency 3 2 3 2 2 2 3" xfId="11415" xr:uid="{B00135BE-C63D-4B0D-921D-AE632B4A2AF1}"/>
    <cellStyle name="Currency 3 2 3 2 2 3" xfId="5053" xr:uid="{00000000-0005-0000-0000-0000040B0000}"/>
    <cellStyle name="Currency 3 2 3 2 2 3 2" xfId="13488" xr:uid="{0DD97D28-360B-4418-8119-0BB973F4CCDA}"/>
    <cellStyle name="Currency 3 2 3 2 2 4" xfId="9270" xr:uid="{6E68F84D-80DE-46CB-97CF-4624B49631E1}"/>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2 2 2" xfId="16046" xr:uid="{73BF874C-4442-43E5-863F-E4A4E7196B7C}"/>
    <cellStyle name="Currency 3 2 3 2 3 2 3" xfId="11828" xr:uid="{346C1DF7-C6F0-4034-AAEE-C045ED6F8582}"/>
    <cellStyle name="Currency 3 2 3 2 3 3" xfId="5466" xr:uid="{00000000-0005-0000-0000-0000080B0000}"/>
    <cellStyle name="Currency 3 2 3 2 3 3 2" xfId="13901" xr:uid="{126ECF94-E316-4462-A2F1-9C823919D76A}"/>
    <cellStyle name="Currency 3 2 3 2 3 4" xfId="9683" xr:uid="{D61A3A26-6B06-4245-9082-9593F47659D3}"/>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2 2 2" xfId="16459" xr:uid="{38553802-3145-426D-A68F-2366F68E4042}"/>
    <cellStyle name="Currency 3 2 3 2 4 2 3" xfId="12241" xr:uid="{9A3B3D64-07A7-4022-998D-8D4B0377D62D}"/>
    <cellStyle name="Currency 3 2 3 2 4 3" xfId="5879" xr:uid="{00000000-0005-0000-0000-00000C0B0000}"/>
    <cellStyle name="Currency 3 2 3 2 4 3 2" xfId="14314" xr:uid="{DC01C867-D212-442A-8FB8-4C07FDE822F1}"/>
    <cellStyle name="Currency 3 2 3 2 4 4" xfId="10096" xr:uid="{48911EB1-6389-4B74-84A1-7DDA6B0264F7}"/>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2 2 2" xfId="16872" xr:uid="{FE1B9D9C-C99D-4083-8B56-2A95B15FF290}"/>
    <cellStyle name="Currency 3 2 3 2 5 2 3" xfId="12654" xr:uid="{509F0DD7-298C-4C7D-9C84-40C2A2570334}"/>
    <cellStyle name="Currency 3 2 3 2 5 3" xfId="6292" xr:uid="{00000000-0005-0000-0000-0000100B0000}"/>
    <cellStyle name="Currency 3 2 3 2 5 3 2" xfId="14727" xr:uid="{EB2F48AB-682B-4338-893E-E61BDA9070D8}"/>
    <cellStyle name="Currency 3 2 3 2 5 4" xfId="10509" xr:uid="{60EDAEB9-F940-4605-8B63-C2BE1EF39E13}"/>
    <cellStyle name="Currency 3 2 3 2 6" xfId="2420" xr:uid="{00000000-0005-0000-0000-0000110B0000}"/>
    <cellStyle name="Currency 3 2 3 2 6 2" xfId="6705" xr:uid="{00000000-0005-0000-0000-0000120B0000}"/>
    <cellStyle name="Currency 3 2 3 2 6 2 2" xfId="15140" xr:uid="{28DBA5F6-F5E9-49B8-B43B-F43DAF53E06C}"/>
    <cellStyle name="Currency 3 2 3 2 6 3" xfId="10922" xr:uid="{D85ED607-F2C1-4A4D-9F41-A2CCFD70B779}"/>
    <cellStyle name="Currency 3 2 3 2 7" xfId="2717" xr:uid="{00000000-0005-0000-0000-0000130B0000}"/>
    <cellStyle name="Currency 3 2 3 2 8" xfId="2798" xr:uid="{00000000-0005-0000-0000-0000140B0000}"/>
    <cellStyle name="Currency 3 2 3 2 8 2" xfId="7022" xr:uid="{00000000-0005-0000-0000-0000150B0000}"/>
    <cellStyle name="Currency 3 2 3 2 8 2 2" xfId="15457" xr:uid="{FCAB8B67-515F-418D-A257-922AFE308A6A}"/>
    <cellStyle name="Currency 3 2 3 2 8 3" xfId="11239" xr:uid="{25451AA1-62FA-4DD7-9F13-9A5F8443CB95}"/>
    <cellStyle name="Currency 3 2 3 2 9" xfId="4639" xr:uid="{00000000-0005-0000-0000-0000160B0000}"/>
    <cellStyle name="Currency 3 2 3 2 9 2" xfId="13074" xr:uid="{D38E3B96-4BE0-41BA-B665-691DF93E61ED}"/>
    <cellStyle name="Currency 3 2 3 3" xfId="713" xr:uid="{00000000-0005-0000-0000-0000170B0000}"/>
    <cellStyle name="Currency 3 2 3 3 2" xfId="2974" xr:uid="{00000000-0005-0000-0000-0000180B0000}"/>
    <cellStyle name="Currency 3 2 3 3 2 2" xfId="7197" xr:uid="{00000000-0005-0000-0000-0000190B0000}"/>
    <cellStyle name="Currency 3 2 3 3 2 2 2" xfId="15632" xr:uid="{D1FF29F5-71F2-410F-B0D8-DE147606E58C}"/>
    <cellStyle name="Currency 3 2 3 3 2 3" xfId="11414" xr:uid="{E2673081-7B4E-474C-901C-FC9FE3492D10}"/>
    <cellStyle name="Currency 3 2 3 3 3" xfId="5052" xr:uid="{00000000-0005-0000-0000-00001A0B0000}"/>
    <cellStyle name="Currency 3 2 3 3 3 2" xfId="13487" xr:uid="{EAFFA1DA-0950-4D27-8D45-D36536F1288C}"/>
    <cellStyle name="Currency 3 2 3 3 4" xfId="9269" xr:uid="{5E599D4E-121B-492F-82C8-93A518E8A50A}"/>
    <cellStyle name="Currency 3 2 3 4" xfId="1156" xr:uid="{00000000-0005-0000-0000-00001B0B0000}"/>
    <cellStyle name="Currency 3 2 3 4 2" xfId="3387" xr:uid="{00000000-0005-0000-0000-00001C0B0000}"/>
    <cellStyle name="Currency 3 2 3 4 2 2" xfId="7610" xr:uid="{00000000-0005-0000-0000-00001D0B0000}"/>
    <cellStyle name="Currency 3 2 3 4 2 2 2" xfId="16045" xr:uid="{06217192-0577-4203-808C-6EC86B61282A}"/>
    <cellStyle name="Currency 3 2 3 4 2 3" xfId="11827" xr:uid="{7E8A352F-EF79-43E4-86BC-73EC5306BDD1}"/>
    <cellStyle name="Currency 3 2 3 4 3" xfId="5465" xr:uid="{00000000-0005-0000-0000-00001E0B0000}"/>
    <cellStyle name="Currency 3 2 3 4 3 2" xfId="13900" xr:uid="{837D9430-1B98-4DDB-9E8A-3479CCF0B3E3}"/>
    <cellStyle name="Currency 3 2 3 4 4" xfId="9682" xr:uid="{D8BA41B0-8671-448B-B6EB-504672A81822}"/>
    <cellStyle name="Currency 3 2 3 5" xfId="1570" xr:uid="{00000000-0005-0000-0000-00001F0B0000}"/>
    <cellStyle name="Currency 3 2 3 5 2" xfId="3800" xr:uid="{00000000-0005-0000-0000-0000200B0000}"/>
    <cellStyle name="Currency 3 2 3 5 2 2" xfId="8023" xr:uid="{00000000-0005-0000-0000-0000210B0000}"/>
    <cellStyle name="Currency 3 2 3 5 2 2 2" xfId="16458" xr:uid="{49F7B33A-DD40-4ED9-B5AF-37A95D630969}"/>
    <cellStyle name="Currency 3 2 3 5 2 3" xfId="12240" xr:uid="{46AB5391-5B91-4F48-9BBD-08BFD4A4F5FD}"/>
    <cellStyle name="Currency 3 2 3 5 3" xfId="5878" xr:uid="{00000000-0005-0000-0000-0000220B0000}"/>
    <cellStyle name="Currency 3 2 3 5 3 2" xfId="14313" xr:uid="{63FF005D-4FBC-4C68-85A6-78BDE08A4BD3}"/>
    <cellStyle name="Currency 3 2 3 5 4" xfId="10095" xr:uid="{792FB2AE-CC39-48EE-BD27-83179DDBC30B}"/>
    <cellStyle name="Currency 3 2 3 6" xfId="1984" xr:uid="{00000000-0005-0000-0000-0000230B0000}"/>
    <cellStyle name="Currency 3 2 3 6 2" xfId="4213" xr:uid="{00000000-0005-0000-0000-0000240B0000}"/>
    <cellStyle name="Currency 3 2 3 6 2 2" xfId="8436" xr:uid="{00000000-0005-0000-0000-0000250B0000}"/>
    <cellStyle name="Currency 3 2 3 6 2 2 2" xfId="16871" xr:uid="{55709710-B4BA-4F54-8460-55DBAB022CA5}"/>
    <cellStyle name="Currency 3 2 3 6 2 3" xfId="12653" xr:uid="{033C4931-4BB9-4048-992F-86E5E54D1517}"/>
    <cellStyle name="Currency 3 2 3 6 3" xfId="6291" xr:uid="{00000000-0005-0000-0000-0000260B0000}"/>
    <cellStyle name="Currency 3 2 3 6 3 2" xfId="14726" xr:uid="{B5520314-99CA-4D25-935B-7EC0C76B3BA7}"/>
    <cellStyle name="Currency 3 2 3 6 4" xfId="10508" xr:uid="{DD5F325D-E5A9-4A08-BF40-3AC153A817C7}"/>
    <cellStyle name="Currency 3 2 3 7" xfId="2419" xr:uid="{00000000-0005-0000-0000-0000270B0000}"/>
    <cellStyle name="Currency 3 2 3 7 2" xfId="6704" xr:uid="{00000000-0005-0000-0000-0000280B0000}"/>
    <cellStyle name="Currency 3 2 3 7 2 2" xfId="15139" xr:uid="{31983DCD-6E30-4D76-BEBD-63B21537D5BF}"/>
    <cellStyle name="Currency 3 2 3 7 3" xfId="10921" xr:uid="{EFC9F06B-D614-4CBC-ACDE-0D2D4DECE5ED}"/>
    <cellStyle name="Currency 3 2 3 8" xfId="2716" xr:uid="{00000000-0005-0000-0000-0000290B0000}"/>
    <cellStyle name="Currency 3 2 3 9" xfId="2797" xr:uid="{00000000-0005-0000-0000-00002A0B0000}"/>
    <cellStyle name="Currency 3 2 3 9 2" xfId="7021" xr:uid="{00000000-0005-0000-0000-00002B0B0000}"/>
    <cellStyle name="Currency 3 2 3 9 2 2" xfId="15456" xr:uid="{82AA179B-512B-4037-9A4A-02BE6EBF7054}"/>
    <cellStyle name="Currency 3 2 3 9 3" xfId="11238" xr:uid="{64768506-2017-4AA1-AC5A-BDCBADF2D00D}"/>
    <cellStyle name="Currency 3 2 4" xfId="184" xr:uid="{00000000-0005-0000-0000-00002C0B0000}"/>
    <cellStyle name="Currency 3 2 4 10" xfId="8857" xr:uid="{B2E41C74-B03F-4C2C-8E28-3FEEA09236CC}"/>
    <cellStyle name="Currency 3 2 4 2" xfId="715" xr:uid="{00000000-0005-0000-0000-00002D0B0000}"/>
    <cellStyle name="Currency 3 2 4 2 2" xfId="2976" xr:uid="{00000000-0005-0000-0000-00002E0B0000}"/>
    <cellStyle name="Currency 3 2 4 2 2 2" xfId="7199" xr:uid="{00000000-0005-0000-0000-00002F0B0000}"/>
    <cellStyle name="Currency 3 2 4 2 2 2 2" xfId="15634" xr:uid="{C69F0E20-C8ED-4EF3-8B9A-056EFFF07CD1}"/>
    <cellStyle name="Currency 3 2 4 2 2 3" xfId="11416" xr:uid="{C740F82B-8444-49D6-AF34-81A7FE4FE8AA}"/>
    <cellStyle name="Currency 3 2 4 2 3" xfId="5054" xr:uid="{00000000-0005-0000-0000-0000300B0000}"/>
    <cellStyle name="Currency 3 2 4 2 3 2" xfId="13489" xr:uid="{B1EA96FD-4A60-4833-BF3A-77706B550DB3}"/>
    <cellStyle name="Currency 3 2 4 2 4" xfId="9271" xr:uid="{8E5CF122-A9E0-4262-AF9D-2BE71BB13869}"/>
    <cellStyle name="Currency 3 2 4 3" xfId="1158" xr:uid="{00000000-0005-0000-0000-0000310B0000}"/>
    <cellStyle name="Currency 3 2 4 3 2" xfId="3389" xr:uid="{00000000-0005-0000-0000-0000320B0000}"/>
    <cellStyle name="Currency 3 2 4 3 2 2" xfId="7612" xr:uid="{00000000-0005-0000-0000-0000330B0000}"/>
    <cellStyle name="Currency 3 2 4 3 2 2 2" xfId="16047" xr:uid="{90A208A6-DB96-4A05-9420-5F8BFFADF828}"/>
    <cellStyle name="Currency 3 2 4 3 2 3" xfId="11829" xr:uid="{6C5E162A-540A-45F6-A054-F8E6F15DFE2F}"/>
    <cellStyle name="Currency 3 2 4 3 3" xfId="5467" xr:uid="{00000000-0005-0000-0000-0000340B0000}"/>
    <cellStyle name="Currency 3 2 4 3 3 2" xfId="13902" xr:uid="{9115C10D-9F94-495C-BEE4-B274C7848F17}"/>
    <cellStyle name="Currency 3 2 4 3 4" xfId="9684" xr:uid="{4B99AA82-84BC-4F1E-A2BF-A8FEED9FF7EA}"/>
    <cellStyle name="Currency 3 2 4 4" xfId="1572" xr:uid="{00000000-0005-0000-0000-0000350B0000}"/>
    <cellStyle name="Currency 3 2 4 4 2" xfId="3802" xr:uid="{00000000-0005-0000-0000-0000360B0000}"/>
    <cellStyle name="Currency 3 2 4 4 2 2" xfId="8025" xr:uid="{00000000-0005-0000-0000-0000370B0000}"/>
    <cellStyle name="Currency 3 2 4 4 2 2 2" xfId="16460" xr:uid="{5862AA01-03D1-465C-9848-3DA05D320D55}"/>
    <cellStyle name="Currency 3 2 4 4 2 3" xfId="12242" xr:uid="{EF3D45CA-1D1C-402A-9AF9-4DB5C5C954A8}"/>
    <cellStyle name="Currency 3 2 4 4 3" xfId="5880" xr:uid="{00000000-0005-0000-0000-0000380B0000}"/>
    <cellStyle name="Currency 3 2 4 4 3 2" xfId="14315" xr:uid="{8FFEDC4F-F50E-4B24-B368-0E79ED56F9E7}"/>
    <cellStyle name="Currency 3 2 4 4 4" xfId="10097" xr:uid="{EBF49616-E23C-45FF-AA97-A5BF3250DF96}"/>
    <cellStyle name="Currency 3 2 4 5" xfId="1986" xr:uid="{00000000-0005-0000-0000-0000390B0000}"/>
    <cellStyle name="Currency 3 2 4 5 2" xfId="4215" xr:uid="{00000000-0005-0000-0000-00003A0B0000}"/>
    <cellStyle name="Currency 3 2 4 5 2 2" xfId="8438" xr:uid="{00000000-0005-0000-0000-00003B0B0000}"/>
    <cellStyle name="Currency 3 2 4 5 2 2 2" xfId="16873" xr:uid="{9C8412FD-4B38-4CA1-A856-8D6C585C2F49}"/>
    <cellStyle name="Currency 3 2 4 5 2 3" xfId="12655" xr:uid="{4579D0C0-C7D0-4993-AD54-049889530D3B}"/>
    <cellStyle name="Currency 3 2 4 5 3" xfId="6293" xr:uid="{00000000-0005-0000-0000-00003C0B0000}"/>
    <cellStyle name="Currency 3 2 4 5 3 2" xfId="14728" xr:uid="{4D51541D-FF9D-4E0B-81B8-60CBB81A899C}"/>
    <cellStyle name="Currency 3 2 4 5 4" xfId="10510" xr:uid="{D1378879-6507-4B6B-9CAF-02655B235082}"/>
    <cellStyle name="Currency 3 2 4 6" xfId="2421" xr:uid="{00000000-0005-0000-0000-00003D0B0000}"/>
    <cellStyle name="Currency 3 2 4 6 2" xfId="6706" xr:uid="{00000000-0005-0000-0000-00003E0B0000}"/>
    <cellStyle name="Currency 3 2 4 6 2 2" xfId="15141" xr:uid="{A52ADF8D-2381-48DB-A0D9-E228E7E82AC7}"/>
    <cellStyle name="Currency 3 2 4 6 3" xfId="10923" xr:uid="{8E3C1B23-A3B4-469A-BB63-450E824F1AA9}"/>
    <cellStyle name="Currency 3 2 4 7" xfId="2718" xr:uid="{00000000-0005-0000-0000-00003F0B0000}"/>
    <cellStyle name="Currency 3 2 4 8" xfId="2799" xr:uid="{00000000-0005-0000-0000-0000400B0000}"/>
    <cellStyle name="Currency 3 2 4 8 2" xfId="7023" xr:uid="{00000000-0005-0000-0000-0000410B0000}"/>
    <cellStyle name="Currency 3 2 4 8 2 2" xfId="15458" xr:uid="{256CF889-C6A8-4A3D-94AF-C4F3D1EAB3BB}"/>
    <cellStyle name="Currency 3 2 4 8 3" xfId="11240" xr:uid="{D9F2F3B4-E195-4980-9D0D-28AD1FD836A5}"/>
    <cellStyle name="Currency 3 2 4 9" xfId="4640" xr:uid="{00000000-0005-0000-0000-0000420B0000}"/>
    <cellStyle name="Currency 3 2 4 9 2" xfId="13075" xr:uid="{B17D83EF-B12C-40AF-A325-A50EE96F743E}"/>
    <cellStyle name="Currency 3 2 5" xfId="185" xr:uid="{00000000-0005-0000-0000-0000430B0000}"/>
    <cellStyle name="Currency 3 2 5 10" xfId="8858" xr:uid="{7E9798EC-E787-415D-8DD9-F5797BB433EB}"/>
    <cellStyle name="Currency 3 2 5 2" xfId="716" xr:uid="{00000000-0005-0000-0000-0000440B0000}"/>
    <cellStyle name="Currency 3 2 5 2 2" xfId="2977" xr:uid="{00000000-0005-0000-0000-0000450B0000}"/>
    <cellStyle name="Currency 3 2 5 2 2 2" xfId="7200" xr:uid="{00000000-0005-0000-0000-0000460B0000}"/>
    <cellStyle name="Currency 3 2 5 2 2 2 2" xfId="15635" xr:uid="{FBBCCD58-3AB7-434C-953D-0B125F224614}"/>
    <cellStyle name="Currency 3 2 5 2 2 3" xfId="11417" xr:uid="{AFD20F72-AE3B-45CF-AC20-5F6A1144F82B}"/>
    <cellStyle name="Currency 3 2 5 2 3" xfId="5055" xr:uid="{00000000-0005-0000-0000-0000470B0000}"/>
    <cellStyle name="Currency 3 2 5 2 3 2" xfId="13490" xr:uid="{E0E0BA11-A14D-475A-97D4-2E31065A37B6}"/>
    <cellStyle name="Currency 3 2 5 2 4" xfId="9272" xr:uid="{AC78FC2B-E240-4211-8B23-1B2812B44CE1}"/>
    <cellStyle name="Currency 3 2 5 3" xfId="1159" xr:uid="{00000000-0005-0000-0000-0000480B0000}"/>
    <cellStyle name="Currency 3 2 5 3 2" xfId="3390" xr:uid="{00000000-0005-0000-0000-0000490B0000}"/>
    <cellStyle name="Currency 3 2 5 3 2 2" xfId="7613" xr:uid="{00000000-0005-0000-0000-00004A0B0000}"/>
    <cellStyle name="Currency 3 2 5 3 2 2 2" xfId="16048" xr:uid="{B42C9AB9-FEAA-41D1-8B67-F2D01074FE41}"/>
    <cellStyle name="Currency 3 2 5 3 2 3" xfId="11830" xr:uid="{BBE1C6A4-51E3-41B1-8D35-DA1C01B0C8A3}"/>
    <cellStyle name="Currency 3 2 5 3 3" xfId="5468" xr:uid="{00000000-0005-0000-0000-00004B0B0000}"/>
    <cellStyle name="Currency 3 2 5 3 3 2" xfId="13903" xr:uid="{11416EB9-A6AE-4181-AB36-756EE988CE51}"/>
    <cellStyle name="Currency 3 2 5 3 4" xfId="9685" xr:uid="{CD260924-FCC4-4D95-AB18-A211CE122E15}"/>
    <cellStyle name="Currency 3 2 5 4" xfId="1573" xr:uid="{00000000-0005-0000-0000-00004C0B0000}"/>
    <cellStyle name="Currency 3 2 5 4 2" xfId="3803" xr:uid="{00000000-0005-0000-0000-00004D0B0000}"/>
    <cellStyle name="Currency 3 2 5 4 2 2" xfId="8026" xr:uid="{00000000-0005-0000-0000-00004E0B0000}"/>
    <cellStyle name="Currency 3 2 5 4 2 2 2" xfId="16461" xr:uid="{A52F98AC-3249-44B5-B0FC-5141FC05E6D8}"/>
    <cellStyle name="Currency 3 2 5 4 2 3" xfId="12243" xr:uid="{6406513F-73C0-41B1-9D55-7DFB50FAE9E6}"/>
    <cellStyle name="Currency 3 2 5 4 3" xfId="5881" xr:uid="{00000000-0005-0000-0000-00004F0B0000}"/>
    <cellStyle name="Currency 3 2 5 4 3 2" xfId="14316" xr:uid="{5F3B9EC4-9BD5-4997-B199-1A4A18DDD076}"/>
    <cellStyle name="Currency 3 2 5 4 4" xfId="10098" xr:uid="{6DB58F54-D4E5-48CE-A476-AB6992061D5A}"/>
    <cellStyle name="Currency 3 2 5 5" xfId="1987" xr:uid="{00000000-0005-0000-0000-0000500B0000}"/>
    <cellStyle name="Currency 3 2 5 5 2" xfId="4216" xr:uid="{00000000-0005-0000-0000-0000510B0000}"/>
    <cellStyle name="Currency 3 2 5 5 2 2" xfId="8439" xr:uid="{00000000-0005-0000-0000-0000520B0000}"/>
    <cellStyle name="Currency 3 2 5 5 2 2 2" xfId="16874" xr:uid="{D2D76864-BAC8-40D3-9713-108F5F3DC1A6}"/>
    <cellStyle name="Currency 3 2 5 5 2 3" xfId="12656" xr:uid="{6C6190FD-7A76-4810-92C4-441A7031C8FE}"/>
    <cellStyle name="Currency 3 2 5 5 3" xfId="6294" xr:uid="{00000000-0005-0000-0000-0000530B0000}"/>
    <cellStyle name="Currency 3 2 5 5 3 2" xfId="14729" xr:uid="{2288FFAD-8F63-436F-92C2-960B4D41DAE8}"/>
    <cellStyle name="Currency 3 2 5 5 4" xfId="10511" xr:uid="{511A9F68-F886-4C8F-9BF7-F82A04F4E750}"/>
    <cellStyle name="Currency 3 2 5 6" xfId="2422" xr:uid="{00000000-0005-0000-0000-0000540B0000}"/>
    <cellStyle name="Currency 3 2 5 6 2" xfId="6707" xr:uid="{00000000-0005-0000-0000-0000550B0000}"/>
    <cellStyle name="Currency 3 2 5 6 2 2" xfId="15142" xr:uid="{7D5C5911-1C0F-4C7B-9CF2-0DD3BBADD725}"/>
    <cellStyle name="Currency 3 2 5 6 3" xfId="10924" xr:uid="{4B17C9B6-9D1F-4BDB-868A-63CE4C93587D}"/>
    <cellStyle name="Currency 3 2 5 7" xfId="2719" xr:uid="{00000000-0005-0000-0000-0000560B0000}"/>
    <cellStyle name="Currency 3 2 5 8" xfId="2800" xr:uid="{00000000-0005-0000-0000-0000570B0000}"/>
    <cellStyle name="Currency 3 2 5 8 2" xfId="7024" xr:uid="{00000000-0005-0000-0000-0000580B0000}"/>
    <cellStyle name="Currency 3 2 5 8 2 2" xfId="15459" xr:uid="{B9278441-57B7-49E1-A7A1-D1415C663840}"/>
    <cellStyle name="Currency 3 2 5 8 3" xfId="11241" xr:uid="{ADD8A5FE-1F54-428D-A903-DDF2BCF1A143}"/>
    <cellStyle name="Currency 3 2 5 9" xfId="4641" xr:uid="{00000000-0005-0000-0000-0000590B0000}"/>
    <cellStyle name="Currency 3 2 5 9 2" xfId="13076" xr:uid="{A60CC8BD-D640-484A-B93A-A89800B95953}"/>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0 2 2" xfId="15460" xr:uid="{F324BE6B-DADA-4AE9-921C-BA36FF64F190}"/>
    <cellStyle name="Currency 5 2 2 2 10 3" xfId="11242" xr:uid="{C5928E8D-1097-49E5-B879-29C3F2733273}"/>
    <cellStyle name="Currency 5 2 2 2 11" xfId="4642" xr:uid="{00000000-0005-0000-0000-00006C0B0000}"/>
    <cellStyle name="Currency 5 2 2 2 11 2" xfId="13077" xr:uid="{643F2AE7-2464-478F-BFAB-71C1E53548FB}"/>
    <cellStyle name="Currency 5 2 2 2 12" xfId="8859" xr:uid="{D6447730-33FC-413B-A5C1-69DCF906FB7B}"/>
    <cellStyle name="Currency 5 2 2 2 2" xfId="197" xr:uid="{00000000-0005-0000-0000-00006D0B0000}"/>
    <cellStyle name="Currency 5 2 2 2 2 10" xfId="4643" xr:uid="{00000000-0005-0000-0000-00006E0B0000}"/>
    <cellStyle name="Currency 5 2 2 2 2 10 2" xfId="13078" xr:uid="{78D08F95-9300-4330-875F-C27723479B4C}"/>
    <cellStyle name="Currency 5 2 2 2 2 11" xfId="8860" xr:uid="{0E0940BD-7F42-4346-A1DB-C6236C390DAD}"/>
    <cellStyle name="Currency 5 2 2 2 2 2" xfId="198" xr:uid="{00000000-0005-0000-0000-00006F0B0000}"/>
    <cellStyle name="Currency 5 2 2 2 2 2 10" xfId="8861" xr:uid="{9BFC033E-6530-433C-BE9C-2C68EA613E29}"/>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2 2 2" xfId="15638" xr:uid="{50ABDD07-635A-4481-B173-F267623C11BC}"/>
    <cellStyle name="Currency 5 2 2 2 2 2 2 2 3" xfId="11420" xr:uid="{248D8661-88DF-46D5-93A4-3E1B38786397}"/>
    <cellStyle name="Currency 5 2 2 2 2 2 2 3" xfId="5058" xr:uid="{00000000-0005-0000-0000-0000730B0000}"/>
    <cellStyle name="Currency 5 2 2 2 2 2 2 3 2" xfId="13493" xr:uid="{73777703-26E3-4700-8CA4-6CF74C392C8E}"/>
    <cellStyle name="Currency 5 2 2 2 2 2 2 4" xfId="9275" xr:uid="{EB7BCFEE-06C1-4A3F-9D40-D21B3F339DAF}"/>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2 2 2" xfId="16051" xr:uid="{C7B0A575-0233-490F-90CE-9B0AD0F38CC5}"/>
    <cellStyle name="Currency 5 2 2 2 2 2 3 2 3" xfId="11833" xr:uid="{B96EE61E-4F2D-4A03-A57F-99C7F591B720}"/>
    <cellStyle name="Currency 5 2 2 2 2 2 3 3" xfId="5471" xr:uid="{00000000-0005-0000-0000-0000770B0000}"/>
    <cellStyle name="Currency 5 2 2 2 2 2 3 3 2" xfId="13906" xr:uid="{DBE2AD6D-48AB-43A2-93FB-2F262E9F7A55}"/>
    <cellStyle name="Currency 5 2 2 2 2 2 3 4" xfId="9688" xr:uid="{62952236-60E8-42D5-AD74-0698CC99EAEE}"/>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2 2 2" xfId="16464" xr:uid="{5D3A67DD-7676-43C7-951B-5F39F2CE7117}"/>
    <cellStyle name="Currency 5 2 2 2 2 2 4 2 3" xfId="12246" xr:uid="{F37E0F13-610A-4E22-9012-B3CA64C96BB7}"/>
    <cellStyle name="Currency 5 2 2 2 2 2 4 3" xfId="5884" xr:uid="{00000000-0005-0000-0000-00007B0B0000}"/>
    <cellStyle name="Currency 5 2 2 2 2 2 4 3 2" xfId="14319" xr:uid="{76AD20AA-386B-4540-9763-0D6003C8BCFD}"/>
    <cellStyle name="Currency 5 2 2 2 2 2 4 4" xfId="10101" xr:uid="{6650C647-012C-4D03-9F6F-43F18BE989F1}"/>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2 2 2" xfId="16877" xr:uid="{30715FE9-ECFE-4B12-9970-DEDFEF6079EB}"/>
    <cellStyle name="Currency 5 2 2 2 2 2 5 2 3" xfId="12659" xr:uid="{CCD98B03-33A3-4D3D-9F35-3EF6946CFB07}"/>
    <cellStyle name="Currency 5 2 2 2 2 2 5 3" xfId="6297" xr:uid="{00000000-0005-0000-0000-00007F0B0000}"/>
    <cellStyle name="Currency 5 2 2 2 2 2 5 3 2" xfId="14732" xr:uid="{C831867F-7A83-426E-B0A3-69DB1C37E470}"/>
    <cellStyle name="Currency 5 2 2 2 2 2 5 4" xfId="10514" xr:uid="{5429942B-76C3-4B8F-851C-A0169D6CE5AD}"/>
    <cellStyle name="Currency 5 2 2 2 2 2 6" xfId="2425" xr:uid="{00000000-0005-0000-0000-0000800B0000}"/>
    <cellStyle name="Currency 5 2 2 2 2 2 6 2" xfId="6710" xr:uid="{00000000-0005-0000-0000-0000810B0000}"/>
    <cellStyle name="Currency 5 2 2 2 2 2 6 2 2" xfId="15145" xr:uid="{4CA33372-86FC-4B26-9088-7EFA2F8FB805}"/>
    <cellStyle name="Currency 5 2 2 2 2 2 6 3" xfId="10927" xr:uid="{FFFBC596-DD42-463D-BD89-BEC34C90EDDC}"/>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8 2 2" xfId="15462" xr:uid="{9EACC5AA-E794-4288-A340-2F91E0E74069}"/>
    <cellStyle name="Currency 5 2 2 2 2 2 8 3" xfId="11244" xr:uid="{2EA7A2F3-C5ED-438E-AE96-17D9E90BBDAC}"/>
    <cellStyle name="Currency 5 2 2 2 2 2 9" xfId="4644" xr:uid="{00000000-0005-0000-0000-0000850B0000}"/>
    <cellStyle name="Currency 5 2 2 2 2 2 9 2" xfId="13079" xr:uid="{363D79EC-A6DB-483B-9006-621E7183B4E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2 2 2" xfId="15637" xr:uid="{3F09FC3B-15BE-4046-84DA-D6493710F0B0}"/>
    <cellStyle name="Currency 5 2 2 2 2 3 2 3" xfId="11419" xr:uid="{1D562EB2-9BE1-4606-BB61-4B0B79B07DCB}"/>
    <cellStyle name="Currency 5 2 2 2 2 3 3" xfId="5057" xr:uid="{00000000-0005-0000-0000-0000890B0000}"/>
    <cellStyle name="Currency 5 2 2 2 2 3 3 2" xfId="13492" xr:uid="{41308443-9D19-4764-9A73-A69ACF1FCDAA}"/>
    <cellStyle name="Currency 5 2 2 2 2 3 4" xfId="9274" xr:uid="{6B51BB6F-D9FC-46D9-A424-BDCEA6715441}"/>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2 2 2" xfId="16050" xr:uid="{BFFF5A4E-A9CE-445C-A0DF-762ADBEC8F7A}"/>
    <cellStyle name="Currency 5 2 2 2 2 4 2 3" xfId="11832" xr:uid="{C57A4E73-F79F-42F0-A78F-F8FE8BC471CF}"/>
    <cellStyle name="Currency 5 2 2 2 2 4 3" xfId="5470" xr:uid="{00000000-0005-0000-0000-00008D0B0000}"/>
    <cellStyle name="Currency 5 2 2 2 2 4 3 2" xfId="13905" xr:uid="{217DA957-54DE-41F6-B481-7970054519FE}"/>
    <cellStyle name="Currency 5 2 2 2 2 4 4" xfId="9687" xr:uid="{7FF2D5A0-79D0-422B-9CA2-C90D21E6093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2 2 2" xfId="16463" xr:uid="{61948E2F-2979-463D-8290-2687F8382610}"/>
    <cellStyle name="Currency 5 2 2 2 2 5 2 3" xfId="12245" xr:uid="{9248FFAF-FA8F-4CB7-859D-EADD9E37E28A}"/>
    <cellStyle name="Currency 5 2 2 2 2 5 3" xfId="5883" xr:uid="{00000000-0005-0000-0000-0000910B0000}"/>
    <cellStyle name="Currency 5 2 2 2 2 5 3 2" xfId="14318" xr:uid="{D5F94AB2-6303-4BB3-ACE5-9DE7886C6173}"/>
    <cellStyle name="Currency 5 2 2 2 2 5 4" xfId="10100" xr:uid="{AC3A9A0B-153E-48E9-A23E-D8FF9659EBD4}"/>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2 2 2" xfId="16876" xr:uid="{F07C5657-C06B-471D-B488-0293552C92A5}"/>
    <cellStyle name="Currency 5 2 2 2 2 6 2 3" xfId="12658" xr:uid="{AD38FC0E-5E07-4317-AC8C-F3C6D9DFC237}"/>
    <cellStyle name="Currency 5 2 2 2 2 6 3" xfId="6296" xr:uid="{00000000-0005-0000-0000-0000950B0000}"/>
    <cellStyle name="Currency 5 2 2 2 2 6 3 2" xfId="14731" xr:uid="{01130D3B-739B-4E22-A79D-0D63BC1C9382}"/>
    <cellStyle name="Currency 5 2 2 2 2 6 4" xfId="10513" xr:uid="{CF557634-4150-456D-BD2D-855F0EEE4E35}"/>
    <cellStyle name="Currency 5 2 2 2 2 7" xfId="2424" xr:uid="{00000000-0005-0000-0000-0000960B0000}"/>
    <cellStyle name="Currency 5 2 2 2 2 7 2" xfId="6709" xr:uid="{00000000-0005-0000-0000-0000970B0000}"/>
    <cellStyle name="Currency 5 2 2 2 2 7 2 2" xfId="15144" xr:uid="{0ADC4257-E987-4249-A273-0463F233EFD1}"/>
    <cellStyle name="Currency 5 2 2 2 2 7 3" xfId="10926" xr:uid="{EDBBAC69-3FB2-4340-BDF1-B6696608171B}"/>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2 9 2 2" xfId="15461" xr:uid="{66482926-2F44-48BD-8D9E-D26C44094FE5}"/>
    <cellStyle name="Currency 5 2 2 2 2 9 3" xfId="11243" xr:uid="{2F8C0078-234D-4E76-A01B-5E8A349A1BE0}"/>
    <cellStyle name="Currency 5 2 2 2 3" xfId="199" xr:uid="{00000000-0005-0000-0000-00009B0B0000}"/>
    <cellStyle name="Currency 5 2 2 2 3 10" xfId="8862" xr:uid="{4D86C8BD-2CD0-465A-8F40-A9C0373A86AD}"/>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2 2 2" xfId="15639" xr:uid="{A089811B-2A60-488C-BFE7-EB26EFFB2406}"/>
    <cellStyle name="Currency 5 2 2 2 3 2 2 3" xfId="11421" xr:uid="{6A85BF45-5ABE-444F-A741-90ED8B0A327A}"/>
    <cellStyle name="Currency 5 2 2 2 3 2 3" xfId="5059" xr:uid="{00000000-0005-0000-0000-00009F0B0000}"/>
    <cellStyle name="Currency 5 2 2 2 3 2 3 2" xfId="13494" xr:uid="{2E5F58BB-09A5-43A7-B1AC-645D7A97DC6D}"/>
    <cellStyle name="Currency 5 2 2 2 3 2 4" xfId="9276" xr:uid="{C8F38A99-024F-4FB3-8312-7ED5BFD62F22}"/>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2 2 2" xfId="16052" xr:uid="{6458ED82-0AAA-4483-86D0-188B6B347A74}"/>
    <cellStyle name="Currency 5 2 2 2 3 3 2 3" xfId="11834" xr:uid="{900AFF7D-1B0E-46A2-9C3B-FE0538FB0BDF}"/>
    <cellStyle name="Currency 5 2 2 2 3 3 3" xfId="5472" xr:uid="{00000000-0005-0000-0000-0000A30B0000}"/>
    <cellStyle name="Currency 5 2 2 2 3 3 3 2" xfId="13907" xr:uid="{760DD231-33BC-4E66-B93B-FB15701235E2}"/>
    <cellStyle name="Currency 5 2 2 2 3 3 4" xfId="9689" xr:uid="{53D14B46-3EBC-4928-9265-0FD941B9443F}"/>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2 2 2" xfId="16465" xr:uid="{B492EF37-DEE5-435E-BA9A-F7124013FED0}"/>
    <cellStyle name="Currency 5 2 2 2 3 4 2 3" xfId="12247" xr:uid="{62393A31-0C09-4318-B4AF-9884444B24B6}"/>
    <cellStyle name="Currency 5 2 2 2 3 4 3" xfId="5885" xr:uid="{00000000-0005-0000-0000-0000A70B0000}"/>
    <cellStyle name="Currency 5 2 2 2 3 4 3 2" xfId="14320" xr:uid="{5163C9FE-2892-415D-AA7B-68FF3700B891}"/>
    <cellStyle name="Currency 5 2 2 2 3 4 4" xfId="10102" xr:uid="{D1FF96C8-AEB6-4DC0-86DB-E25C00395F2B}"/>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2 2 2" xfId="16878" xr:uid="{F6C33827-A0AB-450A-B350-ACCA53BFFA01}"/>
    <cellStyle name="Currency 5 2 2 2 3 5 2 3" xfId="12660" xr:uid="{DD2B0030-6CC8-489A-9AF8-9ECF45F23EA1}"/>
    <cellStyle name="Currency 5 2 2 2 3 5 3" xfId="6298" xr:uid="{00000000-0005-0000-0000-0000AB0B0000}"/>
    <cellStyle name="Currency 5 2 2 2 3 5 3 2" xfId="14733" xr:uid="{610EBDB1-5EC5-4285-962B-1E56CC9A9F3B}"/>
    <cellStyle name="Currency 5 2 2 2 3 5 4" xfId="10515" xr:uid="{C4529687-E5E6-4935-9B18-6C0F41EAAFFE}"/>
    <cellStyle name="Currency 5 2 2 2 3 6" xfId="2426" xr:uid="{00000000-0005-0000-0000-0000AC0B0000}"/>
    <cellStyle name="Currency 5 2 2 2 3 6 2" xfId="6711" xr:uid="{00000000-0005-0000-0000-0000AD0B0000}"/>
    <cellStyle name="Currency 5 2 2 2 3 6 2 2" xfId="15146" xr:uid="{B580BA12-070D-4B7B-927B-AA363C036066}"/>
    <cellStyle name="Currency 5 2 2 2 3 6 3" xfId="10928" xr:uid="{09656189-C823-4D36-8B13-0240DA5454F9}"/>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8 2 2" xfId="15463" xr:uid="{3F05D695-464A-4681-BB05-172D6378BB23}"/>
    <cellStyle name="Currency 5 2 2 2 3 8 3" xfId="11245" xr:uid="{D87DCE99-D53B-49D3-B2F7-5E1D1B17F11A}"/>
    <cellStyle name="Currency 5 2 2 2 3 9" xfId="4645" xr:uid="{00000000-0005-0000-0000-0000B10B0000}"/>
    <cellStyle name="Currency 5 2 2 2 3 9 2" xfId="13080" xr:uid="{5A745370-E5CB-4DBD-9455-D785D7E222FB}"/>
    <cellStyle name="Currency 5 2 2 2 4" xfId="724" xr:uid="{00000000-0005-0000-0000-0000B20B0000}"/>
    <cellStyle name="Currency 5 2 2 2 4 2" xfId="2978" xr:uid="{00000000-0005-0000-0000-0000B30B0000}"/>
    <cellStyle name="Currency 5 2 2 2 4 2 2" xfId="7201" xr:uid="{00000000-0005-0000-0000-0000B40B0000}"/>
    <cellStyle name="Currency 5 2 2 2 4 2 2 2" xfId="15636" xr:uid="{8DC3A018-36BB-4C6C-B876-C45E62EE3767}"/>
    <cellStyle name="Currency 5 2 2 2 4 2 3" xfId="11418" xr:uid="{935A5726-E58A-458D-8235-F2D6E2F69848}"/>
    <cellStyle name="Currency 5 2 2 2 4 3" xfId="5056" xr:uid="{00000000-0005-0000-0000-0000B50B0000}"/>
    <cellStyle name="Currency 5 2 2 2 4 3 2" xfId="13491" xr:uid="{885A0DC0-AA4C-49DE-B20B-B946BB71B877}"/>
    <cellStyle name="Currency 5 2 2 2 4 4" xfId="9273" xr:uid="{3FF6AFAA-B036-49AE-BC3D-B9855CC9CC9C}"/>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2 2 2" xfId="16049" xr:uid="{71F139B3-9938-454F-8DF0-BFEBDC31A96A}"/>
    <cellStyle name="Currency 5 2 2 2 5 2 3" xfId="11831" xr:uid="{70A8105A-70BE-4A0D-85FE-A2E4FD6B36FD}"/>
    <cellStyle name="Currency 5 2 2 2 5 3" xfId="5469" xr:uid="{00000000-0005-0000-0000-0000B90B0000}"/>
    <cellStyle name="Currency 5 2 2 2 5 3 2" xfId="13904" xr:uid="{F23B799B-2539-4362-8510-DBBABD1ED003}"/>
    <cellStyle name="Currency 5 2 2 2 5 4" xfId="9686" xr:uid="{792BCDB7-F24A-496F-86C0-AB6C69A07DE5}"/>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2 2 2" xfId="16462" xr:uid="{8F70C76E-4B69-4600-AC22-59AD2AC4BF3B}"/>
    <cellStyle name="Currency 5 2 2 2 6 2 3" xfId="12244" xr:uid="{87F3043E-641A-409F-A0EE-05182BF97B32}"/>
    <cellStyle name="Currency 5 2 2 2 6 3" xfId="5882" xr:uid="{00000000-0005-0000-0000-0000BD0B0000}"/>
    <cellStyle name="Currency 5 2 2 2 6 3 2" xfId="14317" xr:uid="{C661334C-CA1B-4627-9789-82199BE13FE9}"/>
    <cellStyle name="Currency 5 2 2 2 6 4" xfId="10099" xr:uid="{CF6484C8-675D-4AE2-99D7-84345A83F546}"/>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2 2 2" xfId="16875" xr:uid="{4B1D8B0A-1926-41F2-BBF8-9E9C4CAF5545}"/>
    <cellStyle name="Currency 5 2 2 2 7 2 3" xfId="12657" xr:uid="{2664C4AE-EEE6-480F-951C-2BCC65B7F988}"/>
    <cellStyle name="Currency 5 2 2 2 7 3" xfId="6295" xr:uid="{00000000-0005-0000-0000-0000C10B0000}"/>
    <cellStyle name="Currency 5 2 2 2 7 3 2" xfId="14730" xr:uid="{980A143A-2205-41D6-8C72-BA9FF47DC1FD}"/>
    <cellStyle name="Currency 5 2 2 2 7 4" xfId="10512" xr:uid="{ACFD721B-53C5-4BFA-8ED0-DEC61759C3DC}"/>
    <cellStyle name="Currency 5 2 2 2 8" xfId="2423" xr:uid="{00000000-0005-0000-0000-0000C20B0000}"/>
    <cellStyle name="Currency 5 2 2 2 8 2" xfId="6708" xr:uid="{00000000-0005-0000-0000-0000C30B0000}"/>
    <cellStyle name="Currency 5 2 2 2 8 2 2" xfId="15143" xr:uid="{E55895CB-1B71-496E-B04C-2AB9E19C9F46}"/>
    <cellStyle name="Currency 5 2 2 2 8 3" xfId="10925" xr:uid="{FBC098AF-B1D6-4DBD-AE52-0DE57CB8C6D1}"/>
    <cellStyle name="Currency 5 2 2 2 9" xfId="2720" xr:uid="{00000000-0005-0000-0000-0000C40B0000}"/>
    <cellStyle name="Currency 5 2 2 3" xfId="200" xr:uid="{00000000-0005-0000-0000-0000C50B0000}"/>
    <cellStyle name="Currency 5 2 2 3 10" xfId="4646" xr:uid="{00000000-0005-0000-0000-0000C60B0000}"/>
    <cellStyle name="Currency 5 2 2 3 10 2" xfId="13081" xr:uid="{39207981-A279-4F9D-8AAD-AB8D0D85A7AC}"/>
    <cellStyle name="Currency 5 2 2 3 11" xfId="8863" xr:uid="{B917447F-E0AC-416F-A66D-41CCB467B228}"/>
    <cellStyle name="Currency 5 2 2 3 2" xfId="201" xr:uid="{00000000-0005-0000-0000-0000C70B0000}"/>
    <cellStyle name="Currency 5 2 2 3 2 10" xfId="8864" xr:uid="{A59E4ED2-F892-4817-A60E-76B881EEE5F7}"/>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2 2 2" xfId="15641" xr:uid="{7E1148BD-D5A0-4049-B891-08CC03D1C07C}"/>
    <cellStyle name="Currency 5 2 2 3 2 2 2 3" xfId="11423" xr:uid="{699CF52E-0E25-4659-B959-0A996F6D151D}"/>
    <cellStyle name="Currency 5 2 2 3 2 2 3" xfId="5061" xr:uid="{00000000-0005-0000-0000-0000CB0B0000}"/>
    <cellStyle name="Currency 5 2 2 3 2 2 3 2" xfId="13496" xr:uid="{297F2051-450D-493E-9D77-0068174B79D9}"/>
    <cellStyle name="Currency 5 2 2 3 2 2 4" xfId="9278" xr:uid="{A145A00C-B70F-4F2D-98A7-B37731D47CFF}"/>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2 2 2" xfId="16054" xr:uid="{3427A224-A605-40AF-B97E-B68C7D59D937}"/>
    <cellStyle name="Currency 5 2 2 3 2 3 2 3" xfId="11836" xr:uid="{4311F1BF-996F-4228-A65A-E41E992C2137}"/>
    <cellStyle name="Currency 5 2 2 3 2 3 3" xfId="5474" xr:uid="{00000000-0005-0000-0000-0000CF0B0000}"/>
    <cellStyle name="Currency 5 2 2 3 2 3 3 2" xfId="13909" xr:uid="{96D5F850-899A-4A65-AA87-5A54EDFF0211}"/>
    <cellStyle name="Currency 5 2 2 3 2 3 4" xfId="9691" xr:uid="{4F7F9AAE-51B3-4C5E-9AB0-B6C2B4ACD713}"/>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2 2 2" xfId="16467" xr:uid="{B255A82A-E291-4739-BFC0-8455E7357034}"/>
    <cellStyle name="Currency 5 2 2 3 2 4 2 3" xfId="12249" xr:uid="{0BF2102F-4589-49D9-A4B0-C3473CA07B6E}"/>
    <cellStyle name="Currency 5 2 2 3 2 4 3" xfId="5887" xr:uid="{00000000-0005-0000-0000-0000D30B0000}"/>
    <cellStyle name="Currency 5 2 2 3 2 4 3 2" xfId="14322" xr:uid="{A913EEA6-5AEA-44E8-96F7-128A77817E38}"/>
    <cellStyle name="Currency 5 2 2 3 2 4 4" xfId="10104" xr:uid="{2CABF833-AE90-43E3-8FE5-325F2716955F}"/>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2 2 2" xfId="16880" xr:uid="{B43BAC08-54E3-47A3-A8E4-02902FE68ED7}"/>
    <cellStyle name="Currency 5 2 2 3 2 5 2 3" xfId="12662" xr:uid="{6656A2A7-584F-4B23-B9AC-4A7111A43189}"/>
    <cellStyle name="Currency 5 2 2 3 2 5 3" xfId="6300" xr:uid="{00000000-0005-0000-0000-0000D70B0000}"/>
    <cellStyle name="Currency 5 2 2 3 2 5 3 2" xfId="14735" xr:uid="{77E2922E-AB9F-45C4-A437-1144D965D5C1}"/>
    <cellStyle name="Currency 5 2 2 3 2 5 4" xfId="10517" xr:uid="{1F9ED5AF-2087-4A33-9A8C-8A2A0079DAC5}"/>
    <cellStyle name="Currency 5 2 2 3 2 6" xfId="2428" xr:uid="{00000000-0005-0000-0000-0000D80B0000}"/>
    <cellStyle name="Currency 5 2 2 3 2 6 2" xfId="6713" xr:uid="{00000000-0005-0000-0000-0000D90B0000}"/>
    <cellStyle name="Currency 5 2 2 3 2 6 2 2" xfId="15148" xr:uid="{30783162-A2D9-4A4A-B4E4-69B8718D17A3}"/>
    <cellStyle name="Currency 5 2 2 3 2 6 3" xfId="10930" xr:uid="{A47631F9-1509-4EDE-8A95-151AE04FA5F8}"/>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8 2 2" xfId="15465" xr:uid="{F405E378-8A93-4EB4-9CB2-29C21A40131C}"/>
    <cellStyle name="Currency 5 2 2 3 2 8 3" xfId="11247" xr:uid="{6C8F5B69-0781-4D12-A388-1F42D30C70AB}"/>
    <cellStyle name="Currency 5 2 2 3 2 9" xfId="4647" xr:uid="{00000000-0005-0000-0000-0000DD0B0000}"/>
    <cellStyle name="Currency 5 2 2 3 2 9 2" xfId="13082" xr:uid="{33E84510-A4CB-4C4F-918D-3DA4ACE2CDBC}"/>
    <cellStyle name="Currency 5 2 2 3 3" xfId="728" xr:uid="{00000000-0005-0000-0000-0000DE0B0000}"/>
    <cellStyle name="Currency 5 2 2 3 3 2" xfId="2982" xr:uid="{00000000-0005-0000-0000-0000DF0B0000}"/>
    <cellStyle name="Currency 5 2 2 3 3 2 2" xfId="7205" xr:uid="{00000000-0005-0000-0000-0000E00B0000}"/>
    <cellStyle name="Currency 5 2 2 3 3 2 2 2" xfId="15640" xr:uid="{9C474D21-47DE-4278-82C6-0CDCE3879AA5}"/>
    <cellStyle name="Currency 5 2 2 3 3 2 3" xfId="11422" xr:uid="{FD19D982-BD6D-4C50-88A3-F572678F21A3}"/>
    <cellStyle name="Currency 5 2 2 3 3 3" xfId="5060" xr:uid="{00000000-0005-0000-0000-0000E10B0000}"/>
    <cellStyle name="Currency 5 2 2 3 3 3 2" xfId="13495" xr:uid="{A7EBEB00-8B7B-463E-AC6C-A764D899FC47}"/>
    <cellStyle name="Currency 5 2 2 3 3 4" xfId="9277" xr:uid="{9FC1D68D-E838-4961-A6D6-A844DD982DB5}"/>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2 2 2" xfId="16053" xr:uid="{CC2C45CE-014F-43EA-8F4D-44D94BA4F799}"/>
    <cellStyle name="Currency 5 2 2 3 4 2 3" xfId="11835" xr:uid="{5624EF8C-58D4-4581-8B50-48054BB573EB}"/>
    <cellStyle name="Currency 5 2 2 3 4 3" xfId="5473" xr:uid="{00000000-0005-0000-0000-0000E50B0000}"/>
    <cellStyle name="Currency 5 2 2 3 4 3 2" xfId="13908" xr:uid="{EE986CE9-AB69-4BD0-B32B-69A6EC1F26D7}"/>
    <cellStyle name="Currency 5 2 2 3 4 4" xfId="9690" xr:uid="{DE0371C3-462A-400E-8A70-1D8DE0F21C9F}"/>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2 2 2" xfId="16466" xr:uid="{78101603-88D1-4070-A010-5BD3F3232F2E}"/>
    <cellStyle name="Currency 5 2 2 3 5 2 3" xfId="12248" xr:uid="{2937A1EA-4F5E-4AC4-9314-1C66359C192D}"/>
    <cellStyle name="Currency 5 2 2 3 5 3" xfId="5886" xr:uid="{00000000-0005-0000-0000-0000E90B0000}"/>
    <cellStyle name="Currency 5 2 2 3 5 3 2" xfId="14321" xr:uid="{0A01CDB6-86CA-4896-B38E-A2687CA94A43}"/>
    <cellStyle name="Currency 5 2 2 3 5 4" xfId="10103" xr:uid="{8010C75A-29C9-4E6A-9BA8-6DBCDAD9C12D}"/>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2 2 2" xfId="16879" xr:uid="{ADF2CA8C-17A7-4A66-A195-F8062664A7EA}"/>
    <cellStyle name="Currency 5 2 2 3 6 2 3" xfId="12661" xr:uid="{8EBC9C92-8EC9-4F18-B098-D0E98BA58942}"/>
    <cellStyle name="Currency 5 2 2 3 6 3" xfId="6299" xr:uid="{00000000-0005-0000-0000-0000ED0B0000}"/>
    <cellStyle name="Currency 5 2 2 3 6 3 2" xfId="14734" xr:uid="{5E4EF259-2744-4AE6-9561-A9279DB8229C}"/>
    <cellStyle name="Currency 5 2 2 3 6 4" xfId="10516" xr:uid="{BF3D7647-FB79-4396-8D11-522C33CCA773}"/>
    <cellStyle name="Currency 5 2 2 3 7" xfId="2427" xr:uid="{00000000-0005-0000-0000-0000EE0B0000}"/>
    <cellStyle name="Currency 5 2 2 3 7 2" xfId="6712" xr:uid="{00000000-0005-0000-0000-0000EF0B0000}"/>
    <cellStyle name="Currency 5 2 2 3 7 2 2" xfId="15147" xr:uid="{E0BEB811-D8B8-4F23-9B23-DFD3A55D8E45}"/>
    <cellStyle name="Currency 5 2 2 3 7 3" xfId="10929" xr:uid="{BEE2D374-8A52-4357-86F2-5AF7DF2CF151}"/>
    <cellStyle name="Currency 5 2 2 3 8" xfId="2724" xr:uid="{00000000-0005-0000-0000-0000F00B0000}"/>
    <cellStyle name="Currency 5 2 2 3 9" xfId="2805" xr:uid="{00000000-0005-0000-0000-0000F10B0000}"/>
    <cellStyle name="Currency 5 2 2 3 9 2" xfId="7029" xr:uid="{00000000-0005-0000-0000-0000F20B0000}"/>
    <cellStyle name="Currency 5 2 2 3 9 2 2" xfId="15464" xr:uid="{54E13145-DC0A-4BBC-80AB-ACA25BE4D0A6}"/>
    <cellStyle name="Currency 5 2 2 3 9 3" xfId="11246" xr:uid="{1A368359-6DD0-48FA-B9D4-133CEB6A8256}"/>
    <cellStyle name="Currency 5 2 2 4" xfId="202" xr:uid="{00000000-0005-0000-0000-0000F30B0000}"/>
    <cellStyle name="Currency 5 2 2 4 10" xfId="8865" xr:uid="{17E713BC-CC63-4F15-B224-E0DDFA6B7848}"/>
    <cellStyle name="Currency 5 2 2 4 2" xfId="730" xr:uid="{00000000-0005-0000-0000-0000F40B0000}"/>
    <cellStyle name="Currency 5 2 2 4 2 2" xfId="2984" xr:uid="{00000000-0005-0000-0000-0000F50B0000}"/>
    <cellStyle name="Currency 5 2 2 4 2 2 2" xfId="7207" xr:uid="{00000000-0005-0000-0000-0000F60B0000}"/>
    <cellStyle name="Currency 5 2 2 4 2 2 2 2" xfId="15642" xr:uid="{6BB94619-B441-4BFE-AA1F-6BBB5EAD22A0}"/>
    <cellStyle name="Currency 5 2 2 4 2 2 3" xfId="11424" xr:uid="{8BC12847-D6DE-4971-848A-7A5D5E8763A7}"/>
    <cellStyle name="Currency 5 2 2 4 2 3" xfId="5062" xr:uid="{00000000-0005-0000-0000-0000F70B0000}"/>
    <cellStyle name="Currency 5 2 2 4 2 3 2" xfId="13497" xr:uid="{A15E0653-1884-430E-A235-0F079B368B02}"/>
    <cellStyle name="Currency 5 2 2 4 2 4" xfId="9279" xr:uid="{0F868DB0-B79D-4B81-837A-51226CFCD707}"/>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2 2 2" xfId="16055" xr:uid="{ECF2C271-6208-4EBC-8691-0DFBEF94933B}"/>
    <cellStyle name="Currency 5 2 2 4 3 2 3" xfId="11837" xr:uid="{8B426ADA-CA76-4334-8479-326575B33421}"/>
    <cellStyle name="Currency 5 2 2 4 3 3" xfId="5475" xr:uid="{00000000-0005-0000-0000-0000FB0B0000}"/>
    <cellStyle name="Currency 5 2 2 4 3 3 2" xfId="13910" xr:uid="{02226442-D88B-416A-AF25-A06676C1D95A}"/>
    <cellStyle name="Currency 5 2 2 4 3 4" xfId="9692" xr:uid="{271214A3-3B0A-4910-B820-005D556B4347}"/>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2 2 2" xfId="16468" xr:uid="{BBB0F370-FE87-428D-9F5E-AAD2F2A822FA}"/>
    <cellStyle name="Currency 5 2 2 4 4 2 3" xfId="12250" xr:uid="{A9862FA2-6776-48B7-83D1-262DFC1E3C7C}"/>
    <cellStyle name="Currency 5 2 2 4 4 3" xfId="5888" xr:uid="{00000000-0005-0000-0000-0000FF0B0000}"/>
    <cellStyle name="Currency 5 2 2 4 4 3 2" xfId="14323" xr:uid="{3194103D-0E35-45BC-9F49-755C240069FB}"/>
    <cellStyle name="Currency 5 2 2 4 4 4" xfId="10105" xr:uid="{EB75A0C6-73E2-4835-887A-1B2518BA4C91}"/>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2 2 2" xfId="16881" xr:uid="{AD1AF497-1E08-468E-9BF4-A8F137120A4E}"/>
    <cellStyle name="Currency 5 2 2 4 5 2 3" xfId="12663" xr:uid="{111F97A7-1334-4950-A452-45F65541D83F}"/>
    <cellStyle name="Currency 5 2 2 4 5 3" xfId="6301" xr:uid="{00000000-0005-0000-0000-0000030C0000}"/>
    <cellStyle name="Currency 5 2 2 4 5 3 2" xfId="14736" xr:uid="{286630A2-C7C4-4F96-9C01-988C85E7CD3A}"/>
    <cellStyle name="Currency 5 2 2 4 5 4" xfId="10518" xr:uid="{1A99FC2E-F75C-4DA6-B28E-27ADA39B7631}"/>
    <cellStyle name="Currency 5 2 2 4 6" xfId="2429" xr:uid="{00000000-0005-0000-0000-0000040C0000}"/>
    <cellStyle name="Currency 5 2 2 4 6 2" xfId="6714" xr:uid="{00000000-0005-0000-0000-0000050C0000}"/>
    <cellStyle name="Currency 5 2 2 4 6 2 2" xfId="15149" xr:uid="{EDD3E25E-ABDE-4C67-99B8-0105B20193E6}"/>
    <cellStyle name="Currency 5 2 2 4 6 3" xfId="10931" xr:uid="{E89DDDF1-FEDD-4E1C-B83D-749DBA22E489}"/>
    <cellStyle name="Currency 5 2 2 4 7" xfId="2726" xr:uid="{00000000-0005-0000-0000-0000060C0000}"/>
    <cellStyle name="Currency 5 2 2 4 8" xfId="2807" xr:uid="{00000000-0005-0000-0000-0000070C0000}"/>
    <cellStyle name="Currency 5 2 2 4 8 2" xfId="7031" xr:uid="{00000000-0005-0000-0000-0000080C0000}"/>
    <cellStyle name="Currency 5 2 2 4 8 2 2" xfId="15466" xr:uid="{19071BD0-96F1-4E4E-9C06-806953BDB2AB}"/>
    <cellStyle name="Currency 5 2 2 4 8 3" xfId="11248" xr:uid="{3CE00108-4E0A-495D-BDE6-755289DDD946}"/>
    <cellStyle name="Currency 5 2 2 4 9" xfId="4648" xr:uid="{00000000-0005-0000-0000-0000090C0000}"/>
    <cellStyle name="Currency 5 2 2 4 9 2" xfId="13083" xr:uid="{DAE7C46D-EC02-4DAB-93D3-CBF2D0860875}"/>
    <cellStyle name="Currency 5 2 2 5" xfId="203" xr:uid="{00000000-0005-0000-0000-00000A0C0000}"/>
    <cellStyle name="Currency 5 2 2 5 10" xfId="8866" xr:uid="{2C8BE6F4-B636-4A54-889E-93792E3D4EEB}"/>
    <cellStyle name="Currency 5 2 2 5 2" xfId="731" xr:uid="{00000000-0005-0000-0000-00000B0C0000}"/>
    <cellStyle name="Currency 5 2 2 5 2 2" xfId="2985" xr:uid="{00000000-0005-0000-0000-00000C0C0000}"/>
    <cellStyle name="Currency 5 2 2 5 2 2 2" xfId="7208" xr:uid="{00000000-0005-0000-0000-00000D0C0000}"/>
    <cellStyle name="Currency 5 2 2 5 2 2 2 2" xfId="15643" xr:uid="{092B78C7-6D9A-4BDD-A01B-606617E7FF42}"/>
    <cellStyle name="Currency 5 2 2 5 2 2 3" xfId="11425" xr:uid="{EB8C3E7C-CEDD-4A4D-B55D-475053A77D83}"/>
    <cellStyle name="Currency 5 2 2 5 2 3" xfId="5063" xr:uid="{00000000-0005-0000-0000-00000E0C0000}"/>
    <cellStyle name="Currency 5 2 2 5 2 3 2" xfId="13498" xr:uid="{07AAAAD3-48F3-4DF9-ACB7-4ADF156ED206}"/>
    <cellStyle name="Currency 5 2 2 5 2 4" xfId="9280" xr:uid="{77F17D9E-0148-47CD-A9F8-946A0011CBDB}"/>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2 2 2" xfId="16056" xr:uid="{CFD082EC-25A3-4C5E-82B2-E45215215D3E}"/>
    <cellStyle name="Currency 5 2 2 5 3 2 3" xfId="11838" xr:uid="{8F0DC335-15C4-43E5-A249-67E8387025E2}"/>
    <cellStyle name="Currency 5 2 2 5 3 3" xfId="5476" xr:uid="{00000000-0005-0000-0000-0000120C0000}"/>
    <cellStyle name="Currency 5 2 2 5 3 3 2" xfId="13911" xr:uid="{B04E3596-7B0B-44DB-A5D6-33A67D5DCB33}"/>
    <cellStyle name="Currency 5 2 2 5 3 4" xfId="9693" xr:uid="{D589CF39-F674-4F66-8B75-F5A0075A674F}"/>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2 2 2" xfId="16469" xr:uid="{050869B3-A463-4CD2-AA4A-93F0CA149AD9}"/>
    <cellStyle name="Currency 5 2 2 5 4 2 3" xfId="12251" xr:uid="{94AF121B-B0F3-435C-94CB-904EC1C92F7C}"/>
    <cellStyle name="Currency 5 2 2 5 4 3" xfId="5889" xr:uid="{00000000-0005-0000-0000-0000160C0000}"/>
    <cellStyle name="Currency 5 2 2 5 4 3 2" xfId="14324" xr:uid="{51DA50A8-387F-4D66-B0C8-8B661DA3364A}"/>
    <cellStyle name="Currency 5 2 2 5 4 4" xfId="10106" xr:uid="{DEDC0801-BD89-4B3B-AA88-2A18F4804C73}"/>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2 2 2" xfId="16882" xr:uid="{857266E4-E4AF-40DA-BFAE-7EF339A9DBA0}"/>
    <cellStyle name="Currency 5 2 2 5 5 2 3" xfId="12664" xr:uid="{6AAC41BC-2ABB-4489-A517-468136791100}"/>
    <cellStyle name="Currency 5 2 2 5 5 3" xfId="6302" xr:uid="{00000000-0005-0000-0000-00001A0C0000}"/>
    <cellStyle name="Currency 5 2 2 5 5 3 2" xfId="14737" xr:uid="{05AF9CB2-73EA-48E9-B618-499FB6FEE276}"/>
    <cellStyle name="Currency 5 2 2 5 5 4" xfId="10519" xr:uid="{B9D82BF2-619C-47A8-A3BF-4FFDE7C1B682}"/>
    <cellStyle name="Currency 5 2 2 5 6" xfId="2430" xr:uid="{00000000-0005-0000-0000-00001B0C0000}"/>
    <cellStyle name="Currency 5 2 2 5 6 2" xfId="6715" xr:uid="{00000000-0005-0000-0000-00001C0C0000}"/>
    <cellStyle name="Currency 5 2 2 5 6 2 2" xfId="15150" xr:uid="{AA49AE0E-C297-4906-A416-1126F4839E0B}"/>
    <cellStyle name="Currency 5 2 2 5 6 3" xfId="10932" xr:uid="{D3D56AE3-2CFC-485F-900E-D59D9DEEDD8C}"/>
    <cellStyle name="Currency 5 2 2 5 7" xfId="2727" xr:uid="{00000000-0005-0000-0000-00001D0C0000}"/>
    <cellStyle name="Currency 5 2 2 5 8" xfId="2808" xr:uid="{00000000-0005-0000-0000-00001E0C0000}"/>
    <cellStyle name="Currency 5 2 2 5 8 2" xfId="7032" xr:uid="{00000000-0005-0000-0000-00001F0C0000}"/>
    <cellStyle name="Currency 5 2 2 5 8 2 2" xfId="15467" xr:uid="{8521BAB3-A287-42FD-9368-156FED18270D}"/>
    <cellStyle name="Currency 5 2 2 5 8 3" xfId="11249" xr:uid="{4D03E89C-A677-475A-946F-E0AD2C547705}"/>
    <cellStyle name="Currency 5 2 2 5 9" xfId="4649" xr:uid="{00000000-0005-0000-0000-0000200C0000}"/>
    <cellStyle name="Currency 5 2 2 5 9 2" xfId="13084" xr:uid="{4BCAC4A1-9A78-47F3-AACF-979AD8DF65F3}"/>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10 2" xfId="13085" xr:uid="{DBBA661B-BF3A-44C9-B487-D044ECD5ABEC}"/>
    <cellStyle name="Currency 5 2 4 11" xfId="8867" xr:uid="{5C38DA3A-4410-4C06-9257-F42BFA4FE723}"/>
    <cellStyle name="Currency 5 2 4 2" xfId="206" xr:uid="{00000000-0005-0000-0000-0000250C0000}"/>
    <cellStyle name="Currency 5 2 4 2 10" xfId="8868" xr:uid="{79C9632D-3C0C-4BC2-AFE4-DFA043ACD933}"/>
    <cellStyle name="Currency 5 2 4 2 2" xfId="734" xr:uid="{00000000-0005-0000-0000-0000260C0000}"/>
    <cellStyle name="Currency 5 2 4 2 2 2" xfId="2987" xr:uid="{00000000-0005-0000-0000-0000270C0000}"/>
    <cellStyle name="Currency 5 2 4 2 2 2 2" xfId="7210" xr:uid="{00000000-0005-0000-0000-0000280C0000}"/>
    <cellStyle name="Currency 5 2 4 2 2 2 2 2" xfId="15645" xr:uid="{B8915D3E-C330-4D3E-97ED-F17B7998A817}"/>
    <cellStyle name="Currency 5 2 4 2 2 2 3" xfId="11427" xr:uid="{4432862E-97D4-4D69-8D6E-12E6500BBC4F}"/>
    <cellStyle name="Currency 5 2 4 2 2 3" xfId="5065" xr:uid="{00000000-0005-0000-0000-0000290C0000}"/>
    <cellStyle name="Currency 5 2 4 2 2 3 2" xfId="13500" xr:uid="{44D4F91B-995D-4422-86C3-00B69A00A5A3}"/>
    <cellStyle name="Currency 5 2 4 2 2 4" xfId="9282" xr:uid="{379D294F-13D2-4ECC-A787-305DD5A98CE5}"/>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2 2 2" xfId="16058" xr:uid="{7AF00C59-0E63-4C4A-BCB2-2E6AF49D25AF}"/>
    <cellStyle name="Currency 5 2 4 2 3 2 3" xfId="11840" xr:uid="{CBAB22E8-2D61-4A21-99B3-F6CEABDBA6FA}"/>
    <cellStyle name="Currency 5 2 4 2 3 3" xfId="5478" xr:uid="{00000000-0005-0000-0000-00002D0C0000}"/>
    <cellStyle name="Currency 5 2 4 2 3 3 2" xfId="13913" xr:uid="{58EF6983-5FAD-414A-84AB-431FE3D6C7ED}"/>
    <cellStyle name="Currency 5 2 4 2 3 4" xfId="9695" xr:uid="{6F8D3A6D-D5A1-4634-83D3-7CCCF6384C6E}"/>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2 2 2" xfId="16471" xr:uid="{C8836C47-A93A-4108-9CEF-AA59A9BE3B1A}"/>
    <cellStyle name="Currency 5 2 4 2 4 2 3" xfId="12253" xr:uid="{00F37707-D401-44D5-90EC-CD2681126B72}"/>
    <cellStyle name="Currency 5 2 4 2 4 3" xfId="5891" xr:uid="{00000000-0005-0000-0000-0000310C0000}"/>
    <cellStyle name="Currency 5 2 4 2 4 3 2" xfId="14326" xr:uid="{449B3C52-BAFE-42AD-9ACE-7707E507C0F0}"/>
    <cellStyle name="Currency 5 2 4 2 4 4" xfId="10108" xr:uid="{958DC92D-F158-4FAB-AFA5-E587603D7B58}"/>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2 2 2" xfId="16884" xr:uid="{1C486906-A524-46E8-873A-2F1143466F8F}"/>
    <cellStyle name="Currency 5 2 4 2 5 2 3" xfId="12666" xr:uid="{D54F8B2E-92A0-4056-947D-2739843CE6E6}"/>
    <cellStyle name="Currency 5 2 4 2 5 3" xfId="6304" xr:uid="{00000000-0005-0000-0000-0000350C0000}"/>
    <cellStyle name="Currency 5 2 4 2 5 3 2" xfId="14739" xr:uid="{56380C2D-970B-4B4D-8901-9C51D3793908}"/>
    <cellStyle name="Currency 5 2 4 2 5 4" xfId="10521" xr:uid="{E453C51D-CEDA-4ABD-86DC-FBBA0EF93EA7}"/>
    <cellStyle name="Currency 5 2 4 2 6" xfId="2432" xr:uid="{00000000-0005-0000-0000-0000360C0000}"/>
    <cellStyle name="Currency 5 2 4 2 6 2" xfId="6717" xr:uid="{00000000-0005-0000-0000-0000370C0000}"/>
    <cellStyle name="Currency 5 2 4 2 6 2 2" xfId="15152" xr:uid="{0D70B191-CB88-412A-B4EF-A100F2AC8B13}"/>
    <cellStyle name="Currency 5 2 4 2 6 3" xfId="10934" xr:uid="{7484C701-795C-4F64-B81C-C70574DEFC4D}"/>
    <cellStyle name="Currency 5 2 4 2 7" xfId="2729" xr:uid="{00000000-0005-0000-0000-0000380C0000}"/>
    <cellStyle name="Currency 5 2 4 2 8" xfId="2810" xr:uid="{00000000-0005-0000-0000-0000390C0000}"/>
    <cellStyle name="Currency 5 2 4 2 8 2" xfId="7034" xr:uid="{00000000-0005-0000-0000-00003A0C0000}"/>
    <cellStyle name="Currency 5 2 4 2 8 2 2" xfId="15469" xr:uid="{E5A13D71-8DB0-4330-A2CA-CA8C1CDDEBAD}"/>
    <cellStyle name="Currency 5 2 4 2 8 3" xfId="11251" xr:uid="{26C1E481-C095-4B42-AB02-10504474F40B}"/>
    <cellStyle name="Currency 5 2 4 2 9" xfId="4651" xr:uid="{00000000-0005-0000-0000-00003B0C0000}"/>
    <cellStyle name="Currency 5 2 4 2 9 2" xfId="13086" xr:uid="{C450ACA4-6DF6-44A6-BBB1-C055EF95ABC0}"/>
    <cellStyle name="Currency 5 2 4 3" xfId="733" xr:uid="{00000000-0005-0000-0000-00003C0C0000}"/>
    <cellStyle name="Currency 5 2 4 3 2" xfId="2986" xr:uid="{00000000-0005-0000-0000-00003D0C0000}"/>
    <cellStyle name="Currency 5 2 4 3 2 2" xfId="7209" xr:uid="{00000000-0005-0000-0000-00003E0C0000}"/>
    <cellStyle name="Currency 5 2 4 3 2 2 2" xfId="15644" xr:uid="{6BEA7657-BC5C-4557-903B-839534789B47}"/>
    <cellStyle name="Currency 5 2 4 3 2 3" xfId="11426" xr:uid="{34D13F9C-E271-4758-A61E-EEC630DEEE16}"/>
    <cellStyle name="Currency 5 2 4 3 3" xfId="5064" xr:uid="{00000000-0005-0000-0000-00003F0C0000}"/>
    <cellStyle name="Currency 5 2 4 3 3 2" xfId="13499" xr:uid="{691CE6A7-A235-4A90-97E7-9CBA98E0D54D}"/>
    <cellStyle name="Currency 5 2 4 3 4" xfId="9281" xr:uid="{05056FA5-215C-460A-B6B1-9921787B82E2}"/>
    <cellStyle name="Currency 5 2 4 4" xfId="1168" xr:uid="{00000000-0005-0000-0000-0000400C0000}"/>
    <cellStyle name="Currency 5 2 4 4 2" xfId="3399" xr:uid="{00000000-0005-0000-0000-0000410C0000}"/>
    <cellStyle name="Currency 5 2 4 4 2 2" xfId="7622" xr:uid="{00000000-0005-0000-0000-0000420C0000}"/>
    <cellStyle name="Currency 5 2 4 4 2 2 2" xfId="16057" xr:uid="{8C48260F-B14A-4040-8FE1-891CF5EF7E79}"/>
    <cellStyle name="Currency 5 2 4 4 2 3" xfId="11839" xr:uid="{E11035C7-4454-45A4-A0E2-5470FC0DC48E}"/>
    <cellStyle name="Currency 5 2 4 4 3" xfId="5477" xr:uid="{00000000-0005-0000-0000-0000430C0000}"/>
    <cellStyle name="Currency 5 2 4 4 3 2" xfId="13912" xr:uid="{EDA95EB9-110E-4A2E-BC6E-D489F21C7CAF}"/>
    <cellStyle name="Currency 5 2 4 4 4" xfId="9694" xr:uid="{A1E04AF7-E167-4BD0-AF21-4D2415BB0A2C}"/>
    <cellStyle name="Currency 5 2 4 5" xfId="1582" xr:uid="{00000000-0005-0000-0000-0000440C0000}"/>
    <cellStyle name="Currency 5 2 4 5 2" xfId="3812" xr:uid="{00000000-0005-0000-0000-0000450C0000}"/>
    <cellStyle name="Currency 5 2 4 5 2 2" xfId="8035" xr:uid="{00000000-0005-0000-0000-0000460C0000}"/>
    <cellStyle name="Currency 5 2 4 5 2 2 2" xfId="16470" xr:uid="{5A54FBE1-9C55-4B30-911C-35FE704A61C3}"/>
    <cellStyle name="Currency 5 2 4 5 2 3" xfId="12252" xr:uid="{CFCC741F-0B35-4BA9-B2BD-4261B65C97C1}"/>
    <cellStyle name="Currency 5 2 4 5 3" xfId="5890" xr:uid="{00000000-0005-0000-0000-0000470C0000}"/>
    <cellStyle name="Currency 5 2 4 5 3 2" xfId="14325" xr:uid="{D45CDB05-84EB-44D4-9D9A-BCEE73BEA02B}"/>
    <cellStyle name="Currency 5 2 4 5 4" xfId="10107" xr:uid="{D0180134-7F63-405B-9932-F0578C1508F9}"/>
    <cellStyle name="Currency 5 2 4 6" xfId="1996" xr:uid="{00000000-0005-0000-0000-0000480C0000}"/>
    <cellStyle name="Currency 5 2 4 6 2" xfId="4225" xr:uid="{00000000-0005-0000-0000-0000490C0000}"/>
    <cellStyle name="Currency 5 2 4 6 2 2" xfId="8448" xr:uid="{00000000-0005-0000-0000-00004A0C0000}"/>
    <cellStyle name="Currency 5 2 4 6 2 2 2" xfId="16883" xr:uid="{1E6A179D-3225-46D8-BAC8-5073FB58816C}"/>
    <cellStyle name="Currency 5 2 4 6 2 3" xfId="12665" xr:uid="{DA44A9BE-ED96-4FE4-97E5-E0C41B770D66}"/>
    <cellStyle name="Currency 5 2 4 6 3" xfId="6303" xr:uid="{00000000-0005-0000-0000-00004B0C0000}"/>
    <cellStyle name="Currency 5 2 4 6 3 2" xfId="14738" xr:uid="{406C9978-F6F2-44F5-933B-36473CBEE307}"/>
    <cellStyle name="Currency 5 2 4 6 4" xfId="10520" xr:uid="{E552F902-FFD1-4932-AA3E-50E37C35ADED}"/>
    <cellStyle name="Currency 5 2 4 7" xfId="2431" xr:uid="{00000000-0005-0000-0000-00004C0C0000}"/>
    <cellStyle name="Currency 5 2 4 7 2" xfId="6716" xr:uid="{00000000-0005-0000-0000-00004D0C0000}"/>
    <cellStyle name="Currency 5 2 4 7 2 2" xfId="15151" xr:uid="{89141FF2-053D-49FF-9676-F356F87A815F}"/>
    <cellStyle name="Currency 5 2 4 7 3" xfId="10933" xr:uid="{BA750C07-15C2-42D7-AB2E-7A516FF3701F}"/>
    <cellStyle name="Currency 5 2 4 8" xfId="2728" xr:uid="{00000000-0005-0000-0000-00004E0C0000}"/>
    <cellStyle name="Currency 5 2 4 9" xfId="2809" xr:uid="{00000000-0005-0000-0000-00004F0C0000}"/>
    <cellStyle name="Currency 5 2 4 9 2" xfId="7033" xr:uid="{00000000-0005-0000-0000-0000500C0000}"/>
    <cellStyle name="Currency 5 2 4 9 2 2" xfId="15468" xr:uid="{A1602CE0-B8E7-41B3-A81B-5C05515FC035}"/>
    <cellStyle name="Currency 5 2 4 9 3" xfId="11250" xr:uid="{B17E86B5-61E6-41FC-A711-C279B69E6CC6}"/>
    <cellStyle name="Currency 5 2 5" xfId="207" xr:uid="{00000000-0005-0000-0000-0000510C0000}"/>
    <cellStyle name="Currency 5 2 5 10" xfId="8869" xr:uid="{28C952DE-CBE9-418C-B0A0-5DD66A304E72}"/>
    <cellStyle name="Currency 5 2 5 2" xfId="735" xr:uid="{00000000-0005-0000-0000-0000520C0000}"/>
    <cellStyle name="Currency 5 2 5 2 2" xfId="2988" xr:uid="{00000000-0005-0000-0000-0000530C0000}"/>
    <cellStyle name="Currency 5 2 5 2 2 2" xfId="7211" xr:uid="{00000000-0005-0000-0000-0000540C0000}"/>
    <cellStyle name="Currency 5 2 5 2 2 2 2" xfId="15646" xr:uid="{8EA4FEB8-0BD6-4F9E-BBF9-F66939002CB8}"/>
    <cellStyle name="Currency 5 2 5 2 2 3" xfId="11428" xr:uid="{F4AF8D9D-6E91-4584-BECB-C928D803E582}"/>
    <cellStyle name="Currency 5 2 5 2 3" xfId="5066" xr:uid="{00000000-0005-0000-0000-0000550C0000}"/>
    <cellStyle name="Currency 5 2 5 2 3 2" xfId="13501" xr:uid="{89BA2619-A509-4CBA-BBD1-35B6CE84ECC4}"/>
    <cellStyle name="Currency 5 2 5 2 4" xfId="9283" xr:uid="{177F1950-12E5-432D-ACA5-998A65845DC0}"/>
    <cellStyle name="Currency 5 2 5 3" xfId="1170" xr:uid="{00000000-0005-0000-0000-0000560C0000}"/>
    <cellStyle name="Currency 5 2 5 3 2" xfId="3401" xr:uid="{00000000-0005-0000-0000-0000570C0000}"/>
    <cellStyle name="Currency 5 2 5 3 2 2" xfId="7624" xr:uid="{00000000-0005-0000-0000-0000580C0000}"/>
    <cellStyle name="Currency 5 2 5 3 2 2 2" xfId="16059" xr:uid="{9AE367AE-E441-4D8F-AA78-EAB7600F33CF}"/>
    <cellStyle name="Currency 5 2 5 3 2 3" xfId="11841" xr:uid="{ED4473D0-A664-4821-A0AD-326297AE23E6}"/>
    <cellStyle name="Currency 5 2 5 3 3" xfId="5479" xr:uid="{00000000-0005-0000-0000-0000590C0000}"/>
    <cellStyle name="Currency 5 2 5 3 3 2" xfId="13914" xr:uid="{27736F70-DF0D-4B5A-AC69-FED49C34525D}"/>
    <cellStyle name="Currency 5 2 5 3 4" xfId="9696" xr:uid="{CB0E2B4B-2DD0-4058-A517-8094306C876F}"/>
    <cellStyle name="Currency 5 2 5 4" xfId="1584" xr:uid="{00000000-0005-0000-0000-00005A0C0000}"/>
    <cellStyle name="Currency 5 2 5 4 2" xfId="3814" xr:uid="{00000000-0005-0000-0000-00005B0C0000}"/>
    <cellStyle name="Currency 5 2 5 4 2 2" xfId="8037" xr:uid="{00000000-0005-0000-0000-00005C0C0000}"/>
    <cellStyle name="Currency 5 2 5 4 2 2 2" xfId="16472" xr:uid="{809CCC3D-78D3-4CB8-AE5D-1559E4FA4EC2}"/>
    <cellStyle name="Currency 5 2 5 4 2 3" xfId="12254" xr:uid="{F3480800-86E1-47D5-AAF3-751953C3017B}"/>
    <cellStyle name="Currency 5 2 5 4 3" xfId="5892" xr:uid="{00000000-0005-0000-0000-00005D0C0000}"/>
    <cellStyle name="Currency 5 2 5 4 3 2" xfId="14327" xr:uid="{C66B8F82-8D46-4F41-8235-43E77104CFDD}"/>
    <cellStyle name="Currency 5 2 5 4 4" xfId="10109" xr:uid="{C35847CA-6737-4F25-81DE-3B3E8EF24DA0}"/>
    <cellStyle name="Currency 5 2 5 5" xfId="1998" xr:uid="{00000000-0005-0000-0000-00005E0C0000}"/>
    <cellStyle name="Currency 5 2 5 5 2" xfId="4227" xr:uid="{00000000-0005-0000-0000-00005F0C0000}"/>
    <cellStyle name="Currency 5 2 5 5 2 2" xfId="8450" xr:uid="{00000000-0005-0000-0000-0000600C0000}"/>
    <cellStyle name="Currency 5 2 5 5 2 2 2" xfId="16885" xr:uid="{537A0871-B6A0-49B8-B632-CD5DA19D3142}"/>
    <cellStyle name="Currency 5 2 5 5 2 3" xfId="12667" xr:uid="{524D05AA-66A4-4B59-8926-2C2F209019F1}"/>
    <cellStyle name="Currency 5 2 5 5 3" xfId="6305" xr:uid="{00000000-0005-0000-0000-0000610C0000}"/>
    <cellStyle name="Currency 5 2 5 5 3 2" xfId="14740" xr:uid="{5E8840F6-C157-440B-B4C0-802A504FE631}"/>
    <cellStyle name="Currency 5 2 5 5 4" xfId="10522" xr:uid="{71985D8B-F700-4266-BCBB-9BE362273692}"/>
    <cellStyle name="Currency 5 2 5 6" xfId="2433" xr:uid="{00000000-0005-0000-0000-0000620C0000}"/>
    <cellStyle name="Currency 5 2 5 6 2" xfId="6718" xr:uid="{00000000-0005-0000-0000-0000630C0000}"/>
    <cellStyle name="Currency 5 2 5 6 2 2" xfId="15153" xr:uid="{963F03CF-294B-4B1D-B1A4-B1237D721A7B}"/>
    <cellStyle name="Currency 5 2 5 6 3" xfId="10935" xr:uid="{663E5222-CB05-4BFC-B4D4-0642B992DE01}"/>
    <cellStyle name="Currency 5 2 5 7" xfId="2730" xr:uid="{00000000-0005-0000-0000-0000640C0000}"/>
    <cellStyle name="Currency 5 2 5 8" xfId="2811" xr:uid="{00000000-0005-0000-0000-0000650C0000}"/>
    <cellStyle name="Currency 5 2 5 8 2" xfId="7035" xr:uid="{00000000-0005-0000-0000-0000660C0000}"/>
    <cellStyle name="Currency 5 2 5 8 2 2" xfId="15470" xr:uid="{851E03DC-94FD-4469-B030-B3904A31EC81}"/>
    <cellStyle name="Currency 5 2 5 8 3" xfId="11252" xr:uid="{7322B881-ECF9-446A-B280-A8F64BF91D9D}"/>
    <cellStyle name="Currency 5 2 5 9" xfId="4652" xr:uid="{00000000-0005-0000-0000-0000670C0000}"/>
    <cellStyle name="Currency 5 2 5 9 2" xfId="13087" xr:uid="{1A3D2D2E-450F-42EC-AC1B-AF6E05C97430}"/>
    <cellStyle name="Currency 5 2 6" xfId="208" xr:uid="{00000000-0005-0000-0000-0000680C0000}"/>
    <cellStyle name="Currency 5 2 6 10" xfId="8870" xr:uid="{A39AA4A4-6030-4345-A4C2-EDA8B1C1D7B0}"/>
    <cellStyle name="Currency 5 2 6 2" xfId="736" xr:uid="{00000000-0005-0000-0000-0000690C0000}"/>
    <cellStyle name="Currency 5 2 6 2 2" xfId="2989" xr:uid="{00000000-0005-0000-0000-00006A0C0000}"/>
    <cellStyle name="Currency 5 2 6 2 2 2" xfId="7212" xr:uid="{00000000-0005-0000-0000-00006B0C0000}"/>
    <cellStyle name="Currency 5 2 6 2 2 2 2" xfId="15647" xr:uid="{3DC6C76A-F0A1-48E5-8B9A-0A071CC35EC1}"/>
    <cellStyle name="Currency 5 2 6 2 2 3" xfId="11429" xr:uid="{B7429B1E-ADCC-42B8-AB15-978C0B91C671}"/>
    <cellStyle name="Currency 5 2 6 2 3" xfId="5067" xr:uid="{00000000-0005-0000-0000-00006C0C0000}"/>
    <cellStyle name="Currency 5 2 6 2 3 2" xfId="13502" xr:uid="{FB69CEBB-BA8E-4BD6-964E-9F59D57FA112}"/>
    <cellStyle name="Currency 5 2 6 2 4" xfId="9284" xr:uid="{BA6B6A91-BDC2-424E-877E-CB1A0C6D397A}"/>
    <cellStyle name="Currency 5 2 6 3" xfId="1171" xr:uid="{00000000-0005-0000-0000-00006D0C0000}"/>
    <cellStyle name="Currency 5 2 6 3 2" xfId="3402" xr:uid="{00000000-0005-0000-0000-00006E0C0000}"/>
    <cellStyle name="Currency 5 2 6 3 2 2" xfId="7625" xr:uid="{00000000-0005-0000-0000-00006F0C0000}"/>
    <cellStyle name="Currency 5 2 6 3 2 2 2" xfId="16060" xr:uid="{0FC82E49-390F-4CC0-98EA-15E4024E9840}"/>
    <cellStyle name="Currency 5 2 6 3 2 3" xfId="11842" xr:uid="{39303BD9-BEE1-4857-9F9F-17EACEC56D97}"/>
    <cellStyle name="Currency 5 2 6 3 3" xfId="5480" xr:uid="{00000000-0005-0000-0000-0000700C0000}"/>
    <cellStyle name="Currency 5 2 6 3 3 2" xfId="13915" xr:uid="{BC13D204-B72B-48E0-8614-EAAC3DDFEBAA}"/>
    <cellStyle name="Currency 5 2 6 3 4" xfId="9697" xr:uid="{ECD0EAD4-DF5B-49D5-82BD-F4374CC3B39F}"/>
    <cellStyle name="Currency 5 2 6 4" xfId="1585" xr:uid="{00000000-0005-0000-0000-0000710C0000}"/>
    <cellStyle name="Currency 5 2 6 4 2" xfId="3815" xr:uid="{00000000-0005-0000-0000-0000720C0000}"/>
    <cellStyle name="Currency 5 2 6 4 2 2" xfId="8038" xr:uid="{00000000-0005-0000-0000-0000730C0000}"/>
    <cellStyle name="Currency 5 2 6 4 2 2 2" xfId="16473" xr:uid="{6D360725-61C5-4D04-8DEB-D686DB6A1033}"/>
    <cellStyle name="Currency 5 2 6 4 2 3" xfId="12255" xr:uid="{6D7C8FF2-3548-42C2-849C-C52C971DED47}"/>
    <cellStyle name="Currency 5 2 6 4 3" xfId="5893" xr:uid="{00000000-0005-0000-0000-0000740C0000}"/>
    <cellStyle name="Currency 5 2 6 4 3 2" xfId="14328" xr:uid="{6D11ACF2-2E3E-4848-B1A9-5EF7AA5F61A4}"/>
    <cellStyle name="Currency 5 2 6 4 4" xfId="10110" xr:uid="{97319AFE-EA49-4B1E-867E-CAA9174314EC}"/>
    <cellStyle name="Currency 5 2 6 5" xfId="1999" xr:uid="{00000000-0005-0000-0000-0000750C0000}"/>
    <cellStyle name="Currency 5 2 6 5 2" xfId="4228" xr:uid="{00000000-0005-0000-0000-0000760C0000}"/>
    <cellStyle name="Currency 5 2 6 5 2 2" xfId="8451" xr:uid="{00000000-0005-0000-0000-0000770C0000}"/>
    <cellStyle name="Currency 5 2 6 5 2 2 2" xfId="16886" xr:uid="{47A01E2F-C328-480C-8F89-9883CC111868}"/>
    <cellStyle name="Currency 5 2 6 5 2 3" xfId="12668" xr:uid="{B63B09F1-495C-47E0-B9BB-04071F318926}"/>
    <cellStyle name="Currency 5 2 6 5 3" xfId="6306" xr:uid="{00000000-0005-0000-0000-0000780C0000}"/>
    <cellStyle name="Currency 5 2 6 5 3 2" xfId="14741" xr:uid="{0BC27F3E-F566-4372-94EA-B351401B8D5B}"/>
    <cellStyle name="Currency 5 2 6 5 4" xfId="10523" xr:uid="{157A7422-1C4B-4FDC-ADBD-22CF98206DAD}"/>
    <cellStyle name="Currency 5 2 6 6" xfId="2434" xr:uid="{00000000-0005-0000-0000-0000790C0000}"/>
    <cellStyle name="Currency 5 2 6 6 2" xfId="6719" xr:uid="{00000000-0005-0000-0000-00007A0C0000}"/>
    <cellStyle name="Currency 5 2 6 6 2 2" xfId="15154" xr:uid="{188ED3A0-0AA7-4A92-8ECE-B62F63898C9B}"/>
    <cellStyle name="Currency 5 2 6 6 3" xfId="10936" xr:uid="{F97C277B-426D-4763-A532-E8EF575AED2B}"/>
    <cellStyle name="Currency 5 2 6 7" xfId="2731" xr:uid="{00000000-0005-0000-0000-00007B0C0000}"/>
    <cellStyle name="Currency 5 2 6 8" xfId="2812" xr:uid="{00000000-0005-0000-0000-00007C0C0000}"/>
    <cellStyle name="Currency 5 2 6 8 2" xfId="7036" xr:uid="{00000000-0005-0000-0000-00007D0C0000}"/>
    <cellStyle name="Currency 5 2 6 8 2 2" xfId="15471" xr:uid="{38BC4B9A-8510-4D5A-881D-063180216EBB}"/>
    <cellStyle name="Currency 5 2 6 8 3" xfId="11253" xr:uid="{B4915F26-17B1-452D-AE55-A5E17C7BC703}"/>
    <cellStyle name="Currency 5 2 6 9" xfId="4653" xr:uid="{00000000-0005-0000-0000-00007E0C0000}"/>
    <cellStyle name="Currency 5 2 6 9 2" xfId="13088" xr:uid="{1039EE2A-C453-4979-8CD9-92684F70CA0C}"/>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0 2 2" xfId="15472" xr:uid="{2A06D040-9571-4EDE-B2E6-82894F802E8B}"/>
    <cellStyle name="Currency 5 3 2 10 3" xfId="11254" xr:uid="{0455CD40-8189-4E62-8EAE-A97DC0CB6AFC}"/>
    <cellStyle name="Currency 5 3 2 11" xfId="4654" xr:uid="{00000000-0005-0000-0000-0000840C0000}"/>
    <cellStyle name="Currency 5 3 2 11 2" xfId="13089" xr:uid="{C1C86E4D-CFF1-4C83-8082-16C35D85C2E1}"/>
    <cellStyle name="Currency 5 3 2 12" xfId="8871" xr:uid="{6D939F1F-2E1A-4A05-887D-37AA9C949260}"/>
    <cellStyle name="Currency 5 3 2 2" xfId="211" xr:uid="{00000000-0005-0000-0000-0000850C0000}"/>
    <cellStyle name="Currency 5 3 2 2 10" xfId="4655" xr:uid="{00000000-0005-0000-0000-0000860C0000}"/>
    <cellStyle name="Currency 5 3 2 2 10 2" xfId="13090" xr:uid="{77B76A0C-79AC-4DEE-82A9-D01B2EC7361D}"/>
    <cellStyle name="Currency 5 3 2 2 11" xfId="8872" xr:uid="{C5DB86D7-4DE4-4509-B0FA-C3E30B4F9656}"/>
    <cellStyle name="Currency 5 3 2 2 2" xfId="212" xr:uid="{00000000-0005-0000-0000-0000870C0000}"/>
    <cellStyle name="Currency 5 3 2 2 2 10" xfId="8873" xr:uid="{D354A458-B957-4D00-82A5-0E9F5C20B758}"/>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2 2 2" xfId="15650" xr:uid="{86928143-B385-491B-B379-6476CB372EBF}"/>
    <cellStyle name="Currency 5 3 2 2 2 2 2 3" xfId="11432" xr:uid="{9E4A5509-572C-4B2A-ABE7-0B2C6E42367D}"/>
    <cellStyle name="Currency 5 3 2 2 2 2 3" xfId="5070" xr:uid="{00000000-0005-0000-0000-00008B0C0000}"/>
    <cellStyle name="Currency 5 3 2 2 2 2 3 2" xfId="13505" xr:uid="{31711687-00A7-4045-98F4-925C2BB708CB}"/>
    <cellStyle name="Currency 5 3 2 2 2 2 4" xfId="9287" xr:uid="{D3222DCE-D57F-4175-87F8-CB4A0024C698}"/>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2 2 2" xfId="16063" xr:uid="{AAD79D44-B23E-4C4E-A627-97DD8D43A7D5}"/>
    <cellStyle name="Currency 5 3 2 2 2 3 2 3" xfId="11845" xr:uid="{67D9EF1B-0986-4B14-993E-B35C5B28F73F}"/>
    <cellStyle name="Currency 5 3 2 2 2 3 3" xfId="5483" xr:uid="{00000000-0005-0000-0000-00008F0C0000}"/>
    <cellStyle name="Currency 5 3 2 2 2 3 3 2" xfId="13918" xr:uid="{1928FC5B-4676-4F6B-84B2-B199E505C05A}"/>
    <cellStyle name="Currency 5 3 2 2 2 3 4" xfId="9700" xr:uid="{FBE57F5A-F944-433B-9B6D-33F91CA38EFD}"/>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2 2 2" xfId="16476" xr:uid="{BB7EDDCD-8C13-482E-8E7E-C5FA5F4B6B5B}"/>
    <cellStyle name="Currency 5 3 2 2 2 4 2 3" xfId="12258" xr:uid="{67204D58-137A-484A-A5D9-FB7C97C725DE}"/>
    <cellStyle name="Currency 5 3 2 2 2 4 3" xfId="5896" xr:uid="{00000000-0005-0000-0000-0000930C0000}"/>
    <cellStyle name="Currency 5 3 2 2 2 4 3 2" xfId="14331" xr:uid="{83BAAEC0-3CBD-43C4-AE74-2FE3FDE26E7F}"/>
    <cellStyle name="Currency 5 3 2 2 2 4 4" xfId="10113" xr:uid="{FC2C4AC0-3E10-484C-8B53-CC637E020B21}"/>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2 2 2" xfId="16889" xr:uid="{C910293C-3C51-49F5-A47D-2BF19479AD1B}"/>
    <cellStyle name="Currency 5 3 2 2 2 5 2 3" xfId="12671" xr:uid="{3EDE8404-83A7-4CEC-9672-F141306C666D}"/>
    <cellStyle name="Currency 5 3 2 2 2 5 3" xfId="6309" xr:uid="{00000000-0005-0000-0000-0000970C0000}"/>
    <cellStyle name="Currency 5 3 2 2 2 5 3 2" xfId="14744" xr:uid="{1A19F736-BDC9-4622-BBFA-831589663B20}"/>
    <cellStyle name="Currency 5 3 2 2 2 5 4" xfId="10526" xr:uid="{8D0F34CE-6CEE-4062-B6EE-60E165E79206}"/>
    <cellStyle name="Currency 5 3 2 2 2 6" xfId="2437" xr:uid="{00000000-0005-0000-0000-0000980C0000}"/>
    <cellStyle name="Currency 5 3 2 2 2 6 2" xfId="6722" xr:uid="{00000000-0005-0000-0000-0000990C0000}"/>
    <cellStyle name="Currency 5 3 2 2 2 6 2 2" xfId="15157" xr:uid="{EE8BE55C-1C1C-4462-9828-3C2A6326AE14}"/>
    <cellStyle name="Currency 5 3 2 2 2 6 3" xfId="10939" xr:uid="{56221471-7631-42DC-B538-E85B706FD49D}"/>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8 2 2" xfId="15474" xr:uid="{73D682BC-0E4F-43D8-A4C9-7E53F8737C07}"/>
    <cellStyle name="Currency 5 3 2 2 2 8 3" xfId="11256" xr:uid="{54974AA0-F41A-4B7B-9BE3-251A02C8623A}"/>
    <cellStyle name="Currency 5 3 2 2 2 9" xfId="4656" xr:uid="{00000000-0005-0000-0000-00009D0C0000}"/>
    <cellStyle name="Currency 5 3 2 2 2 9 2" xfId="13091" xr:uid="{6EEBD982-37A7-4DF8-8565-547A762BD7D7}"/>
    <cellStyle name="Currency 5 3 2 2 3" xfId="738" xr:uid="{00000000-0005-0000-0000-00009E0C0000}"/>
    <cellStyle name="Currency 5 3 2 2 3 2" xfId="2991" xr:uid="{00000000-0005-0000-0000-00009F0C0000}"/>
    <cellStyle name="Currency 5 3 2 2 3 2 2" xfId="7214" xr:uid="{00000000-0005-0000-0000-0000A00C0000}"/>
    <cellStyle name="Currency 5 3 2 2 3 2 2 2" xfId="15649" xr:uid="{D5595F74-4B1A-44B3-A0A8-4DCD5284942D}"/>
    <cellStyle name="Currency 5 3 2 2 3 2 3" xfId="11431" xr:uid="{A314C38D-14E4-49F8-B27D-2B4FEE986A15}"/>
    <cellStyle name="Currency 5 3 2 2 3 3" xfId="5069" xr:uid="{00000000-0005-0000-0000-0000A10C0000}"/>
    <cellStyle name="Currency 5 3 2 2 3 3 2" xfId="13504" xr:uid="{28055803-ED74-455F-9B02-2D11B2D96D2A}"/>
    <cellStyle name="Currency 5 3 2 2 3 4" xfId="9286" xr:uid="{1405BDB7-FFF6-4206-A3A9-0C9D9EA43668}"/>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2 2 2" xfId="16062" xr:uid="{BC4B5CF6-896C-47FF-8619-43001DC216E6}"/>
    <cellStyle name="Currency 5 3 2 2 4 2 3" xfId="11844" xr:uid="{802EFE30-FD2E-4297-A5BE-D7903C6681F0}"/>
    <cellStyle name="Currency 5 3 2 2 4 3" xfId="5482" xr:uid="{00000000-0005-0000-0000-0000A50C0000}"/>
    <cellStyle name="Currency 5 3 2 2 4 3 2" xfId="13917" xr:uid="{F89F7FF0-3DC6-41AB-99CD-7A068DFB2A62}"/>
    <cellStyle name="Currency 5 3 2 2 4 4" xfId="9699" xr:uid="{42C90BD6-8B5B-4F78-909F-E17C5BA48E5D}"/>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2 2 2" xfId="16475" xr:uid="{031A9BE5-A75B-4C99-A9DB-AE980E37601F}"/>
    <cellStyle name="Currency 5 3 2 2 5 2 3" xfId="12257" xr:uid="{92E0CC6E-EBB2-40CA-A780-0E3640389F51}"/>
    <cellStyle name="Currency 5 3 2 2 5 3" xfId="5895" xr:uid="{00000000-0005-0000-0000-0000A90C0000}"/>
    <cellStyle name="Currency 5 3 2 2 5 3 2" xfId="14330" xr:uid="{C0685EEF-C544-4217-A99A-5A869993B700}"/>
    <cellStyle name="Currency 5 3 2 2 5 4" xfId="10112" xr:uid="{A371BC16-25E7-4043-AADF-CF598A24E51D}"/>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2 2 2" xfId="16888" xr:uid="{D8835463-88EB-4C7F-B1D4-FDF35A67172C}"/>
    <cellStyle name="Currency 5 3 2 2 6 2 3" xfId="12670" xr:uid="{E08C8E92-DF2D-4209-B716-FD8F8B1C57E4}"/>
    <cellStyle name="Currency 5 3 2 2 6 3" xfId="6308" xr:uid="{00000000-0005-0000-0000-0000AD0C0000}"/>
    <cellStyle name="Currency 5 3 2 2 6 3 2" xfId="14743" xr:uid="{61A357E7-980F-4AC8-9407-F040E7050841}"/>
    <cellStyle name="Currency 5 3 2 2 6 4" xfId="10525" xr:uid="{9AD67A73-C681-47C9-92EF-9FAB7C3E2AA9}"/>
    <cellStyle name="Currency 5 3 2 2 7" xfId="2436" xr:uid="{00000000-0005-0000-0000-0000AE0C0000}"/>
    <cellStyle name="Currency 5 3 2 2 7 2" xfId="6721" xr:uid="{00000000-0005-0000-0000-0000AF0C0000}"/>
    <cellStyle name="Currency 5 3 2 2 7 2 2" xfId="15156" xr:uid="{A319DBDF-F68E-43C8-A0CB-E69A82D2430C}"/>
    <cellStyle name="Currency 5 3 2 2 7 3" xfId="10938" xr:uid="{3F2751DB-87C2-420D-94BF-DD3CCCDA18BD}"/>
    <cellStyle name="Currency 5 3 2 2 8" xfId="2733" xr:uid="{00000000-0005-0000-0000-0000B00C0000}"/>
    <cellStyle name="Currency 5 3 2 2 9" xfId="2814" xr:uid="{00000000-0005-0000-0000-0000B10C0000}"/>
    <cellStyle name="Currency 5 3 2 2 9 2" xfId="7038" xr:uid="{00000000-0005-0000-0000-0000B20C0000}"/>
    <cellStyle name="Currency 5 3 2 2 9 2 2" xfId="15473" xr:uid="{6F3CD748-D21F-4348-9A3B-9BC4EC9FDBAE}"/>
    <cellStyle name="Currency 5 3 2 2 9 3" xfId="11255" xr:uid="{253DFE52-5A2F-4F49-8CC6-536B069E26B3}"/>
    <cellStyle name="Currency 5 3 2 3" xfId="213" xr:uid="{00000000-0005-0000-0000-0000B30C0000}"/>
    <cellStyle name="Currency 5 3 2 3 10" xfId="8874" xr:uid="{8335809D-E057-45E6-AC2C-2096B22E2481}"/>
    <cellStyle name="Currency 5 3 2 3 2" xfId="740" xr:uid="{00000000-0005-0000-0000-0000B40C0000}"/>
    <cellStyle name="Currency 5 3 2 3 2 2" xfId="2993" xr:uid="{00000000-0005-0000-0000-0000B50C0000}"/>
    <cellStyle name="Currency 5 3 2 3 2 2 2" xfId="7216" xr:uid="{00000000-0005-0000-0000-0000B60C0000}"/>
    <cellStyle name="Currency 5 3 2 3 2 2 2 2" xfId="15651" xr:uid="{B5EA143B-544E-472C-A41C-1784651B3465}"/>
    <cellStyle name="Currency 5 3 2 3 2 2 3" xfId="11433" xr:uid="{72048A1B-7B51-4920-B2C6-7A7C3A6DDB76}"/>
    <cellStyle name="Currency 5 3 2 3 2 3" xfId="5071" xr:uid="{00000000-0005-0000-0000-0000B70C0000}"/>
    <cellStyle name="Currency 5 3 2 3 2 3 2" xfId="13506" xr:uid="{121B44B4-D41D-489D-8B8C-F669D870EC03}"/>
    <cellStyle name="Currency 5 3 2 3 2 4" xfId="9288" xr:uid="{AD2366BE-EBBC-4C06-B799-62C046535195}"/>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2 2 2" xfId="16064" xr:uid="{F9102D57-566D-4535-A1BC-6B9F8430300A}"/>
    <cellStyle name="Currency 5 3 2 3 3 2 3" xfId="11846" xr:uid="{6510C009-6974-4545-923A-6EF81DCAB01B}"/>
    <cellStyle name="Currency 5 3 2 3 3 3" xfId="5484" xr:uid="{00000000-0005-0000-0000-0000BB0C0000}"/>
    <cellStyle name="Currency 5 3 2 3 3 3 2" xfId="13919" xr:uid="{F1BBBA6D-9FF3-409E-8C56-9F3D9316D397}"/>
    <cellStyle name="Currency 5 3 2 3 3 4" xfId="9701" xr:uid="{0F905BF1-360E-4FEE-936A-D378909D603E}"/>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2 2 2" xfId="16477" xr:uid="{8648D6D8-A47B-493A-910A-13E7425BDEC6}"/>
    <cellStyle name="Currency 5 3 2 3 4 2 3" xfId="12259" xr:uid="{B00E8D4D-9982-433F-B826-561470F0D1DD}"/>
    <cellStyle name="Currency 5 3 2 3 4 3" xfId="5897" xr:uid="{00000000-0005-0000-0000-0000BF0C0000}"/>
    <cellStyle name="Currency 5 3 2 3 4 3 2" xfId="14332" xr:uid="{D54F5DE6-250C-4B92-8E44-036C6139F565}"/>
    <cellStyle name="Currency 5 3 2 3 4 4" xfId="10114" xr:uid="{2322D14D-0AA1-47F7-9DB2-B77169B80D6F}"/>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2 2 2" xfId="16890" xr:uid="{4911740C-E7B2-40D6-BAE8-D2B018E6BCD5}"/>
    <cellStyle name="Currency 5 3 2 3 5 2 3" xfId="12672" xr:uid="{29F11A9A-33B8-407E-BE86-67E560740D98}"/>
    <cellStyle name="Currency 5 3 2 3 5 3" xfId="6310" xr:uid="{00000000-0005-0000-0000-0000C30C0000}"/>
    <cellStyle name="Currency 5 3 2 3 5 3 2" xfId="14745" xr:uid="{D4289B1E-418A-4689-AB58-B58F77FDCBD8}"/>
    <cellStyle name="Currency 5 3 2 3 5 4" xfId="10527" xr:uid="{576A989F-1B6E-4066-8F36-15498C6A3469}"/>
    <cellStyle name="Currency 5 3 2 3 6" xfId="2438" xr:uid="{00000000-0005-0000-0000-0000C40C0000}"/>
    <cellStyle name="Currency 5 3 2 3 6 2" xfId="6723" xr:uid="{00000000-0005-0000-0000-0000C50C0000}"/>
    <cellStyle name="Currency 5 3 2 3 6 2 2" xfId="15158" xr:uid="{5975C5FE-92DF-48A6-B85E-E628BB11E17B}"/>
    <cellStyle name="Currency 5 3 2 3 6 3" xfId="10940" xr:uid="{DC8BECAE-06F6-4421-ACBF-0A9AF88B5533}"/>
    <cellStyle name="Currency 5 3 2 3 7" xfId="2735" xr:uid="{00000000-0005-0000-0000-0000C60C0000}"/>
    <cellStyle name="Currency 5 3 2 3 8" xfId="2816" xr:uid="{00000000-0005-0000-0000-0000C70C0000}"/>
    <cellStyle name="Currency 5 3 2 3 8 2" xfId="7040" xr:uid="{00000000-0005-0000-0000-0000C80C0000}"/>
    <cellStyle name="Currency 5 3 2 3 8 2 2" xfId="15475" xr:uid="{FF7752AD-DF29-44FF-AB56-3742B4F0CD55}"/>
    <cellStyle name="Currency 5 3 2 3 8 3" xfId="11257" xr:uid="{0AA27615-5459-4230-91CD-FAF533C16C81}"/>
    <cellStyle name="Currency 5 3 2 3 9" xfId="4657" xr:uid="{00000000-0005-0000-0000-0000C90C0000}"/>
    <cellStyle name="Currency 5 3 2 3 9 2" xfId="13092" xr:uid="{004A3D6E-719A-47A2-AEB3-7BCF70DAAA0E}"/>
    <cellStyle name="Currency 5 3 2 4" xfId="737" xr:uid="{00000000-0005-0000-0000-0000CA0C0000}"/>
    <cellStyle name="Currency 5 3 2 4 2" xfId="2990" xr:uid="{00000000-0005-0000-0000-0000CB0C0000}"/>
    <cellStyle name="Currency 5 3 2 4 2 2" xfId="7213" xr:uid="{00000000-0005-0000-0000-0000CC0C0000}"/>
    <cellStyle name="Currency 5 3 2 4 2 2 2" xfId="15648" xr:uid="{3295CE11-85C0-4C11-8240-4C1C0D0BC097}"/>
    <cellStyle name="Currency 5 3 2 4 2 3" xfId="11430" xr:uid="{9146511D-B8EC-4980-8763-E7A45FCF8F12}"/>
    <cellStyle name="Currency 5 3 2 4 3" xfId="5068" xr:uid="{00000000-0005-0000-0000-0000CD0C0000}"/>
    <cellStyle name="Currency 5 3 2 4 3 2" xfId="13503" xr:uid="{3FAF7603-FEB6-4C56-A8D7-C2AD05B2D27D}"/>
    <cellStyle name="Currency 5 3 2 4 4" xfId="9285" xr:uid="{54F00AA6-49EC-4BFF-90DF-90ECE40C21AE}"/>
    <cellStyle name="Currency 5 3 2 5" xfId="1172" xr:uid="{00000000-0005-0000-0000-0000CE0C0000}"/>
    <cellStyle name="Currency 5 3 2 5 2" xfId="3403" xr:uid="{00000000-0005-0000-0000-0000CF0C0000}"/>
    <cellStyle name="Currency 5 3 2 5 2 2" xfId="7626" xr:uid="{00000000-0005-0000-0000-0000D00C0000}"/>
    <cellStyle name="Currency 5 3 2 5 2 2 2" xfId="16061" xr:uid="{4A979739-15ED-4594-B0A3-DBBB70142769}"/>
    <cellStyle name="Currency 5 3 2 5 2 3" xfId="11843" xr:uid="{F9220C55-DA7A-4C5B-A55F-5FBBD25C0E0C}"/>
    <cellStyle name="Currency 5 3 2 5 3" xfId="5481" xr:uid="{00000000-0005-0000-0000-0000D10C0000}"/>
    <cellStyle name="Currency 5 3 2 5 3 2" xfId="13916" xr:uid="{CEF6BAF2-582A-4010-96EC-C3312AFA8E02}"/>
    <cellStyle name="Currency 5 3 2 5 4" xfId="9698" xr:uid="{9BFB9CE2-9C8E-44C5-A63C-A5FFFF2B9376}"/>
    <cellStyle name="Currency 5 3 2 6" xfId="1586" xr:uid="{00000000-0005-0000-0000-0000D20C0000}"/>
    <cellStyle name="Currency 5 3 2 6 2" xfId="3816" xr:uid="{00000000-0005-0000-0000-0000D30C0000}"/>
    <cellStyle name="Currency 5 3 2 6 2 2" xfId="8039" xr:uid="{00000000-0005-0000-0000-0000D40C0000}"/>
    <cellStyle name="Currency 5 3 2 6 2 2 2" xfId="16474" xr:uid="{BA0ED2BE-96D4-46F0-813B-1DB1A50CDC02}"/>
    <cellStyle name="Currency 5 3 2 6 2 3" xfId="12256" xr:uid="{D19F5721-3B86-4EAD-A949-C1C405438B6B}"/>
    <cellStyle name="Currency 5 3 2 6 3" xfId="5894" xr:uid="{00000000-0005-0000-0000-0000D50C0000}"/>
    <cellStyle name="Currency 5 3 2 6 3 2" xfId="14329" xr:uid="{AFFFEF90-2CD7-4BB2-87CC-3ECB121192FE}"/>
    <cellStyle name="Currency 5 3 2 6 4" xfId="10111" xr:uid="{0D6E5748-0AE2-4BAB-908C-3181BCBB3E3F}"/>
    <cellStyle name="Currency 5 3 2 7" xfId="2000" xr:uid="{00000000-0005-0000-0000-0000D60C0000}"/>
    <cellStyle name="Currency 5 3 2 7 2" xfId="4229" xr:uid="{00000000-0005-0000-0000-0000D70C0000}"/>
    <cellStyle name="Currency 5 3 2 7 2 2" xfId="8452" xr:uid="{00000000-0005-0000-0000-0000D80C0000}"/>
    <cellStyle name="Currency 5 3 2 7 2 2 2" xfId="16887" xr:uid="{220EBAC2-3D5A-4F9E-B276-1CA4B4990CC2}"/>
    <cellStyle name="Currency 5 3 2 7 2 3" xfId="12669" xr:uid="{EBFEE98F-DABC-49C1-9D64-252D0FF6204B}"/>
    <cellStyle name="Currency 5 3 2 7 3" xfId="6307" xr:uid="{00000000-0005-0000-0000-0000D90C0000}"/>
    <cellStyle name="Currency 5 3 2 7 3 2" xfId="14742" xr:uid="{F5EA4FD0-9E60-435C-B93A-321353D16CBA}"/>
    <cellStyle name="Currency 5 3 2 7 4" xfId="10524" xr:uid="{C053B9F9-C09E-473E-AD6D-5B7115A31803}"/>
    <cellStyle name="Currency 5 3 2 8" xfId="2435" xr:uid="{00000000-0005-0000-0000-0000DA0C0000}"/>
    <cellStyle name="Currency 5 3 2 8 2" xfId="6720" xr:uid="{00000000-0005-0000-0000-0000DB0C0000}"/>
    <cellStyle name="Currency 5 3 2 8 2 2" xfId="15155" xr:uid="{2BD259FF-8890-4027-A662-00D572607A65}"/>
    <cellStyle name="Currency 5 3 2 8 3" xfId="10937" xr:uid="{1F91C044-2B5D-4BC3-AC15-595AFF0807DD}"/>
    <cellStyle name="Currency 5 3 2 9" xfId="2732" xr:uid="{00000000-0005-0000-0000-0000DC0C0000}"/>
    <cellStyle name="Currency 5 3 3" xfId="214" xr:uid="{00000000-0005-0000-0000-0000DD0C0000}"/>
    <cellStyle name="Currency 5 3 3 10" xfId="4658" xr:uid="{00000000-0005-0000-0000-0000DE0C0000}"/>
    <cellStyle name="Currency 5 3 3 10 2" xfId="13093" xr:uid="{235C2653-EA15-4B0E-B939-8C8125DEBF5B}"/>
    <cellStyle name="Currency 5 3 3 11" xfId="8875" xr:uid="{543B0DE4-D63B-450B-B023-7310824F7D11}"/>
    <cellStyle name="Currency 5 3 3 2" xfId="215" xr:uid="{00000000-0005-0000-0000-0000DF0C0000}"/>
    <cellStyle name="Currency 5 3 3 2 10" xfId="8876" xr:uid="{0C2691A1-65B5-49CA-ADE8-6949ECA3C1B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2 2 2" xfId="15653" xr:uid="{20C5CB58-DC2C-46B3-8A9E-7CF14E76B0BB}"/>
    <cellStyle name="Currency 5 3 3 2 2 2 3" xfId="11435" xr:uid="{8824DA7A-7490-4A8B-8AE1-72E707319E68}"/>
    <cellStyle name="Currency 5 3 3 2 2 3" xfId="5073" xr:uid="{00000000-0005-0000-0000-0000E30C0000}"/>
    <cellStyle name="Currency 5 3 3 2 2 3 2" xfId="13508" xr:uid="{8CAF3AE7-59E5-49FE-93E9-82E5762DD715}"/>
    <cellStyle name="Currency 5 3 3 2 2 4" xfId="9290" xr:uid="{B2E51AE8-2116-406A-BA13-0D3710B89404}"/>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2 2 2" xfId="16066" xr:uid="{88E6F75B-EC91-49AE-93D1-7168C21B27CF}"/>
    <cellStyle name="Currency 5 3 3 2 3 2 3" xfId="11848" xr:uid="{DF0B19FB-1A2E-4353-9C50-99D19B8202A6}"/>
    <cellStyle name="Currency 5 3 3 2 3 3" xfId="5486" xr:uid="{00000000-0005-0000-0000-0000E70C0000}"/>
    <cellStyle name="Currency 5 3 3 2 3 3 2" xfId="13921" xr:uid="{9BB8E374-A182-41AD-98C4-6D4D5A7CFDA8}"/>
    <cellStyle name="Currency 5 3 3 2 3 4" xfId="9703" xr:uid="{32ED9252-C63F-4CFD-91F7-22D6B8F95CF7}"/>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2 2 2" xfId="16479" xr:uid="{4106B6AA-4353-4745-A920-2055621D9BC8}"/>
    <cellStyle name="Currency 5 3 3 2 4 2 3" xfId="12261" xr:uid="{CFFE4A8C-092E-4F87-BF60-EF3E434254BE}"/>
    <cellStyle name="Currency 5 3 3 2 4 3" xfId="5899" xr:uid="{00000000-0005-0000-0000-0000EB0C0000}"/>
    <cellStyle name="Currency 5 3 3 2 4 3 2" xfId="14334" xr:uid="{04FE1E9E-F7FF-4038-ACD1-4AA391AFC4CC}"/>
    <cellStyle name="Currency 5 3 3 2 4 4" xfId="10116" xr:uid="{24D4AFC9-74C2-48BA-A9E1-BD837CF712E9}"/>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2 2 2" xfId="16892" xr:uid="{61BB89AC-4C2E-4DF7-85B4-68726328FA0A}"/>
    <cellStyle name="Currency 5 3 3 2 5 2 3" xfId="12674" xr:uid="{FF029D7E-898C-4745-AAED-00A220E31690}"/>
    <cellStyle name="Currency 5 3 3 2 5 3" xfId="6312" xr:uid="{00000000-0005-0000-0000-0000EF0C0000}"/>
    <cellStyle name="Currency 5 3 3 2 5 3 2" xfId="14747" xr:uid="{8FF0A276-F696-46CF-8352-06B854D6AF77}"/>
    <cellStyle name="Currency 5 3 3 2 5 4" xfId="10529" xr:uid="{A05C3589-DFC0-4103-8A7A-FCFA7E62BD03}"/>
    <cellStyle name="Currency 5 3 3 2 6" xfId="2440" xr:uid="{00000000-0005-0000-0000-0000F00C0000}"/>
    <cellStyle name="Currency 5 3 3 2 6 2" xfId="6725" xr:uid="{00000000-0005-0000-0000-0000F10C0000}"/>
    <cellStyle name="Currency 5 3 3 2 6 2 2" xfId="15160" xr:uid="{AFC29BE4-F5D8-4201-ABAF-579D77992FFB}"/>
    <cellStyle name="Currency 5 3 3 2 6 3" xfId="10942" xr:uid="{3C1177DB-79B4-47D6-867E-4A09AD959489}"/>
    <cellStyle name="Currency 5 3 3 2 7" xfId="2737" xr:uid="{00000000-0005-0000-0000-0000F20C0000}"/>
    <cellStyle name="Currency 5 3 3 2 8" xfId="2818" xr:uid="{00000000-0005-0000-0000-0000F30C0000}"/>
    <cellStyle name="Currency 5 3 3 2 8 2" xfId="7042" xr:uid="{00000000-0005-0000-0000-0000F40C0000}"/>
    <cellStyle name="Currency 5 3 3 2 8 2 2" xfId="15477" xr:uid="{BA3AA3BC-10CA-40C3-A0BB-0F00C07CA4CB}"/>
    <cellStyle name="Currency 5 3 3 2 8 3" xfId="11259" xr:uid="{42E5187C-3E0E-4CC1-864E-B059A819B902}"/>
    <cellStyle name="Currency 5 3 3 2 9" xfId="4659" xr:uid="{00000000-0005-0000-0000-0000F50C0000}"/>
    <cellStyle name="Currency 5 3 3 2 9 2" xfId="13094" xr:uid="{5B1F3C01-480F-457E-9639-2A760690AF75}"/>
    <cellStyle name="Currency 5 3 3 3" xfId="741" xr:uid="{00000000-0005-0000-0000-0000F60C0000}"/>
    <cellStyle name="Currency 5 3 3 3 2" xfId="2994" xr:uid="{00000000-0005-0000-0000-0000F70C0000}"/>
    <cellStyle name="Currency 5 3 3 3 2 2" xfId="7217" xr:uid="{00000000-0005-0000-0000-0000F80C0000}"/>
    <cellStyle name="Currency 5 3 3 3 2 2 2" xfId="15652" xr:uid="{AE41F44B-3A97-43F5-B16B-274105CBA588}"/>
    <cellStyle name="Currency 5 3 3 3 2 3" xfId="11434" xr:uid="{5BD14AF5-96A6-4A48-A9A9-A2AD191DA0FD}"/>
    <cellStyle name="Currency 5 3 3 3 3" xfId="5072" xr:uid="{00000000-0005-0000-0000-0000F90C0000}"/>
    <cellStyle name="Currency 5 3 3 3 3 2" xfId="13507" xr:uid="{F992FF5A-8C08-47D6-AE29-F5BF1CA8F150}"/>
    <cellStyle name="Currency 5 3 3 3 4" xfId="9289" xr:uid="{00DFA04C-944D-4264-803C-C9DDF7450478}"/>
    <cellStyle name="Currency 5 3 3 4" xfId="1176" xr:uid="{00000000-0005-0000-0000-0000FA0C0000}"/>
    <cellStyle name="Currency 5 3 3 4 2" xfId="3407" xr:uid="{00000000-0005-0000-0000-0000FB0C0000}"/>
    <cellStyle name="Currency 5 3 3 4 2 2" xfId="7630" xr:uid="{00000000-0005-0000-0000-0000FC0C0000}"/>
    <cellStyle name="Currency 5 3 3 4 2 2 2" xfId="16065" xr:uid="{8AC4D896-C4E1-4043-AC5A-D911B68D2F97}"/>
    <cellStyle name="Currency 5 3 3 4 2 3" xfId="11847" xr:uid="{CD0C1EB7-4BA2-47BD-9C58-44480D4CED91}"/>
    <cellStyle name="Currency 5 3 3 4 3" xfId="5485" xr:uid="{00000000-0005-0000-0000-0000FD0C0000}"/>
    <cellStyle name="Currency 5 3 3 4 3 2" xfId="13920" xr:uid="{DE52297E-8176-47FE-92F9-B9ECAEAF2F32}"/>
    <cellStyle name="Currency 5 3 3 4 4" xfId="9702" xr:uid="{AF4A8274-8444-4076-80D9-60999580BEF9}"/>
    <cellStyle name="Currency 5 3 3 5" xfId="1590" xr:uid="{00000000-0005-0000-0000-0000FE0C0000}"/>
    <cellStyle name="Currency 5 3 3 5 2" xfId="3820" xr:uid="{00000000-0005-0000-0000-0000FF0C0000}"/>
    <cellStyle name="Currency 5 3 3 5 2 2" xfId="8043" xr:uid="{00000000-0005-0000-0000-0000000D0000}"/>
    <cellStyle name="Currency 5 3 3 5 2 2 2" xfId="16478" xr:uid="{403C0F2A-3F9C-4545-B838-030F00C6CD0F}"/>
    <cellStyle name="Currency 5 3 3 5 2 3" xfId="12260" xr:uid="{A036F425-36EB-48ED-83F7-6C6B4A46F8F2}"/>
    <cellStyle name="Currency 5 3 3 5 3" xfId="5898" xr:uid="{00000000-0005-0000-0000-0000010D0000}"/>
    <cellStyle name="Currency 5 3 3 5 3 2" xfId="14333" xr:uid="{82D37635-FC08-4B19-900A-18D60BE9C58F}"/>
    <cellStyle name="Currency 5 3 3 5 4" xfId="10115" xr:uid="{0A14BDC5-3310-441A-9514-994BBA8350E6}"/>
    <cellStyle name="Currency 5 3 3 6" xfId="2004" xr:uid="{00000000-0005-0000-0000-0000020D0000}"/>
    <cellStyle name="Currency 5 3 3 6 2" xfId="4233" xr:uid="{00000000-0005-0000-0000-0000030D0000}"/>
    <cellStyle name="Currency 5 3 3 6 2 2" xfId="8456" xr:uid="{00000000-0005-0000-0000-0000040D0000}"/>
    <cellStyle name="Currency 5 3 3 6 2 2 2" xfId="16891" xr:uid="{A278FECD-18B2-4667-B669-AE5FB0903B11}"/>
    <cellStyle name="Currency 5 3 3 6 2 3" xfId="12673" xr:uid="{FD4539DD-1D11-4D64-BC25-48CF5E7339A1}"/>
    <cellStyle name="Currency 5 3 3 6 3" xfId="6311" xr:uid="{00000000-0005-0000-0000-0000050D0000}"/>
    <cellStyle name="Currency 5 3 3 6 3 2" xfId="14746" xr:uid="{87A05C59-7812-4C36-A907-7266C66A83F7}"/>
    <cellStyle name="Currency 5 3 3 6 4" xfId="10528" xr:uid="{E904912F-82BB-4AD5-956A-6A2CCE3D6759}"/>
    <cellStyle name="Currency 5 3 3 7" xfId="2439" xr:uid="{00000000-0005-0000-0000-0000060D0000}"/>
    <cellStyle name="Currency 5 3 3 7 2" xfId="6724" xr:uid="{00000000-0005-0000-0000-0000070D0000}"/>
    <cellStyle name="Currency 5 3 3 7 2 2" xfId="15159" xr:uid="{C193FE96-7840-4213-A5F2-2C0D987EBAD5}"/>
    <cellStyle name="Currency 5 3 3 7 3" xfId="10941" xr:uid="{A84D5332-DDE4-461D-B189-2239E889B730}"/>
    <cellStyle name="Currency 5 3 3 8" xfId="2736" xr:uid="{00000000-0005-0000-0000-0000080D0000}"/>
    <cellStyle name="Currency 5 3 3 9" xfId="2817" xr:uid="{00000000-0005-0000-0000-0000090D0000}"/>
    <cellStyle name="Currency 5 3 3 9 2" xfId="7041" xr:uid="{00000000-0005-0000-0000-00000A0D0000}"/>
    <cellStyle name="Currency 5 3 3 9 2 2" xfId="15476" xr:uid="{B6D025BE-8B55-4835-920A-DD2B94CC6A88}"/>
    <cellStyle name="Currency 5 3 3 9 3" xfId="11258" xr:uid="{D92DD37D-7C5A-44A9-9BF0-67A5804CDBB3}"/>
    <cellStyle name="Currency 5 3 4" xfId="216" xr:uid="{00000000-0005-0000-0000-00000B0D0000}"/>
    <cellStyle name="Currency 5 3 4 10" xfId="8877" xr:uid="{E9AE7026-32B5-4D55-8A8E-1C79A87693FA}"/>
    <cellStyle name="Currency 5 3 4 2" xfId="743" xr:uid="{00000000-0005-0000-0000-00000C0D0000}"/>
    <cellStyle name="Currency 5 3 4 2 2" xfId="2996" xr:uid="{00000000-0005-0000-0000-00000D0D0000}"/>
    <cellStyle name="Currency 5 3 4 2 2 2" xfId="7219" xr:uid="{00000000-0005-0000-0000-00000E0D0000}"/>
    <cellStyle name="Currency 5 3 4 2 2 2 2" xfId="15654" xr:uid="{21FAB7EE-47C3-4181-B703-E94ECC84CA45}"/>
    <cellStyle name="Currency 5 3 4 2 2 3" xfId="11436" xr:uid="{DA586041-07C0-4BFF-BCE6-0F9470C74C12}"/>
    <cellStyle name="Currency 5 3 4 2 3" xfId="5074" xr:uid="{00000000-0005-0000-0000-00000F0D0000}"/>
    <cellStyle name="Currency 5 3 4 2 3 2" xfId="13509" xr:uid="{079C7776-F69F-4DC6-BEDF-30F1BCC0743A}"/>
    <cellStyle name="Currency 5 3 4 2 4" xfId="9291" xr:uid="{7FF67F23-C218-436B-94D4-144591073E38}"/>
    <cellStyle name="Currency 5 3 4 3" xfId="1178" xr:uid="{00000000-0005-0000-0000-0000100D0000}"/>
    <cellStyle name="Currency 5 3 4 3 2" xfId="3409" xr:uid="{00000000-0005-0000-0000-0000110D0000}"/>
    <cellStyle name="Currency 5 3 4 3 2 2" xfId="7632" xr:uid="{00000000-0005-0000-0000-0000120D0000}"/>
    <cellStyle name="Currency 5 3 4 3 2 2 2" xfId="16067" xr:uid="{C4907EA4-3966-4706-8C31-C6B4734636B1}"/>
    <cellStyle name="Currency 5 3 4 3 2 3" xfId="11849" xr:uid="{89E34329-34BA-4563-B8DD-73F68D574481}"/>
    <cellStyle name="Currency 5 3 4 3 3" xfId="5487" xr:uid="{00000000-0005-0000-0000-0000130D0000}"/>
    <cellStyle name="Currency 5 3 4 3 3 2" xfId="13922" xr:uid="{0F587982-32F2-4819-8748-E1D02D07E4E6}"/>
    <cellStyle name="Currency 5 3 4 3 4" xfId="9704" xr:uid="{0BEDCF40-2A0C-4DB3-AA61-3C7B4B621C93}"/>
    <cellStyle name="Currency 5 3 4 4" xfId="1592" xr:uid="{00000000-0005-0000-0000-0000140D0000}"/>
    <cellStyle name="Currency 5 3 4 4 2" xfId="3822" xr:uid="{00000000-0005-0000-0000-0000150D0000}"/>
    <cellStyle name="Currency 5 3 4 4 2 2" xfId="8045" xr:uid="{00000000-0005-0000-0000-0000160D0000}"/>
    <cellStyle name="Currency 5 3 4 4 2 2 2" xfId="16480" xr:uid="{FE78FE05-3D36-4205-A914-44F940B6FF73}"/>
    <cellStyle name="Currency 5 3 4 4 2 3" xfId="12262" xr:uid="{627CD620-D2CB-4FF7-AAAC-67201586E4B3}"/>
    <cellStyle name="Currency 5 3 4 4 3" xfId="5900" xr:uid="{00000000-0005-0000-0000-0000170D0000}"/>
    <cellStyle name="Currency 5 3 4 4 3 2" xfId="14335" xr:uid="{CDD95BEB-95A2-4295-A4FC-C3AE31621DF2}"/>
    <cellStyle name="Currency 5 3 4 4 4" xfId="10117" xr:uid="{D630F780-013D-4DAD-A389-FB1DC038F6D0}"/>
    <cellStyle name="Currency 5 3 4 5" xfId="2006" xr:uid="{00000000-0005-0000-0000-0000180D0000}"/>
    <cellStyle name="Currency 5 3 4 5 2" xfId="4235" xr:uid="{00000000-0005-0000-0000-0000190D0000}"/>
    <cellStyle name="Currency 5 3 4 5 2 2" xfId="8458" xr:uid="{00000000-0005-0000-0000-00001A0D0000}"/>
    <cellStyle name="Currency 5 3 4 5 2 2 2" xfId="16893" xr:uid="{10CBE108-7E22-4F0B-A3CA-6F8995E770EB}"/>
    <cellStyle name="Currency 5 3 4 5 2 3" xfId="12675" xr:uid="{E5F5DCA6-8E67-4466-852E-222B82482D14}"/>
    <cellStyle name="Currency 5 3 4 5 3" xfId="6313" xr:uid="{00000000-0005-0000-0000-00001B0D0000}"/>
    <cellStyle name="Currency 5 3 4 5 3 2" xfId="14748" xr:uid="{C2C36765-6C04-4F24-B4E1-103EC049D4E0}"/>
    <cellStyle name="Currency 5 3 4 5 4" xfId="10530" xr:uid="{EBCDF097-51FE-4FA7-8D1D-514F4EC8AC9E}"/>
    <cellStyle name="Currency 5 3 4 6" xfId="2441" xr:uid="{00000000-0005-0000-0000-00001C0D0000}"/>
    <cellStyle name="Currency 5 3 4 6 2" xfId="6726" xr:uid="{00000000-0005-0000-0000-00001D0D0000}"/>
    <cellStyle name="Currency 5 3 4 6 2 2" xfId="15161" xr:uid="{90676C39-FC37-4ED9-B21F-06051BF24970}"/>
    <cellStyle name="Currency 5 3 4 6 3" xfId="10943" xr:uid="{7F1E18BD-A069-4789-893A-4E84D86EFC27}"/>
    <cellStyle name="Currency 5 3 4 7" xfId="2738" xr:uid="{00000000-0005-0000-0000-00001E0D0000}"/>
    <cellStyle name="Currency 5 3 4 8" xfId="2819" xr:uid="{00000000-0005-0000-0000-00001F0D0000}"/>
    <cellStyle name="Currency 5 3 4 8 2" xfId="7043" xr:uid="{00000000-0005-0000-0000-0000200D0000}"/>
    <cellStyle name="Currency 5 3 4 8 2 2" xfId="15478" xr:uid="{8583F707-4E92-41A6-B225-5F724413D3B6}"/>
    <cellStyle name="Currency 5 3 4 8 3" xfId="11260" xr:uid="{09A2740C-1EE0-4FF4-9C1F-FB5DA1AB18DA}"/>
    <cellStyle name="Currency 5 3 4 9" xfId="4660" xr:uid="{00000000-0005-0000-0000-0000210D0000}"/>
    <cellStyle name="Currency 5 3 4 9 2" xfId="13095" xr:uid="{4F83DFEC-6059-48A6-9629-63A5103EDC54}"/>
    <cellStyle name="Currency 5 3 5" xfId="217" xr:uid="{00000000-0005-0000-0000-0000220D0000}"/>
    <cellStyle name="Currency 5 3 5 10" xfId="8878" xr:uid="{745D4400-94FB-46AC-B985-7DE56F0B7769}"/>
    <cellStyle name="Currency 5 3 5 2" xfId="744" xr:uid="{00000000-0005-0000-0000-0000230D0000}"/>
    <cellStyle name="Currency 5 3 5 2 2" xfId="2997" xr:uid="{00000000-0005-0000-0000-0000240D0000}"/>
    <cellStyle name="Currency 5 3 5 2 2 2" xfId="7220" xr:uid="{00000000-0005-0000-0000-0000250D0000}"/>
    <cellStyle name="Currency 5 3 5 2 2 2 2" xfId="15655" xr:uid="{73AC2D1B-FF1A-4BBA-B2DC-D391BBA75DD3}"/>
    <cellStyle name="Currency 5 3 5 2 2 3" xfId="11437" xr:uid="{7BFE8AD2-A11E-4759-A67C-69589A1E4CC8}"/>
    <cellStyle name="Currency 5 3 5 2 3" xfId="5075" xr:uid="{00000000-0005-0000-0000-0000260D0000}"/>
    <cellStyle name="Currency 5 3 5 2 3 2" xfId="13510" xr:uid="{8FBA6538-B77F-46A1-9EEF-1A40F45A941D}"/>
    <cellStyle name="Currency 5 3 5 2 4" xfId="9292" xr:uid="{3329DB3E-56C5-4A58-9690-3F2C41E7F0DC}"/>
    <cellStyle name="Currency 5 3 5 3" xfId="1179" xr:uid="{00000000-0005-0000-0000-0000270D0000}"/>
    <cellStyle name="Currency 5 3 5 3 2" xfId="3410" xr:uid="{00000000-0005-0000-0000-0000280D0000}"/>
    <cellStyle name="Currency 5 3 5 3 2 2" xfId="7633" xr:uid="{00000000-0005-0000-0000-0000290D0000}"/>
    <cellStyle name="Currency 5 3 5 3 2 2 2" xfId="16068" xr:uid="{DD72A6CD-4D87-48F9-89F4-4A4A56BFBA63}"/>
    <cellStyle name="Currency 5 3 5 3 2 3" xfId="11850" xr:uid="{D49BE734-9F69-49B4-A0B5-B632CE1953A8}"/>
    <cellStyle name="Currency 5 3 5 3 3" xfId="5488" xr:uid="{00000000-0005-0000-0000-00002A0D0000}"/>
    <cellStyle name="Currency 5 3 5 3 3 2" xfId="13923" xr:uid="{EB6173CF-B5F0-44F6-8ED1-F2222C632B68}"/>
    <cellStyle name="Currency 5 3 5 3 4" xfId="9705" xr:uid="{7E7DBFA2-6AA4-4E25-84C5-DF8CE8392135}"/>
    <cellStyle name="Currency 5 3 5 4" xfId="1593" xr:uid="{00000000-0005-0000-0000-00002B0D0000}"/>
    <cellStyle name="Currency 5 3 5 4 2" xfId="3823" xr:uid="{00000000-0005-0000-0000-00002C0D0000}"/>
    <cellStyle name="Currency 5 3 5 4 2 2" xfId="8046" xr:uid="{00000000-0005-0000-0000-00002D0D0000}"/>
    <cellStyle name="Currency 5 3 5 4 2 2 2" xfId="16481" xr:uid="{C09462D2-C0E7-4248-AC9C-94CE90880624}"/>
    <cellStyle name="Currency 5 3 5 4 2 3" xfId="12263" xr:uid="{4092E842-7735-48EB-8163-88E0CFD712B9}"/>
    <cellStyle name="Currency 5 3 5 4 3" xfId="5901" xr:uid="{00000000-0005-0000-0000-00002E0D0000}"/>
    <cellStyle name="Currency 5 3 5 4 3 2" xfId="14336" xr:uid="{16F9151D-6E51-4844-B618-874E87A02FF3}"/>
    <cellStyle name="Currency 5 3 5 4 4" xfId="10118" xr:uid="{B27F5CCD-AA62-4157-8D49-EAC2CA186EA6}"/>
    <cellStyle name="Currency 5 3 5 5" xfId="2007" xr:uid="{00000000-0005-0000-0000-00002F0D0000}"/>
    <cellStyle name="Currency 5 3 5 5 2" xfId="4236" xr:uid="{00000000-0005-0000-0000-0000300D0000}"/>
    <cellStyle name="Currency 5 3 5 5 2 2" xfId="8459" xr:uid="{00000000-0005-0000-0000-0000310D0000}"/>
    <cellStyle name="Currency 5 3 5 5 2 2 2" xfId="16894" xr:uid="{7782D919-BE10-44CF-98BA-F88AB941987B}"/>
    <cellStyle name="Currency 5 3 5 5 2 3" xfId="12676" xr:uid="{D506DCBB-1BD1-4F77-9081-2857E4FDEC34}"/>
    <cellStyle name="Currency 5 3 5 5 3" xfId="6314" xr:uid="{00000000-0005-0000-0000-0000320D0000}"/>
    <cellStyle name="Currency 5 3 5 5 3 2" xfId="14749" xr:uid="{AAEDD218-13EC-41A7-82AF-8955EDED2B84}"/>
    <cellStyle name="Currency 5 3 5 5 4" xfId="10531" xr:uid="{D2708111-ED20-45E8-9796-6F3F5D323844}"/>
    <cellStyle name="Currency 5 3 5 6" xfId="2442" xr:uid="{00000000-0005-0000-0000-0000330D0000}"/>
    <cellStyle name="Currency 5 3 5 6 2" xfId="6727" xr:uid="{00000000-0005-0000-0000-0000340D0000}"/>
    <cellStyle name="Currency 5 3 5 6 2 2" xfId="15162" xr:uid="{D37DCC70-E057-4A97-A270-58B7DCDECDA1}"/>
    <cellStyle name="Currency 5 3 5 6 3" xfId="10944" xr:uid="{B32F9AC0-6238-4530-83E9-5239FB1EE6C2}"/>
    <cellStyle name="Currency 5 3 5 7" xfId="2739" xr:uid="{00000000-0005-0000-0000-0000350D0000}"/>
    <cellStyle name="Currency 5 3 5 8" xfId="2820" xr:uid="{00000000-0005-0000-0000-0000360D0000}"/>
    <cellStyle name="Currency 5 3 5 8 2" xfId="7044" xr:uid="{00000000-0005-0000-0000-0000370D0000}"/>
    <cellStyle name="Currency 5 3 5 8 2 2" xfId="15479" xr:uid="{6C0B8A9C-1F12-42C9-9E90-F03A96716FF9}"/>
    <cellStyle name="Currency 5 3 5 8 3" xfId="11261" xr:uid="{C8FAD677-3147-452E-9D57-177FB6675E51}"/>
    <cellStyle name="Currency 5 3 5 9" xfId="4661" xr:uid="{00000000-0005-0000-0000-0000380D0000}"/>
    <cellStyle name="Currency 5 3 5 9 2" xfId="13096" xr:uid="{3FD6AD41-6297-4BCE-9A23-8E5D08E1121B}"/>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10 2" xfId="13097" xr:uid="{9B0D5F33-D25D-4038-8637-629AF68C8645}"/>
    <cellStyle name="Currency 5 5 11" xfId="8879" xr:uid="{E076E4EC-E219-4EDD-A8CB-38FAEB366629}"/>
    <cellStyle name="Currency 5 5 2" xfId="220" xr:uid="{00000000-0005-0000-0000-00003D0D0000}"/>
    <cellStyle name="Currency 5 5 2 10" xfId="8880" xr:uid="{52854D14-2EF4-4447-AA9D-AF6D1E68CEB4}"/>
    <cellStyle name="Currency 5 5 2 2" xfId="747" xr:uid="{00000000-0005-0000-0000-00003E0D0000}"/>
    <cellStyle name="Currency 5 5 2 2 2" xfId="2999" xr:uid="{00000000-0005-0000-0000-00003F0D0000}"/>
    <cellStyle name="Currency 5 5 2 2 2 2" xfId="7222" xr:uid="{00000000-0005-0000-0000-0000400D0000}"/>
    <cellStyle name="Currency 5 5 2 2 2 2 2" xfId="15657" xr:uid="{FB04444F-6C85-4CD4-92B8-9174B2F4F212}"/>
    <cellStyle name="Currency 5 5 2 2 2 3" xfId="11439" xr:uid="{A77C1977-E7F6-4F50-B7A4-BE40C4AD35CD}"/>
    <cellStyle name="Currency 5 5 2 2 3" xfId="5077" xr:uid="{00000000-0005-0000-0000-0000410D0000}"/>
    <cellStyle name="Currency 5 5 2 2 3 2" xfId="13512" xr:uid="{A8B5F871-8907-4598-B1F2-9722BC0867BB}"/>
    <cellStyle name="Currency 5 5 2 2 4" xfId="9294" xr:uid="{9B56EEAB-5563-4227-8DB1-D2B972B91E52}"/>
    <cellStyle name="Currency 5 5 2 3" xfId="1181" xr:uid="{00000000-0005-0000-0000-0000420D0000}"/>
    <cellStyle name="Currency 5 5 2 3 2" xfId="3412" xr:uid="{00000000-0005-0000-0000-0000430D0000}"/>
    <cellStyle name="Currency 5 5 2 3 2 2" xfId="7635" xr:uid="{00000000-0005-0000-0000-0000440D0000}"/>
    <cellStyle name="Currency 5 5 2 3 2 2 2" xfId="16070" xr:uid="{01465976-5639-48B9-88EF-B3CF6C057A3F}"/>
    <cellStyle name="Currency 5 5 2 3 2 3" xfId="11852" xr:uid="{8C9D5E9F-E882-42F8-ABFC-E71996C8C640}"/>
    <cellStyle name="Currency 5 5 2 3 3" xfId="5490" xr:uid="{00000000-0005-0000-0000-0000450D0000}"/>
    <cellStyle name="Currency 5 5 2 3 3 2" xfId="13925" xr:uid="{5A21DB8C-B2BB-4231-A217-38CB7C77975E}"/>
    <cellStyle name="Currency 5 5 2 3 4" xfId="9707" xr:uid="{D86E34A1-C7B6-4C65-98BA-CBFD1D0A9032}"/>
    <cellStyle name="Currency 5 5 2 4" xfId="1595" xr:uid="{00000000-0005-0000-0000-0000460D0000}"/>
    <cellStyle name="Currency 5 5 2 4 2" xfId="3825" xr:uid="{00000000-0005-0000-0000-0000470D0000}"/>
    <cellStyle name="Currency 5 5 2 4 2 2" xfId="8048" xr:uid="{00000000-0005-0000-0000-0000480D0000}"/>
    <cellStyle name="Currency 5 5 2 4 2 2 2" xfId="16483" xr:uid="{A9BFAF42-2CE7-4979-8651-E5F1920C0155}"/>
    <cellStyle name="Currency 5 5 2 4 2 3" xfId="12265" xr:uid="{22625E4A-8033-4E48-B52D-964455115D31}"/>
    <cellStyle name="Currency 5 5 2 4 3" xfId="5903" xr:uid="{00000000-0005-0000-0000-0000490D0000}"/>
    <cellStyle name="Currency 5 5 2 4 3 2" xfId="14338" xr:uid="{E0F46E68-81D1-4E6F-A4BC-52F6DE525E31}"/>
    <cellStyle name="Currency 5 5 2 4 4" xfId="10120" xr:uid="{4E1588C2-A8EC-4FDD-843C-F73DEAB6F232}"/>
    <cellStyle name="Currency 5 5 2 5" xfId="2009" xr:uid="{00000000-0005-0000-0000-00004A0D0000}"/>
    <cellStyle name="Currency 5 5 2 5 2" xfId="4238" xr:uid="{00000000-0005-0000-0000-00004B0D0000}"/>
    <cellStyle name="Currency 5 5 2 5 2 2" xfId="8461" xr:uid="{00000000-0005-0000-0000-00004C0D0000}"/>
    <cellStyle name="Currency 5 5 2 5 2 2 2" xfId="16896" xr:uid="{7F1D3352-98A2-41D5-B17A-7F378D815040}"/>
    <cellStyle name="Currency 5 5 2 5 2 3" xfId="12678" xr:uid="{DD0F4FCB-68EB-46D0-A596-3465EEB77F73}"/>
    <cellStyle name="Currency 5 5 2 5 3" xfId="6316" xr:uid="{00000000-0005-0000-0000-00004D0D0000}"/>
    <cellStyle name="Currency 5 5 2 5 3 2" xfId="14751" xr:uid="{5A4DD932-0A26-4971-B0EE-9A192F50006E}"/>
    <cellStyle name="Currency 5 5 2 5 4" xfId="10533" xr:uid="{988B1E42-706F-424C-A4A1-0088358A1967}"/>
    <cellStyle name="Currency 5 5 2 6" xfId="2444" xr:uid="{00000000-0005-0000-0000-00004E0D0000}"/>
    <cellStyle name="Currency 5 5 2 6 2" xfId="6729" xr:uid="{00000000-0005-0000-0000-00004F0D0000}"/>
    <cellStyle name="Currency 5 5 2 6 2 2" xfId="15164" xr:uid="{CF666403-137A-45F1-A3F2-F7C91C5CBFE7}"/>
    <cellStyle name="Currency 5 5 2 6 3" xfId="10946" xr:uid="{7B92E236-8635-4698-94A4-DBBA05D467F9}"/>
    <cellStyle name="Currency 5 5 2 7" xfId="2741" xr:uid="{00000000-0005-0000-0000-0000500D0000}"/>
    <cellStyle name="Currency 5 5 2 8" xfId="2822" xr:uid="{00000000-0005-0000-0000-0000510D0000}"/>
    <cellStyle name="Currency 5 5 2 8 2" xfId="7046" xr:uid="{00000000-0005-0000-0000-0000520D0000}"/>
    <cellStyle name="Currency 5 5 2 8 2 2" xfId="15481" xr:uid="{D15225B6-5BC8-4425-9E92-03A6D380A2AA}"/>
    <cellStyle name="Currency 5 5 2 8 3" xfId="11263" xr:uid="{E63F4FF8-F835-4C20-99C1-D6E3AED460BF}"/>
    <cellStyle name="Currency 5 5 2 9" xfId="4663" xr:uid="{00000000-0005-0000-0000-0000530D0000}"/>
    <cellStyle name="Currency 5 5 2 9 2" xfId="13098" xr:uid="{D27411B2-5261-42C9-9ACD-E293E1735F55}"/>
    <cellStyle name="Currency 5 5 3" xfId="746" xr:uid="{00000000-0005-0000-0000-0000540D0000}"/>
    <cellStyle name="Currency 5 5 3 2" xfId="2998" xr:uid="{00000000-0005-0000-0000-0000550D0000}"/>
    <cellStyle name="Currency 5 5 3 2 2" xfId="7221" xr:uid="{00000000-0005-0000-0000-0000560D0000}"/>
    <cellStyle name="Currency 5 5 3 2 2 2" xfId="15656" xr:uid="{6C86C3B1-18A1-449E-A40D-C5FC32C6B959}"/>
    <cellStyle name="Currency 5 5 3 2 3" xfId="11438" xr:uid="{B027C8A7-7AC4-421C-8248-A2ECB6F4510C}"/>
    <cellStyle name="Currency 5 5 3 3" xfId="5076" xr:uid="{00000000-0005-0000-0000-0000570D0000}"/>
    <cellStyle name="Currency 5 5 3 3 2" xfId="13511" xr:uid="{E3B79A07-B54C-41E2-A9B7-4C787361A550}"/>
    <cellStyle name="Currency 5 5 3 4" xfId="9293" xr:uid="{CB212446-67DE-44B3-B715-3F4C66B571A4}"/>
    <cellStyle name="Currency 5 5 4" xfId="1180" xr:uid="{00000000-0005-0000-0000-0000580D0000}"/>
    <cellStyle name="Currency 5 5 4 2" xfId="3411" xr:uid="{00000000-0005-0000-0000-0000590D0000}"/>
    <cellStyle name="Currency 5 5 4 2 2" xfId="7634" xr:uid="{00000000-0005-0000-0000-00005A0D0000}"/>
    <cellStyle name="Currency 5 5 4 2 2 2" xfId="16069" xr:uid="{F820FC8E-0FA0-4138-A803-FA785166DA9F}"/>
    <cellStyle name="Currency 5 5 4 2 3" xfId="11851" xr:uid="{01C27200-7CEC-495C-B788-3CC00AE465BC}"/>
    <cellStyle name="Currency 5 5 4 3" xfId="5489" xr:uid="{00000000-0005-0000-0000-00005B0D0000}"/>
    <cellStyle name="Currency 5 5 4 3 2" xfId="13924" xr:uid="{FA35702E-35FE-4B9A-8530-E3C44C100AE2}"/>
    <cellStyle name="Currency 5 5 4 4" xfId="9706" xr:uid="{8B6080AC-EBAD-4D7E-B24C-9521B71284CB}"/>
    <cellStyle name="Currency 5 5 5" xfId="1594" xr:uid="{00000000-0005-0000-0000-00005C0D0000}"/>
    <cellStyle name="Currency 5 5 5 2" xfId="3824" xr:uid="{00000000-0005-0000-0000-00005D0D0000}"/>
    <cellStyle name="Currency 5 5 5 2 2" xfId="8047" xr:uid="{00000000-0005-0000-0000-00005E0D0000}"/>
    <cellStyle name="Currency 5 5 5 2 2 2" xfId="16482" xr:uid="{5DB24E6D-4764-4CE7-9CD3-537A3F36D85A}"/>
    <cellStyle name="Currency 5 5 5 2 3" xfId="12264" xr:uid="{965BD721-96C9-4AF0-AED7-F1B289621C4D}"/>
    <cellStyle name="Currency 5 5 5 3" xfId="5902" xr:uid="{00000000-0005-0000-0000-00005F0D0000}"/>
    <cellStyle name="Currency 5 5 5 3 2" xfId="14337" xr:uid="{ECC0C9EA-1F7E-4A1E-98BA-6B451DF59BAD}"/>
    <cellStyle name="Currency 5 5 5 4" xfId="10119" xr:uid="{468DDD7D-FD8C-44E1-B0D6-EDBBE4A2D1DE}"/>
    <cellStyle name="Currency 5 5 6" xfId="2008" xr:uid="{00000000-0005-0000-0000-0000600D0000}"/>
    <cellStyle name="Currency 5 5 6 2" xfId="4237" xr:uid="{00000000-0005-0000-0000-0000610D0000}"/>
    <cellStyle name="Currency 5 5 6 2 2" xfId="8460" xr:uid="{00000000-0005-0000-0000-0000620D0000}"/>
    <cellStyle name="Currency 5 5 6 2 2 2" xfId="16895" xr:uid="{4ACC8708-FCC5-449B-8A06-66190A1C3128}"/>
    <cellStyle name="Currency 5 5 6 2 3" xfId="12677" xr:uid="{8771BC58-E5F0-4F5B-8DC0-F29A3783A309}"/>
    <cellStyle name="Currency 5 5 6 3" xfId="6315" xr:uid="{00000000-0005-0000-0000-0000630D0000}"/>
    <cellStyle name="Currency 5 5 6 3 2" xfId="14750" xr:uid="{49A58A8B-4E3F-456F-A141-78789DAD6698}"/>
    <cellStyle name="Currency 5 5 6 4" xfId="10532" xr:uid="{A8042255-BEDF-4D3D-9BD7-6D6C1FF152AD}"/>
    <cellStyle name="Currency 5 5 7" xfId="2443" xr:uid="{00000000-0005-0000-0000-0000640D0000}"/>
    <cellStyle name="Currency 5 5 7 2" xfId="6728" xr:uid="{00000000-0005-0000-0000-0000650D0000}"/>
    <cellStyle name="Currency 5 5 7 2 2" xfId="15163" xr:uid="{271B8C9F-3173-46A5-912C-7E6747078F4B}"/>
    <cellStyle name="Currency 5 5 7 3" xfId="10945" xr:uid="{627BEB3C-0301-4AE9-8430-1F644A966AA6}"/>
    <cellStyle name="Currency 5 5 8" xfId="2740" xr:uid="{00000000-0005-0000-0000-0000660D0000}"/>
    <cellStyle name="Currency 5 5 9" xfId="2821" xr:uid="{00000000-0005-0000-0000-0000670D0000}"/>
    <cellStyle name="Currency 5 5 9 2" xfId="7045" xr:uid="{00000000-0005-0000-0000-0000680D0000}"/>
    <cellStyle name="Currency 5 5 9 2 2" xfId="15480" xr:uid="{53DD7F6D-E2BA-4E2B-ABA6-C186B467A7BF}"/>
    <cellStyle name="Currency 5 5 9 3" xfId="11262" xr:uid="{CD6F8B9C-89F7-4A32-A0C8-5965C78EF9F0}"/>
    <cellStyle name="Currency 5 6" xfId="221" xr:uid="{00000000-0005-0000-0000-0000690D0000}"/>
    <cellStyle name="Currency 5 6 10" xfId="8881" xr:uid="{6232F86C-6454-45FE-A745-FA081C1C1561}"/>
    <cellStyle name="Currency 5 6 2" xfId="748" xr:uid="{00000000-0005-0000-0000-00006A0D0000}"/>
    <cellStyle name="Currency 5 6 2 2" xfId="3000" xr:uid="{00000000-0005-0000-0000-00006B0D0000}"/>
    <cellStyle name="Currency 5 6 2 2 2" xfId="7223" xr:uid="{00000000-0005-0000-0000-00006C0D0000}"/>
    <cellStyle name="Currency 5 6 2 2 2 2" xfId="15658" xr:uid="{A6433D8B-F8E5-4F7E-8C4C-94A3F9CDE796}"/>
    <cellStyle name="Currency 5 6 2 2 3" xfId="11440" xr:uid="{754D091A-7652-4D7D-9318-950CB797B7CE}"/>
    <cellStyle name="Currency 5 6 2 3" xfId="5078" xr:uid="{00000000-0005-0000-0000-00006D0D0000}"/>
    <cellStyle name="Currency 5 6 2 3 2" xfId="13513" xr:uid="{0ECE0947-EC7B-4D12-A893-BA35C4ACD91F}"/>
    <cellStyle name="Currency 5 6 2 4" xfId="9295" xr:uid="{618F7207-E798-4C79-A072-92668B81DF60}"/>
    <cellStyle name="Currency 5 6 3" xfId="1182" xr:uid="{00000000-0005-0000-0000-00006E0D0000}"/>
    <cellStyle name="Currency 5 6 3 2" xfId="3413" xr:uid="{00000000-0005-0000-0000-00006F0D0000}"/>
    <cellStyle name="Currency 5 6 3 2 2" xfId="7636" xr:uid="{00000000-0005-0000-0000-0000700D0000}"/>
    <cellStyle name="Currency 5 6 3 2 2 2" xfId="16071" xr:uid="{BE3A5AD2-F666-4D35-B1D7-A3679DB87C34}"/>
    <cellStyle name="Currency 5 6 3 2 3" xfId="11853" xr:uid="{3B730457-5405-42E4-8AE8-91ECA060A82B}"/>
    <cellStyle name="Currency 5 6 3 3" xfId="5491" xr:uid="{00000000-0005-0000-0000-0000710D0000}"/>
    <cellStyle name="Currency 5 6 3 3 2" xfId="13926" xr:uid="{D0868865-6762-4E4E-B6EE-0F2CD3CEA224}"/>
    <cellStyle name="Currency 5 6 3 4" xfId="9708" xr:uid="{FCBA9DC8-E8F0-442C-BEED-683DEDB6FC25}"/>
    <cellStyle name="Currency 5 6 4" xfId="1596" xr:uid="{00000000-0005-0000-0000-0000720D0000}"/>
    <cellStyle name="Currency 5 6 4 2" xfId="3826" xr:uid="{00000000-0005-0000-0000-0000730D0000}"/>
    <cellStyle name="Currency 5 6 4 2 2" xfId="8049" xr:uid="{00000000-0005-0000-0000-0000740D0000}"/>
    <cellStyle name="Currency 5 6 4 2 2 2" xfId="16484" xr:uid="{FC7D7A3F-92B3-4211-8A05-8DA85CAA336F}"/>
    <cellStyle name="Currency 5 6 4 2 3" xfId="12266" xr:uid="{B7694DD1-4B96-4085-84F2-4DDD46A16451}"/>
    <cellStyle name="Currency 5 6 4 3" xfId="5904" xr:uid="{00000000-0005-0000-0000-0000750D0000}"/>
    <cellStyle name="Currency 5 6 4 3 2" xfId="14339" xr:uid="{5D0C3708-C86E-4AD3-8184-CEE340D1723D}"/>
    <cellStyle name="Currency 5 6 4 4" xfId="10121" xr:uid="{34F2549C-4EE2-4867-9541-60B041EAE683}"/>
    <cellStyle name="Currency 5 6 5" xfId="2010" xr:uid="{00000000-0005-0000-0000-0000760D0000}"/>
    <cellStyle name="Currency 5 6 5 2" xfId="4239" xr:uid="{00000000-0005-0000-0000-0000770D0000}"/>
    <cellStyle name="Currency 5 6 5 2 2" xfId="8462" xr:uid="{00000000-0005-0000-0000-0000780D0000}"/>
    <cellStyle name="Currency 5 6 5 2 2 2" xfId="16897" xr:uid="{61E54D9F-7140-4072-ACBE-C4C7F7351890}"/>
    <cellStyle name="Currency 5 6 5 2 3" xfId="12679" xr:uid="{03B466BA-65FD-4F32-AE04-6D1B00BA37BB}"/>
    <cellStyle name="Currency 5 6 5 3" xfId="6317" xr:uid="{00000000-0005-0000-0000-0000790D0000}"/>
    <cellStyle name="Currency 5 6 5 3 2" xfId="14752" xr:uid="{371CAA44-85FB-4B95-A063-9E19FD5B7867}"/>
    <cellStyle name="Currency 5 6 5 4" xfId="10534" xr:uid="{EAFF2DBD-7A59-4752-BF3C-646295F1380D}"/>
    <cellStyle name="Currency 5 6 6" xfId="2445" xr:uid="{00000000-0005-0000-0000-00007A0D0000}"/>
    <cellStyle name="Currency 5 6 6 2" xfId="6730" xr:uid="{00000000-0005-0000-0000-00007B0D0000}"/>
    <cellStyle name="Currency 5 6 6 2 2" xfId="15165" xr:uid="{D2D69738-3EC6-4608-A46E-0A93CCA99559}"/>
    <cellStyle name="Currency 5 6 6 3" xfId="10947" xr:uid="{EB76C195-F5F9-4408-8839-F262EF2925AF}"/>
    <cellStyle name="Currency 5 6 7" xfId="2742" xr:uid="{00000000-0005-0000-0000-00007C0D0000}"/>
    <cellStyle name="Currency 5 6 8" xfId="2823" xr:uid="{00000000-0005-0000-0000-00007D0D0000}"/>
    <cellStyle name="Currency 5 6 8 2" xfId="7047" xr:uid="{00000000-0005-0000-0000-00007E0D0000}"/>
    <cellStyle name="Currency 5 6 8 2 2" xfId="15482" xr:uid="{01B2D16D-52F1-4E9A-93D5-AC4F7F2DBEDF}"/>
    <cellStyle name="Currency 5 6 8 3" xfId="11264" xr:uid="{CBB0E2A6-B534-41E0-8855-02CD2B07E7C5}"/>
    <cellStyle name="Currency 5 6 9" xfId="4664" xr:uid="{00000000-0005-0000-0000-00007F0D0000}"/>
    <cellStyle name="Currency 5 6 9 2" xfId="13099" xr:uid="{4C06714C-7588-4382-9EC1-080B68101CC1}"/>
    <cellStyle name="Currency 5 7" xfId="222" xr:uid="{00000000-0005-0000-0000-0000800D0000}"/>
    <cellStyle name="Currency 5 7 10" xfId="8882" xr:uid="{1F25137C-E78A-4BB2-9DAE-8EEA6C59B416}"/>
    <cellStyle name="Currency 5 7 2" xfId="749" xr:uid="{00000000-0005-0000-0000-0000810D0000}"/>
    <cellStyle name="Currency 5 7 2 2" xfId="3001" xr:uid="{00000000-0005-0000-0000-0000820D0000}"/>
    <cellStyle name="Currency 5 7 2 2 2" xfId="7224" xr:uid="{00000000-0005-0000-0000-0000830D0000}"/>
    <cellStyle name="Currency 5 7 2 2 2 2" xfId="15659" xr:uid="{316D6362-7D3C-43AB-B0E8-E07BE660A871}"/>
    <cellStyle name="Currency 5 7 2 2 3" xfId="11441" xr:uid="{CCFA18EA-60DA-43A5-BBD2-B573BEDB1631}"/>
    <cellStyle name="Currency 5 7 2 3" xfId="5079" xr:uid="{00000000-0005-0000-0000-0000840D0000}"/>
    <cellStyle name="Currency 5 7 2 3 2" xfId="13514" xr:uid="{335AD923-DE4D-48AE-8090-0729EFDF4B29}"/>
    <cellStyle name="Currency 5 7 2 4" xfId="9296" xr:uid="{99DC29D0-B5E9-4364-B792-9B94C2B55992}"/>
    <cellStyle name="Currency 5 7 3" xfId="1183" xr:uid="{00000000-0005-0000-0000-0000850D0000}"/>
    <cellStyle name="Currency 5 7 3 2" xfId="3414" xr:uid="{00000000-0005-0000-0000-0000860D0000}"/>
    <cellStyle name="Currency 5 7 3 2 2" xfId="7637" xr:uid="{00000000-0005-0000-0000-0000870D0000}"/>
    <cellStyle name="Currency 5 7 3 2 2 2" xfId="16072" xr:uid="{899F1250-C154-493A-84B7-84626080BBC8}"/>
    <cellStyle name="Currency 5 7 3 2 3" xfId="11854" xr:uid="{506D44C3-7FFB-47EC-9E6E-A79FF5CCDE88}"/>
    <cellStyle name="Currency 5 7 3 3" xfId="5492" xr:uid="{00000000-0005-0000-0000-0000880D0000}"/>
    <cellStyle name="Currency 5 7 3 3 2" xfId="13927" xr:uid="{F339F048-4788-4510-909E-63B3E3CC15FA}"/>
    <cellStyle name="Currency 5 7 3 4" xfId="9709" xr:uid="{01011ECA-FA52-468F-B36C-E5551E9DA2F2}"/>
    <cellStyle name="Currency 5 7 4" xfId="1597" xr:uid="{00000000-0005-0000-0000-0000890D0000}"/>
    <cellStyle name="Currency 5 7 4 2" xfId="3827" xr:uid="{00000000-0005-0000-0000-00008A0D0000}"/>
    <cellStyle name="Currency 5 7 4 2 2" xfId="8050" xr:uid="{00000000-0005-0000-0000-00008B0D0000}"/>
    <cellStyle name="Currency 5 7 4 2 2 2" xfId="16485" xr:uid="{9F44DE32-49FB-41FE-B9A8-0047732A7B13}"/>
    <cellStyle name="Currency 5 7 4 2 3" xfId="12267" xr:uid="{2A724F63-009A-4D58-AA10-7DFAC3A00781}"/>
    <cellStyle name="Currency 5 7 4 3" xfId="5905" xr:uid="{00000000-0005-0000-0000-00008C0D0000}"/>
    <cellStyle name="Currency 5 7 4 3 2" xfId="14340" xr:uid="{C535F658-2F86-4CA0-A904-81593AF8601E}"/>
    <cellStyle name="Currency 5 7 4 4" xfId="10122" xr:uid="{A795A2CF-9631-43C8-8397-9CA21AD1964B}"/>
    <cellStyle name="Currency 5 7 5" xfId="2011" xr:uid="{00000000-0005-0000-0000-00008D0D0000}"/>
    <cellStyle name="Currency 5 7 5 2" xfId="4240" xr:uid="{00000000-0005-0000-0000-00008E0D0000}"/>
    <cellStyle name="Currency 5 7 5 2 2" xfId="8463" xr:uid="{00000000-0005-0000-0000-00008F0D0000}"/>
    <cellStyle name="Currency 5 7 5 2 2 2" xfId="16898" xr:uid="{103F1D05-E45D-478B-9EDB-7D46E80C45FE}"/>
    <cellStyle name="Currency 5 7 5 2 3" xfId="12680" xr:uid="{F1482B38-A657-4D63-A63B-02788B5CF569}"/>
    <cellStyle name="Currency 5 7 5 3" xfId="6318" xr:uid="{00000000-0005-0000-0000-0000900D0000}"/>
    <cellStyle name="Currency 5 7 5 3 2" xfId="14753" xr:uid="{49FE6C5C-24A1-41FB-AC8F-75C5B22588AA}"/>
    <cellStyle name="Currency 5 7 5 4" xfId="10535" xr:uid="{16BF31F0-8F35-4FBF-BC2E-8FD29F58123D}"/>
    <cellStyle name="Currency 5 7 6" xfId="2446" xr:uid="{00000000-0005-0000-0000-0000910D0000}"/>
    <cellStyle name="Currency 5 7 6 2" xfId="6731" xr:uid="{00000000-0005-0000-0000-0000920D0000}"/>
    <cellStyle name="Currency 5 7 6 2 2" xfId="15166" xr:uid="{716DA01D-F6F9-418E-AA2A-DCC5A3ADBD00}"/>
    <cellStyle name="Currency 5 7 6 3" xfId="10948" xr:uid="{8663B548-60A3-4023-8EF6-20976023FD8D}"/>
    <cellStyle name="Currency 5 7 7" xfId="2743" xr:uid="{00000000-0005-0000-0000-0000930D0000}"/>
    <cellStyle name="Currency 5 7 8" xfId="2824" xr:uid="{00000000-0005-0000-0000-0000940D0000}"/>
    <cellStyle name="Currency 5 7 8 2" xfId="7048" xr:uid="{00000000-0005-0000-0000-0000950D0000}"/>
    <cellStyle name="Currency 5 7 8 2 2" xfId="15483" xr:uid="{103C1215-B812-4ADB-A416-15F134D1B879}"/>
    <cellStyle name="Currency 5 7 8 3" xfId="11265" xr:uid="{77B8E8C3-5B10-41B2-912F-9F39008DB074}"/>
    <cellStyle name="Currency 5 7 9" xfId="4665" xr:uid="{00000000-0005-0000-0000-0000960D0000}"/>
    <cellStyle name="Currency 5 7 9 2" xfId="13100" xr:uid="{A953FD4E-F927-4889-A5CA-02997B3B4DBB}"/>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0 2 2" xfId="15167" xr:uid="{CDECD337-9EF3-4188-AC91-0148D908427F}"/>
    <cellStyle name="Normal 12 10 3" xfId="10949" xr:uid="{606977C4-BA4B-4717-A903-0675FEE78EB9}"/>
    <cellStyle name="Normal 12 11" xfId="4666" xr:uid="{00000000-0005-0000-0000-0000CC0D0000}"/>
    <cellStyle name="Normal 12 11 2" xfId="13101" xr:uid="{FD7EAE2F-3395-491F-B95B-37782F535A84}"/>
    <cellStyle name="Normal 12 12" xfId="8883" xr:uid="{B9253A7F-5D8E-4D1A-96F6-9091F1739D62}"/>
    <cellStyle name="Normal 12 2" xfId="260" xr:uid="{00000000-0005-0000-0000-0000CD0D0000}"/>
    <cellStyle name="Normal 12 2 10" xfId="8884" xr:uid="{CFC29C68-C325-4EE8-9906-3ECC31416FC1}"/>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2 2 2" xfId="15663" xr:uid="{D767C987-31A5-477D-B06F-D95F74FDFCBD}"/>
    <cellStyle name="Normal 12 2 2 2 2 2 3" xfId="11445" xr:uid="{2164E15B-D2FF-4675-B130-CB60C246C70B}"/>
    <cellStyle name="Normal 12 2 2 2 2 3" xfId="5083" xr:uid="{00000000-0005-0000-0000-0000D30D0000}"/>
    <cellStyle name="Normal 12 2 2 2 2 3 2" xfId="13518" xr:uid="{F9CEDCE1-C798-40AF-98DC-D483E3240A91}"/>
    <cellStyle name="Normal 12 2 2 2 2 4" xfId="9300" xr:uid="{E3226C45-C56D-4F96-81BD-70B899447BBD}"/>
    <cellStyle name="Normal 12 2 2 2 3" xfId="1187" xr:uid="{00000000-0005-0000-0000-0000D40D0000}"/>
    <cellStyle name="Normal 12 2 2 2 3 2" xfId="3418" xr:uid="{00000000-0005-0000-0000-0000D50D0000}"/>
    <cellStyle name="Normal 12 2 2 2 3 2 2" xfId="7641" xr:uid="{00000000-0005-0000-0000-0000D60D0000}"/>
    <cellStyle name="Normal 12 2 2 2 3 2 2 2" xfId="16076" xr:uid="{921ED80E-99FE-49AE-A9B5-06CB1069BDE6}"/>
    <cellStyle name="Normal 12 2 2 2 3 2 3" xfId="11858" xr:uid="{9AACFDB1-59C7-46A0-8596-E6B141531DFC}"/>
    <cellStyle name="Normal 12 2 2 2 3 3" xfId="5496" xr:uid="{00000000-0005-0000-0000-0000D70D0000}"/>
    <cellStyle name="Normal 12 2 2 2 3 3 2" xfId="13931" xr:uid="{AB95BE29-873D-49DC-8C65-398EC3FFAEA3}"/>
    <cellStyle name="Normal 12 2 2 2 3 4" xfId="9713" xr:uid="{2E53F386-FCF1-43EC-A98B-EE6ADA41286F}"/>
    <cellStyle name="Normal 12 2 2 2 4" xfId="1601" xr:uid="{00000000-0005-0000-0000-0000D80D0000}"/>
    <cellStyle name="Normal 12 2 2 2 4 2" xfId="3831" xr:uid="{00000000-0005-0000-0000-0000D90D0000}"/>
    <cellStyle name="Normal 12 2 2 2 4 2 2" xfId="8054" xr:uid="{00000000-0005-0000-0000-0000DA0D0000}"/>
    <cellStyle name="Normal 12 2 2 2 4 2 2 2" xfId="16489" xr:uid="{AF33AB2F-F1F5-4ADB-91E9-BA19EBF3C1C1}"/>
    <cellStyle name="Normal 12 2 2 2 4 2 3" xfId="12271" xr:uid="{23FB032A-42DB-44D9-B604-E37C95A3BE4F}"/>
    <cellStyle name="Normal 12 2 2 2 4 3" xfId="5909" xr:uid="{00000000-0005-0000-0000-0000DB0D0000}"/>
    <cellStyle name="Normal 12 2 2 2 4 3 2" xfId="14344" xr:uid="{53CEB718-EBA0-4934-B676-AAB21B375224}"/>
    <cellStyle name="Normal 12 2 2 2 4 4" xfId="10126" xr:uid="{B10CCA60-7B85-4B30-B1C0-29042EDD9641}"/>
    <cellStyle name="Normal 12 2 2 2 5" xfId="2015" xr:uid="{00000000-0005-0000-0000-0000DC0D0000}"/>
    <cellStyle name="Normal 12 2 2 2 5 2" xfId="4244" xr:uid="{00000000-0005-0000-0000-0000DD0D0000}"/>
    <cellStyle name="Normal 12 2 2 2 5 2 2" xfId="8467" xr:uid="{00000000-0005-0000-0000-0000DE0D0000}"/>
    <cellStyle name="Normal 12 2 2 2 5 2 2 2" xfId="16902" xr:uid="{9A7AD6D4-F1EF-4935-AA78-A5FE9B1B8575}"/>
    <cellStyle name="Normal 12 2 2 2 5 2 3" xfId="12684" xr:uid="{1D210022-E7BF-4F3E-A5C4-2812A3CC6772}"/>
    <cellStyle name="Normal 12 2 2 2 5 3" xfId="6322" xr:uid="{00000000-0005-0000-0000-0000DF0D0000}"/>
    <cellStyle name="Normal 12 2 2 2 5 3 2" xfId="14757" xr:uid="{5100277A-41FF-4D82-84E3-A5136E10CDC3}"/>
    <cellStyle name="Normal 12 2 2 2 5 4" xfId="10539" xr:uid="{05FFB983-8EE0-4F0D-8E54-FCB655D7BA48}"/>
    <cellStyle name="Normal 12 2 2 2 6" xfId="2451" xr:uid="{00000000-0005-0000-0000-0000E00D0000}"/>
    <cellStyle name="Normal 12 2 2 2 6 2" xfId="6735" xr:uid="{00000000-0005-0000-0000-0000E10D0000}"/>
    <cellStyle name="Normal 12 2 2 2 6 2 2" xfId="15170" xr:uid="{AA8985DF-8C86-4B36-A47F-1E68564D10CF}"/>
    <cellStyle name="Normal 12 2 2 2 6 3" xfId="10952" xr:uid="{4C14CB52-63C7-497D-B7B0-B75DFC42D19D}"/>
    <cellStyle name="Normal 12 2 2 2 7" xfId="4669" xr:uid="{00000000-0005-0000-0000-0000E20D0000}"/>
    <cellStyle name="Normal 12 2 2 2 7 2" xfId="13104" xr:uid="{C0289634-5194-4D83-A145-2625BECE9FAD}"/>
    <cellStyle name="Normal 12 2 2 2 8" xfId="8886" xr:uid="{17181546-7F21-487B-9A17-50C73815F5D2}"/>
    <cellStyle name="Normal 12 2 2 3" xfId="763" xr:uid="{00000000-0005-0000-0000-0000E30D0000}"/>
    <cellStyle name="Normal 12 2 2 3 2" xfId="3004" xr:uid="{00000000-0005-0000-0000-0000E40D0000}"/>
    <cellStyle name="Normal 12 2 2 3 2 2" xfId="7227" xr:uid="{00000000-0005-0000-0000-0000E50D0000}"/>
    <cellStyle name="Normal 12 2 2 3 2 2 2" xfId="15662" xr:uid="{1FD0EF5A-0437-463C-BEB8-A9F5526859CB}"/>
    <cellStyle name="Normal 12 2 2 3 2 3" xfId="11444" xr:uid="{77C146DD-EBE1-42F5-B837-BED5A086BD7B}"/>
    <cellStyle name="Normal 12 2 2 3 3" xfId="5082" xr:uid="{00000000-0005-0000-0000-0000E60D0000}"/>
    <cellStyle name="Normal 12 2 2 3 3 2" xfId="13517" xr:uid="{E997C66E-C893-4C16-9AB5-982391041ACD}"/>
    <cellStyle name="Normal 12 2 2 3 4" xfId="9299" xr:uid="{C9D85B13-6437-4543-A54B-F5F999C77908}"/>
    <cellStyle name="Normal 12 2 2 4" xfId="1186" xr:uid="{00000000-0005-0000-0000-0000E70D0000}"/>
    <cellStyle name="Normal 12 2 2 4 2" xfId="3417" xr:uid="{00000000-0005-0000-0000-0000E80D0000}"/>
    <cellStyle name="Normal 12 2 2 4 2 2" xfId="7640" xr:uid="{00000000-0005-0000-0000-0000E90D0000}"/>
    <cellStyle name="Normal 12 2 2 4 2 2 2" xfId="16075" xr:uid="{41BD047D-5DA3-4DC3-852A-7BF4AF02960D}"/>
    <cellStyle name="Normal 12 2 2 4 2 3" xfId="11857" xr:uid="{D0C285EC-7C0C-4ACC-817C-16444F506AB2}"/>
    <cellStyle name="Normal 12 2 2 4 3" xfId="5495" xr:uid="{00000000-0005-0000-0000-0000EA0D0000}"/>
    <cellStyle name="Normal 12 2 2 4 3 2" xfId="13930" xr:uid="{41A72A0A-19E9-48A1-BD34-290E57F59A77}"/>
    <cellStyle name="Normal 12 2 2 4 4" xfId="9712" xr:uid="{67AAD42A-E5DF-47F7-BF10-251B215ADA6D}"/>
    <cellStyle name="Normal 12 2 2 5" xfId="1600" xr:uid="{00000000-0005-0000-0000-0000EB0D0000}"/>
    <cellStyle name="Normal 12 2 2 5 2" xfId="3830" xr:uid="{00000000-0005-0000-0000-0000EC0D0000}"/>
    <cellStyle name="Normal 12 2 2 5 2 2" xfId="8053" xr:uid="{00000000-0005-0000-0000-0000ED0D0000}"/>
    <cellStyle name="Normal 12 2 2 5 2 2 2" xfId="16488" xr:uid="{02ED416D-0B4F-4AEF-85ED-FA7A3A2280FD}"/>
    <cellStyle name="Normal 12 2 2 5 2 3" xfId="12270" xr:uid="{150DF120-DA70-4B10-9917-E65F635E5AF4}"/>
    <cellStyle name="Normal 12 2 2 5 3" xfId="5908" xr:uid="{00000000-0005-0000-0000-0000EE0D0000}"/>
    <cellStyle name="Normal 12 2 2 5 3 2" xfId="14343" xr:uid="{08FA4239-20AC-4218-A1BB-4E5178CAAA67}"/>
    <cellStyle name="Normal 12 2 2 5 4" xfId="10125" xr:uid="{C69DBADE-A1B6-4F71-AFBB-5D7B3D1946E3}"/>
    <cellStyle name="Normal 12 2 2 6" xfId="2014" xr:uid="{00000000-0005-0000-0000-0000EF0D0000}"/>
    <cellStyle name="Normal 12 2 2 6 2" xfId="4243" xr:uid="{00000000-0005-0000-0000-0000F00D0000}"/>
    <cellStyle name="Normal 12 2 2 6 2 2" xfId="8466" xr:uid="{00000000-0005-0000-0000-0000F10D0000}"/>
    <cellStyle name="Normal 12 2 2 6 2 2 2" xfId="16901" xr:uid="{FE01451F-D082-4942-AF69-F45C1128DA72}"/>
    <cellStyle name="Normal 12 2 2 6 2 3" xfId="12683" xr:uid="{D1386E08-4856-482C-8260-A287FDDE60C8}"/>
    <cellStyle name="Normal 12 2 2 6 3" xfId="6321" xr:uid="{00000000-0005-0000-0000-0000F20D0000}"/>
    <cellStyle name="Normal 12 2 2 6 3 2" xfId="14756" xr:uid="{92E8D3AE-1711-40F8-8AD1-A6D3A829CCA9}"/>
    <cellStyle name="Normal 12 2 2 6 4" xfId="10538" xr:uid="{075C70F6-7218-4808-A192-C6B8FC607297}"/>
    <cellStyle name="Normal 12 2 2 7" xfId="2450" xr:uid="{00000000-0005-0000-0000-0000F30D0000}"/>
    <cellStyle name="Normal 12 2 2 7 2" xfId="6734" xr:uid="{00000000-0005-0000-0000-0000F40D0000}"/>
    <cellStyle name="Normal 12 2 2 7 2 2" xfId="15169" xr:uid="{C2768A27-675D-4B24-8E14-C84874EFD7E8}"/>
    <cellStyle name="Normal 12 2 2 7 3" xfId="10951" xr:uid="{0E8601A3-3B01-4A30-8A3D-EED71CD07FBA}"/>
    <cellStyle name="Normal 12 2 2 8" xfId="4668" xr:uid="{00000000-0005-0000-0000-0000F50D0000}"/>
    <cellStyle name="Normal 12 2 2 8 2" xfId="13103" xr:uid="{9E4F1EA1-4F3D-4129-903C-26B15538B95D}"/>
    <cellStyle name="Normal 12 2 2 9" xfId="8885" xr:uid="{C92935DA-E567-493B-BA03-DED12365C294}"/>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2 2 2" xfId="15664" xr:uid="{691C0B1E-48AC-4892-89D9-7989A41861D3}"/>
    <cellStyle name="Normal 12 2 3 2 2 3" xfId="11446" xr:uid="{B21B0090-CC32-4011-8EE8-C92D5E687D29}"/>
    <cellStyle name="Normal 12 2 3 2 3" xfId="5084" xr:uid="{00000000-0005-0000-0000-0000FA0D0000}"/>
    <cellStyle name="Normal 12 2 3 2 3 2" xfId="13519" xr:uid="{5C9BFDFF-E5A8-49B5-9EB2-3C9EB82CA56C}"/>
    <cellStyle name="Normal 12 2 3 2 4" xfId="9301" xr:uid="{048F311F-A27B-4220-ADB8-01A3A8139A74}"/>
    <cellStyle name="Normal 12 2 3 3" xfId="1188" xr:uid="{00000000-0005-0000-0000-0000FB0D0000}"/>
    <cellStyle name="Normal 12 2 3 3 2" xfId="3419" xr:uid="{00000000-0005-0000-0000-0000FC0D0000}"/>
    <cellStyle name="Normal 12 2 3 3 2 2" xfId="7642" xr:uid="{00000000-0005-0000-0000-0000FD0D0000}"/>
    <cellStyle name="Normal 12 2 3 3 2 2 2" xfId="16077" xr:uid="{C68A6652-0C26-4F36-9EED-174680380AAB}"/>
    <cellStyle name="Normal 12 2 3 3 2 3" xfId="11859" xr:uid="{7BC6B82F-2783-452D-907D-610E1AD2AFB3}"/>
    <cellStyle name="Normal 12 2 3 3 3" xfId="5497" xr:uid="{00000000-0005-0000-0000-0000FE0D0000}"/>
    <cellStyle name="Normal 12 2 3 3 3 2" xfId="13932" xr:uid="{59AAB71E-E077-4BF0-907D-2F235BAFE7CF}"/>
    <cellStyle name="Normal 12 2 3 3 4" xfId="9714" xr:uid="{2F837A14-8174-4CED-9515-F477D0A335C0}"/>
    <cellStyle name="Normal 12 2 3 4" xfId="1602" xr:uid="{00000000-0005-0000-0000-0000FF0D0000}"/>
    <cellStyle name="Normal 12 2 3 4 2" xfId="3832" xr:uid="{00000000-0005-0000-0000-0000000E0000}"/>
    <cellStyle name="Normal 12 2 3 4 2 2" xfId="8055" xr:uid="{00000000-0005-0000-0000-0000010E0000}"/>
    <cellStyle name="Normal 12 2 3 4 2 2 2" xfId="16490" xr:uid="{1D0BAA00-4634-4867-A14A-8255B9853195}"/>
    <cellStyle name="Normal 12 2 3 4 2 3" xfId="12272" xr:uid="{26547B9A-F1A6-497C-939A-B40A11C417D1}"/>
    <cellStyle name="Normal 12 2 3 4 3" xfId="5910" xr:uid="{00000000-0005-0000-0000-0000020E0000}"/>
    <cellStyle name="Normal 12 2 3 4 3 2" xfId="14345" xr:uid="{B5EBCBC3-4BCB-4162-A631-7392F84DA733}"/>
    <cellStyle name="Normal 12 2 3 4 4" xfId="10127" xr:uid="{0B33B0EC-C5B7-4E54-86DF-558FECAEFAA2}"/>
    <cellStyle name="Normal 12 2 3 5" xfId="2016" xr:uid="{00000000-0005-0000-0000-0000030E0000}"/>
    <cellStyle name="Normal 12 2 3 5 2" xfId="4245" xr:uid="{00000000-0005-0000-0000-0000040E0000}"/>
    <cellStyle name="Normal 12 2 3 5 2 2" xfId="8468" xr:uid="{00000000-0005-0000-0000-0000050E0000}"/>
    <cellStyle name="Normal 12 2 3 5 2 2 2" xfId="16903" xr:uid="{9B8E82C0-87F2-479D-8499-62D617E0488E}"/>
    <cellStyle name="Normal 12 2 3 5 2 3" xfId="12685" xr:uid="{40FFBDD8-7397-4C38-B9E3-A6F02CEF0129}"/>
    <cellStyle name="Normal 12 2 3 5 3" xfId="6323" xr:uid="{00000000-0005-0000-0000-0000060E0000}"/>
    <cellStyle name="Normal 12 2 3 5 3 2" xfId="14758" xr:uid="{B9993BFD-1F2A-40BA-B824-4B8DAD3258EC}"/>
    <cellStyle name="Normal 12 2 3 5 4" xfId="10540" xr:uid="{E61CA72E-75D3-45C0-9450-44F65BFE4CB2}"/>
    <cellStyle name="Normal 12 2 3 6" xfId="2452" xr:uid="{00000000-0005-0000-0000-0000070E0000}"/>
    <cellStyle name="Normal 12 2 3 6 2" xfId="6736" xr:uid="{00000000-0005-0000-0000-0000080E0000}"/>
    <cellStyle name="Normal 12 2 3 6 2 2" xfId="15171" xr:uid="{4B0D6DC2-40F6-4C40-B2F7-A69DB01ADF81}"/>
    <cellStyle name="Normal 12 2 3 6 3" xfId="10953" xr:uid="{253B7C0A-60E5-450E-898F-C266088171EB}"/>
    <cellStyle name="Normal 12 2 3 7" xfId="4670" xr:uid="{00000000-0005-0000-0000-0000090E0000}"/>
    <cellStyle name="Normal 12 2 3 7 2" xfId="13105" xr:uid="{3D7A9334-D2C3-4A2A-9485-D1DE558A9FC3}"/>
    <cellStyle name="Normal 12 2 3 8" xfId="8887" xr:uid="{8612BE0A-C389-42D2-A997-EAD836AF2F81}"/>
    <cellStyle name="Normal 12 2 4" xfId="762" xr:uid="{00000000-0005-0000-0000-00000A0E0000}"/>
    <cellStyle name="Normal 12 2 4 2" xfId="3003" xr:uid="{00000000-0005-0000-0000-00000B0E0000}"/>
    <cellStyle name="Normal 12 2 4 2 2" xfId="7226" xr:uid="{00000000-0005-0000-0000-00000C0E0000}"/>
    <cellStyle name="Normal 12 2 4 2 2 2" xfId="15661" xr:uid="{9AA983B6-79AF-4CC7-B6B4-F400D34D411E}"/>
    <cellStyle name="Normal 12 2 4 2 3" xfId="11443" xr:uid="{3B8E16AA-A9E8-44F5-9519-F89CCB4EE4AE}"/>
    <cellStyle name="Normal 12 2 4 3" xfId="5081" xr:uid="{00000000-0005-0000-0000-00000D0E0000}"/>
    <cellStyle name="Normal 12 2 4 3 2" xfId="13516" xr:uid="{7698336A-1B17-4D63-94C4-84648E53A62C}"/>
    <cellStyle name="Normal 12 2 4 4" xfId="9298" xr:uid="{2A783278-BFD7-4DCD-B98D-067EC065E8A4}"/>
    <cellStyle name="Normal 12 2 5" xfId="1185" xr:uid="{00000000-0005-0000-0000-00000E0E0000}"/>
    <cellStyle name="Normal 12 2 5 2" xfId="3416" xr:uid="{00000000-0005-0000-0000-00000F0E0000}"/>
    <cellStyle name="Normal 12 2 5 2 2" xfId="7639" xr:uid="{00000000-0005-0000-0000-0000100E0000}"/>
    <cellStyle name="Normal 12 2 5 2 2 2" xfId="16074" xr:uid="{5E5AC78C-1915-4FC5-866A-59F0F3ADAAF8}"/>
    <cellStyle name="Normal 12 2 5 2 3" xfId="11856" xr:uid="{61F06B5A-CE58-4219-86D6-C5F3749B4EBF}"/>
    <cellStyle name="Normal 12 2 5 3" xfId="5494" xr:uid="{00000000-0005-0000-0000-0000110E0000}"/>
    <cellStyle name="Normal 12 2 5 3 2" xfId="13929" xr:uid="{0EA71DB6-F5BA-47B7-9299-07A9A3B4934A}"/>
    <cellStyle name="Normal 12 2 5 4" xfId="9711" xr:uid="{8DA0F379-F9B2-4EC5-998D-B37EC4B7FD6B}"/>
    <cellStyle name="Normal 12 2 6" xfId="1599" xr:uid="{00000000-0005-0000-0000-0000120E0000}"/>
    <cellStyle name="Normal 12 2 6 2" xfId="3829" xr:uid="{00000000-0005-0000-0000-0000130E0000}"/>
    <cellStyle name="Normal 12 2 6 2 2" xfId="8052" xr:uid="{00000000-0005-0000-0000-0000140E0000}"/>
    <cellStyle name="Normal 12 2 6 2 2 2" xfId="16487" xr:uid="{24C1284E-2E33-4BC8-948D-BA3D8C48CC62}"/>
    <cellStyle name="Normal 12 2 6 2 3" xfId="12269" xr:uid="{F17D7895-7F03-4B77-AF99-0C2703135472}"/>
    <cellStyle name="Normal 12 2 6 3" xfId="5907" xr:uid="{00000000-0005-0000-0000-0000150E0000}"/>
    <cellStyle name="Normal 12 2 6 3 2" xfId="14342" xr:uid="{C76224FD-0161-4C66-9C34-C5ACFF7F6613}"/>
    <cellStyle name="Normal 12 2 6 4" xfId="10124" xr:uid="{8494C846-1FF4-4646-80F9-CADBF482042B}"/>
    <cellStyle name="Normal 12 2 7" xfId="2013" xr:uid="{00000000-0005-0000-0000-0000160E0000}"/>
    <cellStyle name="Normal 12 2 7 2" xfId="4242" xr:uid="{00000000-0005-0000-0000-0000170E0000}"/>
    <cellStyle name="Normal 12 2 7 2 2" xfId="8465" xr:uid="{00000000-0005-0000-0000-0000180E0000}"/>
    <cellStyle name="Normal 12 2 7 2 2 2" xfId="16900" xr:uid="{1457FBD4-B17E-448B-89BA-D5AA18E8DE92}"/>
    <cellStyle name="Normal 12 2 7 2 3" xfId="12682" xr:uid="{A9999F88-846F-4BB7-9FD9-D2346359D3AC}"/>
    <cellStyle name="Normal 12 2 7 3" xfId="6320" xr:uid="{00000000-0005-0000-0000-0000190E0000}"/>
    <cellStyle name="Normal 12 2 7 3 2" xfId="14755" xr:uid="{B1996DE1-454E-47E1-8E28-0464342E9F60}"/>
    <cellStyle name="Normal 12 2 7 4" xfId="10537" xr:uid="{5AF10A17-39AB-4D2E-AB11-4F70D3DD7F54}"/>
    <cellStyle name="Normal 12 2 8" xfId="2449" xr:uid="{00000000-0005-0000-0000-00001A0E0000}"/>
    <cellStyle name="Normal 12 2 8 2" xfId="6733" xr:uid="{00000000-0005-0000-0000-00001B0E0000}"/>
    <cellStyle name="Normal 12 2 8 2 2" xfId="15168" xr:uid="{E7ADF0BB-A68F-4AE4-B7C9-9771FBA6A399}"/>
    <cellStyle name="Normal 12 2 8 3" xfId="10950" xr:uid="{7E4757BE-8D7D-4BDD-BD50-2F89BAE9079E}"/>
    <cellStyle name="Normal 12 2 9" xfId="4667" xr:uid="{00000000-0005-0000-0000-00001C0E0000}"/>
    <cellStyle name="Normal 12 2 9 2" xfId="13102" xr:uid="{C0E87990-B785-4EB1-A919-D236B2EB532C}"/>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2 2 2" xfId="15666" xr:uid="{ADADEEEE-F883-4F91-9FCD-2CBAB0700F86}"/>
    <cellStyle name="Normal 12 3 2 2 2 3" xfId="11448" xr:uid="{F25A7B9C-0E15-4DFF-9DE8-97AA60AF8D8B}"/>
    <cellStyle name="Normal 12 3 2 2 3" xfId="5086" xr:uid="{00000000-0005-0000-0000-0000220E0000}"/>
    <cellStyle name="Normal 12 3 2 2 3 2" xfId="13521" xr:uid="{F69F1A1F-19FA-4ECB-A5BE-A057A37DA0BF}"/>
    <cellStyle name="Normal 12 3 2 2 4" xfId="9303" xr:uid="{4908059E-24BD-4969-8E49-D26620AD4A84}"/>
    <cellStyle name="Normal 12 3 2 3" xfId="1190" xr:uid="{00000000-0005-0000-0000-0000230E0000}"/>
    <cellStyle name="Normal 12 3 2 3 2" xfId="3421" xr:uid="{00000000-0005-0000-0000-0000240E0000}"/>
    <cellStyle name="Normal 12 3 2 3 2 2" xfId="7644" xr:uid="{00000000-0005-0000-0000-0000250E0000}"/>
    <cellStyle name="Normal 12 3 2 3 2 2 2" xfId="16079" xr:uid="{52D48D1F-F555-41BF-AFCF-7D1B104CE2E5}"/>
    <cellStyle name="Normal 12 3 2 3 2 3" xfId="11861" xr:uid="{6C1E2424-B56A-4B56-9228-93BBE3C15350}"/>
    <cellStyle name="Normal 12 3 2 3 3" xfId="5499" xr:uid="{00000000-0005-0000-0000-0000260E0000}"/>
    <cellStyle name="Normal 12 3 2 3 3 2" xfId="13934" xr:uid="{37EDD098-0437-4D30-B64A-26137C1C97C1}"/>
    <cellStyle name="Normal 12 3 2 3 4" xfId="9716" xr:uid="{48291503-4F9F-4BC7-8E28-CA46C8169E89}"/>
    <cellStyle name="Normal 12 3 2 4" xfId="1604" xr:uid="{00000000-0005-0000-0000-0000270E0000}"/>
    <cellStyle name="Normal 12 3 2 4 2" xfId="3834" xr:uid="{00000000-0005-0000-0000-0000280E0000}"/>
    <cellStyle name="Normal 12 3 2 4 2 2" xfId="8057" xr:uid="{00000000-0005-0000-0000-0000290E0000}"/>
    <cellStyle name="Normal 12 3 2 4 2 2 2" xfId="16492" xr:uid="{92DBAFE4-5493-4D0B-839D-4EDBD547BABC}"/>
    <cellStyle name="Normal 12 3 2 4 2 3" xfId="12274" xr:uid="{0B7FB469-FE47-40B7-9923-3753A2D75CF2}"/>
    <cellStyle name="Normal 12 3 2 4 3" xfId="5912" xr:uid="{00000000-0005-0000-0000-00002A0E0000}"/>
    <cellStyle name="Normal 12 3 2 4 3 2" xfId="14347" xr:uid="{EC8438E2-693B-4DE3-9A1D-A2F82C6236FE}"/>
    <cellStyle name="Normal 12 3 2 4 4" xfId="10129" xr:uid="{2FC3B5B7-55A4-4028-B5FE-03763E6A94FD}"/>
    <cellStyle name="Normal 12 3 2 5" xfId="2018" xr:uid="{00000000-0005-0000-0000-00002B0E0000}"/>
    <cellStyle name="Normal 12 3 2 5 2" xfId="4247" xr:uid="{00000000-0005-0000-0000-00002C0E0000}"/>
    <cellStyle name="Normal 12 3 2 5 2 2" xfId="8470" xr:uid="{00000000-0005-0000-0000-00002D0E0000}"/>
    <cellStyle name="Normal 12 3 2 5 2 2 2" xfId="16905" xr:uid="{CFAE6178-3DE5-406B-B5F5-B28D4EFF4B3B}"/>
    <cellStyle name="Normal 12 3 2 5 2 3" xfId="12687" xr:uid="{1F41E45D-4983-4CE3-93D5-BC7B802F0C72}"/>
    <cellStyle name="Normal 12 3 2 5 3" xfId="6325" xr:uid="{00000000-0005-0000-0000-00002E0E0000}"/>
    <cellStyle name="Normal 12 3 2 5 3 2" xfId="14760" xr:uid="{58F1B542-A06C-47C0-BD0B-05632411D193}"/>
    <cellStyle name="Normal 12 3 2 5 4" xfId="10542" xr:uid="{577AE1BB-FC76-4D34-BC24-257C019FDAF5}"/>
    <cellStyle name="Normal 12 3 2 6" xfId="2454" xr:uid="{00000000-0005-0000-0000-00002F0E0000}"/>
    <cellStyle name="Normal 12 3 2 6 2" xfId="6738" xr:uid="{00000000-0005-0000-0000-0000300E0000}"/>
    <cellStyle name="Normal 12 3 2 6 2 2" xfId="15173" xr:uid="{396C4A49-6A51-4F94-9AB7-18517ACB1DC6}"/>
    <cellStyle name="Normal 12 3 2 6 3" xfId="10955" xr:uid="{05EEFFF7-D617-4EC3-98EF-6F3CA6EFA194}"/>
    <cellStyle name="Normal 12 3 2 7" xfId="4672" xr:uid="{00000000-0005-0000-0000-0000310E0000}"/>
    <cellStyle name="Normal 12 3 2 7 2" xfId="13107" xr:uid="{67291E5D-907E-4FE6-98F0-8C6C43844B10}"/>
    <cellStyle name="Normal 12 3 2 8" xfId="8889" xr:uid="{817BED77-621B-44FC-BE7E-F224D34E7C99}"/>
    <cellStyle name="Normal 12 3 3" xfId="766" xr:uid="{00000000-0005-0000-0000-0000320E0000}"/>
    <cellStyle name="Normal 12 3 3 2" xfId="3007" xr:uid="{00000000-0005-0000-0000-0000330E0000}"/>
    <cellStyle name="Normal 12 3 3 2 2" xfId="7230" xr:uid="{00000000-0005-0000-0000-0000340E0000}"/>
    <cellStyle name="Normal 12 3 3 2 2 2" xfId="15665" xr:uid="{DD20F811-E98E-4F5B-A484-190C8F05A7B6}"/>
    <cellStyle name="Normal 12 3 3 2 3" xfId="11447" xr:uid="{CFA3DB9E-2B28-4999-AA91-D4500825F4B2}"/>
    <cellStyle name="Normal 12 3 3 3" xfId="5085" xr:uid="{00000000-0005-0000-0000-0000350E0000}"/>
    <cellStyle name="Normal 12 3 3 3 2" xfId="13520" xr:uid="{56197570-ECE3-4B3B-A026-FA62B7F0F29C}"/>
    <cellStyle name="Normal 12 3 3 4" xfId="9302" xr:uid="{DC42C596-F1DB-4792-ABCC-06F513179958}"/>
    <cellStyle name="Normal 12 3 4" xfId="1189" xr:uid="{00000000-0005-0000-0000-0000360E0000}"/>
    <cellStyle name="Normal 12 3 4 2" xfId="3420" xr:uid="{00000000-0005-0000-0000-0000370E0000}"/>
    <cellStyle name="Normal 12 3 4 2 2" xfId="7643" xr:uid="{00000000-0005-0000-0000-0000380E0000}"/>
    <cellStyle name="Normal 12 3 4 2 2 2" xfId="16078" xr:uid="{D026F883-52B0-4CBA-BCD8-A6319A319DB4}"/>
    <cellStyle name="Normal 12 3 4 2 3" xfId="11860" xr:uid="{C6E2097B-CAEC-46F3-A953-F9F199E85781}"/>
    <cellStyle name="Normal 12 3 4 3" xfId="5498" xr:uid="{00000000-0005-0000-0000-0000390E0000}"/>
    <cellStyle name="Normal 12 3 4 3 2" xfId="13933" xr:uid="{ABE926ED-06BC-46A8-A7C0-CE5C40D79411}"/>
    <cellStyle name="Normal 12 3 4 4" xfId="9715" xr:uid="{508DB37F-95F3-46D7-A0E0-7B8C88A1C5DF}"/>
    <cellStyle name="Normal 12 3 5" xfId="1603" xr:uid="{00000000-0005-0000-0000-00003A0E0000}"/>
    <cellStyle name="Normal 12 3 5 2" xfId="3833" xr:uid="{00000000-0005-0000-0000-00003B0E0000}"/>
    <cellStyle name="Normal 12 3 5 2 2" xfId="8056" xr:uid="{00000000-0005-0000-0000-00003C0E0000}"/>
    <cellStyle name="Normal 12 3 5 2 2 2" xfId="16491" xr:uid="{C5F0A66C-F064-48D5-90B0-B820B3D56CDD}"/>
    <cellStyle name="Normal 12 3 5 2 3" xfId="12273" xr:uid="{E5075474-46AF-4495-98D5-BC312AD98B6D}"/>
    <cellStyle name="Normal 12 3 5 3" xfId="5911" xr:uid="{00000000-0005-0000-0000-00003D0E0000}"/>
    <cellStyle name="Normal 12 3 5 3 2" xfId="14346" xr:uid="{84E49C2D-D5B4-41D4-8C73-532492345776}"/>
    <cellStyle name="Normal 12 3 5 4" xfId="10128" xr:uid="{2DF612C2-5C03-42FC-8767-91FA16C9F4D3}"/>
    <cellStyle name="Normal 12 3 6" xfId="2017" xr:uid="{00000000-0005-0000-0000-00003E0E0000}"/>
    <cellStyle name="Normal 12 3 6 2" xfId="4246" xr:uid="{00000000-0005-0000-0000-00003F0E0000}"/>
    <cellStyle name="Normal 12 3 6 2 2" xfId="8469" xr:uid="{00000000-0005-0000-0000-0000400E0000}"/>
    <cellStyle name="Normal 12 3 6 2 2 2" xfId="16904" xr:uid="{2CFE0E48-1310-477D-AA30-CC9E7FA85F96}"/>
    <cellStyle name="Normal 12 3 6 2 3" xfId="12686" xr:uid="{432F859D-7B89-475F-95F3-66FEFF5184DE}"/>
    <cellStyle name="Normal 12 3 6 3" xfId="6324" xr:uid="{00000000-0005-0000-0000-0000410E0000}"/>
    <cellStyle name="Normal 12 3 6 3 2" xfId="14759" xr:uid="{14B60D04-056B-43CF-B44D-06129DBDBDD9}"/>
    <cellStyle name="Normal 12 3 6 4" xfId="10541" xr:uid="{6688F070-24B9-4EFA-B252-006B9BBECA95}"/>
    <cellStyle name="Normal 12 3 7" xfId="2453" xr:uid="{00000000-0005-0000-0000-0000420E0000}"/>
    <cellStyle name="Normal 12 3 7 2" xfId="6737" xr:uid="{00000000-0005-0000-0000-0000430E0000}"/>
    <cellStyle name="Normal 12 3 7 2 2" xfId="15172" xr:uid="{A0DDF2E5-06EC-4EF5-B4CB-58ABB147A3AD}"/>
    <cellStyle name="Normal 12 3 7 3" xfId="10954" xr:uid="{39193F99-CDDA-4F54-BDC3-FEE6CA6241A6}"/>
    <cellStyle name="Normal 12 3 8" xfId="4671" xr:uid="{00000000-0005-0000-0000-0000440E0000}"/>
    <cellStyle name="Normal 12 3 8 2" xfId="13106" xr:uid="{DCCCDFAB-729C-4370-B214-EED7C412EAAD}"/>
    <cellStyle name="Normal 12 3 9" xfId="8888" xr:uid="{4F310D8E-2E49-48B3-84EF-2584B7159F55}"/>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2 2 2" xfId="15667" xr:uid="{E75455B9-17FA-4491-BBE9-D6D4881C7522}"/>
    <cellStyle name="Normal 12 4 2 2 3" xfId="11449" xr:uid="{E66675DD-76B7-41E3-AF37-E6CB1F8C4B63}"/>
    <cellStyle name="Normal 12 4 2 3" xfId="5087" xr:uid="{00000000-0005-0000-0000-0000490E0000}"/>
    <cellStyle name="Normal 12 4 2 3 2" xfId="13522" xr:uid="{DACCD8F4-C12A-41F3-8406-8EFB341DA9D8}"/>
    <cellStyle name="Normal 12 4 2 4" xfId="9304" xr:uid="{7C5C857C-B860-4A8C-8011-5A29740201BE}"/>
    <cellStyle name="Normal 12 4 3" xfId="1191" xr:uid="{00000000-0005-0000-0000-00004A0E0000}"/>
    <cellStyle name="Normal 12 4 3 2" xfId="3422" xr:uid="{00000000-0005-0000-0000-00004B0E0000}"/>
    <cellStyle name="Normal 12 4 3 2 2" xfId="7645" xr:uid="{00000000-0005-0000-0000-00004C0E0000}"/>
    <cellStyle name="Normal 12 4 3 2 2 2" xfId="16080" xr:uid="{116DA55F-CAC3-430B-8B4F-82FAEE21E324}"/>
    <cellStyle name="Normal 12 4 3 2 3" xfId="11862" xr:uid="{B3CC994D-D37F-4A4C-9B7B-6C2A46B69D44}"/>
    <cellStyle name="Normal 12 4 3 3" xfId="5500" xr:uid="{00000000-0005-0000-0000-00004D0E0000}"/>
    <cellStyle name="Normal 12 4 3 3 2" xfId="13935" xr:uid="{3EEBAD68-8EDE-485B-B1EB-364A1B01A27A}"/>
    <cellStyle name="Normal 12 4 3 4" xfId="9717" xr:uid="{C22155BE-1BD5-4C08-A339-0A63B8D26624}"/>
    <cellStyle name="Normal 12 4 4" xfId="1605" xr:uid="{00000000-0005-0000-0000-00004E0E0000}"/>
    <cellStyle name="Normal 12 4 4 2" xfId="3835" xr:uid="{00000000-0005-0000-0000-00004F0E0000}"/>
    <cellStyle name="Normal 12 4 4 2 2" xfId="8058" xr:uid="{00000000-0005-0000-0000-0000500E0000}"/>
    <cellStyle name="Normal 12 4 4 2 2 2" xfId="16493" xr:uid="{896BEB6C-6747-46F5-8661-644ACAFE17C8}"/>
    <cellStyle name="Normal 12 4 4 2 3" xfId="12275" xr:uid="{49E5B7CD-3607-4C4F-94B8-3E5CB76427F6}"/>
    <cellStyle name="Normal 12 4 4 3" xfId="5913" xr:uid="{00000000-0005-0000-0000-0000510E0000}"/>
    <cellStyle name="Normal 12 4 4 3 2" xfId="14348" xr:uid="{4C7968F6-569F-419E-8E54-010ABCECB500}"/>
    <cellStyle name="Normal 12 4 4 4" xfId="10130" xr:uid="{9FC102F3-3043-4F21-A5A3-A9CDF8BFD63F}"/>
    <cellStyle name="Normal 12 4 5" xfId="2019" xr:uid="{00000000-0005-0000-0000-0000520E0000}"/>
    <cellStyle name="Normal 12 4 5 2" xfId="4248" xr:uid="{00000000-0005-0000-0000-0000530E0000}"/>
    <cellStyle name="Normal 12 4 5 2 2" xfId="8471" xr:uid="{00000000-0005-0000-0000-0000540E0000}"/>
    <cellStyle name="Normal 12 4 5 2 2 2" xfId="16906" xr:uid="{F83A08A4-58AE-424D-8FDA-8394664540FD}"/>
    <cellStyle name="Normal 12 4 5 2 3" xfId="12688" xr:uid="{16815BD4-5EA1-4DA0-B3FB-B6593F8CAAB6}"/>
    <cellStyle name="Normal 12 4 5 3" xfId="6326" xr:uid="{00000000-0005-0000-0000-0000550E0000}"/>
    <cellStyle name="Normal 12 4 5 3 2" xfId="14761" xr:uid="{AA9B90E7-0090-4ACF-A788-FCD584E138EF}"/>
    <cellStyle name="Normal 12 4 5 4" xfId="10543" xr:uid="{4916D295-F6E9-4EB4-9E0A-C4B0EA285AE3}"/>
    <cellStyle name="Normal 12 4 6" xfId="2455" xr:uid="{00000000-0005-0000-0000-0000560E0000}"/>
    <cellStyle name="Normal 12 4 6 2" xfId="6739" xr:uid="{00000000-0005-0000-0000-0000570E0000}"/>
    <cellStyle name="Normal 12 4 6 2 2" xfId="15174" xr:uid="{DD125BB8-CD3F-4DED-B94A-38B390FF5550}"/>
    <cellStyle name="Normal 12 4 6 3" xfId="10956" xr:uid="{943E6E2E-1CFD-45C3-8E15-0ABFAAE4D2B4}"/>
    <cellStyle name="Normal 12 4 7" xfId="4673" xr:uid="{00000000-0005-0000-0000-0000580E0000}"/>
    <cellStyle name="Normal 12 4 7 2" xfId="13108" xr:uid="{8E48EEAD-1082-4E45-B66D-D482B832040F}"/>
    <cellStyle name="Normal 12 4 8" xfId="8890" xr:uid="{DDBC8119-03A5-4975-83B0-7176134469AE}"/>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2 2 2" xfId="15660" xr:uid="{05F3E65D-ACBA-43EE-AF08-A429958BA915}"/>
    <cellStyle name="Normal 12 6 2 3" xfId="11442" xr:uid="{83DC5C82-15AA-4BDE-AECA-8382E2560C66}"/>
    <cellStyle name="Normal 12 6 3" xfId="5080" xr:uid="{00000000-0005-0000-0000-00005D0E0000}"/>
    <cellStyle name="Normal 12 6 3 2" xfId="13515" xr:uid="{A3A6893E-0C78-404D-BD6E-D592147BEC21}"/>
    <cellStyle name="Normal 12 6 4" xfId="9297" xr:uid="{0FC5C091-3351-4851-BDD0-0780FF0363DD}"/>
    <cellStyle name="Normal 12 7" xfId="1184" xr:uid="{00000000-0005-0000-0000-00005E0E0000}"/>
    <cellStyle name="Normal 12 7 2" xfId="3415" xr:uid="{00000000-0005-0000-0000-00005F0E0000}"/>
    <cellStyle name="Normal 12 7 2 2" xfId="7638" xr:uid="{00000000-0005-0000-0000-0000600E0000}"/>
    <cellStyle name="Normal 12 7 2 2 2" xfId="16073" xr:uid="{7C3933B0-E959-4366-B6FE-59595A058F8D}"/>
    <cellStyle name="Normal 12 7 2 3" xfId="11855" xr:uid="{83393018-3A3F-4EA8-B6E2-B6ABC8E60FB6}"/>
    <cellStyle name="Normal 12 7 3" xfId="5493" xr:uid="{00000000-0005-0000-0000-0000610E0000}"/>
    <cellStyle name="Normal 12 7 3 2" xfId="13928" xr:uid="{E241C870-4D90-4731-BE15-C4654FE5D057}"/>
    <cellStyle name="Normal 12 7 4" xfId="9710" xr:uid="{CF432D53-0A53-478F-8BA5-81C0061B7811}"/>
    <cellStyle name="Normal 12 8" xfId="1598" xr:uid="{00000000-0005-0000-0000-0000620E0000}"/>
    <cellStyle name="Normal 12 8 2" xfId="3828" xr:uid="{00000000-0005-0000-0000-0000630E0000}"/>
    <cellStyle name="Normal 12 8 2 2" xfId="8051" xr:uid="{00000000-0005-0000-0000-0000640E0000}"/>
    <cellStyle name="Normal 12 8 2 2 2" xfId="16486" xr:uid="{319164C4-2ED4-44B1-8ACC-59BB826AA53A}"/>
    <cellStyle name="Normal 12 8 2 3" xfId="12268" xr:uid="{A1922F7E-F9E3-499A-85D3-892CB162F145}"/>
    <cellStyle name="Normal 12 8 3" xfId="5906" xr:uid="{00000000-0005-0000-0000-0000650E0000}"/>
    <cellStyle name="Normal 12 8 3 2" xfId="14341" xr:uid="{9DD26456-DF60-4905-947F-BC8687059CB6}"/>
    <cellStyle name="Normal 12 8 4" xfId="10123" xr:uid="{130CD3F1-7297-45EC-9046-AFEBAE7F8690}"/>
    <cellStyle name="Normal 12 9" xfId="2012" xr:uid="{00000000-0005-0000-0000-0000660E0000}"/>
    <cellStyle name="Normal 12 9 2" xfId="4241" xr:uid="{00000000-0005-0000-0000-0000670E0000}"/>
    <cellStyle name="Normal 12 9 2 2" xfId="8464" xr:uid="{00000000-0005-0000-0000-0000680E0000}"/>
    <cellStyle name="Normal 12 9 2 2 2" xfId="16899" xr:uid="{9CA8B3DC-3E3A-40D5-AD1D-9426BCDB12A6}"/>
    <cellStyle name="Normal 12 9 2 3" xfId="12681" xr:uid="{B6A129B3-66CD-4C5D-A3CD-16E88C4415AD}"/>
    <cellStyle name="Normal 12 9 3" xfId="6319" xr:uid="{00000000-0005-0000-0000-0000690E0000}"/>
    <cellStyle name="Normal 12 9 3 2" xfId="14754" xr:uid="{9D8EECAF-5638-4B7F-8F07-2E32BCD53942}"/>
    <cellStyle name="Normal 12 9 4" xfId="10536" xr:uid="{FF0BB3B7-81AC-40D1-A655-5E68E2E5728D}"/>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2 2 2" xfId="15668" xr:uid="{F065F21B-A703-435D-ACC1-E6F74260F11F}"/>
    <cellStyle name="Normal 14 2 2 3" xfId="11450" xr:uid="{B9855909-6D22-4A2C-BA00-241F97D27642}"/>
    <cellStyle name="Normal 14 2 3" xfId="5088" xr:uid="{00000000-0005-0000-0000-0000700E0000}"/>
    <cellStyle name="Normal 14 2 3 2" xfId="13523" xr:uid="{BAF76270-2317-496A-8B27-17B5E9C44F30}"/>
    <cellStyle name="Normal 14 2 4" xfId="9305" xr:uid="{868B06FC-32D0-421B-BCEE-8845D5BDCBB3}"/>
    <cellStyle name="Normal 14 3" xfId="1192" xr:uid="{00000000-0005-0000-0000-0000710E0000}"/>
    <cellStyle name="Normal 14 3 2" xfId="3423" xr:uid="{00000000-0005-0000-0000-0000720E0000}"/>
    <cellStyle name="Normal 14 3 2 2" xfId="7646" xr:uid="{00000000-0005-0000-0000-0000730E0000}"/>
    <cellStyle name="Normal 14 3 2 2 2" xfId="16081" xr:uid="{63745FCC-5A4E-4B3A-A912-8FA0A09E9505}"/>
    <cellStyle name="Normal 14 3 2 3" xfId="11863" xr:uid="{E45356B8-8074-45D6-8968-1E00C8064795}"/>
    <cellStyle name="Normal 14 3 3" xfId="5501" xr:uid="{00000000-0005-0000-0000-0000740E0000}"/>
    <cellStyle name="Normal 14 3 3 2" xfId="13936" xr:uid="{909FC28E-9D27-47EE-8890-E54D569EED1F}"/>
    <cellStyle name="Normal 14 3 4" xfId="9718" xr:uid="{FC94FE71-E486-4837-9E71-B65223FDADDB}"/>
    <cellStyle name="Normal 14 4" xfId="1606" xr:uid="{00000000-0005-0000-0000-0000750E0000}"/>
    <cellStyle name="Normal 14 4 2" xfId="3836" xr:uid="{00000000-0005-0000-0000-0000760E0000}"/>
    <cellStyle name="Normal 14 4 2 2" xfId="8059" xr:uid="{00000000-0005-0000-0000-0000770E0000}"/>
    <cellStyle name="Normal 14 4 2 2 2" xfId="16494" xr:uid="{C55DDC78-6CE9-431C-A692-1A59F610489C}"/>
    <cellStyle name="Normal 14 4 2 3" xfId="12276" xr:uid="{18BE39EB-06A4-4FF9-9795-7FF5472466E2}"/>
    <cellStyle name="Normal 14 4 3" xfId="5914" xr:uid="{00000000-0005-0000-0000-0000780E0000}"/>
    <cellStyle name="Normal 14 4 3 2" xfId="14349" xr:uid="{7E38351B-059E-43A6-BB4D-A71DD451BCC1}"/>
    <cellStyle name="Normal 14 4 4" xfId="10131" xr:uid="{AD4A25E3-3419-4F66-874E-F8FBB4542404}"/>
    <cellStyle name="Normal 14 5" xfId="2020" xr:uid="{00000000-0005-0000-0000-0000790E0000}"/>
    <cellStyle name="Normal 14 5 2" xfId="4249" xr:uid="{00000000-0005-0000-0000-00007A0E0000}"/>
    <cellStyle name="Normal 14 5 2 2" xfId="8472" xr:uid="{00000000-0005-0000-0000-00007B0E0000}"/>
    <cellStyle name="Normal 14 5 2 2 2" xfId="16907" xr:uid="{8766D75F-5334-419C-9AFE-E5C402F19F1E}"/>
    <cellStyle name="Normal 14 5 2 3" xfId="12689" xr:uid="{19279092-7473-4E91-99EA-A3FE7F1A01AB}"/>
    <cellStyle name="Normal 14 5 3" xfId="6327" xr:uid="{00000000-0005-0000-0000-00007C0E0000}"/>
    <cellStyle name="Normal 14 5 3 2" xfId="14762" xr:uid="{81404FE8-206A-40C8-ACA4-CCCD416DB4E6}"/>
    <cellStyle name="Normal 14 5 4" xfId="10544" xr:uid="{8C9346B9-B84E-458A-B923-9C63B947D79D}"/>
    <cellStyle name="Normal 14 6" xfId="2456" xr:uid="{00000000-0005-0000-0000-00007D0E0000}"/>
    <cellStyle name="Normal 14 6 2" xfId="6740" xr:uid="{00000000-0005-0000-0000-00007E0E0000}"/>
    <cellStyle name="Normal 14 6 2 2" xfId="15175" xr:uid="{1B9918B6-FD1E-40A2-9598-2AEB2E7828A8}"/>
    <cellStyle name="Normal 14 6 3" xfId="10957" xr:uid="{4EB8056F-9258-4B2F-875D-2712303A55CC}"/>
    <cellStyle name="Normal 14 7" xfId="4674" xr:uid="{00000000-0005-0000-0000-00007F0E0000}"/>
    <cellStyle name="Normal 14 7 2" xfId="13109" xr:uid="{EDF74E59-6D0D-4011-917B-F46591C2C1CE}"/>
    <cellStyle name="Normal 14 8" xfId="8891" xr:uid="{535093D1-407F-4271-B5A0-9F28C33C07FF}"/>
    <cellStyle name="Normal 15" xfId="4497" xr:uid="{00000000-0005-0000-0000-0000800E0000}"/>
    <cellStyle name="Normal 15 2" xfId="12935" xr:uid="{E08575E5-0AA1-4D64-AC3A-F9E9845E4D00}"/>
    <cellStyle name="Normal 16" xfId="4501" xr:uid="{00000000-0005-0000-0000-0000810E0000}"/>
    <cellStyle name="Normal 16 2" xfId="8717" xr:uid="{00000000-0005-0000-0000-0000820E0000}"/>
    <cellStyle name="Normal 16 2 2" xfId="17152" xr:uid="{4940B38D-3D2D-4B10-8853-4EBD2D733626}"/>
    <cellStyle name="Normal 16 3" xfId="8720" xr:uid="{3DE1BEEB-61FA-4094-B10F-9E0444F68763}"/>
    <cellStyle name="Normal 16 3 2" xfId="17155" xr:uid="{972BFF10-B3B3-4438-BD59-92F2EE90F24B}"/>
    <cellStyle name="Normal 16 4" xfId="12938" xr:uid="{BBEE6A35-CAF1-4BB5-A52C-CE05654347A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2 2 2" xfId="16908" xr:uid="{3DB508F9-2673-4012-BF22-10A56FC6C901}"/>
    <cellStyle name="Normal 2 4 2 10 2 3" xfId="12690" xr:uid="{08054368-DFC8-4C71-9806-60B057B931A2}"/>
    <cellStyle name="Normal 2 4 2 10 3" xfId="6328" xr:uid="{00000000-0005-0000-0000-0000910E0000}"/>
    <cellStyle name="Normal 2 4 2 10 3 2" xfId="14763" xr:uid="{86A6BB17-A3DB-4C7C-BF37-839E708D20A3}"/>
    <cellStyle name="Normal 2 4 2 10 4" xfId="10545" xr:uid="{93F5C036-38E4-454E-8FDA-DC72F74AF37F}"/>
    <cellStyle name="Normal 2 4 2 11" xfId="2457" xr:uid="{00000000-0005-0000-0000-0000920E0000}"/>
    <cellStyle name="Normal 2 4 2 11 2" xfId="6741" xr:uid="{00000000-0005-0000-0000-0000930E0000}"/>
    <cellStyle name="Normal 2 4 2 11 2 2" xfId="15176" xr:uid="{DA835953-B4C4-4E70-A95B-3B51957FDBE0}"/>
    <cellStyle name="Normal 2 4 2 11 3" xfId="10958" xr:uid="{4704D3B1-EE2F-4FCB-91BA-3DC023D1C37E}"/>
    <cellStyle name="Normal 2 4 2 12" xfId="4675" xr:uid="{00000000-0005-0000-0000-0000940E0000}"/>
    <cellStyle name="Normal 2 4 2 12 2" xfId="13110" xr:uid="{C60E5E45-5475-4159-94A4-80ECCBC7F973}"/>
    <cellStyle name="Normal 2 4 2 13" xfId="8892" xr:uid="{AD02D892-4871-4EB3-88A4-327CD34ADE36}"/>
    <cellStyle name="Normal 2 4 2 2" xfId="280" xr:uid="{00000000-0005-0000-0000-0000950E0000}"/>
    <cellStyle name="Normal 2 4 2 3" xfId="281" xr:uid="{00000000-0005-0000-0000-0000960E0000}"/>
    <cellStyle name="Normal 2 4 2 3 10" xfId="4676" xr:uid="{00000000-0005-0000-0000-0000970E0000}"/>
    <cellStyle name="Normal 2 4 2 3 10 2" xfId="13111" xr:uid="{62292152-8EAE-40EA-B0BD-F10738C4EC42}"/>
    <cellStyle name="Normal 2 4 2 3 11" xfId="8893" xr:uid="{D3FBD43C-919C-46C3-AD71-1A94039594E6}"/>
    <cellStyle name="Normal 2 4 2 3 2" xfId="282" xr:uid="{00000000-0005-0000-0000-0000980E0000}"/>
    <cellStyle name="Normal 2 4 2 3 2 10" xfId="8894" xr:uid="{3753EC7C-1EF1-419E-97A3-59A14495B29D}"/>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2 2 2" xfId="15673" xr:uid="{3B3EDE2F-1C11-41A0-B748-88803B38171A}"/>
    <cellStyle name="Normal 2 4 2 3 2 2 2 2 2 3" xfId="11455" xr:uid="{126BE3B7-7A36-46F3-AABC-D35D75E6FFFC}"/>
    <cellStyle name="Normal 2 4 2 3 2 2 2 2 3" xfId="5093" xr:uid="{00000000-0005-0000-0000-00009E0E0000}"/>
    <cellStyle name="Normal 2 4 2 3 2 2 2 2 3 2" xfId="13528" xr:uid="{BA823CE0-B6CD-4878-9E87-BDB248501CB3}"/>
    <cellStyle name="Normal 2 4 2 3 2 2 2 2 4" xfId="9310" xr:uid="{530D8551-F9C8-43B1-A58C-5900F2ECE598}"/>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2 2 2" xfId="16086" xr:uid="{F8C12F3F-C69C-44DB-A536-16144A29DD7C}"/>
    <cellStyle name="Normal 2 4 2 3 2 2 2 3 2 3" xfId="11868" xr:uid="{94980FAD-6E5A-4625-8387-093573D90573}"/>
    <cellStyle name="Normal 2 4 2 3 2 2 2 3 3" xfId="5506" xr:uid="{00000000-0005-0000-0000-0000A20E0000}"/>
    <cellStyle name="Normal 2 4 2 3 2 2 2 3 3 2" xfId="13941" xr:uid="{97934C0E-F643-4923-8D76-70728AB4CB4F}"/>
    <cellStyle name="Normal 2 4 2 3 2 2 2 3 4" xfId="9723" xr:uid="{167B0BD6-C852-41B4-82FE-677673D08594}"/>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2 2 2" xfId="16499" xr:uid="{FD37509A-3289-4E66-8C1E-B44FDD2C5363}"/>
    <cellStyle name="Normal 2 4 2 3 2 2 2 4 2 3" xfId="12281" xr:uid="{3A435F98-7FEB-4F79-AF3B-8F1B35E29995}"/>
    <cellStyle name="Normal 2 4 2 3 2 2 2 4 3" xfId="5919" xr:uid="{00000000-0005-0000-0000-0000A60E0000}"/>
    <cellStyle name="Normal 2 4 2 3 2 2 2 4 3 2" xfId="14354" xr:uid="{CDCE9A18-9CAE-4198-BA27-68E8CC668C7D}"/>
    <cellStyle name="Normal 2 4 2 3 2 2 2 4 4" xfId="10136" xr:uid="{E90EEB3E-3416-44D9-9787-417ECC2F6C44}"/>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2 2 2" xfId="16912" xr:uid="{4AFC4751-8743-4767-9E06-FF469DD14CC2}"/>
    <cellStyle name="Normal 2 4 2 3 2 2 2 5 2 3" xfId="12694" xr:uid="{E6E477B5-C6BA-4FC9-929D-6640B466DF3B}"/>
    <cellStyle name="Normal 2 4 2 3 2 2 2 5 3" xfId="6332" xr:uid="{00000000-0005-0000-0000-0000AA0E0000}"/>
    <cellStyle name="Normal 2 4 2 3 2 2 2 5 3 2" xfId="14767" xr:uid="{6E9E60B2-E611-414C-B746-635B20AD84FB}"/>
    <cellStyle name="Normal 2 4 2 3 2 2 2 5 4" xfId="10549" xr:uid="{E0B2E2B8-13A6-4B26-9C50-AE76A02A0B73}"/>
    <cellStyle name="Normal 2 4 2 3 2 2 2 6" xfId="2461" xr:uid="{00000000-0005-0000-0000-0000AB0E0000}"/>
    <cellStyle name="Normal 2 4 2 3 2 2 2 6 2" xfId="6745" xr:uid="{00000000-0005-0000-0000-0000AC0E0000}"/>
    <cellStyle name="Normal 2 4 2 3 2 2 2 6 2 2" xfId="15180" xr:uid="{F7C7C553-CB04-43EE-BF83-C657B8FE7983}"/>
    <cellStyle name="Normal 2 4 2 3 2 2 2 6 3" xfId="10962" xr:uid="{A2607097-DC93-4176-BBC0-D79D714D8DC5}"/>
    <cellStyle name="Normal 2 4 2 3 2 2 2 7" xfId="4679" xr:uid="{00000000-0005-0000-0000-0000AD0E0000}"/>
    <cellStyle name="Normal 2 4 2 3 2 2 2 7 2" xfId="13114" xr:uid="{B0AB1181-547B-4610-AA9C-C2F276684A41}"/>
    <cellStyle name="Normal 2 4 2 3 2 2 2 8" xfId="8896" xr:uid="{16DB6942-C298-4C68-BA07-AF4719DC3F31}"/>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2 2 2" xfId="15672" xr:uid="{0D47193D-2B89-4168-BCC5-3A855805F2B5}"/>
    <cellStyle name="Normal 2 4 2 3 2 2 3 2 3" xfId="11454" xr:uid="{F297C03E-74B3-456E-B24E-47017B38AF1F}"/>
    <cellStyle name="Normal 2 4 2 3 2 2 3 3" xfId="5092" xr:uid="{00000000-0005-0000-0000-0000B10E0000}"/>
    <cellStyle name="Normal 2 4 2 3 2 2 3 3 2" xfId="13527" xr:uid="{3BCF592F-D83F-49EB-8AA0-5B508C174402}"/>
    <cellStyle name="Normal 2 4 2 3 2 2 3 4" xfId="9309" xr:uid="{290F2420-0E63-4C81-BB9F-FFEF0224258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2 2 2" xfId="16085" xr:uid="{9CF41314-B1A3-490A-BF5C-7BC4129B3A54}"/>
    <cellStyle name="Normal 2 4 2 3 2 2 4 2 3" xfId="11867" xr:uid="{20EB49BC-D1F8-41A7-A6E1-4BC21FFD3CC5}"/>
    <cellStyle name="Normal 2 4 2 3 2 2 4 3" xfId="5505" xr:uid="{00000000-0005-0000-0000-0000B50E0000}"/>
    <cellStyle name="Normal 2 4 2 3 2 2 4 3 2" xfId="13940" xr:uid="{5649ACC6-52DA-4FD5-A2F2-4798DADD2136}"/>
    <cellStyle name="Normal 2 4 2 3 2 2 4 4" xfId="9722" xr:uid="{891D140A-326B-475D-85E6-D6A7AF16BDCC}"/>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2 2 2" xfId="16498" xr:uid="{61FC12CB-9845-4157-9D95-6DCB1A42B275}"/>
    <cellStyle name="Normal 2 4 2 3 2 2 5 2 3" xfId="12280" xr:uid="{4015D2DE-7725-4CA4-BEAF-8B0E43448133}"/>
    <cellStyle name="Normal 2 4 2 3 2 2 5 3" xfId="5918" xr:uid="{00000000-0005-0000-0000-0000B90E0000}"/>
    <cellStyle name="Normal 2 4 2 3 2 2 5 3 2" xfId="14353" xr:uid="{B985171E-DA82-4354-AC6E-B4A82A98D259}"/>
    <cellStyle name="Normal 2 4 2 3 2 2 5 4" xfId="10135" xr:uid="{DD916527-02E4-482F-8D6C-2976DB0BD0EC}"/>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2 2 2" xfId="16911" xr:uid="{BA7B0332-E2BE-46EC-BDC6-C06C4452230B}"/>
    <cellStyle name="Normal 2 4 2 3 2 2 6 2 3" xfId="12693" xr:uid="{12E7EF09-BB7A-456F-BE4C-73FB3A9A9615}"/>
    <cellStyle name="Normal 2 4 2 3 2 2 6 3" xfId="6331" xr:uid="{00000000-0005-0000-0000-0000BD0E0000}"/>
    <cellStyle name="Normal 2 4 2 3 2 2 6 3 2" xfId="14766" xr:uid="{D247B247-62B0-4FD5-9844-894137AF3D42}"/>
    <cellStyle name="Normal 2 4 2 3 2 2 6 4" xfId="10548" xr:uid="{4260AB59-D91F-44E6-91FD-BC80074AA617}"/>
    <cellStyle name="Normal 2 4 2 3 2 2 7" xfId="2460" xr:uid="{00000000-0005-0000-0000-0000BE0E0000}"/>
    <cellStyle name="Normal 2 4 2 3 2 2 7 2" xfId="6744" xr:uid="{00000000-0005-0000-0000-0000BF0E0000}"/>
    <cellStyle name="Normal 2 4 2 3 2 2 7 2 2" xfId="15179" xr:uid="{C9CB9E45-8C43-44B6-A29B-C2004F7AD217}"/>
    <cellStyle name="Normal 2 4 2 3 2 2 7 3" xfId="10961" xr:uid="{A71B6703-CF94-42A9-850D-F4C346AAF8FA}"/>
    <cellStyle name="Normal 2 4 2 3 2 2 8" xfId="4678" xr:uid="{00000000-0005-0000-0000-0000C00E0000}"/>
    <cellStyle name="Normal 2 4 2 3 2 2 8 2" xfId="13113" xr:uid="{9ED7CE00-7BE4-40CE-9D49-E8E9874CD356}"/>
    <cellStyle name="Normal 2 4 2 3 2 2 9" xfId="8895" xr:uid="{F7D263DE-CB46-486A-B5EF-0766E1E21EE3}"/>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2 2 2" xfId="15674" xr:uid="{F3276FBC-F1E4-4AFD-8E85-3ED93A7CFCBD}"/>
    <cellStyle name="Normal 2 4 2 3 2 3 2 2 3" xfId="11456" xr:uid="{0564DBA0-AA22-4888-BB58-1A39CF1C87B4}"/>
    <cellStyle name="Normal 2 4 2 3 2 3 2 3" xfId="5094" xr:uid="{00000000-0005-0000-0000-0000C50E0000}"/>
    <cellStyle name="Normal 2 4 2 3 2 3 2 3 2" xfId="13529" xr:uid="{CB4EB578-F1A5-4F1E-8774-FA9D58E3968B}"/>
    <cellStyle name="Normal 2 4 2 3 2 3 2 4" xfId="9311" xr:uid="{DE56FA30-3816-4974-99F9-106709BEB85F}"/>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2 2 2" xfId="16087" xr:uid="{3C13BA6D-5CB8-4BF5-8380-B2104CC260CC}"/>
    <cellStyle name="Normal 2 4 2 3 2 3 3 2 3" xfId="11869" xr:uid="{D91D4D1C-FFC8-4A78-8213-432D9D5AB40B}"/>
    <cellStyle name="Normal 2 4 2 3 2 3 3 3" xfId="5507" xr:uid="{00000000-0005-0000-0000-0000C90E0000}"/>
    <cellStyle name="Normal 2 4 2 3 2 3 3 3 2" xfId="13942" xr:uid="{54CD86E7-ED5C-4701-AD87-B33F4DFC8238}"/>
    <cellStyle name="Normal 2 4 2 3 2 3 3 4" xfId="9724" xr:uid="{02D98C65-0991-4B63-8E6C-6CFECB6D8FF4}"/>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2 2 2" xfId="16500" xr:uid="{CB619716-9C55-49B8-AED9-01976F5E6984}"/>
    <cellStyle name="Normal 2 4 2 3 2 3 4 2 3" xfId="12282" xr:uid="{F0C04AF8-F73E-4704-BEA7-179C6E294746}"/>
    <cellStyle name="Normal 2 4 2 3 2 3 4 3" xfId="5920" xr:uid="{00000000-0005-0000-0000-0000CD0E0000}"/>
    <cellStyle name="Normal 2 4 2 3 2 3 4 3 2" xfId="14355" xr:uid="{D206EAFB-67EB-48FD-B1DD-112511530C20}"/>
    <cellStyle name="Normal 2 4 2 3 2 3 4 4" xfId="10137" xr:uid="{73790CEB-2595-4A09-9096-6A276A3A4F27}"/>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2 2 2" xfId="16913" xr:uid="{55579C9A-830D-4F40-B8C8-EC93EE57892E}"/>
    <cellStyle name="Normal 2 4 2 3 2 3 5 2 3" xfId="12695" xr:uid="{4A6C0A59-543B-4CE3-A48F-B3BD27B3F2AD}"/>
    <cellStyle name="Normal 2 4 2 3 2 3 5 3" xfId="6333" xr:uid="{00000000-0005-0000-0000-0000D10E0000}"/>
    <cellStyle name="Normal 2 4 2 3 2 3 5 3 2" xfId="14768" xr:uid="{AA02A6E4-8F7C-45E7-BDB0-A73323DAF6D1}"/>
    <cellStyle name="Normal 2 4 2 3 2 3 5 4" xfId="10550" xr:uid="{3BD5DCC8-FFD6-4970-A07A-9491BE31B089}"/>
    <cellStyle name="Normal 2 4 2 3 2 3 6" xfId="2462" xr:uid="{00000000-0005-0000-0000-0000D20E0000}"/>
    <cellStyle name="Normal 2 4 2 3 2 3 6 2" xfId="6746" xr:uid="{00000000-0005-0000-0000-0000D30E0000}"/>
    <cellStyle name="Normal 2 4 2 3 2 3 6 2 2" xfId="15181" xr:uid="{D807F98A-7197-4881-834D-303D6EA418E9}"/>
    <cellStyle name="Normal 2 4 2 3 2 3 6 3" xfId="10963" xr:uid="{893A54A0-76F5-487E-935E-0EC0C0B27E86}"/>
    <cellStyle name="Normal 2 4 2 3 2 3 7" xfId="4680" xr:uid="{00000000-0005-0000-0000-0000D40E0000}"/>
    <cellStyle name="Normal 2 4 2 3 2 3 7 2" xfId="13115" xr:uid="{7C298F3C-BABB-403F-9BF6-5AA1B50F9295}"/>
    <cellStyle name="Normal 2 4 2 3 2 3 8" xfId="8897" xr:uid="{BA495844-7D72-49E1-AFC3-CACE5DBAE486}"/>
    <cellStyle name="Normal 2 4 2 3 2 4" xfId="774" xr:uid="{00000000-0005-0000-0000-0000D50E0000}"/>
    <cellStyle name="Normal 2 4 2 3 2 4 2" xfId="3013" xr:uid="{00000000-0005-0000-0000-0000D60E0000}"/>
    <cellStyle name="Normal 2 4 2 3 2 4 2 2" xfId="7236" xr:uid="{00000000-0005-0000-0000-0000D70E0000}"/>
    <cellStyle name="Normal 2 4 2 3 2 4 2 2 2" xfId="15671" xr:uid="{24367A07-4635-4B8B-857E-BAF48DDE1252}"/>
    <cellStyle name="Normal 2 4 2 3 2 4 2 3" xfId="11453" xr:uid="{D6690E6E-23EA-469B-BC1E-CD702F861424}"/>
    <cellStyle name="Normal 2 4 2 3 2 4 3" xfId="5091" xr:uid="{00000000-0005-0000-0000-0000D80E0000}"/>
    <cellStyle name="Normal 2 4 2 3 2 4 3 2" xfId="13526" xr:uid="{BA9FAA7A-6F85-4BA5-B47B-5040CB16C906}"/>
    <cellStyle name="Normal 2 4 2 3 2 4 4" xfId="9308" xr:uid="{45B1BA86-EC99-4978-A505-6E575E4FB668}"/>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2 2 2" xfId="16084" xr:uid="{A1B22D65-AFDB-4AB0-BBC4-AD764606F330}"/>
    <cellStyle name="Normal 2 4 2 3 2 5 2 3" xfId="11866" xr:uid="{BE81A195-D817-49C0-B556-EBE1D66B0085}"/>
    <cellStyle name="Normal 2 4 2 3 2 5 3" xfId="5504" xr:uid="{00000000-0005-0000-0000-0000DC0E0000}"/>
    <cellStyle name="Normal 2 4 2 3 2 5 3 2" xfId="13939" xr:uid="{DFA58719-947B-4B2B-A8F6-1F0ABBA002D0}"/>
    <cellStyle name="Normal 2 4 2 3 2 5 4" xfId="9721" xr:uid="{D54C6824-627B-465C-962F-73D98B265C09}"/>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2 2 2" xfId="16497" xr:uid="{6A0C67AD-F89C-4B27-B045-43E521AAA4E9}"/>
    <cellStyle name="Normal 2 4 2 3 2 6 2 3" xfId="12279" xr:uid="{4BFE9A1F-F7BD-48F4-9CB0-7A6428F5F454}"/>
    <cellStyle name="Normal 2 4 2 3 2 6 3" xfId="5917" xr:uid="{00000000-0005-0000-0000-0000E00E0000}"/>
    <cellStyle name="Normal 2 4 2 3 2 6 3 2" xfId="14352" xr:uid="{A5C20986-46D7-44AE-BEC8-B1ECD66538BF}"/>
    <cellStyle name="Normal 2 4 2 3 2 6 4" xfId="10134" xr:uid="{7D1A6491-65F2-4099-A6FF-448047B6DC29}"/>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2 2 2" xfId="16910" xr:uid="{B80E8381-3960-4F31-902E-62DB183C1B89}"/>
    <cellStyle name="Normal 2 4 2 3 2 7 2 3" xfId="12692" xr:uid="{BE5FDFE9-5842-4286-938A-12DC2350B304}"/>
    <cellStyle name="Normal 2 4 2 3 2 7 3" xfId="6330" xr:uid="{00000000-0005-0000-0000-0000E40E0000}"/>
    <cellStyle name="Normal 2 4 2 3 2 7 3 2" xfId="14765" xr:uid="{D8B8CC3B-DFA6-47DD-8BA8-161F0F9D09D6}"/>
    <cellStyle name="Normal 2 4 2 3 2 7 4" xfId="10547" xr:uid="{E13BA6C6-97D5-4F4E-B1C5-FC8D34F50DDB}"/>
    <cellStyle name="Normal 2 4 2 3 2 8" xfId="2459" xr:uid="{00000000-0005-0000-0000-0000E50E0000}"/>
    <cellStyle name="Normal 2 4 2 3 2 8 2" xfId="6743" xr:uid="{00000000-0005-0000-0000-0000E60E0000}"/>
    <cellStyle name="Normal 2 4 2 3 2 8 2 2" xfId="15178" xr:uid="{6DC545A3-5AFC-41E9-AD03-965A69BE6CD6}"/>
    <cellStyle name="Normal 2 4 2 3 2 8 3" xfId="10960" xr:uid="{EED3EEF0-7A94-4268-BA3D-AAED4A4512DA}"/>
    <cellStyle name="Normal 2 4 2 3 2 9" xfId="4677" xr:uid="{00000000-0005-0000-0000-0000E70E0000}"/>
    <cellStyle name="Normal 2 4 2 3 2 9 2" xfId="13112" xr:uid="{E088BB42-AB9E-494B-A5A5-F1D35B8780CE}"/>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2 2 2" xfId="15676" xr:uid="{F2AC9FBF-03BE-4ABB-9CFF-0AED735A998E}"/>
    <cellStyle name="Normal 2 4 2 3 3 2 2 2 3" xfId="11458" xr:uid="{B69A019A-60B3-4B65-B188-17FFC49B2D44}"/>
    <cellStyle name="Normal 2 4 2 3 3 2 2 3" xfId="5096" xr:uid="{00000000-0005-0000-0000-0000ED0E0000}"/>
    <cellStyle name="Normal 2 4 2 3 3 2 2 3 2" xfId="13531" xr:uid="{75C8A85C-90ED-46CA-B53D-402FCF0093EE}"/>
    <cellStyle name="Normal 2 4 2 3 3 2 2 4" xfId="9313" xr:uid="{B5524424-571E-40E6-A997-295F59E89E9E}"/>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2 2 2" xfId="16089" xr:uid="{C45E2188-0530-4647-8004-D96E6D19684C}"/>
    <cellStyle name="Normal 2 4 2 3 3 2 3 2 3" xfId="11871" xr:uid="{40025DC5-49DC-44D2-BB01-EBC7B47D9807}"/>
    <cellStyle name="Normal 2 4 2 3 3 2 3 3" xfId="5509" xr:uid="{00000000-0005-0000-0000-0000F10E0000}"/>
    <cellStyle name="Normal 2 4 2 3 3 2 3 3 2" xfId="13944" xr:uid="{8E7BF24E-E67C-4BFD-B20C-8C4B01C4EA7C}"/>
    <cellStyle name="Normal 2 4 2 3 3 2 3 4" xfId="9726" xr:uid="{D6B2EB12-FF9C-4237-90B9-DA10B26FE5F8}"/>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2 2 2" xfId="16502" xr:uid="{51D88E1C-CF02-4BEE-A7CB-CB5DD5288417}"/>
    <cellStyle name="Normal 2 4 2 3 3 2 4 2 3" xfId="12284" xr:uid="{6C87F233-5493-486D-9091-9FC9D4127FED}"/>
    <cellStyle name="Normal 2 4 2 3 3 2 4 3" xfId="5922" xr:uid="{00000000-0005-0000-0000-0000F50E0000}"/>
    <cellStyle name="Normal 2 4 2 3 3 2 4 3 2" xfId="14357" xr:uid="{143D02CB-E7C8-41B1-B839-573F47076FBD}"/>
    <cellStyle name="Normal 2 4 2 3 3 2 4 4" xfId="10139" xr:uid="{7D32D41B-2F48-4F08-AF2E-2A0B2BB9E40D}"/>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2 2 2" xfId="16915" xr:uid="{DF41D7CC-5192-48CD-B1B7-873E3B2CBDC3}"/>
    <cellStyle name="Normal 2 4 2 3 3 2 5 2 3" xfId="12697" xr:uid="{0C52BCEC-EF41-4501-821E-C0B3288CB1E7}"/>
    <cellStyle name="Normal 2 4 2 3 3 2 5 3" xfId="6335" xr:uid="{00000000-0005-0000-0000-0000F90E0000}"/>
    <cellStyle name="Normal 2 4 2 3 3 2 5 3 2" xfId="14770" xr:uid="{6C690BA9-3F5C-47AF-AC45-A1427DD34DB6}"/>
    <cellStyle name="Normal 2 4 2 3 3 2 5 4" xfId="10552" xr:uid="{73F32D5C-8151-4B12-A616-A94D538B567F}"/>
    <cellStyle name="Normal 2 4 2 3 3 2 6" xfId="2464" xr:uid="{00000000-0005-0000-0000-0000FA0E0000}"/>
    <cellStyle name="Normal 2 4 2 3 3 2 6 2" xfId="6748" xr:uid="{00000000-0005-0000-0000-0000FB0E0000}"/>
    <cellStyle name="Normal 2 4 2 3 3 2 6 2 2" xfId="15183" xr:uid="{3BFEC8BD-4084-4FC4-8526-97E9A141F965}"/>
    <cellStyle name="Normal 2 4 2 3 3 2 6 3" xfId="10965" xr:uid="{983295CD-E3F7-4382-B68A-3FED2F35CC07}"/>
    <cellStyle name="Normal 2 4 2 3 3 2 7" xfId="4682" xr:uid="{00000000-0005-0000-0000-0000FC0E0000}"/>
    <cellStyle name="Normal 2 4 2 3 3 2 7 2" xfId="13117" xr:uid="{D54D840F-738E-436A-9EE7-C7D2CE922929}"/>
    <cellStyle name="Normal 2 4 2 3 3 2 8" xfId="8899" xr:uid="{5BA1228B-2135-4DEE-A1AF-0E378C5B59BE}"/>
    <cellStyle name="Normal 2 4 2 3 3 3" xfId="778" xr:uid="{00000000-0005-0000-0000-0000FD0E0000}"/>
    <cellStyle name="Normal 2 4 2 3 3 3 2" xfId="3017" xr:uid="{00000000-0005-0000-0000-0000FE0E0000}"/>
    <cellStyle name="Normal 2 4 2 3 3 3 2 2" xfId="7240" xr:uid="{00000000-0005-0000-0000-0000FF0E0000}"/>
    <cellStyle name="Normal 2 4 2 3 3 3 2 2 2" xfId="15675" xr:uid="{06C153F8-8E5D-4BD1-B5CD-C114829E3502}"/>
    <cellStyle name="Normal 2 4 2 3 3 3 2 3" xfId="11457" xr:uid="{CA5D4802-C3F3-4049-A8BC-CAC618888979}"/>
    <cellStyle name="Normal 2 4 2 3 3 3 3" xfId="5095" xr:uid="{00000000-0005-0000-0000-0000000F0000}"/>
    <cellStyle name="Normal 2 4 2 3 3 3 3 2" xfId="13530" xr:uid="{03B10D7B-636D-4C0E-A779-9282CAAB81A4}"/>
    <cellStyle name="Normal 2 4 2 3 3 3 4" xfId="9312" xr:uid="{62947AE3-BD7E-4C8B-9096-A79B94E04A5E}"/>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2 2 2" xfId="16088" xr:uid="{DEA359CF-3805-4B86-8CA8-AFFCDD0CC6DA}"/>
    <cellStyle name="Normal 2 4 2 3 3 4 2 3" xfId="11870" xr:uid="{AF8FC654-2452-4243-AAB5-40EB6135FE58}"/>
    <cellStyle name="Normal 2 4 2 3 3 4 3" xfId="5508" xr:uid="{00000000-0005-0000-0000-0000040F0000}"/>
    <cellStyle name="Normal 2 4 2 3 3 4 3 2" xfId="13943" xr:uid="{F255CAE2-C23E-4784-8650-30F36FD0D66A}"/>
    <cellStyle name="Normal 2 4 2 3 3 4 4" xfId="9725" xr:uid="{813FBF4C-16C3-4CA1-8180-E7DDF108F57F}"/>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2 2 2" xfId="16501" xr:uid="{28F207A1-0382-435B-9E78-D5C94D0C8154}"/>
    <cellStyle name="Normal 2 4 2 3 3 5 2 3" xfId="12283" xr:uid="{ECE5C809-E723-45A3-B8CA-34A62EB124FE}"/>
    <cellStyle name="Normal 2 4 2 3 3 5 3" xfId="5921" xr:uid="{00000000-0005-0000-0000-0000080F0000}"/>
    <cellStyle name="Normal 2 4 2 3 3 5 3 2" xfId="14356" xr:uid="{877BE2AF-96D5-4B3C-B097-7DB22211F626}"/>
    <cellStyle name="Normal 2 4 2 3 3 5 4" xfId="10138" xr:uid="{BB4546FB-4769-42C4-A004-89744EDAAA1E}"/>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2 2 2" xfId="16914" xr:uid="{D09D7DA6-4501-44DB-B1DF-638B18964557}"/>
    <cellStyle name="Normal 2 4 2 3 3 6 2 3" xfId="12696" xr:uid="{BC23853A-7237-4D4A-9F58-E7565CD28FCF}"/>
    <cellStyle name="Normal 2 4 2 3 3 6 3" xfId="6334" xr:uid="{00000000-0005-0000-0000-00000C0F0000}"/>
    <cellStyle name="Normal 2 4 2 3 3 6 3 2" xfId="14769" xr:uid="{1C2390EE-E1DA-497F-8065-C471E254128D}"/>
    <cellStyle name="Normal 2 4 2 3 3 6 4" xfId="10551" xr:uid="{2486AFED-F3ED-4F8F-B795-2EEAF7CCDACD}"/>
    <cellStyle name="Normal 2 4 2 3 3 7" xfId="2463" xr:uid="{00000000-0005-0000-0000-00000D0F0000}"/>
    <cellStyle name="Normal 2 4 2 3 3 7 2" xfId="6747" xr:uid="{00000000-0005-0000-0000-00000E0F0000}"/>
    <cellStyle name="Normal 2 4 2 3 3 7 2 2" xfId="15182" xr:uid="{79A11C7C-F8D8-4F68-ABD9-6B07EF8016C5}"/>
    <cellStyle name="Normal 2 4 2 3 3 7 3" xfId="10964" xr:uid="{839C1700-11B2-44B1-B4A3-7A0A77780508}"/>
    <cellStyle name="Normal 2 4 2 3 3 8" xfId="4681" xr:uid="{00000000-0005-0000-0000-00000F0F0000}"/>
    <cellStyle name="Normal 2 4 2 3 3 8 2" xfId="13116" xr:uid="{61782F64-4C44-4A85-BA7C-D0EB6C63CDCD}"/>
    <cellStyle name="Normal 2 4 2 3 3 9" xfId="8898" xr:uid="{A7815F9D-FD57-4B2C-B6BD-3915A3288E9B}"/>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2 2 2" xfId="15677" xr:uid="{EC3F29FC-AE8E-4AFB-88E8-74BA0D43FDE7}"/>
    <cellStyle name="Normal 2 4 2 3 4 2 2 3" xfId="11459" xr:uid="{C443D6B0-CE79-4786-8182-0D8F1B8BE1E4}"/>
    <cellStyle name="Normal 2 4 2 3 4 2 3" xfId="5097" xr:uid="{00000000-0005-0000-0000-0000140F0000}"/>
    <cellStyle name="Normal 2 4 2 3 4 2 3 2" xfId="13532" xr:uid="{9A6409D5-FA8C-48E5-A419-5FE20C08BA83}"/>
    <cellStyle name="Normal 2 4 2 3 4 2 4" xfId="9314" xr:uid="{DDD4D0E3-8838-40EE-A9A1-0D5F093A3EC9}"/>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2 2 2" xfId="16090" xr:uid="{0F930EF3-1DEF-4235-89B6-6C51908CB5DA}"/>
    <cellStyle name="Normal 2 4 2 3 4 3 2 3" xfId="11872" xr:uid="{B7FDB48D-700C-4132-9937-97C52E67C0FF}"/>
    <cellStyle name="Normal 2 4 2 3 4 3 3" xfId="5510" xr:uid="{00000000-0005-0000-0000-0000180F0000}"/>
    <cellStyle name="Normal 2 4 2 3 4 3 3 2" xfId="13945" xr:uid="{93001A6D-85DF-41DE-B562-EEE3CA678313}"/>
    <cellStyle name="Normal 2 4 2 3 4 3 4" xfId="9727" xr:uid="{CE564469-5DEC-4BC3-8019-58DF1E11EEA7}"/>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2 2 2" xfId="16503" xr:uid="{EB545AA4-0B82-4C88-B1AF-3A95EB81CF23}"/>
    <cellStyle name="Normal 2 4 2 3 4 4 2 3" xfId="12285" xr:uid="{D326A4A3-6D1F-405B-9347-6B483F3563D1}"/>
    <cellStyle name="Normal 2 4 2 3 4 4 3" xfId="5923" xr:uid="{00000000-0005-0000-0000-00001C0F0000}"/>
    <cellStyle name="Normal 2 4 2 3 4 4 3 2" xfId="14358" xr:uid="{02C10AB9-4C49-4C0F-AF0C-4DDF90A260C1}"/>
    <cellStyle name="Normal 2 4 2 3 4 4 4" xfId="10140" xr:uid="{192CC61B-4A33-43CB-B565-ED6D05AA5768}"/>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2 2 2" xfId="16916" xr:uid="{F1DABDCA-D71B-4F87-B7DF-77E24D6FC6C8}"/>
    <cellStyle name="Normal 2 4 2 3 4 5 2 3" xfId="12698" xr:uid="{28F79252-9C13-4E23-A6E1-B67AFE8C40E3}"/>
    <cellStyle name="Normal 2 4 2 3 4 5 3" xfId="6336" xr:uid="{00000000-0005-0000-0000-0000200F0000}"/>
    <cellStyle name="Normal 2 4 2 3 4 5 3 2" xfId="14771" xr:uid="{C4CEDD40-775D-400C-AB17-CB5A043FEDB3}"/>
    <cellStyle name="Normal 2 4 2 3 4 5 4" xfId="10553" xr:uid="{9EE9EECA-94BB-4936-9553-C099B6EA247B}"/>
    <cellStyle name="Normal 2 4 2 3 4 6" xfId="2465" xr:uid="{00000000-0005-0000-0000-0000210F0000}"/>
    <cellStyle name="Normal 2 4 2 3 4 6 2" xfId="6749" xr:uid="{00000000-0005-0000-0000-0000220F0000}"/>
    <cellStyle name="Normal 2 4 2 3 4 6 2 2" xfId="15184" xr:uid="{6238164E-3142-46DE-9E65-E89C59E3E588}"/>
    <cellStyle name="Normal 2 4 2 3 4 6 3" xfId="10966" xr:uid="{A5AC126A-755A-4A70-BE4A-F9420D914FBA}"/>
    <cellStyle name="Normal 2 4 2 3 4 7" xfId="4683" xr:uid="{00000000-0005-0000-0000-0000230F0000}"/>
    <cellStyle name="Normal 2 4 2 3 4 7 2" xfId="13118" xr:uid="{D3E24BDC-16A2-4D11-AF0B-2E4887CB78F4}"/>
    <cellStyle name="Normal 2 4 2 3 4 8" xfId="8900" xr:uid="{0698BEC8-B704-4797-B456-D5ECD83D54D7}"/>
    <cellStyle name="Normal 2 4 2 3 5" xfId="773" xr:uid="{00000000-0005-0000-0000-0000240F0000}"/>
    <cellStyle name="Normal 2 4 2 3 5 2" xfId="3012" xr:uid="{00000000-0005-0000-0000-0000250F0000}"/>
    <cellStyle name="Normal 2 4 2 3 5 2 2" xfId="7235" xr:uid="{00000000-0005-0000-0000-0000260F0000}"/>
    <cellStyle name="Normal 2 4 2 3 5 2 2 2" xfId="15670" xr:uid="{1696E709-3770-42F6-B756-E6B13AA19EE4}"/>
    <cellStyle name="Normal 2 4 2 3 5 2 3" xfId="11452" xr:uid="{658D6B9D-653A-4E89-9C50-3826808C090D}"/>
    <cellStyle name="Normal 2 4 2 3 5 3" xfId="5090" xr:uid="{00000000-0005-0000-0000-0000270F0000}"/>
    <cellStyle name="Normal 2 4 2 3 5 3 2" xfId="13525" xr:uid="{D74450E5-DF0F-4AF3-8A15-666D08587ED5}"/>
    <cellStyle name="Normal 2 4 2 3 5 4" xfId="9307" xr:uid="{CCF744A6-D0FB-4D15-82C8-54EEEE355220}"/>
    <cellStyle name="Normal 2 4 2 3 6" xfId="1195" xr:uid="{00000000-0005-0000-0000-0000280F0000}"/>
    <cellStyle name="Normal 2 4 2 3 6 2" xfId="3425" xr:uid="{00000000-0005-0000-0000-0000290F0000}"/>
    <cellStyle name="Normal 2 4 2 3 6 2 2" xfId="7648" xr:uid="{00000000-0005-0000-0000-00002A0F0000}"/>
    <cellStyle name="Normal 2 4 2 3 6 2 2 2" xfId="16083" xr:uid="{FCE3B184-533D-4551-B241-4C38C2CFBB40}"/>
    <cellStyle name="Normal 2 4 2 3 6 2 3" xfId="11865" xr:uid="{6F888078-8756-4AE9-8E31-C8B8F191400F}"/>
    <cellStyle name="Normal 2 4 2 3 6 3" xfId="5503" xr:uid="{00000000-0005-0000-0000-00002B0F0000}"/>
    <cellStyle name="Normal 2 4 2 3 6 3 2" xfId="13938" xr:uid="{EB8C42BA-60DA-4110-AA73-647553DFC2E3}"/>
    <cellStyle name="Normal 2 4 2 3 6 4" xfId="9720" xr:uid="{F506A58B-A649-4CAE-9B33-28DD1BAAACB8}"/>
    <cellStyle name="Normal 2 4 2 3 7" xfId="1608" xr:uid="{00000000-0005-0000-0000-00002C0F0000}"/>
    <cellStyle name="Normal 2 4 2 3 7 2" xfId="3838" xr:uid="{00000000-0005-0000-0000-00002D0F0000}"/>
    <cellStyle name="Normal 2 4 2 3 7 2 2" xfId="8061" xr:uid="{00000000-0005-0000-0000-00002E0F0000}"/>
    <cellStyle name="Normal 2 4 2 3 7 2 2 2" xfId="16496" xr:uid="{304624D0-1159-42EB-AD10-D05F175055FF}"/>
    <cellStyle name="Normal 2 4 2 3 7 2 3" xfId="12278" xr:uid="{F8344F61-C46A-41FF-82E7-C1A5D54895B0}"/>
    <cellStyle name="Normal 2 4 2 3 7 3" xfId="5916" xr:uid="{00000000-0005-0000-0000-00002F0F0000}"/>
    <cellStyle name="Normal 2 4 2 3 7 3 2" xfId="14351" xr:uid="{9E0451D2-CFF4-4C3B-95AE-E06D31430E50}"/>
    <cellStyle name="Normal 2 4 2 3 7 4" xfId="10133" xr:uid="{FEF72A99-D0CA-420C-92F7-555247C70441}"/>
    <cellStyle name="Normal 2 4 2 3 8" xfId="2022" xr:uid="{00000000-0005-0000-0000-0000300F0000}"/>
    <cellStyle name="Normal 2 4 2 3 8 2" xfId="4251" xr:uid="{00000000-0005-0000-0000-0000310F0000}"/>
    <cellStyle name="Normal 2 4 2 3 8 2 2" xfId="8474" xr:uid="{00000000-0005-0000-0000-0000320F0000}"/>
    <cellStyle name="Normal 2 4 2 3 8 2 2 2" xfId="16909" xr:uid="{48FFAC44-452F-4F35-9B07-6E9CB56E7CC3}"/>
    <cellStyle name="Normal 2 4 2 3 8 2 3" xfId="12691" xr:uid="{FA7970BD-ECDA-4737-8C73-E80AB5292C52}"/>
    <cellStyle name="Normal 2 4 2 3 8 3" xfId="6329" xr:uid="{00000000-0005-0000-0000-0000330F0000}"/>
    <cellStyle name="Normal 2 4 2 3 8 3 2" xfId="14764" xr:uid="{919DF684-6BAC-49B0-830E-ED74B1858721}"/>
    <cellStyle name="Normal 2 4 2 3 8 4" xfId="10546" xr:uid="{987909D8-2693-4CD9-A0C2-D6092A0313E8}"/>
    <cellStyle name="Normal 2 4 2 3 9" xfId="2458" xr:uid="{00000000-0005-0000-0000-0000340F0000}"/>
    <cellStyle name="Normal 2 4 2 3 9 2" xfId="6742" xr:uid="{00000000-0005-0000-0000-0000350F0000}"/>
    <cellStyle name="Normal 2 4 2 3 9 2 2" xfId="15177" xr:uid="{B2397380-0DD9-42EE-823C-A305E13FB71B}"/>
    <cellStyle name="Normal 2 4 2 3 9 3" xfId="10959" xr:uid="{066FB9B0-800D-4B51-8170-0A22F4E409CF}"/>
    <cellStyle name="Normal 2 4 2 4" xfId="289" xr:uid="{00000000-0005-0000-0000-0000360F0000}"/>
    <cellStyle name="Normal 2 4 2 4 10" xfId="8901" xr:uid="{B7DB3BCE-992E-4002-8382-36290DF103BD}"/>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2 2 2" xfId="15680" xr:uid="{D5A513EF-E1CB-4A22-AC51-AC69CFB2C590}"/>
    <cellStyle name="Normal 2 4 2 4 2 2 2 2 3" xfId="11462" xr:uid="{B454B8CA-F881-41E5-8121-042FA519B7AF}"/>
    <cellStyle name="Normal 2 4 2 4 2 2 2 3" xfId="5100" xr:uid="{00000000-0005-0000-0000-00003C0F0000}"/>
    <cellStyle name="Normal 2 4 2 4 2 2 2 3 2" xfId="13535" xr:uid="{A333CCB5-326A-41D4-80BA-AD96EFC6B9B6}"/>
    <cellStyle name="Normal 2 4 2 4 2 2 2 4" xfId="9317" xr:uid="{1EDE1600-94A1-4FBE-B2CE-59D727D1D552}"/>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2 2 2" xfId="16093" xr:uid="{2583E92D-8135-4C8A-B4FE-6EDD907FDAFB}"/>
    <cellStyle name="Normal 2 4 2 4 2 2 3 2 3" xfId="11875" xr:uid="{A0C2F579-627F-48C6-A272-9A13B8A8D79C}"/>
    <cellStyle name="Normal 2 4 2 4 2 2 3 3" xfId="5513" xr:uid="{00000000-0005-0000-0000-0000400F0000}"/>
    <cellStyle name="Normal 2 4 2 4 2 2 3 3 2" xfId="13948" xr:uid="{2EAE331B-5C92-479F-824D-2C98FAEE6DD6}"/>
    <cellStyle name="Normal 2 4 2 4 2 2 3 4" xfId="9730" xr:uid="{0873AD8A-7DFF-46B8-A24A-EA5F622A9851}"/>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2 2 2" xfId="16506" xr:uid="{4A63EB03-6865-4AB0-8D49-2ACD623855DC}"/>
    <cellStyle name="Normal 2 4 2 4 2 2 4 2 3" xfId="12288" xr:uid="{2ED7340E-A83C-49E1-9FB0-7475AA5B05E7}"/>
    <cellStyle name="Normal 2 4 2 4 2 2 4 3" xfId="5926" xr:uid="{00000000-0005-0000-0000-0000440F0000}"/>
    <cellStyle name="Normal 2 4 2 4 2 2 4 3 2" xfId="14361" xr:uid="{B2964726-9779-4C26-AA02-FFE1126AB4BC}"/>
    <cellStyle name="Normal 2 4 2 4 2 2 4 4" xfId="10143" xr:uid="{74095239-4142-4F89-AB6D-5B2BD5AB136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2 2 2" xfId="16919" xr:uid="{C2023053-A84A-44E9-A01A-1386933DDA0E}"/>
    <cellStyle name="Normal 2 4 2 4 2 2 5 2 3" xfId="12701" xr:uid="{8CA89CAC-E664-48BE-94A7-FC864BD982C7}"/>
    <cellStyle name="Normal 2 4 2 4 2 2 5 3" xfId="6339" xr:uid="{00000000-0005-0000-0000-0000480F0000}"/>
    <cellStyle name="Normal 2 4 2 4 2 2 5 3 2" xfId="14774" xr:uid="{F2928378-5585-4A48-B7DC-3E1C97A2B662}"/>
    <cellStyle name="Normal 2 4 2 4 2 2 5 4" xfId="10556" xr:uid="{A2E78934-65BA-402F-A42F-87A7893AEB0E}"/>
    <cellStyle name="Normal 2 4 2 4 2 2 6" xfId="2468" xr:uid="{00000000-0005-0000-0000-0000490F0000}"/>
    <cellStyle name="Normal 2 4 2 4 2 2 6 2" xfId="6752" xr:uid="{00000000-0005-0000-0000-00004A0F0000}"/>
    <cellStyle name="Normal 2 4 2 4 2 2 6 2 2" xfId="15187" xr:uid="{5AB2B100-6BF0-45CE-8D82-3978986E121E}"/>
    <cellStyle name="Normal 2 4 2 4 2 2 6 3" xfId="10969" xr:uid="{E3A83453-969B-4C11-B7DE-7D8D0F352157}"/>
    <cellStyle name="Normal 2 4 2 4 2 2 7" xfId="4686" xr:uid="{00000000-0005-0000-0000-00004B0F0000}"/>
    <cellStyle name="Normal 2 4 2 4 2 2 7 2" xfId="13121" xr:uid="{5BAD0960-847B-4555-B77C-4E5AF532AF2D}"/>
    <cellStyle name="Normal 2 4 2 4 2 2 8" xfId="8903" xr:uid="{D7376B9C-6CBE-4807-B763-F0BCC1416992}"/>
    <cellStyle name="Normal 2 4 2 4 2 3" xfId="782" xr:uid="{00000000-0005-0000-0000-00004C0F0000}"/>
    <cellStyle name="Normal 2 4 2 4 2 3 2" xfId="3021" xr:uid="{00000000-0005-0000-0000-00004D0F0000}"/>
    <cellStyle name="Normal 2 4 2 4 2 3 2 2" xfId="7244" xr:uid="{00000000-0005-0000-0000-00004E0F0000}"/>
    <cellStyle name="Normal 2 4 2 4 2 3 2 2 2" xfId="15679" xr:uid="{CB9645BB-C052-41FC-847E-84E1821E5E0B}"/>
    <cellStyle name="Normal 2 4 2 4 2 3 2 3" xfId="11461" xr:uid="{D46E48E6-3B26-47A6-993F-A5D0426C52FE}"/>
    <cellStyle name="Normal 2 4 2 4 2 3 3" xfId="5099" xr:uid="{00000000-0005-0000-0000-00004F0F0000}"/>
    <cellStyle name="Normal 2 4 2 4 2 3 3 2" xfId="13534" xr:uid="{3F1C24F6-54F0-4EFC-8274-FD4D8600DF34}"/>
    <cellStyle name="Normal 2 4 2 4 2 3 4" xfId="9316" xr:uid="{5CDF9EF0-899A-44C0-B586-CFDC2D6E16EC}"/>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2 2 2" xfId="16092" xr:uid="{56A81EEA-14C9-4883-89EE-5A137B6538E8}"/>
    <cellStyle name="Normal 2 4 2 4 2 4 2 3" xfId="11874" xr:uid="{AABF9C78-DFCA-4C32-87F8-FAEB46F9FD85}"/>
    <cellStyle name="Normal 2 4 2 4 2 4 3" xfId="5512" xr:uid="{00000000-0005-0000-0000-0000530F0000}"/>
    <cellStyle name="Normal 2 4 2 4 2 4 3 2" xfId="13947" xr:uid="{05D6FC18-0986-4991-B4AC-1BEFA16CADF1}"/>
    <cellStyle name="Normal 2 4 2 4 2 4 4" xfId="9729" xr:uid="{0B345D6B-9883-4491-86C2-5603CB085D15}"/>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2 2 2" xfId="16505" xr:uid="{3D6B1405-C827-4A43-AFFF-EC723B9133D9}"/>
    <cellStyle name="Normal 2 4 2 4 2 5 2 3" xfId="12287" xr:uid="{C7BED619-8575-42CB-B48D-340399F38559}"/>
    <cellStyle name="Normal 2 4 2 4 2 5 3" xfId="5925" xr:uid="{00000000-0005-0000-0000-0000570F0000}"/>
    <cellStyle name="Normal 2 4 2 4 2 5 3 2" xfId="14360" xr:uid="{CFDC033B-9B39-4694-9FAB-EA0E170229DE}"/>
    <cellStyle name="Normal 2 4 2 4 2 5 4" xfId="10142" xr:uid="{5E31EB44-4BD7-4CAF-B5C0-55BBADA0716F}"/>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2 2 2" xfId="16918" xr:uid="{E338FCE4-510D-4864-9D37-CC9EAD143DCE}"/>
    <cellStyle name="Normal 2 4 2 4 2 6 2 3" xfId="12700" xr:uid="{5D6A5B5E-2B00-4F07-97B2-2E418F2048AA}"/>
    <cellStyle name="Normal 2 4 2 4 2 6 3" xfId="6338" xr:uid="{00000000-0005-0000-0000-00005B0F0000}"/>
    <cellStyle name="Normal 2 4 2 4 2 6 3 2" xfId="14773" xr:uid="{504721F8-FA6D-4E96-91BA-B6CE0DC8ADEA}"/>
    <cellStyle name="Normal 2 4 2 4 2 6 4" xfId="10555" xr:uid="{76E90D61-1DF4-4955-A10F-52ABCADBF48A}"/>
    <cellStyle name="Normal 2 4 2 4 2 7" xfId="2467" xr:uid="{00000000-0005-0000-0000-00005C0F0000}"/>
    <cellStyle name="Normal 2 4 2 4 2 7 2" xfId="6751" xr:uid="{00000000-0005-0000-0000-00005D0F0000}"/>
    <cellStyle name="Normal 2 4 2 4 2 7 2 2" xfId="15186" xr:uid="{9E461D45-6678-4608-9D04-5B96D8CAF691}"/>
    <cellStyle name="Normal 2 4 2 4 2 7 3" xfId="10968" xr:uid="{679F4405-491F-435C-B818-60AC30B143E4}"/>
    <cellStyle name="Normal 2 4 2 4 2 8" xfId="4685" xr:uid="{00000000-0005-0000-0000-00005E0F0000}"/>
    <cellStyle name="Normal 2 4 2 4 2 8 2" xfId="13120" xr:uid="{B52F03C1-0903-4889-AF28-EACFB1702AA2}"/>
    <cellStyle name="Normal 2 4 2 4 2 9" xfId="8902" xr:uid="{AF04404A-A720-4568-BFE9-06524B5AE789}"/>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2 2 2" xfId="15681" xr:uid="{06871230-1AE7-4A02-8E05-4975635777B2}"/>
    <cellStyle name="Normal 2 4 2 4 3 2 2 3" xfId="11463" xr:uid="{AD80D47D-D213-46A9-A29B-F1B7BCDC7368}"/>
    <cellStyle name="Normal 2 4 2 4 3 2 3" xfId="5101" xr:uid="{00000000-0005-0000-0000-0000630F0000}"/>
    <cellStyle name="Normal 2 4 2 4 3 2 3 2" xfId="13536" xr:uid="{71EA6C1A-48F4-498A-B6CC-B94C2A453714}"/>
    <cellStyle name="Normal 2 4 2 4 3 2 4" xfId="9318" xr:uid="{90793F01-CA7E-4290-8856-41D5827C21FF}"/>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2 2 2" xfId="16094" xr:uid="{ADF0E77E-5C24-4C2A-8DBA-9135AEB07DB9}"/>
    <cellStyle name="Normal 2 4 2 4 3 3 2 3" xfId="11876" xr:uid="{C068D80B-6429-40A4-9607-0604A9EF4C7E}"/>
    <cellStyle name="Normal 2 4 2 4 3 3 3" xfId="5514" xr:uid="{00000000-0005-0000-0000-0000670F0000}"/>
    <cellStyle name="Normal 2 4 2 4 3 3 3 2" xfId="13949" xr:uid="{407F87AB-231C-42F7-B25D-B0866D459DD2}"/>
    <cellStyle name="Normal 2 4 2 4 3 3 4" xfId="9731" xr:uid="{3BD937D5-73EC-4144-8FD4-19B81521A0FE}"/>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2 2 2" xfId="16507" xr:uid="{5E1D589D-A567-4150-880A-64DC2D3A59CD}"/>
    <cellStyle name="Normal 2 4 2 4 3 4 2 3" xfId="12289" xr:uid="{E6235C7E-72AE-4DDF-BD34-2C3D0E774411}"/>
    <cellStyle name="Normal 2 4 2 4 3 4 3" xfId="5927" xr:uid="{00000000-0005-0000-0000-00006B0F0000}"/>
    <cellStyle name="Normal 2 4 2 4 3 4 3 2" xfId="14362" xr:uid="{E0131D38-EA80-43ED-BFDE-544CBFBF346A}"/>
    <cellStyle name="Normal 2 4 2 4 3 4 4" xfId="10144" xr:uid="{EE55D145-18C7-47CF-8EB4-F85C7BADEC01}"/>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2 2 2" xfId="16920" xr:uid="{192B6E9E-D454-471F-820F-5D06DC99428A}"/>
    <cellStyle name="Normal 2 4 2 4 3 5 2 3" xfId="12702" xr:uid="{390A9DE1-71CD-4B1F-9A2C-1697FD714265}"/>
    <cellStyle name="Normal 2 4 2 4 3 5 3" xfId="6340" xr:uid="{00000000-0005-0000-0000-00006F0F0000}"/>
    <cellStyle name="Normal 2 4 2 4 3 5 3 2" xfId="14775" xr:uid="{EF264C24-D940-4909-8EF7-681075D9F26D}"/>
    <cellStyle name="Normal 2 4 2 4 3 5 4" xfId="10557" xr:uid="{92B6CC4E-513B-452D-8864-6458CEC5C2D3}"/>
    <cellStyle name="Normal 2 4 2 4 3 6" xfId="2469" xr:uid="{00000000-0005-0000-0000-0000700F0000}"/>
    <cellStyle name="Normal 2 4 2 4 3 6 2" xfId="6753" xr:uid="{00000000-0005-0000-0000-0000710F0000}"/>
    <cellStyle name="Normal 2 4 2 4 3 6 2 2" xfId="15188" xr:uid="{380388F3-8D0F-4849-896B-946EF8DCB0F4}"/>
    <cellStyle name="Normal 2 4 2 4 3 6 3" xfId="10970" xr:uid="{2A8B84F0-B38E-4E3D-93F6-E42B795D3AB8}"/>
    <cellStyle name="Normal 2 4 2 4 3 7" xfId="4687" xr:uid="{00000000-0005-0000-0000-0000720F0000}"/>
    <cellStyle name="Normal 2 4 2 4 3 7 2" xfId="13122" xr:uid="{27671D2F-78F3-4084-9CDB-88EF9E35565B}"/>
    <cellStyle name="Normal 2 4 2 4 3 8" xfId="8904" xr:uid="{A1AE9B2A-98D1-4793-9330-178A9AE56CE6}"/>
    <cellStyle name="Normal 2 4 2 4 4" xfId="781" xr:uid="{00000000-0005-0000-0000-0000730F0000}"/>
    <cellStyle name="Normal 2 4 2 4 4 2" xfId="3020" xr:uid="{00000000-0005-0000-0000-0000740F0000}"/>
    <cellStyle name="Normal 2 4 2 4 4 2 2" xfId="7243" xr:uid="{00000000-0005-0000-0000-0000750F0000}"/>
    <cellStyle name="Normal 2 4 2 4 4 2 2 2" xfId="15678" xr:uid="{8F13FC8D-5BBC-4AAF-AA5F-89DC71838478}"/>
    <cellStyle name="Normal 2 4 2 4 4 2 3" xfId="11460" xr:uid="{90A39DAA-273E-405F-9084-1DC3D7DF84D8}"/>
    <cellStyle name="Normal 2 4 2 4 4 3" xfId="5098" xr:uid="{00000000-0005-0000-0000-0000760F0000}"/>
    <cellStyle name="Normal 2 4 2 4 4 3 2" xfId="13533" xr:uid="{19FDDF30-0DBD-4F86-93A8-B49E34A6A170}"/>
    <cellStyle name="Normal 2 4 2 4 4 4" xfId="9315" xr:uid="{20A66590-B681-47F4-B34F-859B631196E5}"/>
    <cellStyle name="Normal 2 4 2 4 5" xfId="1203" xr:uid="{00000000-0005-0000-0000-0000770F0000}"/>
    <cellStyle name="Normal 2 4 2 4 5 2" xfId="3433" xr:uid="{00000000-0005-0000-0000-0000780F0000}"/>
    <cellStyle name="Normal 2 4 2 4 5 2 2" xfId="7656" xr:uid="{00000000-0005-0000-0000-0000790F0000}"/>
    <cellStyle name="Normal 2 4 2 4 5 2 2 2" xfId="16091" xr:uid="{DAFBE1D3-3840-4BE3-ABDD-6EB940659B47}"/>
    <cellStyle name="Normal 2 4 2 4 5 2 3" xfId="11873" xr:uid="{81273788-BBA4-481E-823A-F524E0685E75}"/>
    <cellStyle name="Normal 2 4 2 4 5 3" xfId="5511" xr:uid="{00000000-0005-0000-0000-00007A0F0000}"/>
    <cellStyle name="Normal 2 4 2 4 5 3 2" xfId="13946" xr:uid="{3CB32014-0BFE-4971-9515-3DB574FA9372}"/>
    <cellStyle name="Normal 2 4 2 4 5 4" xfId="9728" xr:uid="{E97B3B94-EA17-4CE9-88C0-6E1DDFE7AD1E}"/>
    <cellStyle name="Normal 2 4 2 4 6" xfId="1616" xr:uid="{00000000-0005-0000-0000-00007B0F0000}"/>
    <cellStyle name="Normal 2 4 2 4 6 2" xfId="3846" xr:uid="{00000000-0005-0000-0000-00007C0F0000}"/>
    <cellStyle name="Normal 2 4 2 4 6 2 2" xfId="8069" xr:uid="{00000000-0005-0000-0000-00007D0F0000}"/>
    <cellStyle name="Normal 2 4 2 4 6 2 2 2" xfId="16504" xr:uid="{D3AC99B5-B4AB-471A-92BA-C6686B90BAE7}"/>
    <cellStyle name="Normal 2 4 2 4 6 2 3" xfId="12286" xr:uid="{BB7D6599-1B1C-4325-8993-CDE2DF49900A}"/>
    <cellStyle name="Normal 2 4 2 4 6 3" xfId="5924" xr:uid="{00000000-0005-0000-0000-00007E0F0000}"/>
    <cellStyle name="Normal 2 4 2 4 6 3 2" xfId="14359" xr:uid="{F4B5FFF4-EDF2-4733-90D8-F34139940DBD}"/>
    <cellStyle name="Normal 2 4 2 4 6 4" xfId="10141" xr:uid="{C385D9B1-6764-462B-99A7-4E966A2C1182}"/>
    <cellStyle name="Normal 2 4 2 4 7" xfId="2030" xr:uid="{00000000-0005-0000-0000-00007F0F0000}"/>
    <cellStyle name="Normal 2 4 2 4 7 2" xfId="4259" xr:uid="{00000000-0005-0000-0000-0000800F0000}"/>
    <cellStyle name="Normal 2 4 2 4 7 2 2" xfId="8482" xr:uid="{00000000-0005-0000-0000-0000810F0000}"/>
    <cellStyle name="Normal 2 4 2 4 7 2 2 2" xfId="16917" xr:uid="{569F0E15-E129-43F2-AF29-904EDD5D2C11}"/>
    <cellStyle name="Normal 2 4 2 4 7 2 3" xfId="12699" xr:uid="{F9E99939-E7EF-4D84-89E5-6C8C4672EE82}"/>
    <cellStyle name="Normal 2 4 2 4 7 3" xfId="6337" xr:uid="{00000000-0005-0000-0000-0000820F0000}"/>
    <cellStyle name="Normal 2 4 2 4 7 3 2" xfId="14772" xr:uid="{A04F76B0-36DA-4CDA-BF16-8B707F6D11D5}"/>
    <cellStyle name="Normal 2 4 2 4 7 4" xfId="10554" xr:uid="{3ECE6C77-4F3E-4B75-A9C8-A90A1B917948}"/>
    <cellStyle name="Normal 2 4 2 4 8" xfId="2466" xr:uid="{00000000-0005-0000-0000-0000830F0000}"/>
    <cellStyle name="Normal 2 4 2 4 8 2" xfId="6750" xr:uid="{00000000-0005-0000-0000-0000840F0000}"/>
    <cellStyle name="Normal 2 4 2 4 8 2 2" xfId="15185" xr:uid="{A2B64EED-A3B0-4148-B180-A0A304A984BF}"/>
    <cellStyle name="Normal 2 4 2 4 8 3" xfId="10967" xr:uid="{28574354-FFF9-499C-A070-6080506D8987}"/>
    <cellStyle name="Normal 2 4 2 4 9" xfId="4684" xr:uid="{00000000-0005-0000-0000-0000850F0000}"/>
    <cellStyle name="Normal 2 4 2 4 9 2" xfId="13119" xr:uid="{480B919F-F40B-4B2D-AFF7-ACFA854DB03E}"/>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2 2 2" xfId="15683" xr:uid="{68D9063F-E05E-4062-B03B-B50110CE1ACB}"/>
    <cellStyle name="Normal 2 4 2 5 2 2 2 3" xfId="11465" xr:uid="{9CF61893-53C2-4C6E-9A7B-1FC3FF198095}"/>
    <cellStyle name="Normal 2 4 2 5 2 2 3" xfId="5103" xr:uid="{00000000-0005-0000-0000-00008B0F0000}"/>
    <cellStyle name="Normal 2 4 2 5 2 2 3 2" xfId="13538" xr:uid="{329AC5E6-3F35-4FAC-BF6B-BCF2E7C2E75C}"/>
    <cellStyle name="Normal 2 4 2 5 2 2 4" xfId="9320" xr:uid="{BB83EE1B-CA88-41F5-948E-80B51F58646C}"/>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2 2 2" xfId="16096" xr:uid="{2D016793-C2A3-48E5-88ED-41F620E7E0DE}"/>
    <cellStyle name="Normal 2 4 2 5 2 3 2 3" xfId="11878" xr:uid="{081925BD-D941-4C80-830B-D7262D7A4AD8}"/>
    <cellStyle name="Normal 2 4 2 5 2 3 3" xfId="5516" xr:uid="{00000000-0005-0000-0000-00008F0F0000}"/>
    <cellStyle name="Normal 2 4 2 5 2 3 3 2" xfId="13951" xr:uid="{2634FA1E-9D2F-4210-9944-0FDDD9D0EA21}"/>
    <cellStyle name="Normal 2 4 2 5 2 3 4" xfId="9733" xr:uid="{95D82ADA-2985-48C8-8977-2D2231CC2CD3}"/>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2 2 2" xfId="16509" xr:uid="{A224AAA7-37D4-4133-A8C9-BD1C4D7F9300}"/>
    <cellStyle name="Normal 2 4 2 5 2 4 2 3" xfId="12291" xr:uid="{D369986D-50DA-4FDE-8349-3D5B37E4F447}"/>
    <cellStyle name="Normal 2 4 2 5 2 4 3" xfId="5929" xr:uid="{00000000-0005-0000-0000-0000930F0000}"/>
    <cellStyle name="Normal 2 4 2 5 2 4 3 2" xfId="14364" xr:uid="{06C5E919-3C19-44F4-AC5E-747128E782B0}"/>
    <cellStyle name="Normal 2 4 2 5 2 4 4" xfId="10146" xr:uid="{03003160-4808-4610-8D8B-1CC74B57F766}"/>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2 2 2" xfId="16922" xr:uid="{C33A70C3-35CB-49D2-9A8A-9E2EE31A9097}"/>
    <cellStyle name="Normal 2 4 2 5 2 5 2 3" xfId="12704" xr:uid="{D147674C-8000-49F2-BC8A-459214882C1E}"/>
    <cellStyle name="Normal 2 4 2 5 2 5 3" xfId="6342" xr:uid="{00000000-0005-0000-0000-0000970F0000}"/>
    <cellStyle name="Normal 2 4 2 5 2 5 3 2" xfId="14777" xr:uid="{AA4D2F4C-89FB-4FF0-8863-D33390600055}"/>
    <cellStyle name="Normal 2 4 2 5 2 5 4" xfId="10559" xr:uid="{DE77D5B8-7BDE-4FB9-AC32-EAA0D2992627}"/>
    <cellStyle name="Normal 2 4 2 5 2 6" xfId="2471" xr:uid="{00000000-0005-0000-0000-0000980F0000}"/>
    <cellStyle name="Normal 2 4 2 5 2 6 2" xfId="6755" xr:uid="{00000000-0005-0000-0000-0000990F0000}"/>
    <cellStyle name="Normal 2 4 2 5 2 6 2 2" xfId="15190" xr:uid="{B017ECD7-591A-4AB5-BF33-AB36118959CB}"/>
    <cellStyle name="Normal 2 4 2 5 2 6 3" xfId="10972" xr:uid="{5EE3E2C5-7E7D-4FDA-8C93-7CEA176C74D0}"/>
    <cellStyle name="Normal 2 4 2 5 2 7" xfId="4689" xr:uid="{00000000-0005-0000-0000-00009A0F0000}"/>
    <cellStyle name="Normal 2 4 2 5 2 7 2" xfId="13124" xr:uid="{4A92474E-B38F-472D-964E-E02666BFB291}"/>
    <cellStyle name="Normal 2 4 2 5 2 8" xfId="8906" xr:uid="{6663847C-6430-4AD1-B281-DF1338D5BF12}"/>
    <cellStyle name="Normal 2 4 2 5 3" xfId="785" xr:uid="{00000000-0005-0000-0000-00009B0F0000}"/>
    <cellStyle name="Normal 2 4 2 5 3 2" xfId="3024" xr:uid="{00000000-0005-0000-0000-00009C0F0000}"/>
    <cellStyle name="Normal 2 4 2 5 3 2 2" xfId="7247" xr:uid="{00000000-0005-0000-0000-00009D0F0000}"/>
    <cellStyle name="Normal 2 4 2 5 3 2 2 2" xfId="15682" xr:uid="{1B06582B-6C37-485C-88BC-F2559B1FCBC6}"/>
    <cellStyle name="Normal 2 4 2 5 3 2 3" xfId="11464" xr:uid="{27E4FDBC-04A4-4718-B925-846515EC5FF1}"/>
    <cellStyle name="Normal 2 4 2 5 3 3" xfId="5102" xr:uid="{00000000-0005-0000-0000-00009E0F0000}"/>
    <cellStyle name="Normal 2 4 2 5 3 3 2" xfId="13537" xr:uid="{785B4A5D-AB86-4A2D-B981-D4006C31E371}"/>
    <cellStyle name="Normal 2 4 2 5 3 4" xfId="9319" xr:uid="{E1554B3B-4991-4911-9A23-4984D9CA758D}"/>
    <cellStyle name="Normal 2 4 2 5 4" xfId="1207" xr:uid="{00000000-0005-0000-0000-00009F0F0000}"/>
    <cellStyle name="Normal 2 4 2 5 4 2" xfId="3437" xr:uid="{00000000-0005-0000-0000-0000A00F0000}"/>
    <cellStyle name="Normal 2 4 2 5 4 2 2" xfId="7660" xr:uid="{00000000-0005-0000-0000-0000A10F0000}"/>
    <cellStyle name="Normal 2 4 2 5 4 2 2 2" xfId="16095" xr:uid="{437CE54A-C10A-432A-B86F-69B212D5E529}"/>
    <cellStyle name="Normal 2 4 2 5 4 2 3" xfId="11877" xr:uid="{67280B9B-1A4C-4418-9294-D1176EEC491C}"/>
    <cellStyle name="Normal 2 4 2 5 4 3" xfId="5515" xr:uid="{00000000-0005-0000-0000-0000A20F0000}"/>
    <cellStyle name="Normal 2 4 2 5 4 3 2" xfId="13950" xr:uid="{47CAF2B1-FC87-4FD5-8356-3A8C8740B239}"/>
    <cellStyle name="Normal 2 4 2 5 4 4" xfId="9732" xr:uid="{EEC5003F-68CB-4FD2-A187-363DCB7808A8}"/>
    <cellStyle name="Normal 2 4 2 5 5" xfId="1620" xr:uid="{00000000-0005-0000-0000-0000A30F0000}"/>
    <cellStyle name="Normal 2 4 2 5 5 2" xfId="3850" xr:uid="{00000000-0005-0000-0000-0000A40F0000}"/>
    <cellStyle name="Normal 2 4 2 5 5 2 2" xfId="8073" xr:uid="{00000000-0005-0000-0000-0000A50F0000}"/>
    <cellStyle name="Normal 2 4 2 5 5 2 2 2" xfId="16508" xr:uid="{C8A081C1-5D41-45F8-A304-AC64E223F645}"/>
    <cellStyle name="Normal 2 4 2 5 5 2 3" xfId="12290" xr:uid="{C11A210D-777D-4E78-81B8-AC409F6516BB}"/>
    <cellStyle name="Normal 2 4 2 5 5 3" xfId="5928" xr:uid="{00000000-0005-0000-0000-0000A60F0000}"/>
    <cellStyle name="Normal 2 4 2 5 5 3 2" xfId="14363" xr:uid="{C50A3FFD-A6C5-4F20-ABA3-F66951B4ABE6}"/>
    <cellStyle name="Normal 2 4 2 5 5 4" xfId="10145" xr:uid="{81886661-B804-4AFE-9A00-BE27339CB0BB}"/>
    <cellStyle name="Normal 2 4 2 5 6" xfId="2034" xr:uid="{00000000-0005-0000-0000-0000A70F0000}"/>
    <cellStyle name="Normal 2 4 2 5 6 2" xfId="4263" xr:uid="{00000000-0005-0000-0000-0000A80F0000}"/>
    <cellStyle name="Normal 2 4 2 5 6 2 2" xfId="8486" xr:uid="{00000000-0005-0000-0000-0000A90F0000}"/>
    <cellStyle name="Normal 2 4 2 5 6 2 2 2" xfId="16921" xr:uid="{8B3C5779-949C-45AF-8189-5E5B3ECD6DD8}"/>
    <cellStyle name="Normal 2 4 2 5 6 2 3" xfId="12703" xr:uid="{BB2BF94A-00AF-4FC2-AD5B-4FA979D97C76}"/>
    <cellStyle name="Normal 2 4 2 5 6 3" xfId="6341" xr:uid="{00000000-0005-0000-0000-0000AA0F0000}"/>
    <cellStyle name="Normal 2 4 2 5 6 3 2" xfId="14776" xr:uid="{FF6A1755-4C61-4CCA-9088-87EEF767D452}"/>
    <cellStyle name="Normal 2 4 2 5 6 4" xfId="10558" xr:uid="{CE3BF506-C344-4BEB-9EAC-30111792E852}"/>
    <cellStyle name="Normal 2 4 2 5 7" xfId="2470" xr:uid="{00000000-0005-0000-0000-0000AB0F0000}"/>
    <cellStyle name="Normal 2 4 2 5 7 2" xfId="6754" xr:uid="{00000000-0005-0000-0000-0000AC0F0000}"/>
    <cellStyle name="Normal 2 4 2 5 7 2 2" xfId="15189" xr:uid="{60664F3A-7090-425B-B875-4707EBC576B4}"/>
    <cellStyle name="Normal 2 4 2 5 7 3" xfId="10971" xr:uid="{2544691F-C52D-4E99-916A-70042B61B83F}"/>
    <cellStyle name="Normal 2 4 2 5 8" xfId="4688" xr:uid="{00000000-0005-0000-0000-0000AD0F0000}"/>
    <cellStyle name="Normal 2 4 2 5 8 2" xfId="13123" xr:uid="{D545C383-0EE3-48C5-9CE8-B26DF2EA8178}"/>
    <cellStyle name="Normal 2 4 2 5 9" xfId="8905" xr:uid="{96111C89-BA03-44BE-8349-F2B0B2BFB57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2 2 2" xfId="15684" xr:uid="{AF7B2F0C-679B-43A9-AE23-FCAAE5DEC82B}"/>
    <cellStyle name="Normal 2 4 2 6 2 2 3" xfId="11466" xr:uid="{89945F3D-7B69-4175-92AB-9F932CD1B848}"/>
    <cellStyle name="Normal 2 4 2 6 2 3" xfId="5104" xr:uid="{00000000-0005-0000-0000-0000B20F0000}"/>
    <cellStyle name="Normal 2 4 2 6 2 3 2" xfId="13539" xr:uid="{6D7F78DE-5516-4421-AD8C-A23474BB5682}"/>
    <cellStyle name="Normal 2 4 2 6 2 4" xfId="9321" xr:uid="{0B813627-557C-442C-9444-4B20BD5BB915}"/>
    <cellStyle name="Normal 2 4 2 6 3" xfId="1209" xr:uid="{00000000-0005-0000-0000-0000B30F0000}"/>
    <cellStyle name="Normal 2 4 2 6 3 2" xfId="3439" xr:uid="{00000000-0005-0000-0000-0000B40F0000}"/>
    <cellStyle name="Normal 2 4 2 6 3 2 2" xfId="7662" xr:uid="{00000000-0005-0000-0000-0000B50F0000}"/>
    <cellStyle name="Normal 2 4 2 6 3 2 2 2" xfId="16097" xr:uid="{C294A041-53E6-4E91-A2B5-754DE0E4A99E}"/>
    <cellStyle name="Normal 2 4 2 6 3 2 3" xfId="11879" xr:uid="{260A9404-2F18-49F6-B482-81039B066D2D}"/>
    <cellStyle name="Normal 2 4 2 6 3 3" xfId="5517" xr:uid="{00000000-0005-0000-0000-0000B60F0000}"/>
    <cellStyle name="Normal 2 4 2 6 3 3 2" xfId="13952" xr:uid="{57218651-29D7-42BF-ACB6-9E8EA04E9C98}"/>
    <cellStyle name="Normal 2 4 2 6 3 4" xfId="9734" xr:uid="{E1E5D826-4A88-43B1-B2B5-FEF66C58BD0F}"/>
    <cellStyle name="Normal 2 4 2 6 4" xfId="1622" xr:uid="{00000000-0005-0000-0000-0000B70F0000}"/>
    <cellStyle name="Normal 2 4 2 6 4 2" xfId="3852" xr:uid="{00000000-0005-0000-0000-0000B80F0000}"/>
    <cellStyle name="Normal 2 4 2 6 4 2 2" xfId="8075" xr:uid="{00000000-0005-0000-0000-0000B90F0000}"/>
    <cellStyle name="Normal 2 4 2 6 4 2 2 2" xfId="16510" xr:uid="{1B601658-8BE4-466E-A619-61549FB86F9E}"/>
    <cellStyle name="Normal 2 4 2 6 4 2 3" xfId="12292" xr:uid="{D87377B7-178A-47F8-9151-E3F54EBFB6AC}"/>
    <cellStyle name="Normal 2 4 2 6 4 3" xfId="5930" xr:uid="{00000000-0005-0000-0000-0000BA0F0000}"/>
    <cellStyle name="Normal 2 4 2 6 4 3 2" xfId="14365" xr:uid="{ED4D091E-C270-488A-B7A4-84AD31996DD3}"/>
    <cellStyle name="Normal 2 4 2 6 4 4" xfId="10147" xr:uid="{D6456EC9-D747-469D-AE4F-CD561BD29E70}"/>
    <cellStyle name="Normal 2 4 2 6 5" xfId="2036" xr:uid="{00000000-0005-0000-0000-0000BB0F0000}"/>
    <cellStyle name="Normal 2 4 2 6 5 2" xfId="4265" xr:uid="{00000000-0005-0000-0000-0000BC0F0000}"/>
    <cellStyle name="Normal 2 4 2 6 5 2 2" xfId="8488" xr:uid="{00000000-0005-0000-0000-0000BD0F0000}"/>
    <cellStyle name="Normal 2 4 2 6 5 2 2 2" xfId="16923" xr:uid="{F11F253A-BEA9-4BC3-A708-4CEB541B56E2}"/>
    <cellStyle name="Normal 2 4 2 6 5 2 3" xfId="12705" xr:uid="{C4AE7197-625B-4152-942B-3A8BCCF9D36F}"/>
    <cellStyle name="Normal 2 4 2 6 5 3" xfId="6343" xr:uid="{00000000-0005-0000-0000-0000BE0F0000}"/>
    <cellStyle name="Normal 2 4 2 6 5 3 2" xfId="14778" xr:uid="{7D562EDE-A037-41B8-934E-B0A5A13114B6}"/>
    <cellStyle name="Normal 2 4 2 6 5 4" xfId="10560" xr:uid="{A8EB7053-231B-495D-8003-62E80E21CBCD}"/>
    <cellStyle name="Normal 2 4 2 6 6" xfId="2472" xr:uid="{00000000-0005-0000-0000-0000BF0F0000}"/>
    <cellStyle name="Normal 2 4 2 6 6 2" xfId="6756" xr:uid="{00000000-0005-0000-0000-0000C00F0000}"/>
    <cellStyle name="Normal 2 4 2 6 6 2 2" xfId="15191" xr:uid="{4B384A5D-E1AE-4F24-A070-76AEFA87A7F0}"/>
    <cellStyle name="Normal 2 4 2 6 6 3" xfId="10973" xr:uid="{BA47A7F6-3C98-4F98-82E8-B9AD7000C194}"/>
    <cellStyle name="Normal 2 4 2 6 7" xfId="4690" xr:uid="{00000000-0005-0000-0000-0000C10F0000}"/>
    <cellStyle name="Normal 2 4 2 6 7 2" xfId="13125" xr:uid="{6BE94B2E-1257-4969-8AF3-882B96419363}"/>
    <cellStyle name="Normal 2 4 2 6 8" xfId="8907" xr:uid="{2CA7A19A-7DB5-431E-B2C4-D2E1F0486C4A}"/>
    <cellStyle name="Normal 2 4 2 7" xfId="772" xr:uid="{00000000-0005-0000-0000-0000C20F0000}"/>
    <cellStyle name="Normal 2 4 2 7 2" xfId="3011" xr:uid="{00000000-0005-0000-0000-0000C30F0000}"/>
    <cellStyle name="Normal 2 4 2 7 2 2" xfId="7234" xr:uid="{00000000-0005-0000-0000-0000C40F0000}"/>
    <cellStyle name="Normal 2 4 2 7 2 2 2" xfId="15669" xr:uid="{4677E327-7C8A-4B72-8248-C0D16310B4C9}"/>
    <cellStyle name="Normal 2 4 2 7 2 3" xfId="11451" xr:uid="{A39774A3-5DEE-425D-A441-65DF0CDB53C6}"/>
    <cellStyle name="Normal 2 4 2 7 3" xfId="5089" xr:uid="{00000000-0005-0000-0000-0000C50F0000}"/>
    <cellStyle name="Normal 2 4 2 7 3 2" xfId="13524" xr:uid="{020431FD-82BC-4D33-8FBA-3A04ED9BD6E0}"/>
    <cellStyle name="Normal 2 4 2 7 4" xfId="9306" xr:uid="{5AA761C9-451C-415D-A4CA-7191626682F1}"/>
    <cellStyle name="Normal 2 4 2 8" xfId="1194" xr:uid="{00000000-0005-0000-0000-0000C60F0000}"/>
    <cellStyle name="Normal 2 4 2 8 2" xfId="3424" xr:uid="{00000000-0005-0000-0000-0000C70F0000}"/>
    <cellStyle name="Normal 2 4 2 8 2 2" xfId="7647" xr:uid="{00000000-0005-0000-0000-0000C80F0000}"/>
    <cellStyle name="Normal 2 4 2 8 2 2 2" xfId="16082" xr:uid="{60F330FB-FE65-4AD4-A370-5F3E49EC49C9}"/>
    <cellStyle name="Normal 2 4 2 8 2 3" xfId="11864" xr:uid="{5965AA5A-1C18-4529-9786-3BD914F01ED8}"/>
    <cellStyle name="Normal 2 4 2 8 3" xfId="5502" xr:uid="{00000000-0005-0000-0000-0000C90F0000}"/>
    <cellStyle name="Normal 2 4 2 8 3 2" xfId="13937" xr:uid="{C1C3DF82-EE09-4724-BA84-A92C205A2528}"/>
    <cellStyle name="Normal 2 4 2 8 4" xfId="9719" xr:uid="{A4695F15-099A-4E44-94EC-3D829E94F84F}"/>
    <cellStyle name="Normal 2 4 2 9" xfId="1607" xr:uid="{00000000-0005-0000-0000-0000CA0F0000}"/>
    <cellStyle name="Normal 2 4 2 9 2" xfId="3837" xr:uid="{00000000-0005-0000-0000-0000CB0F0000}"/>
    <cellStyle name="Normal 2 4 2 9 2 2" xfId="8060" xr:uid="{00000000-0005-0000-0000-0000CC0F0000}"/>
    <cellStyle name="Normal 2 4 2 9 2 2 2" xfId="16495" xr:uid="{B898EB61-4F59-43CE-9BCC-1350A760E7FA}"/>
    <cellStyle name="Normal 2 4 2 9 2 3" xfId="12277" xr:uid="{84D70C72-1E8D-439D-866E-5A51E26146F2}"/>
    <cellStyle name="Normal 2 4 2 9 3" xfId="5915" xr:uid="{00000000-0005-0000-0000-0000CD0F0000}"/>
    <cellStyle name="Normal 2 4 2 9 3 2" xfId="14350" xr:uid="{202F14D6-3570-48A1-9C74-00B5C9C80FAB}"/>
    <cellStyle name="Normal 2 4 2 9 4" xfId="10132" xr:uid="{744CB385-7008-44CD-9302-954F411FD973}"/>
    <cellStyle name="Normal 2 4 3" xfId="296" xr:uid="{00000000-0005-0000-0000-0000CE0F0000}"/>
    <cellStyle name="Normal 2 4 3 10" xfId="8908" xr:uid="{2FE7F7D2-1841-4A7C-9C30-CECDF5A2F187}"/>
    <cellStyle name="Normal 2 4 3 2" xfId="297" xr:uid="{00000000-0005-0000-0000-0000CF0F0000}"/>
    <cellStyle name="Normal 2 4 3 3" xfId="298" xr:uid="{00000000-0005-0000-0000-0000D00F0000}"/>
    <cellStyle name="Normal 2 4 3 3 10" xfId="8909" xr:uid="{E6BAF8E5-21CC-4F6E-AC51-C2A275126C65}"/>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2 2 2" xfId="15688" xr:uid="{0C824773-279C-45CF-BEEB-E9E05DE6475D}"/>
    <cellStyle name="Normal 2 4 3 3 2 2 2 2 3" xfId="11470" xr:uid="{0CCC0F05-0070-4448-9FD8-D7CD6EABA204}"/>
    <cellStyle name="Normal 2 4 3 3 2 2 2 3" xfId="5108" xr:uid="{00000000-0005-0000-0000-0000D60F0000}"/>
    <cellStyle name="Normal 2 4 3 3 2 2 2 3 2" xfId="13543" xr:uid="{C4C01FBF-68D5-461B-990C-0DBD0FA79C0E}"/>
    <cellStyle name="Normal 2 4 3 3 2 2 2 4" xfId="9325" xr:uid="{000D51B6-04AD-4B99-A183-21429836826A}"/>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2 2 2" xfId="16101" xr:uid="{05FA7B0C-33A6-498B-ADEC-589AD0EB66D6}"/>
    <cellStyle name="Normal 2 4 3 3 2 2 3 2 3" xfId="11883" xr:uid="{BF0BF9D7-BEA6-43D9-A2D4-9E2961B276DE}"/>
    <cellStyle name="Normal 2 4 3 3 2 2 3 3" xfId="5521" xr:uid="{00000000-0005-0000-0000-0000DA0F0000}"/>
    <cellStyle name="Normal 2 4 3 3 2 2 3 3 2" xfId="13956" xr:uid="{D9F652E2-2BBC-42E1-8722-BAD750D31EB6}"/>
    <cellStyle name="Normal 2 4 3 3 2 2 3 4" xfId="9738" xr:uid="{B407858E-9862-4FC2-9CB1-29A1E28B7704}"/>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2 2 2" xfId="16514" xr:uid="{16E3D7A9-365A-47D8-90E0-A6DB4455721D}"/>
    <cellStyle name="Normal 2 4 3 3 2 2 4 2 3" xfId="12296" xr:uid="{707DF274-E5CE-4264-BF9D-6DDE72D00E09}"/>
    <cellStyle name="Normal 2 4 3 3 2 2 4 3" xfId="5934" xr:uid="{00000000-0005-0000-0000-0000DE0F0000}"/>
    <cellStyle name="Normal 2 4 3 3 2 2 4 3 2" xfId="14369" xr:uid="{E1F4CEC7-9877-48E8-A16C-24F10844B0C5}"/>
    <cellStyle name="Normal 2 4 3 3 2 2 4 4" xfId="10151" xr:uid="{C695C91B-61DF-4F07-8B78-5BBD3E424F86}"/>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2 2 2" xfId="16927" xr:uid="{608C93DA-082E-4345-A956-377F548087AC}"/>
    <cellStyle name="Normal 2 4 3 3 2 2 5 2 3" xfId="12709" xr:uid="{CD8EE069-8422-457D-8C07-D6BCB8945B5B}"/>
    <cellStyle name="Normal 2 4 3 3 2 2 5 3" xfId="6347" xr:uid="{00000000-0005-0000-0000-0000E20F0000}"/>
    <cellStyle name="Normal 2 4 3 3 2 2 5 3 2" xfId="14782" xr:uid="{EA623A5F-DDD0-4AF3-9175-485D916ECC0D}"/>
    <cellStyle name="Normal 2 4 3 3 2 2 5 4" xfId="10564" xr:uid="{58E74EA3-C2D9-4735-9F61-36012BA33B8E}"/>
    <cellStyle name="Normal 2 4 3 3 2 2 6" xfId="2476" xr:uid="{00000000-0005-0000-0000-0000E30F0000}"/>
    <cellStyle name="Normal 2 4 3 3 2 2 6 2" xfId="6760" xr:uid="{00000000-0005-0000-0000-0000E40F0000}"/>
    <cellStyle name="Normal 2 4 3 3 2 2 6 2 2" xfId="15195" xr:uid="{D0062DED-10EA-4391-AE32-A39C4390A55C}"/>
    <cellStyle name="Normal 2 4 3 3 2 2 6 3" xfId="10977" xr:uid="{31B7BD54-3E12-4579-B54C-108FE01BEF0F}"/>
    <cellStyle name="Normal 2 4 3 3 2 2 7" xfId="4694" xr:uid="{00000000-0005-0000-0000-0000E50F0000}"/>
    <cellStyle name="Normal 2 4 3 3 2 2 7 2" xfId="13129" xr:uid="{22071D0E-EA24-421E-8036-268A54229088}"/>
    <cellStyle name="Normal 2 4 3 3 2 2 8" xfId="8911" xr:uid="{6D18E51E-F5C8-495F-A8F8-3DF34A45D162}"/>
    <cellStyle name="Normal 2 4 3 3 2 3" xfId="790" xr:uid="{00000000-0005-0000-0000-0000E60F0000}"/>
    <cellStyle name="Normal 2 4 3 3 2 3 2" xfId="3029" xr:uid="{00000000-0005-0000-0000-0000E70F0000}"/>
    <cellStyle name="Normal 2 4 3 3 2 3 2 2" xfId="7252" xr:uid="{00000000-0005-0000-0000-0000E80F0000}"/>
    <cellStyle name="Normal 2 4 3 3 2 3 2 2 2" xfId="15687" xr:uid="{85C6443D-D16A-4A0B-9C06-23CB2B7148BD}"/>
    <cellStyle name="Normal 2 4 3 3 2 3 2 3" xfId="11469" xr:uid="{BF1C3234-53C6-49D6-97AC-0432CFC0E354}"/>
    <cellStyle name="Normal 2 4 3 3 2 3 3" xfId="5107" xr:uid="{00000000-0005-0000-0000-0000E90F0000}"/>
    <cellStyle name="Normal 2 4 3 3 2 3 3 2" xfId="13542" xr:uid="{6A510649-38AF-4214-81BF-DE3C513833A3}"/>
    <cellStyle name="Normal 2 4 3 3 2 3 4" xfId="9324" xr:uid="{3C87EA3F-EB68-4603-92AC-78C8BAF0828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2 2 2" xfId="16100" xr:uid="{3A438E3E-D40D-4C03-AADD-E15DDDD518A1}"/>
    <cellStyle name="Normal 2 4 3 3 2 4 2 3" xfId="11882" xr:uid="{BBB78D45-BE34-4B4E-B9EC-A47FCA673C52}"/>
    <cellStyle name="Normal 2 4 3 3 2 4 3" xfId="5520" xr:uid="{00000000-0005-0000-0000-0000ED0F0000}"/>
    <cellStyle name="Normal 2 4 3 3 2 4 3 2" xfId="13955" xr:uid="{16DB7300-D79A-4B52-9054-F045BDCEDE78}"/>
    <cellStyle name="Normal 2 4 3 3 2 4 4" xfId="9737" xr:uid="{EC5FFB49-8691-4C62-AB6A-6BD2B2A893C2}"/>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2 2 2" xfId="16513" xr:uid="{38E89755-8B99-444F-9B83-442D455CB9A7}"/>
    <cellStyle name="Normal 2 4 3 3 2 5 2 3" xfId="12295" xr:uid="{B4E312D1-DA19-4D91-9FF2-78C974143CA4}"/>
    <cellStyle name="Normal 2 4 3 3 2 5 3" xfId="5933" xr:uid="{00000000-0005-0000-0000-0000F10F0000}"/>
    <cellStyle name="Normal 2 4 3 3 2 5 3 2" xfId="14368" xr:uid="{9B05EC14-C432-4E35-871C-0BFF7A7F0D8E}"/>
    <cellStyle name="Normal 2 4 3 3 2 5 4" xfId="10150" xr:uid="{D1D68708-89DE-4348-8DD2-449492C7AE06}"/>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2 2 2" xfId="16926" xr:uid="{2825DD51-8FD1-4D1E-B8DC-A49D3C41CA8F}"/>
    <cellStyle name="Normal 2 4 3 3 2 6 2 3" xfId="12708" xr:uid="{1ADA49C9-629A-4016-8EA0-78478158178F}"/>
    <cellStyle name="Normal 2 4 3 3 2 6 3" xfId="6346" xr:uid="{00000000-0005-0000-0000-0000F50F0000}"/>
    <cellStyle name="Normal 2 4 3 3 2 6 3 2" xfId="14781" xr:uid="{E2C07E07-1FA9-48AE-9BF6-AD6FBB9766E3}"/>
    <cellStyle name="Normal 2 4 3 3 2 6 4" xfId="10563" xr:uid="{1BDADA92-A53A-4FD0-864E-E0E93C147410}"/>
    <cellStyle name="Normal 2 4 3 3 2 7" xfId="2475" xr:uid="{00000000-0005-0000-0000-0000F60F0000}"/>
    <cellStyle name="Normal 2 4 3 3 2 7 2" xfId="6759" xr:uid="{00000000-0005-0000-0000-0000F70F0000}"/>
    <cellStyle name="Normal 2 4 3 3 2 7 2 2" xfId="15194" xr:uid="{44D18BB0-ADD7-417E-8ED1-DAADC4EA9EF9}"/>
    <cellStyle name="Normal 2 4 3 3 2 7 3" xfId="10976" xr:uid="{0AFD3CEE-9188-4830-8D6F-7D23343BF72F}"/>
    <cellStyle name="Normal 2 4 3 3 2 8" xfId="4693" xr:uid="{00000000-0005-0000-0000-0000F80F0000}"/>
    <cellStyle name="Normal 2 4 3 3 2 8 2" xfId="13128" xr:uid="{C0F24BB4-BC87-49BA-88E2-687E680EAAC6}"/>
    <cellStyle name="Normal 2 4 3 3 2 9" xfId="8910" xr:uid="{E50F9895-72ED-4FF9-8853-0A384E6FF5AA}"/>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2 2 2" xfId="15689" xr:uid="{D3F1768E-9495-4E92-BBE0-AC082E1F7D5F}"/>
    <cellStyle name="Normal 2 4 3 3 3 2 2 3" xfId="11471" xr:uid="{38F63297-CB8F-44F3-854C-1652FE5DEB56}"/>
    <cellStyle name="Normal 2 4 3 3 3 2 3" xfId="5109" xr:uid="{00000000-0005-0000-0000-0000FD0F0000}"/>
    <cellStyle name="Normal 2 4 3 3 3 2 3 2" xfId="13544" xr:uid="{7DE94DCE-7406-448F-9F99-FD66AA778065}"/>
    <cellStyle name="Normal 2 4 3 3 3 2 4" xfId="9326" xr:uid="{3E5A0462-775C-4616-98D1-4BCE0803E693}"/>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2 2 2" xfId="16102" xr:uid="{49E55D40-F208-4AC4-87A5-FE05344CAA67}"/>
    <cellStyle name="Normal 2 4 3 3 3 3 2 3" xfId="11884" xr:uid="{16A958DB-752B-4259-A004-7EAAF4A75A0B}"/>
    <cellStyle name="Normal 2 4 3 3 3 3 3" xfId="5522" xr:uid="{00000000-0005-0000-0000-000001100000}"/>
    <cellStyle name="Normal 2 4 3 3 3 3 3 2" xfId="13957" xr:uid="{00582BEE-D881-4FF1-8363-06C3FA747616}"/>
    <cellStyle name="Normal 2 4 3 3 3 3 4" xfId="9739" xr:uid="{E7DC1FB6-2F16-41EC-9A5E-C77BC20D5E16}"/>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2 2 2" xfId="16515" xr:uid="{5DB01369-7B60-4DB5-8AD3-54481E34A85A}"/>
    <cellStyle name="Normal 2 4 3 3 3 4 2 3" xfId="12297" xr:uid="{1914083C-4CFE-4592-AF5A-E4E11DD648A5}"/>
    <cellStyle name="Normal 2 4 3 3 3 4 3" xfId="5935" xr:uid="{00000000-0005-0000-0000-000005100000}"/>
    <cellStyle name="Normal 2 4 3 3 3 4 3 2" xfId="14370" xr:uid="{6468EFB2-B5F6-4E19-811F-5A4A27965F75}"/>
    <cellStyle name="Normal 2 4 3 3 3 4 4" xfId="10152" xr:uid="{810EADD4-4AB7-4923-A2E4-B23C1DF0AA34}"/>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2 2 2" xfId="16928" xr:uid="{AD569574-72A6-4BCA-AE6F-F292460076EF}"/>
    <cellStyle name="Normal 2 4 3 3 3 5 2 3" xfId="12710" xr:uid="{32B8FACF-886A-404E-B431-952C45188048}"/>
    <cellStyle name="Normal 2 4 3 3 3 5 3" xfId="6348" xr:uid="{00000000-0005-0000-0000-000009100000}"/>
    <cellStyle name="Normal 2 4 3 3 3 5 3 2" xfId="14783" xr:uid="{ADE200AC-DEB4-48E7-AF47-D96D7CE24855}"/>
    <cellStyle name="Normal 2 4 3 3 3 5 4" xfId="10565" xr:uid="{04DBE533-1A43-4DA5-802A-3956ECE9A3EF}"/>
    <cellStyle name="Normal 2 4 3 3 3 6" xfId="2477" xr:uid="{00000000-0005-0000-0000-00000A100000}"/>
    <cellStyle name="Normal 2 4 3 3 3 6 2" xfId="6761" xr:uid="{00000000-0005-0000-0000-00000B100000}"/>
    <cellStyle name="Normal 2 4 3 3 3 6 2 2" xfId="15196" xr:uid="{EE5118DA-8A8C-4443-BC05-C0B448CF75EF}"/>
    <cellStyle name="Normal 2 4 3 3 3 6 3" xfId="10978" xr:uid="{FF5BBD63-DE32-4D05-8B75-3F0152EAB82F}"/>
    <cellStyle name="Normal 2 4 3 3 3 7" xfId="4695" xr:uid="{00000000-0005-0000-0000-00000C100000}"/>
    <cellStyle name="Normal 2 4 3 3 3 7 2" xfId="13130" xr:uid="{AF1865EA-240E-4AB7-897C-15CF2D5A2F7F}"/>
    <cellStyle name="Normal 2 4 3 3 3 8" xfId="8912" xr:uid="{8D452437-2515-4F93-8190-B3DCC4133A77}"/>
    <cellStyle name="Normal 2 4 3 3 4" xfId="789" xr:uid="{00000000-0005-0000-0000-00000D100000}"/>
    <cellStyle name="Normal 2 4 3 3 4 2" xfId="3028" xr:uid="{00000000-0005-0000-0000-00000E100000}"/>
    <cellStyle name="Normal 2 4 3 3 4 2 2" xfId="7251" xr:uid="{00000000-0005-0000-0000-00000F100000}"/>
    <cellStyle name="Normal 2 4 3 3 4 2 2 2" xfId="15686" xr:uid="{63DCB02C-D302-4B3E-A58C-2D24EE37964D}"/>
    <cellStyle name="Normal 2 4 3 3 4 2 3" xfId="11468" xr:uid="{5A3A1998-3900-416B-AA74-DEE9B53F188F}"/>
    <cellStyle name="Normal 2 4 3 3 4 3" xfId="5106" xr:uid="{00000000-0005-0000-0000-000010100000}"/>
    <cellStyle name="Normal 2 4 3 3 4 3 2" xfId="13541" xr:uid="{1DB50593-2208-4966-9919-5B052E814308}"/>
    <cellStyle name="Normal 2 4 3 3 4 4" xfId="9323" xr:uid="{5D4A0783-EC91-4BC1-A0FF-67F822D0E05F}"/>
    <cellStyle name="Normal 2 4 3 3 5" xfId="1211" xr:uid="{00000000-0005-0000-0000-000011100000}"/>
    <cellStyle name="Normal 2 4 3 3 5 2" xfId="3441" xr:uid="{00000000-0005-0000-0000-000012100000}"/>
    <cellStyle name="Normal 2 4 3 3 5 2 2" xfId="7664" xr:uid="{00000000-0005-0000-0000-000013100000}"/>
    <cellStyle name="Normal 2 4 3 3 5 2 2 2" xfId="16099" xr:uid="{56E92035-5468-4D03-8DAC-6A963D72931A}"/>
    <cellStyle name="Normal 2 4 3 3 5 2 3" xfId="11881" xr:uid="{035A01E0-15E0-4226-8509-F02CDAAED1E2}"/>
    <cellStyle name="Normal 2 4 3 3 5 3" xfId="5519" xr:uid="{00000000-0005-0000-0000-000014100000}"/>
    <cellStyle name="Normal 2 4 3 3 5 3 2" xfId="13954" xr:uid="{4A465009-2D2E-492D-B2BF-072BBABE2BD2}"/>
    <cellStyle name="Normal 2 4 3 3 5 4" xfId="9736" xr:uid="{36A6A78E-825E-41CE-8157-9FA3C997DF9E}"/>
    <cellStyle name="Normal 2 4 3 3 6" xfId="1624" xr:uid="{00000000-0005-0000-0000-000015100000}"/>
    <cellStyle name="Normal 2 4 3 3 6 2" xfId="3854" xr:uid="{00000000-0005-0000-0000-000016100000}"/>
    <cellStyle name="Normal 2 4 3 3 6 2 2" xfId="8077" xr:uid="{00000000-0005-0000-0000-000017100000}"/>
    <cellStyle name="Normal 2 4 3 3 6 2 2 2" xfId="16512" xr:uid="{CB9C6FB0-FC4C-40F7-AED1-9FC1602B91FE}"/>
    <cellStyle name="Normal 2 4 3 3 6 2 3" xfId="12294" xr:uid="{759967F0-8F75-4313-A77C-059F614CBAD3}"/>
    <cellStyle name="Normal 2 4 3 3 6 3" xfId="5932" xr:uid="{00000000-0005-0000-0000-000018100000}"/>
    <cellStyle name="Normal 2 4 3 3 6 3 2" xfId="14367" xr:uid="{2FD5C866-BB44-43C5-B97D-C825D5DC1D5C}"/>
    <cellStyle name="Normal 2 4 3 3 6 4" xfId="10149" xr:uid="{294F26F1-CA81-4C20-9F41-8B3912A4D92B}"/>
    <cellStyle name="Normal 2 4 3 3 7" xfId="2038" xr:uid="{00000000-0005-0000-0000-000019100000}"/>
    <cellStyle name="Normal 2 4 3 3 7 2" xfId="4267" xr:uid="{00000000-0005-0000-0000-00001A100000}"/>
    <cellStyle name="Normal 2 4 3 3 7 2 2" xfId="8490" xr:uid="{00000000-0005-0000-0000-00001B100000}"/>
    <cellStyle name="Normal 2 4 3 3 7 2 2 2" xfId="16925" xr:uid="{8E0BEDAA-361E-4780-855A-2A809FD6F891}"/>
    <cellStyle name="Normal 2 4 3 3 7 2 3" xfId="12707" xr:uid="{281FD2A2-CA37-4D3C-80A7-6A3823B804D2}"/>
    <cellStyle name="Normal 2 4 3 3 7 3" xfId="6345" xr:uid="{00000000-0005-0000-0000-00001C100000}"/>
    <cellStyle name="Normal 2 4 3 3 7 3 2" xfId="14780" xr:uid="{0B23D9C5-E3C4-4079-8F73-207752F0F1B6}"/>
    <cellStyle name="Normal 2 4 3 3 7 4" xfId="10562" xr:uid="{303787EE-CDC7-4E74-AB76-79A1D2FB544D}"/>
    <cellStyle name="Normal 2 4 3 3 8" xfId="2474" xr:uid="{00000000-0005-0000-0000-00001D100000}"/>
    <cellStyle name="Normal 2 4 3 3 8 2" xfId="6758" xr:uid="{00000000-0005-0000-0000-00001E100000}"/>
    <cellStyle name="Normal 2 4 3 3 8 2 2" xfId="15193" xr:uid="{65F82BDC-BE1F-427E-BAC3-2C66A44DD8F7}"/>
    <cellStyle name="Normal 2 4 3 3 8 3" xfId="10975" xr:uid="{7E3C468C-90CF-4957-A977-D24D79A3C26A}"/>
    <cellStyle name="Normal 2 4 3 3 9" xfId="4692" xr:uid="{00000000-0005-0000-0000-00001F100000}"/>
    <cellStyle name="Normal 2 4 3 3 9 2" xfId="13127" xr:uid="{C5596680-B102-4A46-8B50-47E0A524A018}"/>
    <cellStyle name="Normal 2 4 3 4" xfId="788" xr:uid="{00000000-0005-0000-0000-000020100000}"/>
    <cellStyle name="Normal 2 4 3 4 2" xfId="3027" xr:uid="{00000000-0005-0000-0000-000021100000}"/>
    <cellStyle name="Normal 2 4 3 4 2 2" xfId="7250" xr:uid="{00000000-0005-0000-0000-000022100000}"/>
    <cellStyle name="Normal 2 4 3 4 2 2 2" xfId="15685" xr:uid="{BDB9EE57-C171-445C-A7EA-DB3EB4EB32F7}"/>
    <cellStyle name="Normal 2 4 3 4 2 3" xfId="11467" xr:uid="{7D1B4547-0F72-4DD5-93FA-00772874AF0F}"/>
    <cellStyle name="Normal 2 4 3 4 3" xfId="5105" xr:uid="{00000000-0005-0000-0000-000023100000}"/>
    <cellStyle name="Normal 2 4 3 4 3 2" xfId="13540" xr:uid="{B2E10A68-2D6D-4125-8E14-5E6D20BF281C}"/>
    <cellStyle name="Normal 2 4 3 4 4" xfId="9322" xr:uid="{413BF624-83F5-4257-9937-230FD8FBB30C}"/>
    <cellStyle name="Normal 2 4 3 5" xfId="1210" xr:uid="{00000000-0005-0000-0000-000024100000}"/>
    <cellStyle name="Normal 2 4 3 5 2" xfId="3440" xr:uid="{00000000-0005-0000-0000-000025100000}"/>
    <cellStyle name="Normal 2 4 3 5 2 2" xfId="7663" xr:uid="{00000000-0005-0000-0000-000026100000}"/>
    <cellStyle name="Normal 2 4 3 5 2 2 2" xfId="16098" xr:uid="{901A0599-D128-46E0-8798-0449F6D09CEF}"/>
    <cellStyle name="Normal 2 4 3 5 2 3" xfId="11880" xr:uid="{E143F668-6D18-4004-8983-17E3A85E84A5}"/>
    <cellStyle name="Normal 2 4 3 5 3" xfId="5518" xr:uid="{00000000-0005-0000-0000-000027100000}"/>
    <cellStyle name="Normal 2 4 3 5 3 2" xfId="13953" xr:uid="{FD22B116-C075-42AF-9CB7-5076F83E7590}"/>
    <cellStyle name="Normal 2 4 3 5 4" xfId="9735" xr:uid="{B9B4D10C-A542-4137-BA16-7DFF8017FCE7}"/>
    <cellStyle name="Normal 2 4 3 6" xfId="1623" xr:uid="{00000000-0005-0000-0000-000028100000}"/>
    <cellStyle name="Normal 2 4 3 6 2" xfId="3853" xr:uid="{00000000-0005-0000-0000-000029100000}"/>
    <cellStyle name="Normal 2 4 3 6 2 2" xfId="8076" xr:uid="{00000000-0005-0000-0000-00002A100000}"/>
    <cellStyle name="Normal 2 4 3 6 2 2 2" xfId="16511" xr:uid="{07D710D4-0E11-4257-93CE-02C38F19104D}"/>
    <cellStyle name="Normal 2 4 3 6 2 3" xfId="12293" xr:uid="{D54FE361-7CB7-4479-9FC4-79BAA3D4F88F}"/>
    <cellStyle name="Normal 2 4 3 6 3" xfId="5931" xr:uid="{00000000-0005-0000-0000-00002B100000}"/>
    <cellStyle name="Normal 2 4 3 6 3 2" xfId="14366" xr:uid="{E2137A1B-1159-4F5D-BF73-5E15B8C406D9}"/>
    <cellStyle name="Normal 2 4 3 6 4" xfId="10148" xr:uid="{F1197F66-1505-48B1-9E96-AF866B06FEEA}"/>
    <cellStyle name="Normal 2 4 3 7" xfId="2037" xr:uid="{00000000-0005-0000-0000-00002C100000}"/>
    <cellStyle name="Normal 2 4 3 7 2" xfId="4266" xr:uid="{00000000-0005-0000-0000-00002D100000}"/>
    <cellStyle name="Normal 2 4 3 7 2 2" xfId="8489" xr:uid="{00000000-0005-0000-0000-00002E100000}"/>
    <cellStyle name="Normal 2 4 3 7 2 2 2" xfId="16924" xr:uid="{80EE881C-E76E-4787-96CD-6EBAAD1E1CE0}"/>
    <cellStyle name="Normal 2 4 3 7 2 3" xfId="12706" xr:uid="{2D6F4F18-671B-490F-8B46-45C1BD794201}"/>
    <cellStyle name="Normal 2 4 3 7 3" xfId="6344" xr:uid="{00000000-0005-0000-0000-00002F100000}"/>
    <cellStyle name="Normal 2 4 3 7 3 2" xfId="14779" xr:uid="{A34232B6-6C9F-4049-90E9-A2845357ED2D}"/>
    <cellStyle name="Normal 2 4 3 7 4" xfId="10561" xr:uid="{E4DB654A-AB42-4BBC-840D-9A2F310F85A9}"/>
    <cellStyle name="Normal 2 4 3 8" xfId="2473" xr:uid="{00000000-0005-0000-0000-000030100000}"/>
    <cellStyle name="Normal 2 4 3 8 2" xfId="6757" xr:uid="{00000000-0005-0000-0000-000031100000}"/>
    <cellStyle name="Normal 2 4 3 8 2 2" xfId="15192" xr:uid="{52F4CB50-D732-4865-BF3D-B3A11CFC7C69}"/>
    <cellStyle name="Normal 2 4 3 8 3" xfId="10974" xr:uid="{82D8D886-F0A6-442A-811F-B2B005A40148}"/>
    <cellStyle name="Normal 2 4 3 9" xfId="4691" xr:uid="{00000000-0005-0000-0000-000032100000}"/>
    <cellStyle name="Normal 2 4 3 9 2" xfId="13126" xr:uid="{7BF07599-6C1D-459C-827E-AA472E7D69BA}"/>
    <cellStyle name="Normal 2 4 4" xfId="302" xr:uid="{00000000-0005-0000-0000-000033100000}"/>
    <cellStyle name="Normal 2 4 5" xfId="303" xr:uid="{00000000-0005-0000-0000-000034100000}"/>
    <cellStyle name="Normal 2 4 5 10" xfId="4696" xr:uid="{00000000-0005-0000-0000-000035100000}"/>
    <cellStyle name="Normal 2 4 5 10 2" xfId="13131" xr:uid="{1540EC2F-9EDF-414E-BA51-67B520CA50F1}"/>
    <cellStyle name="Normal 2 4 5 11" xfId="8913" xr:uid="{64ED4E5E-9282-49D2-85AD-C8AEA687E859}"/>
    <cellStyle name="Normal 2 4 5 2" xfId="304" xr:uid="{00000000-0005-0000-0000-000036100000}"/>
    <cellStyle name="Normal 2 4 5 2 10" xfId="8914" xr:uid="{772CEA65-9A90-4458-9E2E-F54AF480305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2 2 2" xfId="15693" xr:uid="{29F2956B-AD8C-46CD-80B1-BC89F9CB4EA9}"/>
    <cellStyle name="Normal 2 4 5 2 2 2 2 2 3" xfId="11475" xr:uid="{5EA77DE1-DBB7-45C4-8C6D-58F37BD9AF8C}"/>
    <cellStyle name="Normal 2 4 5 2 2 2 2 3" xfId="5113" xr:uid="{00000000-0005-0000-0000-00003C100000}"/>
    <cellStyle name="Normal 2 4 5 2 2 2 2 3 2" xfId="13548" xr:uid="{31461C39-BAE7-4613-BBA8-5BB7A4D4640A}"/>
    <cellStyle name="Normal 2 4 5 2 2 2 2 4" xfId="9330" xr:uid="{1AB77D92-2D10-4300-8CF8-0957C2921B0F}"/>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2 2 2" xfId="16106" xr:uid="{EBBC7008-6511-4927-A794-61FA7F21F851}"/>
    <cellStyle name="Normal 2 4 5 2 2 2 3 2 3" xfId="11888" xr:uid="{AAC03BF3-37B5-4CEB-9455-876D1C75B91C}"/>
    <cellStyle name="Normal 2 4 5 2 2 2 3 3" xfId="5526" xr:uid="{00000000-0005-0000-0000-000040100000}"/>
    <cellStyle name="Normal 2 4 5 2 2 2 3 3 2" xfId="13961" xr:uid="{8400D251-14A8-4E5B-A5B4-437C0A0476F1}"/>
    <cellStyle name="Normal 2 4 5 2 2 2 3 4" xfId="9743" xr:uid="{653A9643-2236-49A1-804B-DB29B16174E6}"/>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2 2 2" xfId="16519" xr:uid="{41015091-464D-4F88-BA5C-126B43721494}"/>
    <cellStyle name="Normal 2 4 5 2 2 2 4 2 3" xfId="12301" xr:uid="{5AD68002-3CB9-462B-B623-B61165A1EC12}"/>
    <cellStyle name="Normal 2 4 5 2 2 2 4 3" xfId="5939" xr:uid="{00000000-0005-0000-0000-000044100000}"/>
    <cellStyle name="Normal 2 4 5 2 2 2 4 3 2" xfId="14374" xr:uid="{C379456F-4801-4CA1-9A3C-FC578911090E}"/>
    <cellStyle name="Normal 2 4 5 2 2 2 4 4" xfId="10156" xr:uid="{5194D64A-13EA-41AE-BBFC-A584EB4AFE41}"/>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2 2 2" xfId="16932" xr:uid="{473AD059-8B41-4A76-9547-9D4B8BB44E24}"/>
    <cellStyle name="Normal 2 4 5 2 2 2 5 2 3" xfId="12714" xr:uid="{CF728D3F-2341-4E1F-AB66-1D1044FF3B98}"/>
    <cellStyle name="Normal 2 4 5 2 2 2 5 3" xfId="6352" xr:uid="{00000000-0005-0000-0000-000048100000}"/>
    <cellStyle name="Normal 2 4 5 2 2 2 5 3 2" xfId="14787" xr:uid="{79B8CDF3-7AE4-494C-8F74-18F33182B8A0}"/>
    <cellStyle name="Normal 2 4 5 2 2 2 5 4" xfId="10569" xr:uid="{E397AE29-69E9-4EC3-9308-8E6C6706743D}"/>
    <cellStyle name="Normal 2 4 5 2 2 2 6" xfId="2481" xr:uid="{00000000-0005-0000-0000-000049100000}"/>
    <cellStyle name="Normal 2 4 5 2 2 2 6 2" xfId="6765" xr:uid="{00000000-0005-0000-0000-00004A100000}"/>
    <cellStyle name="Normal 2 4 5 2 2 2 6 2 2" xfId="15200" xr:uid="{0173FAB5-DCFB-427F-9EC6-3F777D2BAB7C}"/>
    <cellStyle name="Normal 2 4 5 2 2 2 6 3" xfId="10982" xr:uid="{47205702-1EC1-4400-BEF3-8D0E5F5C2EE7}"/>
    <cellStyle name="Normal 2 4 5 2 2 2 7" xfId="4699" xr:uid="{00000000-0005-0000-0000-00004B100000}"/>
    <cellStyle name="Normal 2 4 5 2 2 2 7 2" xfId="13134" xr:uid="{5D1E1E34-7F50-4568-9E25-83C9E495F984}"/>
    <cellStyle name="Normal 2 4 5 2 2 2 8" xfId="8916" xr:uid="{C4DE0103-BA91-4D3D-B8A7-E34B72DF9248}"/>
    <cellStyle name="Normal 2 4 5 2 2 3" xfId="795" xr:uid="{00000000-0005-0000-0000-00004C100000}"/>
    <cellStyle name="Normal 2 4 5 2 2 3 2" xfId="3034" xr:uid="{00000000-0005-0000-0000-00004D100000}"/>
    <cellStyle name="Normal 2 4 5 2 2 3 2 2" xfId="7257" xr:uid="{00000000-0005-0000-0000-00004E100000}"/>
    <cellStyle name="Normal 2 4 5 2 2 3 2 2 2" xfId="15692" xr:uid="{F6D88CD3-7BE4-4E3E-AA01-FC7104F2D67A}"/>
    <cellStyle name="Normal 2 4 5 2 2 3 2 3" xfId="11474" xr:uid="{D44C39C3-5E4B-44FA-892D-445BF8146E9D}"/>
    <cellStyle name="Normal 2 4 5 2 2 3 3" xfId="5112" xr:uid="{00000000-0005-0000-0000-00004F100000}"/>
    <cellStyle name="Normal 2 4 5 2 2 3 3 2" xfId="13547" xr:uid="{CDD5AEC0-F713-45BF-8FE9-36267A047AC0}"/>
    <cellStyle name="Normal 2 4 5 2 2 3 4" xfId="9329" xr:uid="{8E3359F6-7957-4D6B-BEF4-61894AB31D6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2 2 2" xfId="16105" xr:uid="{78B39B3B-6493-4A6E-97DB-70162CBEE433}"/>
    <cellStyle name="Normal 2 4 5 2 2 4 2 3" xfId="11887" xr:uid="{DC23D939-1572-4279-8E67-B8F733072612}"/>
    <cellStyle name="Normal 2 4 5 2 2 4 3" xfId="5525" xr:uid="{00000000-0005-0000-0000-000053100000}"/>
    <cellStyle name="Normal 2 4 5 2 2 4 3 2" xfId="13960" xr:uid="{EAC01F06-33D8-4B46-BC2F-FAC11D1FDE05}"/>
    <cellStyle name="Normal 2 4 5 2 2 4 4" xfId="9742" xr:uid="{420429C3-650F-48AF-99B6-11574E32AFFD}"/>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2 2 2" xfId="16518" xr:uid="{B58823B9-6120-4952-84FF-0C2E6F3938F9}"/>
    <cellStyle name="Normal 2 4 5 2 2 5 2 3" xfId="12300" xr:uid="{9D98D697-EC7C-4E88-951C-924FF3D9FD1A}"/>
    <cellStyle name="Normal 2 4 5 2 2 5 3" xfId="5938" xr:uid="{00000000-0005-0000-0000-000057100000}"/>
    <cellStyle name="Normal 2 4 5 2 2 5 3 2" xfId="14373" xr:uid="{50A1963B-56CF-4FB4-8DD0-CEE231E16E08}"/>
    <cellStyle name="Normal 2 4 5 2 2 5 4" xfId="10155" xr:uid="{D8FEEB5E-7FE0-4B50-81A1-B26470F85A59}"/>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2 2 2" xfId="16931" xr:uid="{D502D0CD-53B0-47D1-A636-E24B3C3A61EA}"/>
    <cellStyle name="Normal 2 4 5 2 2 6 2 3" xfId="12713" xr:uid="{443D3EB9-AAEF-4A98-80A4-A58F17E4529D}"/>
    <cellStyle name="Normal 2 4 5 2 2 6 3" xfId="6351" xr:uid="{00000000-0005-0000-0000-00005B100000}"/>
    <cellStyle name="Normal 2 4 5 2 2 6 3 2" xfId="14786" xr:uid="{45904DA7-EC9F-4260-878C-732AAA13AEB5}"/>
    <cellStyle name="Normal 2 4 5 2 2 6 4" xfId="10568" xr:uid="{5493AFE4-5B91-418B-A302-5AEBB8145BBB}"/>
    <cellStyle name="Normal 2 4 5 2 2 7" xfId="2480" xr:uid="{00000000-0005-0000-0000-00005C100000}"/>
    <cellStyle name="Normal 2 4 5 2 2 7 2" xfId="6764" xr:uid="{00000000-0005-0000-0000-00005D100000}"/>
    <cellStyle name="Normal 2 4 5 2 2 7 2 2" xfId="15199" xr:uid="{81A83511-1350-49D6-9FF9-EB150723BE01}"/>
    <cellStyle name="Normal 2 4 5 2 2 7 3" xfId="10981" xr:uid="{01882350-F34D-4A60-AE0C-262A188697A5}"/>
    <cellStyle name="Normal 2 4 5 2 2 8" xfId="4698" xr:uid="{00000000-0005-0000-0000-00005E100000}"/>
    <cellStyle name="Normal 2 4 5 2 2 8 2" xfId="13133" xr:uid="{ACC53BA7-74E5-46C9-92BC-4E6D9C141FA8}"/>
    <cellStyle name="Normal 2 4 5 2 2 9" xfId="8915" xr:uid="{CA68AF11-D51B-42B4-A056-0B6FD2F2EDE5}"/>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2 2 2" xfId="15694" xr:uid="{25C7A941-A0A3-47A7-8774-362D834772F2}"/>
    <cellStyle name="Normal 2 4 5 2 3 2 2 3" xfId="11476" xr:uid="{2DF13AB1-C4FF-43D2-A295-B32CB3CFE392}"/>
    <cellStyle name="Normal 2 4 5 2 3 2 3" xfId="5114" xr:uid="{00000000-0005-0000-0000-000063100000}"/>
    <cellStyle name="Normal 2 4 5 2 3 2 3 2" xfId="13549" xr:uid="{88D41E5D-7DAA-4248-94C9-EAFAE9BD138D}"/>
    <cellStyle name="Normal 2 4 5 2 3 2 4" xfId="9331" xr:uid="{66D4B654-FB28-476F-9884-2229B4B05E3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2 2 2" xfId="16107" xr:uid="{ABFCE618-86C3-40B4-858F-7F3AAD512AA0}"/>
    <cellStyle name="Normal 2 4 5 2 3 3 2 3" xfId="11889" xr:uid="{79BC8A44-9B88-4EFD-8D37-775341FB4088}"/>
    <cellStyle name="Normal 2 4 5 2 3 3 3" xfId="5527" xr:uid="{00000000-0005-0000-0000-000067100000}"/>
    <cellStyle name="Normal 2 4 5 2 3 3 3 2" xfId="13962" xr:uid="{7D2AE2BE-D486-44E3-89F6-112F16D321BC}"/>
    <cellStyle name="Normal 2 4 5 2 3 3 4" xfId="9744" xr:uid="{45E2A6D4-FB5F-4AA5-8781-B2F3E0BA931C}"/>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2 2 2" xfId="16520" xr:uid="{12D99D3F-F08E-4560-9EF5-7D24670D1183}"/>
    <cellStyle name="Normal 2 4 5 2 3 4 2 3" xfId="12302" xr:uid="{CFDC2AF3-73B1-42B5-903D-A2A875DF69A5}"/>
    <cellStyle name="Normal 2 4 5 2 3 4 3" xfId="5940" xr:uid="{00000000-0005-0000-0000-00006B100000}"/>
    <cellStyle name="Normal 2 4 5 2 3 4 3 2" xfId="14375" xr:uid="{89E93949-8F89-4FC8-B346-0908C4C7A595}"/>
    <cellStyle name="Normal 2 4 5 2 3 4 4" xfId="10157" xr:uid="{57944CA6-D314-47C0-94CA-9943A96AA29C}"/>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2 2 2" xfId="16933" xr:uid="{069D4900-0DB5-4304-A0B9-C023497F1706}"/>
    <cellStyle name="Normal 2 4 5 2 3 5 2 3" xfId="12715" xr:uid="{284B2601-CDC6-4F6D-8AE1-9A541D5D84B3}"/>
    <cellStyle name="Normal 2 4 5 2 3 5 3" xfId="6353" xr:uid="{00000000-0005-0000-0000-00006F100000}"/>
    <cellStyle name="Normal 2 4 5 2 3 5 3 2" xfId="14788" xr:uid="{A4B6ECDE-3D60-495C-962C-8B1CC8F01B03}"/>
    <cellStyle name="Normal 2 4 5 2 3 5 4" xfId="10570" xr:uid="{1ED7EC16-1BDD-471E-9A08-F923E5F7DE84}"/>
    <cellStyle name="Normal 2 4 5 2 3 6" xfId="2482" xr:uid="{00000000-0005-0000-0000-000070100000}"/>
    <cellStyle name="Normal 2 4 5 2 3 6 2" xfId="6766" xr:uid="{00000000-0005-0000-0000-000071100000}"/>
    <cellStyle name="Normal 2 4 5 2 3 6 2 2" xfId="15201" xr:uid="{CBA078CC-8B28-4220-A917-560F83647DBB}"/>
    <cellStyle name="Normal 2 4 5 2 3 6 3" xfId="10983" xr:uid="{7303BA3E-619C-4BC9-8401-6244E3190058}"/>
    <cellStyle name="Normal 2 4 5 2 3 7" xfId="4700" xr:uid="{00000000-0005-0000-0000-000072100000}"/>
    <cellStyle name="Normal 2 4 5 2 3 7 2" xfId="13135" xr:uid="{384FC438-2555-49B8-9E36-B069E998FA0F}"/>
    <cellStyle name="Normal 2 4 5 2 3 8" xfId="8917" xr:uid="{D9E79569-85E9-4FED-A9AC-7B3D23FC0689}"/>
    <cellStyle name="Normal 2 4 5 2 4" xfId="794" xr:uid="{00000000-0005-0000-0000-000073100000}"/>
    <cellStyle name="Normal 2 4 5 2 4 2" xfId="3033" xr:uid="{00000000-0005-0000-0000-000074100000}"/>
    <cellStyle name="Normal 2 4 5 2 4 2 2" xfId="7256" xr:uid="{00000000-0005-0000-0000-000075100000}"/>
    <cellStyle name="Normal 2 4 5 2 4 2 2 2" xfId="15691" xr:uid="{DF46F618-7E25-416B-B2DE-3F6EE0493218}"/>
    <cellStyle name="Normal 2 4 5 2 4 2 3" xfId="11473" xr:uid="{501CB4A5-AD79-484F-95DD-7782A396110C}"/>
    <cellStyle name="Normal 2 4 5 2 4 3" xfId="5111" xr:uid="{00000000-0005-0000-0000-000076100000}"/>
    <cellStyle name="Normal 2 4 5 2 4 3 2" xfId="13546" xr:uid="{A7BACA39-D570-40C5-8693-4AC45982CEDA}"/>
    <cellStyle name="Normal 2 4 5 2 4 4" xfId="9328" xr:uid="{E20304C3-64E2-4BB8-8871-135077838622}"/>
    <cellStyle name="Normal 2 4 5 2 5" xfId="1216" xr:uid="{00000000-0005-0000-0000-000077100000}"/>
    <cellStyle name="Normal 2 4 5 2 5 2" xfId="3446" xr:uid="{00000000-0005-0000-0000-000078100000}"/>
    <cellStyle name="Normal 2 4 5 2 5 2 2" xfId="7669" xr:uid="{00000000-0005-0000-0000-000079100000}"/>
    <cellStyle name="Normal 2 4 5 2 5 2 2 2" xfId="16104" xr:uid="{7A4DED1D-5BF9-4C63-B1AC-39B4FBE6271B}"/>
    <cellStyle name="Normal 2 4 5 2 5 2 3" xfId="11886" xr:uid="{A62C0F8C-BE6A-418B-8B8D-2F302AEC544B}"/>
    <cellStyle name="Normal 2 4 5 2 5 3" xfId="5524" xr:uid="{00000000-0005-0000-0000-00007A100000}"/>
    <cellStyle name="Normal 2 4 5 2 5 3 2" xfId="13959" xr:uid="{BC73DBA5-6734-4DC3-B554-FA5180A12244}"/>
    <cellStyle name="Normal 2 4 5 2 5 4" xfId="9741" xr:uid="{144C396C-C370-4443-80EC-AEB5D2E0C0AC}"/>
    <cellStyle name="Normal 2 4 5 2 6" xfId="1629" xr:uid="{00000000-0005-0000-0000-00007B100000}"/>
    <cellStyle name="Normal 2 4 5 2 6 2" xfId="3859" xr:uid="{00000000-0005-0000-0000-00007C100000}"/>
    <cellStyle name="Normal 2 4 5 2 6 2 2" xfId="8082" xr:uid="{00000000-0005-0000-0000-00007D100000}"/>
    <cellStyle name="Normal 2 4 5 2 6 2 2 2" xfId="16517" xr:uid="{36C91262-3E5C-4D00-8D93-25888F8C242D}"/>
    <cellStyle name="Normal 2 4 5 2 6 2 3" xfId="12299" xr:uid="{7CED5BDF-52AA-4702-A78C-EB971ABBFCE9}"/>
    <cellStyle name="Normal 2 4 5 2 6 3" xfId="5937" xr:uid="{00000000-0005-0000-0000-00007E100000}"/>
    <cellStyle name="Normal 2 4 5 2 6 3 2" xfId="14372" xr:uid="{C4C32C61-CF52-48DE-8473-F376B8EF624F}"/>
    <cellStyle name="Normal 2 4 5 2 6 4" xfId="10154" xr:uid="{AF905619-645F-4367-ACDD-F67A7B9C5636}"/>
    <cellStyle name="Normal 2 4 5 2 7" xfId="2043" xr:uid="{00000000-0005-0000-0000-00007F100000}"/>
    <cellStyle name="Normal 2 4 5 2 7 2" xfId="4272" xr:uid="{00000000-0005-0000-0000-000080100000}"/>
    <cellStyle name="Normal 2 4 5 2 7 2 2" xfId="8495" xr:uid="{00000000-0005-0000-0000-000081100000}"/>
    <cellStyle name="Normal 2 4 5 2 7 2 2 2" xfId="16930" xr:uid="{7C01E317-B557-4EB6-BE29-BE6581D8A01E}"/>
    <cellStyle name="Normal 2 4 5 2 7 2 3" xfId="12712" xr:uid="{482B44C4-E60D-4312-8220-A29218592D50}"/>
    <cellStyle name="Normal 2 4 5 2 7 3" xfId="6350" xr:uid="{00000000-0005-0000-0000-000082100000}"/>
    <cellStyle name="Normal 2 4 5 2 7 3 2" xfId="14785" xr:uid="{94A1FDF0-D6D6-4F79-BE1B-2C3A2D394290}"/>
    <cellStyle name="Normal 2 4 5 2 7 4" xfId="10567" xr:uid="{5BE63F66-05B8-475C-B50B-53CBFE549720}"/>
    <cellStyle name="Normal 2 4 5 2 8" xfId="2479" xr:uid="{00000000-0005-0000-0000-000083100000}"/>
    <cellStyle name="Normal 2 4 5 2 8 2" xfId="6763" xr:uid="{00000000-0005-0000-0000-000084100000}"/>
    <cellStyle name="Normal 2 4 5 2 8 2 2" xfId="15198" xr:uid="{80CBC073-6186-470D-BA43-BB1907AFFF15}"/>
    <cellStyle name="Normal 2 4 5 2 8 3" xfId="10980" xr:uid="{6E355574-EAC9-42A7-9958-F8391D40EB38}"/>
    <cellStyle name="Normal 2 4 5 2 9" xfId="4697" xr:uid="{00000000-0005-0000-0000-000085100000}"/>
    <cellStyle name="Normal 2 4 5 2 9 2" xfId="13132" xr:uid="{0FF675AF-67DC-4991-9BDD-E97F16FDF6AC}"/>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2 2 2" xfId="15696" xr:uid="{D6965F61-EC6F-4110-BC79-68ED15F0CC90}"/>
    <cellStyle name="Normal 2 4 5 3 2 2 2 3" xfId="11478" xr:uid="{6CA5A6D4-DB68-4EFF-A1BB-63DC4C2D367E}"/>
    <cellStyle name="Normal 2 4 5 3 2 2 3" xfId="5116" xr:uid="{00000000-0005-0000-0000-00008B100000}"/>
    <cellStyle name="Normal 2 4 5 3 2 2 3 2" xfId="13551" xr:uid="{64892D53-6D64-486F-95A6-A81551DEB359}"/>
    <cellStyle name="Normal 2 4 5 3 2 2 4" xfId="9333" xr:uid="{076662CE-6369-4F6C-A78F-9818AAEC231B}"/>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2 2 2" xfId="16109" xr:uid="{38CEF490-1FE8-4FBD-A70F-21153212E203}"/>
    <cellStyle name="Normal 2 4 5 3 2 3 2 3" xfId="11891" xr:uid="{847BB5B2-B0F3-40F5-9A1C-36DDC883DBC1}"/>
    <cellStyle name="Normal 2 4 5 3 2 3 3" xfId="5529" xr:uid="{00000000-0005-0000-0000-00008F100000}"/>
    <cellStyle name="Normal 2 4 5 3 2 3 3 2" xfId="13964" xr:uid="{A19E7F32-A968-4C3A-93C5-607E7D6CFF1E}"/>
    <cellStyle name="Normal 2 4 5 3 2 3 4" xfId="9746" xr:uid="{8D01C8D4-5512-49ED-AD8A-0DBB4FAE91F6}"/>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2 2 2" xfId="16522" xr:uid="{0626AAD0-0662-4FD9-A7B2-B7081EA5F2E8}"/>
    <cellStyle name="Normal 2 4 5 3 2 4 2 3" xfId="12304" xr:uid="{06C6CAB0-944E-425A-A0C2-D147A0C9E41A}"/>
    <cellStyle name="Normal 2 4 5 3 2 4 3" xfId="5942" xr:uid="{00000000-0005-0000-0000-000093100000}"/>
    <cellStyle name="Normal 2 4 5 3 2 4 3 2" xfId="14377" xr:uid="{DBAD7462-0C50-450A-8B18-32D9251AB220}"/>
    <cellStyle name="Normal 2 4 5 3 2 4 4" xfId="10159" xr:uid="{5B631A9C-CADA-45D9-8D10-B30A7D741A3F}"/>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2 2 2" xfId="16935" xr:uid="{7C66F242-E4B1-44C9-AFFE-8EFB9D5DEDDA}"/>
    <cellStyle name="Normal 2 4 5 3 2 5 2 3" xfId="12717" xr:uid="{2ED2C00A-8310-4922-A99F-B06E82ACD08A}"/>
    <cellStyle name="Normal 2 4 5 3 2 5 3" xfId="6355" xr:uid="{00000000-0005-0000-0000-000097100000}"/>
    <cellStyle name="Normal 2 4 5 3 2 5 3 2" xfId="14790" xr:uid="{AB5E918F-2740-4103-B304-B71E2C7581FD}"/>
    <cellStyle name="Normal 2 4 5 3 2 5 4" xfId="10572" xr:uid="{6284610E-5C3F-4CE7-8D20-2521A8979EA3}"/>
    <cellStyle name="Normal 2 4 5 3 2 6" xfId="2484" xr:uid="{00000000-0005-0000-0000-000098100000}"/>
    <cellStyle name="Normal 2 4 5 3 2 6 2" xfId="6768" xr:uid="{00000000-0005-0000-0000-000099100000}"/>
    <cellStyle name="Normal 2 4 5 3 2 6 2 2" xfId="15203" xr:uid="{35CF288F-C7B6-4397-86D4-7E8FE43AD2CB}"/>
    <cellStyle name="Normal 2 4 5 3 2 6 3" xfId="10985" xr:uid="{AABD756E-8EA1-4C4E-BB74-76514AE4EC1D}"/>
    <cellStyle name="Normal 2 4 5 3 2 7" xfId="4702" xr:uid="{00000000-0005-0000-0000-00009A100000}"/>
    <cellStyle name="Normal 2 4 5 3 2 7 2" xfId="13137" xr:uid="{FD2EA92F-B4A6-413D-BFDA-6C56B69C01B1}"/>
    <cellStyle name="Normal 2 4 5 3 2 8" xfId="8919" xr:uid="{1D1593D4-49C2-4EE0-85E0-0F99841BC031}"/>
    <cellStyle name="Normal 2 4 5 3 3" xfId="798" xr:uid="{00000000-0005-0000-0000-00009B100000}"/>
    <cellStyle name="Normal 2 4 5 3 3 2" xfId="3037" xr:uid="{00000000-0005-0000-0000-00009C100000}"/>
    <cellStyle name="Normal 2 4 5 3 3 2 2" xfId="7260" xr:uid="{00000000-0005-0000-0000-00009D100000}"/>
    <cellStyle name="Normal 2 4 5 3 3 2 2 2" xfId="15695" xr:uid="{51E7B1BA-71E9-45B2-BC24-C795AE04CE19}"/>
    <cellStyle name="Normal 2 4 5 3 3 2 3" xfId="11477" xr:uid="{6EA4F2E1-4CA2-4285-B54D-AA89B3E751B9}"/>
    <cellStyle name="Normal 2 4 5 3 3 3" xfId="5115" xr:uid="{00000000-0005-0000-0000-00009E100000}"/>
    <cellStyle name="Normal 2 4 5 3 3 3 2" xfId="13550" xr:uid="{AAD5A19F-0605-4417-8616-E0C76EC58E6F}"/>
    <cellStyle name="Normal 2 4 5 3 3 4" xfId="9332" xr:uid="{7AE43FD2-8F7F-47CE-841F-6DEE721EAF20}"/>
    <cellStyle name="Normal 2 4 5 3 4" xfId="1220" xr:uid="{00000000-0005-0000-0000-00009F100000}"/>
    <cellStyle name="Normal 2 4 5 3 4 2" xfId="3450" xr:uid="{00000000-0005-0000-0000-0000A0100000}"/>
    <cellStyle name="Normal 2 4 5 3 4 2 2" xfId="7673" xr:uid="{00000000-0005-0000-0000-0000A1100000}"/>
    <cellStyle name="Normal 2 4 5 3 4 2 2 2" xfId="16108" xr:uid="{6FE25751-364B-4B82-BF8C-CD54A27C7302}"/>
    <cellStyle name="Normal 2 4 5 3 4 2 3" xfId="11890" xr:uid="{66ABC7CD-4A42-49CC-95BA-1FF80504504F}"/>
    <cellStyle name="Normal 2 4 5 3 4 3" xfId="5528" xr:uid="{00000000-0005-0000-0000-0000A2100000}"/>
    <cellStyle name="Normal 2 4 5 3 4 3 2" xfId="13963" xr:uid="{EFD1A698-693B-4953-AF00-4365DE77C975}"/>
    <cellStyle name="Normal 2 4 5 3 4 4" xfId="9745" xr:uid="{88B01A64-698E-4A74-BAB0-17A4AC302BC2}"/>
    <cellStyle name="Normal 2 4 5 3 5" xfId="1633" xr:uid="{00000000-0005-0000-0000-0000A3100000}"/>
    <cellStyle name="Normal 2 4 5 3 5 2" xfId="3863" xr:uid="{00000000-0005-0000-0000-0000A4100000}"/>
    <cellStyle name="Normal 2 4 5 3 5 2 2" xfId="8086" xr:uid="{00000000-0005-0000-0000-0000A5100000}"/>
    <cellStyle name="Normal 2 4 5 3 5 2 2 2" xfId="16521" xr:uid="{C53CB62F-D637-4351-A8AF-102A9D24A4CE}"/>
    <cellStyle name="Normal 2 4 5 3 5 2 3" xfId="12303" xr:uid="{E72F256D-711F-4DD5-99E3-155764E04563}"/>
    <cellStyle name="Normal 2 4 5 3 5 3" xfId="5941" xr:uid="{00000000-0005-0000-0000-0000A6100000}"/>
    <cellStyle name="Normal 2 4 5 3 5 3 2" xfId="14376" xr:uid="{0A4DF68C-1BCB-4E42-A8BE-84CE7BFF34CD}"/>
    <cellStyle name="Normal 2 4 5 3 5 4" xfId="10158" xr:uid="{9D0526C4-1CE9-44B3-8A93-DCD8E7A61481}"/>
    <cellStyle name="Normal 2 4 5 3 6" xfId="2047" xr:uid="{00000000-0005-0000-0000-0000A7100000}"/>
    <cellStyle name="Normal 2 4 5 3 6 2" xfId="4276" xr:uid="{00000000-0005-0000-0000-0000A8100000}"/>
    <cellStyle name="Normal 2 4 5 3 6 2 2" xfId="8499" xr:uid="{00000000-0005-0000-0000-0000A9100000}"/>
    <cellStyle name="Normal 2 4 5 3 6 2 2 2" xfId="16934" xr:uid="{8C9BE778-B7F8-4130-9101-12EFE69BB633}"/>
    <cellStyle name="Normal 2 4 5 3 6 2 3" xfId="12716" xr:uid="{9531231A-E3AE-49DA-AFAC-0DCD07CE8CA0}"/>
    <cellStyle name="Normal 2 4 5 3 6 3" xfId="6354" xr:uid="{00000000-0005-0000-0000-0000AA100000}"/>
    <cellStyle name="Normal 2 4 5 3 6 3 2" xfId="14789" xr:uid="{D79A747A-D121-4461-B6A1-0D38A05FBB09}"/>
    <cellStyle name="Normal 2 4 5 3 6 4" xfId="10571" xr:uid="{6E204DA1-0380-48F7-A744-8EEA8F633BE3}"/>
    <cellStyle name="Normal 2 4 5 3 7" xfId="2483" xr:uid="{00000000-0005-0000-0000-0000AB100000}"/>
    <cellStyle name="Normal 2 4 5 3 7 2" xfId="6767" xr:uid="{00000000-0005-0000-0000-0000AC100000}"/>
    <cellStyle name="Normal 2 4 5 3 7 2 2" xfId="15202" xr:uid="{8EE2B787-E0C8-446A-9326-874F85B2EF7C}"/>
    <cellStyle name="Normal 2 4 5 3 7 3" xfId="10984" xr:uid="{C05F6717-A9FF-487E-81B9-9296C576BD59}"/>
    <cellStyle name="Normal 2 4 5 3 8" xfId="4701" xr:uid="{00000000-0005-0000-0000-0000AD100000}"/>
    <cellStyle name="Normal 2 4 5 3 8 2" xfId="13136" xr:uid="{CD021D65-CFB4-4B7D-AD4D-4DBEEBE32144}"/>
    <cellStyle name="Normal 2 4 5 3 9" xfId="8918" xr:uid="{AFD26050-18EF-4B0A-BC05-0171A9DAB6FD}"/>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2 2 2" xfId="15697" xr:uid="{650018F3-FDB9-4DEB-8AC3-2149D89D7DA3}"/>
    <cellStyle name="Normal 2 4 5 4 2 2 3" xfId="11479" xr:uid="{EF98963E-313A-4855-9786-981620158F73}"/>
    <cellStyle name="Normal 2 4 5 4 2 3" xfId="5117" xr:uid="{00000000-0005-0000-0000-0000B2100000}"/>
    <cellStyle name="Normal 2 4 5 4 2 3 2" xfId="13552" xr:uid="{7E79692D-E5D9-4708-80BE-31E1EE783574}"/>
    <cellStyle name="Normal 2 4 5 4 2 4" xfId="9334" xr:uid="{0B4B366E-287D-4A66-80B4-5F7AEE367FE0}"/>
    <cellStyle name="Normal 2 4 5 4 3" xfId="1222" xr:uid="{00000000-0005-0000-0000-0000B3100000}"/>
    <cellStyle name="Normal 2 4 5 4 3 2" xfId="3452" xr:uid="{00000000-0005-0000-0000-0000B4100000}"/>
    <cellStyle name="Normal 2 4 5 4 3 2 2" xfId="7675" xr:uid="{00000000-0005-0000-0000-0000B5100000}"/>
    <cellStyle name="Normal 2 4 5 4 3 2 2 2" xfId="16110" xr:uid="{6E49D8D0-809A-4F94-81DA-00F095EA697B}"/>
    <cellStyle name="Normal 2 4 5 4 3 2 3" xfId="11892" xr:uid="{FE5EC04A-8F42-4F1D-A54E-8857BF353E83}"/>
    <cellStyle name="Normal 2 4 5 4 3 3" xfId="5530" xr:uid="{00000000-0005-0000-0000-0000B6100000}"/>
    <cellStyle name="Normal 2 4 5 4 3 3 2" xfId="13965" xr:uid="{F6674968-2991-4655-BABA-A702BEE6BE91}"/>
    <cellStyle name="Normal 2 4 5 4 3 4" xfId="9747" xr:uid="{E600C867-3FB9-4238-ABB0-C0E60FD29DED}"/>
    <cellStyle name="Normal 2 4 5 4 4" xfId="1635" xr:uid="{00000000-0005-0000-0000-0000B7100000}"/>
    <cellStyle name="Normal 2 4 5 4 4 2" xfId="3865" xr:uid="{00000000-0005-0000-0000-0000B8100000}"/>
    <cellStyle name="Normal 2 4 5 4 4 2 2" xfId="8088" xr:uid="{00000000-0005-0000-0000-0000B9100000}"/>
    <cellStyle name="Normal 2 4 5 4 4 2 2 2" xfId="16523" xr:uid="{7C0C2D5A-9F28-49EA-88DD-9F21DE7EFB8E}"/>
    <cellStyle name="Normal 2 4 5 4 4 2 3" xfId="12305" xr:uid="{46F16A89-F076-4CEA-A4E7-10D9A5F6C847}"/>
    <cellStyle name="Normal 2 4 5 4 4 3" xfId="5943" xr:uid="{00000000-0005-0000-0000-0000BA100000}"/>
    <cellStyle name="Normal 2 4 5 4 4 3 2" xfId="14378" xr:uid="{75A88943-78CE-431A-92BD-58A5125ECBE8}"/>
    <cellStyle name="Normal 2 4 5 4 4 4" xfId="10160" xr:uid="{4271D639-3B85-4DFF-BAA1-FC9B8FDBCCE3}"/>
    <cellStyle name="Normal 2 4 5 4 5" xfId="2049" xr:uid="{00000000-0005-0000-0000-0000BB100000}"/>
    <cellStyle name="Normal 2 4 5 4 5 2" xfId="4278" xr:uid="{00000000-0005-0000-0000-0000BC100000}"/>
    <cellStyle name="Normal 2 4 5 4 5 2 2" xfId="8501" xr:uid="{00000000-0005-0000-0000-0000BD100000}"/>
    <cellStyle name="Normal 2 4 5 4 5 2 2 2" xfId="16936" xr:uid="{B7385C63-E0D3-4CE6-ABC5-EF48A0385DB5}"/>
    <cellStyle name="Normal 2 4 5 4 5 2 3" xfId="12718" xr:uid="{06B33E44-D7F6-42CD-94B1-51EAB3AD7A8C}"/>
    <cellStyle name="Normal 2 4 5 4 5 3" xfId="6356" xr:uid="{00000000-0005-0000-0000-0000BE100000}"/>
    <cellStyle name="Normal 2 4 5 4 5 3 2" xfId="14791" xr:uid="{4414B2AF-A351-4830-A42D-93907490EBDF}"/>
    <cellStyle name="Normal 2 4 5 4 5 4" xfId="10573" xr:uid="{2D6D6229-AECD-4DE5-830B-79B128C4365F}"/>
    <cellStyle name="Normal 2 4 5 4 6" xfId="2485" xr:uid="{00000000-0005-0000-0000-0000BF100000}"/>
    <cellStyle name="Normal 2 4 5 4 6 2" xfId="6769" xr:uid="{00000000-0005-0000-0000-0000C0100000}"/>
    <cellStyle name="Normal 2 4 5 4 6 2 2" xfId="15204" xr:uid="{C5DB9ACA-03AF-4BCC-8C0F-6D3B26B2B629}"/>
    <cellStyle name="Normal 2 4 5 4 6 3" xfId="10986" xr:uid="{30AD6BDE-8D9C-4955-A844-BDD4F51FD36E}"/>
    <cellStyle name="Normal 2 4 5 4 7" xfId="4703" xr:uid="{00000000-0005-0000-0000-0000C1100000}"/>
    <cellStyle name="Normal 2 4 5 4 7 2" xfId="13138" xr:uid="{6130F5F1-3844-457F-ABC9-F76E097CFDCC}"/>
    <cellStyle name="Normal 2 4 5 4 8" xfId="8920" xr:uid="{9802D7BF-944E-42BA-8ADB-40230278E30B}"/>
    <cellStyle name="Normal 2 4 5 5" xfId="793" xr:uid="{00000000-0005-0000-0000-0000C2100000}"/>
    <cellStyle name="Normal 2 4 5 5 2" xfId="3032" xr:uid="{00000000-0005-0000-0000-0000C3100000}"/>
    <cellStyle name="Normal 2 4 5 5 2 2" xfId="7255" xr:uid="{00000000-0005-0000-0000-0000C4100000}"/>
    <cellStyle name="Normal 2 4 5 5 2 2 2" xfId="15690" xr:uid="{2DC084A3-9589-4850-BD38-937929E61BB4}"/>
    <cellStyle name="Normal 2 4 5 5 2 3" xfId="11472" xr:uid="{5BE2087E-90A3-42CB-9D43-2CE44BC78F06}"/>
    <cellStyle name="Normal 2 4 5 5 3" xfId="5110" xr:uid="{00000000-0005-0000-0000-0000C5100000}"/>
    <cellStyle name="Normal 2 4 5 5 3 2" xfId="13545" xr:uid="{D17002EF-EF00-4140-9BB8-3BECE5BCB0D8}"/>
    <cellStyle name="Normal 2 4 5 5 4" xfId="9327" xr:uid="{2F75A157-57D8-470C-A56F-7F81697D0D74}"/>
    <cellStyle name="Normal 2 4 5 6" xfId="1215" xr:uid="{00000000-0005-0000-0000-0000C6100000}"/>
    <cellStyle name="Normal 2 4 5 6 2" xfId="3445" xr:uid="{00000000-0005-0000-0000-0000C7100000}"/>
    <cellStyle name="Normal 2 4 5 6 2 2" xfId="7668" xr:uid="{00000000-0005-0000-0000-0000C8100000}"/>
    <cellStyle name="Normal 2 4 5 6 2 2 2" xfId="16103" xr:uid="{E5ACB8C9-BDD9-4248-970F-B539096FC5D4}"/>
    <cellStyle name="Normal 2 4 5 6 2 3" xfId="11885" xr:uid="{2A3EA186-65DC-4B71-BDB4-CF90673ADEEB}"/>
    <cellStyle name="Normal 2 4 5 6 3" xfId="5523" xr:uid="{00000000-0005-0000-0000-0000C9100000}"/>
    <cellStyle name="Normal 2 4 5 6 3 2" xfId="13958" xr:uid="{E2C8E9B5-96BD-474D-8D23-A4D0D36B4237}"/>
    <cellStyle name="Normal 2 4 5 6 4" xfId="9740" xr:uid="{6376D1D0-BE1C-45D7-B0C7-A2E217D58AA6}"/>
    <cellStyle name="Normal 2 4 5 7" xfId="1628" xr:uid="{00000000-0005-0000-0000-0000CA100000}"/>
    <cellStyle name="Normal 2 4 5 7 2" xfId="3858" xr:uid="{00000000-0005-0000-0000-0000CB100000}"/>
    <cellStyle name="Normal 2 4 5 7 2 2" xfId="8081" xr:uid="{00000000-0005-0000-0000-0000CC100000}"/>
    <cellStyle name="Normal 2 4 5 7 2 2 2" xfId="16516" xr:uid="{CBC7989B-E480-4347-94CB-943E6E9D38D1}"/>
    <cellStyle name="Normal 2 4 5 7 2 3" xfId="12298" xr:uid="{3F36F6A4-C388-41E1-A468-0E0D84ECED04}"/>
    <cellStyle name="Normal 2 4 5 7 3" xfId="5936" xr:uid="{00000000-0005-0000-0000-0000CD100000}"/>
    <cellStyle name="Normal 2 4 5 7 3 2" xfId="14371" xr:uid="{BA325D20-1EC8-436E-9670-5E61FB3F4EF3}"/>
    <cellStyle name="Normal 2 4 5 7 4" xfId="10153" xr:uid="{B739B2D8-6204-45F8-BCCF-2EAF33DE2160}"/>
    <cellStyle name="Normal 2 4 5 8" xfId="2042" xr:uid="{00000000-0005-0000-0000-0000CE100000}"/>
    <cellStyle name="Normal 2 4 5 8 2" xfId="4271" xr:uid="{00000000-0005-0000-0000-0000CF100000}"/>
    <cellStyle name="Normal 2 4 5 8 2 2" xfId="8494" xr:uid="{00000000-0005-0000-0000-0000D0100000}"/>
    <cellStyle name="Normal 2 4 5 8 2 2 2" xfId="16929" xr:uid="{9A853C14-DE69-49F7-89C5-FFC98A0EDA62}"/>
    <cellStyle name="Normal 2 4 5 8 2 3" xfId="12711" xr:uid="{5AF8744E-1DA0-4898-81D5-0835A70D0FA3}"/>
    <cellStyle name="Normal 2 4 5 8 3" xfId="6349" xr:uid="{00000000-0005-0000-0000-0000D1100000}"/>
    <cellStyle name="Normal 2 4 5 8 3 2" xfId="14784" xr:uid="{C860B4E4-1235-42EC-83FC-50D2DC43BBB0}"/>
    <cellStyle name="Normal 2 4 5 8 4" xfId="10566" xr:uid="{8DD59D08-752B-4260-A464-72758734E600}"/>
    <cellStyle name="Normal 2 4 5 9" xfId="2478" xr:uid="{00000000-0005-0000-0000-0000D2100000}"/>
    <cellStyle name="Normal 2 4 5 9 2" xfId="6762" xr:uid="{00000000-0005-0000-0000-0000D3100000}"/>
    <cellStyle name="Normal 2 4 5 9 2 2" xfId="15197" xr:uid="{BAD19D7C-84C9-4C47-964D-5DE84E8FC28A}"/>
    <cellStyle name="Normal 2 4 5 9 3" xfId="10979" xr:uid="{66BAB71F-D563-4427-AD76-66A3D8B484D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2 2 2" xfId="15699" xr:uid="{D59AE529-A4F7-47C9-A3FA-65AC640FA6F5}"/>
    <cellStyle name="Normal 2 4 7 2 2 2 3" xfId="11481" xr:uid="{0B52B94C-4E3F-4D35-BEAD-DC5E4EF76287}"/>
    <cellStyle name="Normal 2 4 7 2 2 3" xfId="5119" xr:uid="{00000000-0005-0000-0000-0000DA100000}"/>
    <cellStyle name="Normal 2 4 7 2 2 3 2" xfId="13554" xr:uid="{3F8DD6C2-9323-4B6B-80D8-9782C626E4F9}"/>
    <cellStyle name="Normal 2 4 7 2 2 4" xfId="9336" xr:uid="{3ED0A9FC-D6AE-4ED9-90A1-E643729532E7}"/>
    <cellStyle name="Normal 2 4 7 2 3" xfId="1224" xr:uid="{00000000-0005-0000-0000-0000DB100000}"/>
    <cellStyle name="Normal 2 4 7 2 3 2" xfId="3454" xr:uid="{00000000-0005-0000-0000-0000DC100000}"/>
    <cellStyle name="Normal 2 4 7 2 3 2 2" xfId="7677" xr:uid="{00000000-0005-0000-0000-0000DD100000}"/>
    <cellStyle name="Normal 2 4 7 2 3 2 2 2" xfId="16112" xr:uid="{05763F33-43BC-4720-8FC9-E48795B10C48}"/>
    <cellStyle name="Normal 2 4 7 2 3 2 3" xfId="11894" xr:uid="{210EE369-B334-4D27-9FA3-50AE8A11AFF9}"/>
    <cellStyle name="Normal 2 4 7 2 3 3" xfId="5532" xr:uid="{00000000-0005-0000-0000-0000DE100000}"/>
    <cellStyle name="Normal 2 4 7 2 3 3 2" xfId="13967" xr:uid="{51F515D5-B4CF-4AF4-9756-A0757ACA97D6}"/>
    <cellStyle name="Normal 2 4 7 2 3 4" xfId="9749" xr:uid="{7CAA6C2E-A1EE-47C8-BD23-B9BDC429586C}"/>
    <cellStyle name="Normal 2 4 7 2 4" xfId="1637" xr:uid="{00000000-0005-0000-0000-0000DF100000}"/>
    <cellStyle name="Normal 2 4 7 2 4 2" xfId="3867" xr:uid="{00000000-0005-0000-0000-0000E0100000}"/>
    <cellStyle name="Normal 2 4 7 2 4 2 2" xfId="8090" xr:uid="{00000000-0005-0000-0000-0000E1100000}"/>
    <cellStyle name="Normal 2 4 7 2 4 2 2 2" xfId="16525" xr:uid="{A96D2941-FD6C-4769-8E36-FE5F6D54314E}"/>
    <cellStyle name="Normal 2 4 7 2 4 2 3" xfId="12307" xr:uid="{F581F90B-0F5F-4913-BB21-B5414F22CDED}"/>
    <cellStyle name="Normal 2 4 7 2 4 3" xfId="5945" xr:uid="{00000000-0005-0000-0000-0000E2100000}"/>
    <cellStyle name="Normal 2 4 7 2 4 3 2" xfId="14380" xr:uid="{C4B9847B-1DD1-47C7-B8C2-AD23E74E31C7}"/>
    <cellStyle name="Normal 2 4 7 2 4 4" xfId="10162" xr:uid="{96E56C41-F43E-4165-BC7D-4A0A14170580}"/>
    <cellStyle name="Normal 2 4 7 2 5" xfId="2051" xr:uid="{00000000-0005-0000-0000-0000E3100000}"/>
    <cellStyle name="Normal 2 4 7 2 5 2" xfId="4280" xr:uid="{00000000-0005-0000-0000-0000E4100000}"/>
    <cellStyle name="Normal 2 4 7 2 5 2 2" xfId="8503" xr:uid="{00000000-0005-0000-0000-0000E5100000}"/>
    <cellStyle name="Normal 2 4 7 2 5 2 2 2" xfId="16938" xr:uid="{27FA3567-D51C-494C-A1AD-AB8BA24968C5}"/>
    <cellStyle name="Normal 2 4 7 2 5 2 3" xfId="12720" xr:uid="{0159E351-4C24-4418-8EA5-281AB0E322D8}"/>
    <cellStyle name="Normal 2 4 7 2 5 3" xfId="6358" xr:uid="{00000000-0005-0000-0000-0000E6100000}"/>
    <cellStyle name="Normal 2 4 7 2 5 3 2" xfId="14793" xr:uid="{EF537B23-0C6C-41BA-A85A-78B82C2D0039}"/>
    <cellStyle name="Normal 2 4 7 2 5 4" xfId="10575" xr:uid="{D2DD4774-7566-45F7-AEAD-3A6C385B217A}"/>
    <cellStyle name="Normal 2 4 7 2 6" xfId="2487" xr:uid="{00000000-0005-0000-0000-0000E7100000}"/>
    <cellStyle name="Normal 2 4 7 2 6 2" xfId="6771" xr:uid="{00000000-0005-0000-0000-0000E8100000}"/>
    <cellStyle name="Normal 2 4 7 2 6 2 2" xfId="15206" xr:uid="{C341BB93-C7ED-490F-A824-E57CF2279414}"/>
    <cellStyle name="Normal 2 4 7 2 6 3" xfId="10988" xr:uid="{6A956E7A-444A-4F7B-AAF5-1CFF06D5DE54}"/>
    <cellStyle name="Normal 2 4 7 2 7" xfId="4705" xr:uid="{00000000-0005-0000-0000-0000E9100000}"/>
    <cellStyle name="Normal 2 4 7 2 7 2" xfId="13140" xr:uid="{B418097F-F9C9-4B4C-B839-60904A2EB461}"/>
    <cellStyle name="Normal 2 4 7 2 8" xfId="8922" xr:uid="{1F73EFB0-747B-49BC-AE4A-72012F4EBDF2}"/>
    <cellStyle name="Normal 2 4 7 3" xfId="801" xr:uid="{00000000-0005-0000-0000-0000EA100000}"/>
    <cellStyle name="Normal 2 4 7 3 2" xfId="3040" xr:uid="{00000000-0005-0000-0000-0000EB100000}"/>
    <cellStyle name="Normal 2 4 7 3 2 2" xfId="7263" xr:uid="{00000000-0005-0000-0000-0000EC100000}"/>
    <cellStyle name="Normal 2 4 7 3 2 2 2" xfId="15698" xr:uid="{B6E82825-6D64-4363-97B4-9AF3E569D842}"/>
    <cellStyle name="Normal 2 4 7 3 2 3" xfId="11480" xr:uid="{04A64F73-72DD-48FC-99D5-1C63ED25459D}"/>
    <cellStyle name="Normal 2 4 7 3 3" xfId="5118" xr:uid="{00000000-0005-0000-0000-0000ED100000}"/>
    <cellStyle name="Normal 2 4 7 3 3 2" xfId="13553" xr:uid="{53CB1CD2-A3DF-4AD0-A720-C1177CF218AE}"/>
    <cellStyle name="Normal 2 4 7 3 4" xfId="9335" xr:uid="{136EE54A-2956-4248-B29D-4AD0A09E0ABE}"/>
    <cellStyle name="Normal 2 4 7 4" xfId="1223" xr:uid="{00000000-0005-0000-0000-0000EE100000}"/>
    <cellStyle name="Normal 2 4 7 4 2" xfId="3453" xr:uid="{00000000-0005-0000-0000-0000EF100000}"/>
    <cellStyle name="Normal 2 4 7 4 2 2" xfId="7676" xr:uid="{00000000-0005-0000-0000-0000F0100000}"/>
    <cellStyle name="Normal 2 4 7 4 2 2 2" xfId="16111" xr:uid="{309DC66E-C0D6-4F5A-B80E-0EA0F6692C3E}"/>
    <cellStyle name="Normal 2 4 7 4 2 3" xfId="11893" xr:uid="{C383BFA7-3CE3-44BD-A05B-B00993609BAB}"/>
    <cellStyle name="Normal 2 4 7 4 3" xfId="5531" xr:uid="{00000000-0005-0000-0000-0000F1100000}"/>
    <cellStyle name="Normal 2 4 7 4 3 2" xfId="13966" xr:uid="{614C48F5-0E29-4B0E-BBAD-F8EB12B88711}"/>
    <cellStyle name="Normal 2 4 7 4 4" xfId="9748" xr:uid="{37E29847-D339-4E79-8D14-8D0DAC706006}"/>
    <cellStyle name="Normal 2 4 7 5" xfId="1636" xr:uid="{00000000-0005-0000-0000-0000F2100000}"/>
    <cellStyle name="Normal 2 4 7 5 2" xfId="3866" xr:uid="{00000000-0005-0000-0000-0000F3100000}"/>
    <cellStyle name="Normal 2 4 7 5 2 2" xfId="8089" xr:uid="{00000000-0005-0000-0000-0000F4100000}"/>
    <cellStyle name="Normal 2 4 7 5 2 2 2" xfId="16524" xr:uid="{D67B870D-1E16-4D09-9ABF-520E583711A1}"/>
    <cellStyle name="Normal 2 4 7 5 2 3" xfId="12306" xr:uid="{5887B569-A0E2-4069-9259-39BB478D5D78}"/>
    <cellStyle name="Normal 2 4 7 5 3" xfId="5944" xr:uid="{00000000-0005-0000-0000-0000F5100000}"/>
    <cellStyle name="Normal 2 4 7 5 3 2" xfId="14379" xr:uid="{BDD59E38-5250-4464-AA8E-F6914FAF088D}"/>
    <cellStyle name="Normal 2 4 7 5 4" xfId="10161" xr:uid="{F2666761-0FE6-4036-BB09-EF826B0F2048}"/>
    <cellStyle name="Normal 2 4 7 6" xfId="2050" xr:uid="{00000000-0005-0000-0000-0000F6100000}"/>
    <cellStyle name="Normal 2 4 7 6 2" xfId="4279" xr:uid="{00000000-0005-0000-0000-0000F7100000}"/>
    <cellStyle name="Normal 2 4 7 6 2 2" xfId="8502" xr:uid="{00000000-0005-0000-0000-0000F8100000}"/>
    <cellStyle name="Normal 2 4 7 6 2 2 2" xfId="16937" xr:uid="{5FF59324-F452-44F7-9B41-E56494C9F696}"/>
    <cellStyle name="Normal 2 4 7 6 2 3" xfId="12719" xr:uid="{32F87FBF-D96B-4933-9CDF-40F93F18CD13}"/>
    <cellStyle name="Normal 2 4 7 6 3" xfId="6357" xr:uid="{00000000-0005-0000-0000-0000F9100000}"/>
    <cellStyle name="Normal 2 4 7 6 3 2" xfId="14792" xr:uid="{50B190BC-A8BC-4058-9CE7-668045E76EF3}"/>
    <cellStyle name="Normal 2 4 7 6 4" xfId="10574" xr:uid="{DC88BC7C-6C20-4ED3-A5F9-B5F7E1421A7E}"/>
    <cellStyle name="Normal 2 4 7 7" xfId="2486" xr:uid="{00000000-0005-0000-0000-0000FA100000}"/>
    <cellStyle name="Normal 2 4 7 7 2" xfId="6770" xr:uid="{00000000-0005-0000-0000-0000FB100000}"/>
    <cellStyle name="Normal 2 4 7 7 2 2" xfId="15205" xr:uid="{B0B18AB5-A01F-48EE-8A89-CBB20307E481}"/>
    <cellStyle name="Normal 2 4 7 7 3" xfId="10987" xr:uid="{11966AC6-4325-45E0-8410-9548BD4DA2AB}"/>
    <cellStyle name="Normal 2 4 7 8" xfId="4704" xr:uid="{00000000-0005-0000-0000-0000FC100000}"/>
    <cellStyle name="Normal 2 4 7 8 2" xfId="13139" xr:uid="{603BD56E-56E0-4DD8-AE51-5ECF23A97598}"/>
    <cellStyle name="Normal 2 4 7 9" xfId="8921" xr:uid="{B86895CF-03C5-4A1A-9430-8D16FBB5F5B8}"/>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2 2 2" xfId="15700" xr:uid="{0CF44EC6-1F52-4B03-86E2-1018C5BDA625}"/>
    <cellStyle name="Normal 2 4 8 2 2 3" xfId="11482" xr:uid="{3A9D4857-581C-4E7A-BE71-4806AC4AAD19}"/>
    <cellStyle name="Normal 2 4 8 2 3" xfId="5120" xr:uid="{00000000-0005-0000-0000-000001110000}"/>
    <cellStyle name="Normal 2 4 8 2 3 2" xfId="13555" xr:uid="{355089AB-66CE-4B39-9F12-DA9C996959CA}"/>
    <cellStyle name="Normal 2 4 8 2 4" xfId="9337" xr:uid="{FFD11DB7-4035-41C9-956D-8EE9EE384F2F}"/>
    <cellStyle name="Normal 2 4 8 3" xfId="1225" xr:uid="{00000000-0005-0000-0000-000002110000}"/>
    <cellStyle name="Normal 2 4 8 3 2" xfId="3455" xr:uid="{00000000-0005-0000-0000-000003110000}"/>
    <cellStyle name="Normal 2 4 8 3 2 2" xfId="7678" xr:uid="{00000000-0005-0000-0000-000004110000}"/>
    <cellStyle name="Normal 2 4 8 3 2 2 2" xfId="16113" xr:uid="{527AE088-29E1-48D5-A9FB-EABE68D663D1}"/>
    <cellStyle name="Normal 2 4 8 3 2 3" xfId="11895" xr:uid="{F6AC12DC-9C6F-4D7E-85F6-E4522C4F76C7}"/>
    <cellStyle name="Normal 2 4 8 3 3" xfId="5533" xr:uid="{00000000-0005-0000-0000-000005110000}"/>
    <cellStyle name="Normal 2 4 8 3 3 2" xfId="13968" xr:uid="{C51B1F61-3AEC-4D15-89B2-C5158E026BAE}"/>
    <cellStyle name="Normal 2 4 8 3 4" xfId="9750" xr:uid="{F161FCE1-2E47-4601-9246-8B69235EC36E}"/>
    <cellStyle name="Normal 2 4 8 4" xfId="1638" xr:uid="{00000000-0005-0000-0000-000006110000}"/>
    <cellStyle name="Normal 2 4 8 4 2" xfId="3868" xr:uid="{00000000-0005-0000-0000-000007110000}"/>
    <cellStyle name="Normal 2 4 8 4 2 2" xfId="8091" xr:uid="{00000000-0005-0000-0000-000008110000}"/>
    <cellStyle name="Normal 2 4 8 4 2 2 2" xfId="16526" xr:uid="{B30D02D9-B6B7-47E4-90BA-F86DF55B05FD}"/>
    <cellStyle name="Normal 2 4 8 4 2 3" xfId="12308" xr:uid="{325A3451-1850-432D-A08C-02FBBDF6546A}"/>
    <cellStyle name="Normal 2 4 8 4 3" xfId="5946" xr:uid="{00000000-0005-0000-0000-000009110000}"/>
    <cellStyle name="Normal 2 4 8 4 3 2" xfId="14381" xr:uid="{7435B183-8AF6-4D2B-854E-7A51869BF128}"/>
    <cellStyle name="Normal 2 4 8 4 4" xfId="10163" xr:uid="{BD34CA73-2516-4D0F-B5A6-057D9421444E}"/>
    <cellStyle name="Normal 2 4 8 5" xfId="2052" xr:uid="{00000000-0005-0000-0000-00000A110000}"/>
    <cellStyle name="Normal 2 4 8 5 2" xfId="4281" xr:uid="{00000000-0005-0000-0000-00000B110000}"/>
    <cellStyle name="Normal 2 4 8 5 2 2" xfId="8504" xr:uid="{00000000-0005-0000-0000-00000C110000}"/>
    <cellStyle name="Normal 2 4 8 5 2 2 2" xfId="16939" xr:uid="{F4287332-A69C-4941-9323-E31D94E2D142}"/>
    <cellStyle name="Normal 2 4 8 5 2 3" xfId="12721" xr:uid="{20DE1B3F-1B00-4BC4-808E-8BC7EFDCF79E}"/>
    <cellStyle name="Normal 2 4 8 5 3" xfId="6359" xr:uid="{00000000-0005-0000-0000-00000D110000}"/>
    <cellStyle name="Normal 2 4 8 5 3 2" xfId="14794" xr:uid="{84ACD922-2095-429B-9A56-50AE602F0BB8}"/>
    <cellStyle name="Normal 2 4 8 5 4" xfId="10576" xr:uid="{91401F64-8A12-47C4-AD4F-1F77324E5637}"/>
    <cellStyle name="Normal 2 4 8 6" xfId="2488" xr:uid="{00000000-0005-0000-0000-00000E110000}"/>
    <cellStyle name="Normal 2 4 8 6 2" xfId="6772" xr:uid="{00000000-0005-0000-0000-00000F110000}"/>
    <cellStyle name="Normal 2 4 8 6 2 2" xfId="15207" xr:uid="{1E59BD24-6025-4FEB-8A0D-8EA33A5744D6}"/>
    <cellStyle name="Normal 2 4 8 6 3" xfId="10989" xr:uid="{BAD1457B-D12B-49C5-A40E-0B9A25AD5955}"/>
    <cellStyle name="Normal 2 4 8 7" xfId="4706" xr:uid="{00000000-0005-0000-0000-000010110000}"/>
    <cellStyle name="Normal 2 4 8 7 2" xfId="13141" xr:uid="{4714674F-6985-4598-B4E5-626746838FA3}"/>
    <cellStyle name="Normal 2 4 8 8" xfId="8923" xr:uid="{CBB83AE0-1E04-4834-8A41-A92BAA844C3C}"/>
    <cellStyle name="Normal 2 5" xfId="315" xr:uid="{00000000-0005-0000-0000-000011110000}"/>
    <cellStyle name="Normal 2 5 10" xfId="4707" xr:uid="{00000000-0005-0000-0000-000012110000}"/>
    <cellStyle name="Normal 2 5 10 2" xfId="13142" xr:uid="{BF649425-3459-443E-9D7C-15D19EC90C26}"/>
    <cellStyle name="Normal 2 5 11" xfId="8924" xr:uid="{6DB2C5D0-13A5-47B9-867C-3B14B295EE9F}"/>
    <cellStyle name="Normal 2 5 2" xfId="316" xr:uid="{00000000-0005-0000-0000-000013110000}"/>
    <cellStyle name="Normal 2 5 3" xfId="317" xr:uid="{00000000-0005-0000-0000-000014110000}"/>
    <cellStyle name="Normal 2 5 4" xfId="318" xr:uid="{00000000-0005-0000-0000-000015110000}"/>
    <cellStyle name="Normal 2 5 4 10" xfId="8925" xr:uid="{233D0771-0600-4BAA-90E1-88C5C3C15C0E}"/>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2 2 2" xfId="15704" xr:uid="{A12ACED8-BD7A-4C66-B1F3-C25C45C8CFDA}"/>
    <cellStyle name="Normal 2 5 4 2 2 2 2 3" xfId="11486" xr:uid="{2766E8A7-FFB6-4921-BCAD-3B701C38C373}"/>
    <cellStyle name="Normal 2 5 4 2 2 2 3" xfId="5124" xr:uid="{00000000-0005-0000-0000-00001B110000}"/>
    <cellStyle name="Normal 2 5 4 2 2 2 3 2" xfId="13559" xr:uid="{09824AB3-04E1-4A5B-B5EC-E05241E6A868}"/>
    <cellStyle name="Normal 2 5 4 2 2 2 4" xfId="9341" xr:uid="{3F65A69C-8EE9-42A0-8D7D-DF06FDAFF97D}"/>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2 2 2" xfId="16117" xr:uid="{CECE55D8-8DC3-4AC8-906B-E755FB0B8CF4}"/>
    <cellStyle name="Normal 2 5 4 2 2 3 2 3" xfId="11899" xr:uid="{AA8B0762-6261-4B41-8F74-E64624BE40F3}"/>
    <cellStyle name="Normal 2 5 4 2 2 3 3" xfId="5537" xr:uid="{00000000-0005-0000-0000-00001F110000}"/>
    <cellStyle name="Normal 2 5 4 2 2 3 3 2" xfId="13972" xr:uid="{8B30052F-6AD9-4ECD-81AC-93138DD0F5DC}"/>
    <cellStyle name="Normal 2 5 4 2 2 3 4" xfId="9754" xr:uid="{B54740AF-BA67-4308-A960-0A355F57073F}"/>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2 2 2" xfId="16530" xr:uid="{7032E142-4E77-4AA5-AEC4-1C83E81AAD95}"/>
    <cellStyle name="Normal 2 5 4 2 2 4 2 3" xfId="12312" xr:uid="{725F4682-2D5B-4655-9A90-A20051D01B59}"/>
    <cellStyle name="Normal 2 5 4 2 2 4 3" xfId="5950" xr:uid="{00000000-0005-0000-0000-000023110000}"/>
    <cellStyle name="Normal 2 5 4 2 2 4 3 2" xfId="14385" xr:uid="{A6A253A1-977D-4076-94BC-C012D0AFD7ED}"/>
    <cellStyle name="Normal 2 5 4 2 2 4 4" xfId="10167" xr:uid="{DC0236D0-63C6-4E61-A475-8B59666673A6}"/>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2 2 2" xfId="16943" xr:uid="{0344D5EF-83CC-402F-A348-A345846E15F5}"/>
    <cellStyle name="Normal 2 5 4 2 2 5 2 3" xfId="12725" xr:uid="{B78953C2-1950-423F-9443-DE1C166C0D27}"/>
    <cellStyle name="Normal 2 5 4 2 2 5 3" xfId="6363" xr:uid="{00000000-0005-0000-0000-000027110000}"/>
    <cellStyle name="Normal 2 5 4 2 2 5 3 2" xfId="14798" xr:uid="{A12561CF-3CFF-4C6C-BF95-1B885F0FB4D4}"/>
    <cellStyle name="Normal 2 5 4 2 2 5 4" xfId="10580" xr:uid="{22AD8A23-833F-44A3-8B70-AC486249F7BC}"/>
    <cellStyle name="Normal 2 5 4 2 2 6" xfId="2492" xr:uid="{00000000-0005-0000-0000-000028110000}"/>
    <cellStyle name="Normal 2 5 4 2 2 6 2" xfId="6776" xr:uid="{00000000-0005-0000-0000-000029110000}"/>
    <cellStyle name="Normal 2 5 4 2 2 6 2 2" xfId="15211" xr:uid="{4423A4EE-F330-4A83-ADC2-33EBBD97C130}"/>
    <cellStyle name="Normal 2 5 4 2 2 6 3" xfId="10993" xr:uid="{C575283C-F593-4CBD-9A06-070BC54E0F36}"/>
    <cellStyle name="Normal 2 5 4 2 2 7" xfId="4710" xr:uid="{00000000-0005-0000-0000-00002A110000}"/>
    <cellStyle name="Normal 2 5 4 2 2 7 2" xfId="13145" xr:uid="{11DBAD6D-5179-4A6C-A969-1075711F0290}"/>
    <cellStyle name="Normal 2 5 4 2 2 8" xfId="8927" xr:uid="{F9BCFD09-93AA-449E-BABD-196018B9E98E}"/>
    <cellStyle name="Normal 2 5 4 2 3" xfId="806" xr:uid="{00000000-0005-0000-0000-00002B110000}"/>
    <cellStyle name="Normal 2 5 4 2 3 2" xfId="3045" xr:uid="{00000000-0005-0000-0000-00002C110000}"/>
    <cellStyle name="Normal 2 5 4 2 3 2 2" xfId="7268" xr:uid="{00000000-0005-0000-0000-00002D110000}"/>
    <cellStyle name="Normal 2 5 4 2 3 2 2 2" xfId="15703" xr:uid="{BAE2F36D-6C81-4C95-8F41-651F6B4E43D6}"/>
    <cellStyle name="Normal 2 5 4 2 3 2 3" xfId="11485" xr:uid="{DA167521-E3F4-473D-A499-5643B5B1FD07}"/>
    <cellStyle name="Normal 2 5 4 2 3 3" xfId="5123" xr:uid="{00000000-0005-0000-0000-00002E110000}"/>
    <cellStyle name="Normal 2 5 4 2 3 3 2" xfId="13558" xr:uid="{854BEA42-052B-4237-BE93-D3335F62B3F3}"/>
    <cellStyle name="Normal 2 5 4 2 3 4" xfId="9340" xr:uid="{FEF91A27-849D-4CDD-814E-CA119E7EDA5C}"/>
    <cellStyle name="Normal 2 5 4 2 4" xfId="1228" xr:uid="{00000000-0005-0000-0000-00002F110000}"/>
    <cellStyle name="Normal 2 5 4 2 4 2" xfId="3458" xr:uid="{00000000-0005-0000-0000-000030110000}"/>
    <cellStyle name="Normal 2 5 4 2 4 2 2" xfId="7681" xr:uid="{00000000-0005-0000-0000-000031110000}"/>
    <cellStyle name="Normal 2 5 4 2 4 2 2 2" xfId="16116" xr:uid="{826FDCEA-2F41-4032-9F1A-E9D84AD0240C}"/>
    <cellStyle name="Normal 2 5 4 2 4 2 3" xfId="11898" xr:uid="{6CEDE542-94A8-4367-B405-E9326F4B8876}"/>
    <cellStyle name="Normal 2 5 4 2 4 3" xfId="5536" xr:uid="{00000000-0005-0000-0000-000032110000}"/>
    <cellStyle name="Normal 2 5 4 2 4 3 2" xfId="13971" xr:uid="{336E4F72-4E76-4937-8E4E-1D6C2008BAA5}"/>
    <cellStyle name="Normal 2 5 4 2 4 4" xfId="9753" xr:uid="{C4B27ED4-B4E3-4805-8484-978A82C1621E}"/>
    <cellStyle name="Normal 2 5 4 2 5" xfId="1641" xr:uid="{00000000-0005-0000-0000-000033110000}"/>
    <cellStyle name="Normal 2 5 4 2 5 2" xfId="3871" xr:uid="{00000000-0005-0000-0000-000034110000}"/>
    <cellStyle name="Normal 2 5 4 2 5 2 2" xfId="8094" xr:uid="{00000000-0005-0000-0000-000035110000}"/>
    <cellStyle name="Normal 2 5 4 2 5 2 2 2" xfId="16529" xr:uid="{97322409-2F6E-47DE-9817-C3BA1C583CF3}"/>
    <cellStyle name="Normal 2 5 4 2 5 2 3" xfId="12311" xr:uid="{9FC626C6-4EB6-4568-9F8D-9272E13D82AC}"/>
    <cellStyle name="Normal 2 5 4 2 5 3" xfId="5949" xr:uid="{00000000-0005-0000-0000-000036110000}"/>
    <cellStyle name="Normal 2 5 4 2 5 3 2" xfId="14384" xr:uid="{DBC368AC-968F-4B7F-BE97-CFDACA6CC7C6}"/>
    <cellStyle name="Normal 2 5 4 2 5 4" xfId="10166" xr:uid="{096D77F8-D871-46A1-A7AC-CE1DA76053DF}"/>
    <cellStyle name="Normal 2 5 4 2 6" xfId="2055" xr:uid="{00000000-0005-0000-0000-000037110000}"/>
    <cellStyle name="Normal 2 5 4 2 6 2" xfId="4284" xr:uid="{00000000-0005-0000-0000-000038110000}"/>
    <cellStyle name="Normal 2 5 4 2 6 2 2" xfId="8507" xr:uid="{00000000-0005-0000-0000-000039110000}"/>
    <cellStyle name="Normal 2 5 4 2 6 2 2 2" xfId="16942" xr:uid="{193022B8-253E-4EA6-A36C-01C4BB9E5192}"/>
    <cellStyle name="Normal 2 5 4 2 6 2 3" xfId="12724" xr:uid="{F66602DE-A59F-4E9D-82F8-C21FDD36CFE7}"/>
    <cellStyle name="Normal 2 5 4 2 6 3" xfId="6362" xr:uid="{00000000-0005-0000-0000-00003A110000}"/>
    <cellStyle name="Normal 2 5 4 2 6 3 2" xfId="14797" xr:uid="{8DD77DAB-7327-48FC-B2BC-4589EDE2688C}"/>
    <cellStyle name="Normal 2 5 4 2 6 4" xfId="10579" xr:uid="{1DFBCBC2-8A61-49D5-975F-7D7B0CE1941D}"/>
    <cellStyle name="Normal 2 5 4 2 7" xfId="2491" xr:uid="{00000000-0005-0000-0000-00003B110000}"/>
    <cellStyle name="Normal 2 5 4 2 7 2" xfId="6775" xr:uid="{00000000-0005-0000-0000-00003C110000}"/>
    <cellStyle name="Normal 2 5 4 2 7 2 2" xfId="15210" xr:uid="{1285E1C6-3C52-411E-AA9A-DE1D9FEDB414}"/>
    <cellStyle name="Normal 2 5 4 2 7 3" xfId="10992" xr:uid="{D2520CA3-3FBA-4947-8256-CF44ED40D7C3}"/>
    <cellStyle name="Normal 2 5 4 2 8" xfId="4709" xr:uid="{00000000-0005-0000-0000-00003D110000}"/>
    <cellStyle name="Normal 2 5 4 2 8 2" xfId="13144" xr:uid="{C926076C-2078-4ADD-A8A9-0BACA59C5AC5}"/>
    <cellStyle name="Normal 2 5 4 2 9" xfId="8926" xr:uid="{4CD8844E-3660-4EC4-9456-A57272CCA646}"/>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2 2 2" xfId="15705" xr:uid="{C55721E7-7AA6-4F3D-B72A-F2B2C1DEC107}"/>
    <cellStyle name="Normal 2 5 4 3 2 2 3" xfId="11487" xr:uid="{396D00B0-A795-4A94-A826-61A681807A2E}"/>
    <cellStyle name="Normal 2 5 4 3 2 3" xfId="5125" xr:uid="{00000000-0005-0000-0000-000042110000}"/>
    <cellStyle name="Normal 2 5 4 3 2 3 2" xfId="13560" xr:uid="{9B9F0B42-760E-4DEB-813A-482F74F1D0C5}"/>
    <cellStyle name="Normal 2 5 4 3 2 4" xfId="9342" xr:uid="{D767530D-9313-4CB6-96EE-C9C9391B47C8}"/>
    <cellStyle name="Normal 2 5 4 3 3" xfId="1230" xr:uid="{00000000-0005-0000-0000-000043110000}"/>
    <cellStyle name="Normal 2 5 4 3 3 2" xfId="3460" xr:uid="{00000000-0005-0000-0000-000044110000}"/>
    <cellStyle name="Normal 2 5 4 3 3 2 2" xfId="7683" xr:uid="{00000000-0005-0000-0000-000045110000}"/>
    <cellStyle name="Normal 2 5 4 3 3 2 2 2" xfId="16118" xr:uid="{947040BC-6990-46B1-8B7E-B653CFB7A433}"/>
    <cellStyle name="Normal 2 5 4 3 3 2 3" xfId="11900" xr:uid="{FAB65E69-7EA1-46D9-A33B-383A4D9926B0}"/>
    <cellStyle name="Normal 2 5 4 3 3 3" xfId="5538" xr:uid="{00000000-0005-0000-0000-000046110000}"/>
    <cellStyle name="Normal 2 5 4 3 3 3 2" xfId="13973" xr:uid="{336BC3A5-CA90-4D70-A6D3-3B7CE78647C2}"/>
    <cellStyle name="Normal 2 5 4 3 3 4" xfId="9755" xr:uid="{AA8502A0-4AFE-43C0-9FC0-2F8ECB69B6AE}"/>
    <cellStyle name="Normal 2 5 4 3 4" xfId="1643" xr:uid="{00000000-0005-0000-0000-000047110000}"/>
    <cellStyle name="Normal 2 5 4 3 4 2" xfId="3873" xr:uid="{00000000-0005-0000-0000-000048110000}"/>
    <cellStyle name="Normal 2 5 4 3 4 2 2" xfId="8096" xr:uid="{00000000-0005-0000-0000-000049110000}"/>
    <cellStyle name="Normal 2 5 4 3 4 2 2 2" xfId="16531" xr:uid="{1BAFEA42-2CC0-4E73-AD50-EB1BC76810DD}"/>
    <cellStyle name="Normal 2 5 4 3 4 2 3" xfId="12313" xr:uid="{4310DA2A-4299-4139-9E20-C6F227AE0D6B}"/>
    <cellStyle name="Normal 2 5 4 3 4 3" xfId="5951" xr:uid="{00000000-0005-0000-0000-00004A110000}"/>
    <cellStyle name="Normal 2 5 4 3 4 3 2" xfId="14386" xr:uid="{E9C71B6D-A612-4882-83D7-75B56B7EE1F1}"/>
    <cellStyle name="Normal 2 5 4 3 4 4" xfId="10168" xr:uid="{5CCC0BE7-A003-4226-A9D2-049689183550}"/>
    <cellStyle name="Normal 2 5 4 3 5" xfId="2057" xr:uid="{00000000-0005-0000-0000-00004B110000}"/>
    <cellStyle name="Normal 2 5 4 3 5 2" xfId="4286" xr:uid="{00000000-0005-0000-0000-00004C110000}"/>
    <cellStyle name="Normal 2 5 4 3 5 2 2" xfId="8509" xr:uid="{00000000-0005-0000-0000-00004D110000}"/>
    <cellStyle name="Normal 2 5 4 3 5 2 2 2" xfId="16944" xr:uid="{972CB65E-2B14-4E51-9C01-4B27C6871D53}"/>
    <cellStyle name="Normal 2 5 4 3 5 2 3" xfId="12726" xr:uid="{801FAAEC-6936-46B2-9B76-F7D2161D99D8}"/>
    <cellStyle name="Normal 2 5 4 3 5 3" xfId="6364" xr:uid="{00000000-0005-0000-0000-00004E110000}"/>
    <cellStyle name="Normal 2 5 4 3 5 3 2" xfId="14799" xr:uid="{0744ECA6-0D32-45B2-8EC2-C5427C946847}"/>
    <cellStyle name="Normal 2 5 4 3 5 4" xfId="10581" xr:uid="{B5EC97E7-67EC-4325-9C10-C631BD4C3AA5}"/>
    <cellStyle name="Normal 2 5 4 3 6" xfId="2493" xr:uid="{00000000-0005-0000-0000-00004F110000}"/>
    <cellStyle name="Normal 2 5 4 3 6 2" xfId="6777" xr:uid="{00000000-0005-0000-0000-000050110000}"/>
    <cellStyle name="Normal 2 5 4 3 6 2 2" xfId="15212" xr:uid="{740E8B43-1C2E-4C64-91AF-DEB84383541A}"/>
    <cellStyle name="Normal 2 5 4 3 6 3" xfId="10994" xr:uid="{51737008-7E26-4333-B369-4EFF72398622}"/>
    <cellStyle name="Normal 2 5 4 3 7" xfId="4711" xr:uid="{00000000-0005-0000-0000-000051110000}"/>
    <cellStyle name="Normal 2 5 4 3 7 2" xfId="13146" xr:uid="{0251CBD3-86B3-47B5-A7F6-FE667FD065F6}"/>
    <cellStyle name="Normal 2 5 4 3 8" xfId="8928" xr:uid="{A49ED1BB-2035-4585-ABAA-EA3ABA20C3E2}"/>
    <cellStyle name="Normal 2 5 4 4" xfId="805" xr:uid="{00000000-0005-0000-0000-000052110000}"/>
    <cellStyle name="Normal 2 5 4 4 2" xfId="3044" xr:uid="{00000000-0005-0000-0000-000053110000}"/>
    <cellStyle name="Normal 2 5 4 4 2 2" xfId="7267" xr:uid="{00000000-0005-0000-0000-000054110000}"/>
    <cellStyle name="Normal 2 5 4 4 2 2 2" xfId="15702" xr:uid="{7046C287-BBBA-47C5-A357-3D5609041A55}"/>
    <cellStyle name="Normal 2 5 4 4 2 3" xfId="11484" xr:uid="{26C08FB5-3145-49E7-A0CA-5C5BDC4B961E}"/>
    <cellStyle name="Normal 2 5 4 4 3" xfId="5122" xr:uid="{00000000-0005-0000-0000-000055110000}"/>
    <cellStyle name="Normal 2 5 4 4 3 2" xfId="13557" xr:uid="{0B9D02E7-0502-4D69-A91E-626563F19869}"/>
    <cellStyle name="Normal 2 5 4 4 4" xfId="9339" xr:uid="{A6A990C3-1BC6-4493-AC3B-0D3CEC18DEB1}"/>
    <cellStyle name="Normal 2 5 4 5" xfId="1227" xr:uid="{00000000-0005-0000-0000-000056110000}"/>
    <cellStyle name="Normal 2 5 4 5 2" xfId="3457" xr:uid="{00000000-0005-0000-0000-000057110000}"/>
    <cellStyle name="Normal 2 5 4 5 2 2" xfId="7680" xr:uid="{00000000-0005-0000-0000-000058110000}"/>
    <cellStyle name="Normal 2 5 4 5 2 2 2" xfId="16115" xr:uid="{4B6A7948-0CFE-449A-8F21-728F07A234CA}"/>
    <cellStyle name="Normal 2 5 4 5 2 3" xfId="11897" xr:uid="{DE627608-D358-450C-AE84-5A84D7BEC4D9}"/>
    <cellStyle name="Normal 2 5 4 5 3" xfId="5535" xr:uid="{00000000-0005-0000-0000-000059110000}"/>
    <cellStyle name="Normal 2 5 4 5 3 2" xfId="13970" xr:uid="{745B54A6-C835-49E5-A53E-30764B09E1D5}"/>
    <cellStyle name="Normal 2 5 4 5 4" xfId="9752" xr:uid="{D9044DAA-2E5A-43DF-BD1F-52DA151B79AF}"/>
    <cellStyle name="Normal 2 5 4 6" xfId="1640" xr:uid="{00000000-0005-0000-0000-00005A110000}"/>
    <cellStyle name="Normal 2 5 4 6 2" xfId="3870" xr:uid="{00000000-0005-0000-0000-00005B110000}"/>
    <cellStyle name="Normal 2 5 4 6 2 2" xfId="8093" xr:uid="{00000000-0005-0000-0000-00005C110000}"/>
    <cellStyle name="Normal 2 5 4 6 2 2 2" xfId="16528" xr:uid="{BA52CFF0-ACBD-4CFA-AD1F-2A3629E9998D}"/>
    <cellStyle name="Normal 2 5 4 6 2 3" xfId="12310" xr:uid="{03AFC0FC-345F-4B58-A568-364335808E82}"/>
    <cellStyle name="Normal 2 5 4 6 3" xfId="5948" xr:uid="{00000000-0005-0000-0000-00005D110000}"/>
    <cellStyle name="Normal 2 5 4 6 3 2" xfId="14383" xr:uid="{3F428B15-CD08-48E0-AFB8-5391D19B62A2}"/>
    <cellStyle name="Normal 2 5 4 6 4" xfId="10165" xr:uid="{6D993AC8-44AD-47DE-B7D8-BF7E7918D414}"/>
    <cellStyle name="Normal 2 5 4 7" xfId="2054" xr:uid="{00000000-0005-0000-0000-00005E110000}"/>
    <cellStyle name="Normal 2 5 4 7 2" xfId="4283" xr:uid="{00000000-0005-0000-0000-00005F110000}"/>
    <cellStyle name="Normal 2 5 4 7 2 2" xfId="8506" xr:uid="{00000000-0005-0000-0000-000060110000}"/>
    <cellStyle name="Normal 2 5 4 7 2 2 2" xfId="16941" xr:uid="{BC0D6A8C-0DC0-4019-9C1E-B8BB711C17DC}"/>
    <cellStyle name="Normal 2 5 4 7 2 3" xfId="12723" xr:uid="{BE7AB04A-EA71-4316-A02B-9096F8A33C48}"/>
    <cellStyle name="Normal 2 5 4 7 3" xfId="6361" xr:uid="{00000000-0005-0000-0000-000061110000}"/>
    <cellStyle name="Normal 2 5 4 7 3 2" xfId="14796" xr:uid="{55E44C1C-36A2-46A8-9744-FEDA23843745}"/>
    <cellStyle name="Normal 2 5 4 7 4" xfId="10578" xr:uid="{E236E904-623D-46BA-8C8D-2AF827082B2B}"/>
    <cellStyle name="Normal 2 5 4 8" xfId="2490" xr:uid="{00000000-0005-0000-0000-000062110000}"/>
    <cellStyle name="Normal 2 5 4 8 2" xfId="6774" xr:uid="{00000000-0005-0000-0000-000063110000}"/>
    <cellStyle name="Normal 2 5 4 8 2 2" xfId="15209" xr:uid="{BC0C944D-3ADC-4044-85AD-C3FBAE633054}"/>
    <cellStyle name="Normal 2 5 4 8 3" xfId="10991" xr:uid="{4DCEED2A-57C1-46FE-870F-F7D7EC54D1DD}"/>
    <cellStyle name="Normal 2 5 4 9" xfId="4708" xr:uid="{00000000-0005-0000-0000-000064110000}"/>
    <cellStyle name="Normal 2 5 4 9 2" xfId="13143" xr:uid="{A99F84EF-1BC6-46FB-8268-1BC6DBBAFFB8}"/>
    <cellStyle name="Normal 2 5 5" xfId="804" xr:uid="{00000000-0005-0000-0000-000065110000}"/>
    <cellStyle name="Normal 2 5 5 2" xfId="3043" xr:uid="{00000000-0005-0000-0000-000066110000}"/>
    <cellStyle name="Normal 2 5 5 2 2" xfId="7266" xr:uid="{00000000-0005-0000-0000-000067110000}"/>
    <cellStyle name="Normal 2 5 5 2 2 2" xfId="15701" xr:uid="{84522A12-B1C0-403D-91AC-626AB9A37683}"/>
    <cellStyle name="Normal 2 5 5 2 3" xfId="11483" xr:uid="{94A19E44-BB19-44E1-B617-02F754411776}"/>
    <cellStyle name="Normal 2 5 5 3" xfId="5121" xr:uid="{00000000-0005-0000-0000-000068110000}"/>
    <cellStyle name="Normal 2 5 5 3 2" xfId="13556" xr:uid="{3CEF3AF5-0E50-4486-B93B-C80E7321D96A}"/>
    <cellStyle name="Normal 2 5 5 4" xfId="9338" xr:uid="{AEDFA20A-DAB6-4A30-8342-8D03CD0D0023}"/>
    <cellStyle name="Normal 2 5 6" xfId="1226" xr:uid="{00000000-0005-0000-0000-000069110000}"/>
    <cellStyle name="Normal 2 5 6 2" xfId="3456" xr:uid="{00000000-0005-0000-0000-00006A110000}"/>
    <cellStyle name="Normal 2 5 6 2 2" xfId="7679" xr:uid="{00000000-0005-0000-0000-00006B110000}"/>
    <cellStyle name="Normal 2 5 6 2 2 2" xfId="16114" xr:uid="{98B885D3-AB5C-4DA7-89C0-A384B5E72B3E}"/>
    <cellStyle name="Normal 2 5 6 2 3" xfId="11896" xr:uid="{B3D454B8-D561-4AB9-9203-29C4951919FB}"/>
    <cellStyle name="Normal 2 5 6 3" xfId="5534" xr:uid="{00000000-0005-0000-0000-00006C110000}"/>
    <cellStyle name="Normal 2 5 6 3 2" xfId="13969" xr:uid="{72B3989E-0DE6-4801-AF23-8E136D463356}"/>
    <cellStyle name="Normal 2 5 6 4" xfId="9751" xr:uid="{2D8BB67C-54E3-4A6C-9DE3-AF07ACE96B04}"/>
    <cellStyle name="Normal 2 5 7" xfId="1639" xr:uid="{00000000-0005-0000-0000-00006D110000}"/>
    <cellStyle name="Normal 2 5 7 2" xfId="3869" xr:uid="{00000000-0005-0000-0000-00006E110000}"/>
    <cellStyle name="Normal 2 5 7 2 2" xfId="8092" xr:uid="{00000000-0005-0000-0000-00006F110000}"/>
    <cellStyle name="Normal 2 5 7 2 2 2" xfId="16527" xr:uid="{3034E4DC-53FA-4015-81F1-51D4763E2CEF}"/>
    <cellStyle name="Normal 2 5 7 2 3" xfId="12309" xr:uid="{08827BCD-B9E8-412A-80DB-E75CB0BE7134}"/>
    <cellStyle name="Normal 2 5 7 3" xfId="5947" xr:uid="{00000000-0005-0000-0000-000070110000}"/>
    <cellStyle name="Normal 2 5 7 3 2" xfId="14382" xr:uid="{05D600F4-0779-44FA-A408-10DEE49A4728}"/>
    <cellStyle name="Normal 2 5 7 4" xfId="10164" xr:uid="{1A26CD13-769F-443C-A848-9925463C7127}"/>
    <cellStyle name="Normal 2 5 8" xfId="2053" xr:uid="{00000000-0005-0000-0000-000071110000}"/>
    <cellStyle name="Normal 2 5 8 2" xfId="4282" xr:uid="{00000000-0005-0000-0000-000072110000}"/>
    <cellStyle name="Normal 2 5 8 2 2" xfId="8505" xr:uid="{00000000-0005-0000-0000-000073110000}"/>
    <cellStyle name="Normal 2 5 8 2 2 2" xfId="16940" xr:uid="{01F34679-2985-4036-98C9-429BAFB0729D}"/>
    <cellStyle name="Normal 2 5 8 2 3" xfId="12722" xr:uid="{BA1D9494-F354-4818-8FFD-5D6BD7E85E9B}"/>
    <cellStyle name="Normal 2 5 8 3" xfId="6360" xr:uid="{00000000-0005-0000-0000-000074110000}"/>
    <cellStyle name="Normal 2 5 8 3 2" xfId="14795" xr:uid="{3B2DBF12-D51B-4AA9-8D2F-5626B5C9BEB6}"/>
    <cellStyle name="Normal 2 5 8 4" xfId="10577" xr:uid="{A56E6C0E-B2A6-4969-843D-A0D195E838FC}"/>
    <cellStyle name="Normal 2 5 9" xfId="2489" xr:uid="{00000000-0005-0000-0000-000075110000}"/>
    <cellStyle name="Normal 2 5 9 2" xfId="6773" xr:uid="{00000000-0005-0000-0000-000076110000}"/>
    <cellStyle name="Normal 2 5 9 2 2" xfId="15208" xr:uid="{0F139063-5578-409B-B08E-977DDE35F3DF}"/>
    <cellStyle name="Normal 2 5 9 3" xfId="10990" xr:uid="{985D2C7E-DE51-4892-ADA5-43A174FF618E}"/>
    <cellStyle name="Normal 2 6" xfId="322" xr:uid="{00000000-0005-0000-0000-000077110000}"/>
    <cellStyle name="Normal 2 7" xfId="770" xr:uid="{00000000-0005-0000-0000-000078110000}"/>
    <cellStyle name="Normal 2 8" xfId="4496" xr:uid="{00000000-0005-0000-0000-000079110000}"/>
    <cellStyle name="Normal 2 8 2" xfId="12934" xr:uid="{6FA565EA-249A-44DF-98D1-E7AAE7DAEE18}"/>
    <cellStyle name="Normal 3" xfId="323" xr:uid="{00000000-0005-0000-0000-00007A110000}"/>
    <cellStyle name="Normal 3 2" xfId="324" xr:uid="{00000000-0005-0000-0000-00007B110000}"/>
    <cellStyle name="Normal 3 2 10" xfId="8929" xr:uid="{C68FD561-FB89-4FCE-9856-13E141453066}"/>
    <cellStyle name="Normal 3 2 2" xfId="325" xr:uid="{00000000-0005-0000-0000-00007C110000}"/>
    <cellStyle name="Normal 3 2 2 2" xfId="811" xr:uid="{00000000-0005-0000-0000-00007D110000}"/>
    <cellStyle name="Normal 3 2 3" xfId="326" xr:uid="{00000000-0005-0000-0000-00007E110000}"/>
    <cellStyle name="Normal 3 2 3 10" xfId="8930" xr:uid="{3E4D9A24-9BF3-4B51-BC6B-023C63BCE6E2}"/>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2 2 2" xfId="15709" xr:uid="{C99D88F0-AF84-4502-8EC7-A7B04240759F}"/>
    <cellStyle name="Normal 3 2 3 2 2 2 2 3" xfId="11491" xr:uid="{F88084CB-320D-404D-8898-FDC640D02C8D}"/>
    <cellStyle name="Normal 3 2 3 2 2 2 3" xfId="5129" xr:uid="{00000000-0005-0000-0000-000084110000}"/>
    <cellStyle name="Normal 3 2 3 2 2 2 3 2" xfId="13564" xr:uid="{36CB6723-4346-4E67-A7F6-0523654F124B}"/>
    <cellStyle name="Normal 3 2 3 2 2 2 4" xfId="9346" xr:uid="{D311B87E-DAFC-4040-AD5A-2C332A59231E}"/>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2 2 2" xfId="16122" xr:uid="{B04F4062-59C4-474F-88C3-0BC3632ED47C}"/>
    <cellStyle name="Normal 3 2 3 2 2 3 2 3" xfId="11904" xr:uid="{89F20D80-1D5A-4059-8187-84062FB01844}"/>
    <cellStyle name="Normal 3 2 3 2 2 3 3" xfId="5542" xr:uid="{00000000-0005-0000-0000-000088110000}"/>
    <cellStyle name="Normal 3 2 3 2 2 3 3 2" xfId="13977" xr:uid="{8311A604-88A8-4563-A2DD-C992199115A9}"/>
    <cellStyle name="Normal 3 2 3 2 2 3 4" xfId="9759" xr:uid="{E6CEF722-9E23-4427-A07B-86B534585B78}"/>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2 2 2" xfId="16535" xr:uid="{9186FBE9-72AB-4614-8282-74D0B43F8EC3}"/>
    <cellStyle name="Normal 3 2 3 2 2 4 2 3" xfId="12317" xr:uid="{22EA7759-5C66-406B-95AD-6EDB22B7D544}"/>
    <cellStyle name="Normal 3 2 3 2 2 4 3" xfId="5955" xr:uid="{00000000-0005-0000-0000-00008C110000}"/>
    <cellStyle name="Normal 3 2 3 2 2 4 3 2" xfId="14390" xr:uid="{7FBA35E4-77C2-4E63-9A78-09222E8CBBCC}"/>
    <cellStyle name="Normal 3 2 3 2 2 4 4" xfId="10172" xr:uid="{FA7BD10B-FB5F-4E90-8548-5A379899CFC4}"/>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2 2 2" xfId="16948" xr:uid="{33AD8621-11C7-4D24-9A48-F577A2872B6B}"/>
    <cellStyle name="Normal 3 2 3 2 2 5 2 3" xfId="12730" xr:uid="{34516862-340B-4147-8E0D-EA7C4E39FA2F}"/>
    <cellStyle name="Normal 3 2 3 2 2 5 3" xfId="6368" xr:uid="{00000000-0005-0000-0000-000090110000}"/>
    <cellStyle name="Normal 3 2 3 2 2 5 3 2" xfId="14803" xr:uid="{7E79BD23-ABC0-4AD6-9A9E-D91E3B98B232}"/>
    <cellStyle name="Normal 3 2 3 2 2 5 4" xfId="10585" xr:uid="{AEB6F420-B976-44ED-BE47-107FE89DB138}"/>
    <cellStyle name="Normal 3 2 3 2 2 6" xfId="2497" xr:uid="{00000000-0005-0000-0000-000091110000}"/>
    <cellStyle name="Normal 3 2 3 2 2 6 2" xfId="6781" xr:uid="{00000000-0005-0000-0000-000092110000}"/>
    <cellStyle name="Normal 3 2 3 2 2 6 2 2" xfId="15216" xr:uid="{4662C569-F4B9-4AE8-A302-4A3141EF9F09}"/>
    <cellStyle name="Normal 3 2 3 2 2 6 3" xfId="10998" xr:uid="{4138B584-61C6-4911-9EB5-FE4854214BEE}"/>
    <cellStyle name="Normal 3 2 3 2 2 7" xfId="4715" xr:uid="{00000000-0005-0000-0000-000093110000}"/>
    <cellStyle name="Normal 3 2 3 2 2 7 2" xfId="13150" xr:uid="{25B35E31-B084-44C7-A892-A2D71CBB1682}"/>
    <cellStyle name="Normal 3 2 3 2 2 8" xfId="8932" xr:uid="{BC32886B-EE26-46C8-89C4-F50773299399}"/>
    <cellStyle name="Normal 3 2 3 2 3" xfId="813" xr:uid="{00000000-0005-0000-0000-000094110000}"/>
    <cellStyle name="Normal 3 2 3 2 3 2" xfId="3050" xr:uid="{00000000-0005-0000-0000-000095110000}"/>
    <cellStyle name="Normal 3 2 3 2 3 2 2" xfId="7273" xr:uid="{00000000-0005-0000-0000-000096110000}"/>
    <cellStyle name="Normal 3 2 3 2 3 2 2 2" xfId="15708" xr:uid="{2968389C-AA4A-41D3-BF0D-1BEC80475598}"/>
    <cellStyle name="Normal 3 2 3 2 3 2 3" xfId="11490" xr:uid="{0CFBB2BE-6445-4A8A-BEAC-4D41585DA030}"/>
    <cellStyle name="Normal 3 2 3 2 3 3" xfId="5128" xr:uid="{00000000-0005-0000-0000-000097110000}"/>
    <cellStyle name="Normal 3 2 3 2 3 3 2" xfId="13563" xr:uid="{863711F3-47DE-4C7A-B4F3-52C66B3EF68E}"/>
    <cellStyle name="Normal 3 2 3 2 3 4" xfId="9345" xr:uid="{02C9A800-EA02-4888-ABD9-83F178CD9B4D}"/>
    <cellStyle name="Normal 3 2 3 2 4" xfId="1233" xr:uid="{00000000-0005-0000-0000-000098110000}"/>
    <cellStyle name="Normal 3 2 3 2 4 2" xfId="3463" xr:uid="{00000000-0005-0000-0000-000099110000}"/>
    <cellStyle name="Normal 3 2 3 2 4 2 2" xfId="7686" xr:uid="{00000000-0005-0000-0000-00009A110000}"/>
    <cellStyle name="Normal 3 2 3 2 4 2 2 2" xfId="16121" xr:uid="{81CC7B3C-19C3-4A11-82FE-E8ECBFF71399}"/>
    <cellStyle name="Normal 3 2 3 2 4 2 3" xfId="11903" xr:uid="{AAC8F3C0-5D80-4C67-AEB0-1172A1B3DCF4}"/>
    <cellStyle name="Normal 3 2 3 2 4 3" xfId="5541" xr:uid="{00000000-0005-0000-0000-00009B110000}"/>
    <cellStyle name="Normal 3 2 3 2 4 3 2" xfId="13976" xr:uid="{667B1782-AD8C-4FB7-8DB2-95C7DF37BA68}"/>
    <cellStyle name="Normal 3 2 3 2 4 4" xfId="9758" xr:uid="{BAA0F681-99A3-4548-8E3F-DBA6D7D89D75}"/>
    <cellStyle name="Normal 3 2 3 2 5" xfId="1646" xr:uid="{00000000-0005-0000-0000-00009C110000}"/>
    <cellStyle name="Normal 3 2 3 2 5 2" xfId="3876" xr:uid="{00000000-0005-0000-0000-00009D110000}"/>
    <cellStyle name="Normal 3 2 3 2 5 2 2" xfId="8099" xr:uid="{00000000-0005-0000-0000-00009E110000}"/>
    <cellStyle name="Normal 3 2 3 2 5 2 2 2" xfId="16534" xr:uid="{E167DE9B-96D2-45C3-8965-956DA487BD62}"/>
    <cellStyle name="Normal 3 2 3 2 5 2 3" xfId="12316" xr:uid="{9EAC2F4F-D57D-46F1-8BC7-12A8219ED7C8}"/>
    <cellStyle name="Normal 3 2 3 2 5 3" xfId="5954" xr:uid="{00000000-0005-0000-0000-00009F110000}"/>
    <cellStyle name="Normal 3 2 3 2 5 3 2" xfId="14389" xr:uid="{8D9578A9-6FFA-4754-BF5B-3489892D74D5}"/>
    <cellStyle name="Normal 3 2 3 2 5 4" xfId="10171" xr:uid="{C3BB5615-B384-4DC6-9BD7-A4D46830F8BE}"/>
    <cellStyle name="Normal 3 2 3 2 6" xfId="2060" xr:uid="{00000000-0005-0000-0000-0000A0110000}"/>
    <cellStyle name="Normal 3 2 3 2 6 2" xfId="4289" xr:uid="{00000000-0005-0000-0000-0000A1110000}"/>
    <cellStyle name="Normal 3 2 3 2 6 2 2" xfId="8512" xr:uid="{00000000-0005-0000-0000-0000A2110000}"/>
    <cellStyle name="Normal 3 2 3 2 6 2 2 2" xfId="16947" xr:uid="{D038A75F-DCF2-4987-8FBE-F9EBE36948E0}"/>
    <cellStyle name="Normal 3 2 3 2 6 2 3" xfId="12729" xr:uid="{52740302-B43C-4A0C-B5B7-52F3C2AD989E}"/>
    <cellStyle name="Normal 3 2 3 2 6 3" xfId="6367" xr:uid="{00000000-0005-0000-0000-0000A3110000}"/>
    <cellStyle name="Normal 3 2 3 2 6 3 2" xfId="14802" xr:uid="{9131A4DD-773B-4867-B01B-66011321E2F7}"/>
    <cellStyle name="Normal 3 2 3 2 6 4" xfId="10584" xr:uid="{529E1A19-3E3D-477E-B95B-4664EA3202B3}"/>
    <cellStyle name="Normal 3 2 3 2 7" xfId="2496" xr:uid="{00000000-0005-0000-0000-0000A4110000}"/>
    <cellStyle name="Normal 3 2 3 2 7 2" xfId="6780" xr:uid="{00000000-0005-0000-0000-0000A5110000}"/>
    <cellStyle name="Normal 3 2 3 2 7 2 2" xfId="15215" xr:uid="{06EDDD3E-67F2-4CA5-8D69-6B1264EB04EB}"/>
    <cellStyle name="Normal 3 2 3 2 7 3" xfId="10997" xr:uid="{5855A003-2F00-4248-B624-3010DC1F5B5E}"/>
    <cellStyle name="Normal 3 2 3 2 8" xfId="4714" xr:uid="{00000000-0005-0000-0000-0000A6110000}"/>
    <cellStyle name="Normal 3 2 3 2 8 2" xfId="13149" xr:uid="{3A2533D5-1917-43A1-97FD-096723C7FA70}"/>
    <cellStyle name="Normal 3 2 3 2 9" xfId="8931" xr:uid="{3E0D9737-83B5-4FDE-930C-12BF81CC705D}"/>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2 2 2" xfId="15710" xr:uid="{6F2DD049-6343-407D-8A67-1673FFEF1200}"/>
    <cellStyle name="Normal 3 2 3 3 2 2 3" xfId="11492" xr:uid="{C2FAE022-EE25-4787-9362-0DC184099475}"/>
    <cellStyle name="Normal 3 2 3 3 2 3" xfId="5130" xr:uid="{00000000-0005-0000-0000-0000AB110000}"/>
    <cellStyle name="Normal 3 2 3 3 2 3 2" xfId="13565" xr:uid="{BEB43869-293B-45CA-9AA6-28B8254ECD4C}"/>
    <cellStyle name="Normal 3 2 3 3 2 4" xfId="9347" xr:uid="{FCF7C788-5291-4911-B27E-5B5473353B34}"/>
    <cellStyle name="Normal 3 2 3 3 3" xfId="1235" xr:uid="{00000000-0005-0000-0000-0000AC110000}"/>
    <cellStyle name="Normal 3 2 3 3 3 2" xfId="3465" xr:uid="{00000000-0005-0000-0000-0000AD110000}"/>
    <cellStyle name="Normal 3 2 3 3 3 2 2" xfId="7688" xr:uid="{00000000-0005-0000-0000-0000AE110000}"/>
    <cellStyle name="Normal 3 2 3 3 3 2 2 2" xfId="16123" xr:uid="{476161DF-17A4-417A-AC18-2574CDDC3B02}"/>
    <cellStyle name="Normal 3 2 3 3 3 2 3" xfId="11905" xr:uid="{4985EDA1-193C-4DCC-B647-AA3C063327EA}"/>
    <cellStyle name="Normal 3 2 3 3 3 3" xfId="5543" xr:uid="{00000000-0005-0000-0000-0000AF110000}"/>
    <cellStyle name="Normal 3 2 3 3 3 3 2" xfId="13978" xr:uid="{997DE1D4-F5D7-4C13-821D-48C7524CF729}"/>
    <cellStyle name="Normal 3 2 3 3 3 4" xfId="9760" xr:uid="{D5458126-3AE5-4B44-ADC5-65E962CC2312}"/>
    <cellStyle name="Normal 3 2 3 3 4" xfId="1648" xr:uid="{00000000-0005-0000-0000-0000B0110000}"/>
    <cellStyle name="Normal 3 2 3 3 4 2" xfId="3878" xr:uid="{00000000-0005-0000-0000-0000B1110000}"/>
    <cellStyle name="Normal 3 2 3 3 4 2 2" xfId="8101" xr:uid="{00000000-0005-0000-0000-0000B2110000}"/>
    <cellStyle name="Normal 3 2 3 3 4 2 2 2" xfId="16536" xr:uid="{DB66358E-9AA6-4CCC-9828-3BF660C35369}"/>
    <cellStyle name="Normal 3 2 3 3 4 2 3" xfId="12318" xr:uid="{BEBC9BF9-4830-49DD-9061-A8C2A3759505}"/>
    <cellStyle name="Normal 3 2 3 3 4 3" xfId="5956" xr:uid="{00000000-0005-0000-0000-0000B3110000}"/>
    <cellStyle name="Normal 3 2 3 3 4 3 2" xfId="14391" xr:uid="{E5D46FF9-4423-4E5A-9A44-9C5E87E8C1FA}"/>
    <cellStyle name="Normal 3 2 3 3 4 4" xfId="10173" xr:uid="{45E0ACA0-D2FC-449F-9216-328C068A5AED}"/>
    <cellStyle name="Normal 3 2 3 3 5" xfId="2062" xr:uid="{00000000-0005-0000-0000-0000B4110000}"/>
    <cellStyle name="Normal 3 2 3 3 5 2" xfId="4291" xr:uid="{00000000-0005-0000-0000-0000B5110000}"/>
    <cellStyle name="Normal 3 2 3 3 5 2 2" xfId="8514" xr:uid="{00000000-0005-0000-0000-0000B6110000}"/>
    <cellStyle name="Normal 3 2 3 3 5 2 2 2" xfId="16949" xr:uid="{E53A4F93-2C4B-4F91-A309-CBB829D0ED9A}"/>
    <cellStyle name="Normal 3 2 3 3 5 2 3" xfId="12731" xr:uid="{517FA4A7-1A96-4DCC-B3E4-0E6503285859}"/>
    <cellStyle name="Normal 3 2 3 3 5 3" xfId="6369" xr:uid="{00000000-0005-0000-0000-0000B7110000}"/>
    <cellStyle name="Normal 3 2 3 3 5 3 2" xfId="14804" xr:uid="{D343DA45-689A-4179-B2E5-38EC8213763F}"/>
    <cellStyle name="Normal 3 2 3 3 5 4" xfId="10586" xr:uid="{417089CC-6AAD-439D-9B9B-DD169D1F0EDA}"/>
    <cellStyle name="Normal 3 2 3 3 6" xfId="2498" xr:uid="{00000000-0005-0000-0000-0000B8110000}"/>
    <cellStyle name="Normal 3 2 3 3 6 2" xfId="6782" xr:uid="{00000000-0005-0000-0000-0000B9110000}"/>
    <cellStyle name="Normal 3 2 3 3 6 2 2" xfId="15217" xr:uid="{5B51D76E-3D23-4311-BA86-F631F899B3FC}"/>
    <cellStyle name="Normal 3 2 3 3 6 3" xfId="10999" xr:uid="{B19426BB-1CAC-43F6-BC0B-B1BD44490648}"/>
    <cellStyle name="Normal 3 2 3 3 7" xfId="4716" xr:uid="{00000000-0005-0000-0000-0000BA110000}"/>
    <cellStyle name="Normal 3 2 3 3 7 2" xfId="13151" xr:uid="{3F7470DD-814A-4161-A771-5C63DF4CC06D}"/>
    <cellStyle name="Normal 3 2 3 3 8" xfId="8933" xr:uid="{530670FF-A3AA-4E23-8820-C2B2F073AE27}"/>
    <cellStyle name="Normal 3 2 3 4" xfId="812" xr:uid="{00000000-0005-0000-0000-0000BB110000}"/>
    <cellStyle name="Normal 3 2 3 4 2" xfId="3049" xr:uid="{00000000-0005-0000-0000-0000BC110000}"/>
    <cellStyle name="Normal 3 2 3 4 2 2" xfId="7272" xr:uid="{00000000-0005-0000-0000-0000BD110000}"/>
    <cellStyle name="Normal 3 2 3 4 2 2 2" xfId="15707" xr:uid="{D75E6038-20EA-4547-8477-128649BB9201}"/>
    <cellStyle name="Normal 3 2 3 4 2 3" xfId="11489" xr:uid="{A7C9A353-7561-44C5-8C84-FA0DAD71F9C0}"/>
    <cellStyle name="Normal 3 2 3 4 3" xfId="5127" xr:uid="{00000000-0005-0000-0000-0000BE110000}"/>
    <cellStyle name="Normal 3 2 3 4 3 2" xfId="13562" xr:uid="{BE3A887D-1E08-4337-A353-6897FBA0AD6C}"/>
    <cellStyle name="Normal 3 2 3 4 4" xfId="9344" xr:uid="{3F3B24F1-FC7E-4075-9244-E291244B7CD1}"/>
    <cellStyle name="Normal 3 2 3 5" xfId="1232" xr:uid="{00000000-0005-0000-0000-0000BF110000}"/>
    <cellStyle name="Normal 3 2 3 5 2" xfId="3462" xr:uid="{00000000-0005-0000-0000-0000C0110000}"/>
    <cellStyle name="Normal 3 2 3 5 2 2" xfId="7685" xr:uid="{00000000-0005-0000-0000-0000C1110000}"/>
    <cellStyle name="Normal 3 2 3 5 2 2 2" xfId="16120" xr:uid="{EEAF08C9-6209-4770-9AE2-75DBE3516765}"/>
    <cellStyle name="Normal 3 2 3 5 2 3" xfId="11902" xr:uid="{6BAFCF98-0EF6-4879-A606-C8FBF7BD6919}"/>
    <cellStyle name="Normal 3 2 3 5 3" xfId="5540" xr:uid="{00000000-0005-0000-0000-0000C2110000}"/>
    <cellStyle name="Normal 3 2 3 5 3 2" xfId="13975" xr:uid="{AC33E6C0-433B-42AB-B39E-2A2920FA6E38}"/>
    <cellStyle name="Normal 3 2 3 5 4" xfId="9757" xr:uid="{1B24BF3E-0C69-4709-A017-3353955EB1AC}"/>
    <cellStyle name="Normal 3 2 3 6" xfId="1645" xr:uid="{00000000-0005-0000-0000-0000C3110000}"/>
    <cellStyle name="Normal 3 2 3 6 2" xfId="3875" xr:uid="{00000000-0005-0000-0000-0000C4110000}"/>
    <cellStyle name="Normal 3 2 3 6 2 2" xfId="8098" xr:uid="{00000000-0005-0000-0000-0000C5110000}"/>
    <cellStyle name="Normal 3 2 3 6 2 2 2" xfId="16533" xr:uid="{2BEE6421-0EAF-431F-A5C0-B343CBC91C6D}"/>
    <cellStyle name="Normal 3 2 3 6 2 3" xfId="12315" xr:uid="{739EA93E-9CFA-4753-9BCF-04BAF08376D4}"/>
    <cellStyle name="Normal 3 2 3 6 3" xfId="5953" xr:uid="{00000000-0005-0000-0000-0000C6110000}"/>
    <cellStyle name="Normal 3 2 3 6 3 2" xfId="14388" xr:uid="{E1A07DF8-3F9D-43D8-ACCF-C64B4814A11D}"/>
    <cellStyle name="Normal 3 2 3 6 4" xfId="10170" xr:uid="{AA7DD720-FDE5-4E30-9780-728E2A36AA29}"/>
    <cellStyle name="Normal 3 2 3 7" xfId="2059" xr:uid="{00000000-0005-0000-0000-0000C7110000}"/>
    <cellStyle name="Normal 3 2 3 7 2" xfId="4288" xr:uid="{00000000-0005-0000-0000-0000C8110000}"/>
    <cellStyle name="Normal 3 2 3 7 2 2" xfId="8511" xr:uid="{00000000-0005-0000-0000-0000C9110000}"/>
    <cellStyle name="Normal 3 2 3 7 2 2 2" xfId="16946" xr:uid="{0F7FF47C-8590-4142-B6BB-116045826E00}"/>
    <cellStyle name="Normal 3 2 3 7 2 3" xfId="12728" xr:uid="{E1E7B19B-8F03-4A91-94F0-066C85C8A5E4}"/>
    <cellStyle name="Normal 3 2 3 7 3" xfId="6366" xr:uid="{00000000-0005-0000-0000-0000CA110000}"/>
    <cellStyle name="Normal 3 2 3 7 3 2" xfId="14801" xr:uid="{93FE3B20-AFE9-4738-9331-AE20103E3FD5}"/>
    <cellStyle name="Normal 3 2 3 7 4" xfId="10583" xr:uid="{FA396ED3-8D55-4D56-9C07-4D563E3CF762}"/>
    <cellStyle name="Normal 3 2 3 8" xfId="2495" xr:uid="{00000000-0005-0000-0000-0000CB110000}"/>
    <cellStyle name="Normal 3 2 3 8 2" xfId="6779" xr:uid="{00000000-0005-0000-0000-0000CC110000}"/>
    <cellStyle name="Normal 3 2 3 8 2 2" xfId="15214" xr:uid="{39A0D47E-6A0B-4E8C-A6E2-622E3A7DB3C0}"/>
    <cellStyle name="Normal 3 2 3 8 3" xfId="10996" xr:uid="{7CFCC22C-9028-45CA-B945-00E203B20AE1}"/>
    <cellStyle name="Normal 3 2 3 9" xfId="4713" xr:uid="{00000000-0005-0000-0000-0000CD110000}"/>
    <cellStyle name="Normal 3 2 3 9 2" xfId="13148" xr:uid="{A8F0E87A-7D40-48A1-B221-F91F41689DE0}"/>
    <cellStyle name="Normal 3 2 4" xfId="810" xr:uid="{00000000-0005-0000-0000-0000CE110000}"/>
    <cellStyle name="Normal 3 2 4 2" xfId="3048" xr:uid="{00000000-0005-0000-0000-0000CF110000}"/>
    <cellStyle name="Normal 3 2 4 2 2" xfId="7271" xr:uid="{00000000-0005-0000-0000-0000D0110000}"/>
    <cellStyle name="Normal 3 2 4 2 2 2" xfId="15706" xr:uid="{FBB0BFFE-B1E3-43C8-BBF9-E89394275365}"/>
    <cellStyle name="Normal 3 2 4 2 3" xfId="11488" xr:uid="{9EC7EC45-D4D4-47F9-88A2-0BED23AE6901}"/>
    <cellStyle name="Normal 3 2 4 3" xfId="5126" xr:uid="{00000000-0005-0000-0000-0000D1110000}"/>
    <cellStyle name="Normal 3 2 4 3 2" xfId="13561" xr:uid="{56738116-EB3C-47EC-B8C8-0766CC9AA4B7}"/>
    <cellStyle name="Normal 3 2 4 4" xfId="9343" xr:uid="{D32EC8EC-1E56-42E6-9425-FE2F14E090B5}"/>
    <cellStyle name="Normal 3 2 5" xfId="1231" xr:uid="{00000000-0005-0000-0000-0000D2110000}"/>
    <cellStyle name="Normal 3 2 5 2" xfId="3461" xr:uid="{00000000-0005-0000-0000-0000D3110000}"/>
    <cellStyle name="Normal 3 2 5 2 2" xfId="7684" xr:uid="{00000000-0005-0000-0000-0000D4110000}"/>
    <cellStyle name="Normal 3 2 5 2 2 2" xfId="16119" xr:uid="{7130851A-892F-488E-B7E8-F9738E962545}"/>
    <cellStyle name="Normal 3 2 5 2 3" xfId="11901" xr:uid="{EFEDF79C-20D2-4C07-A388-A3764493B286}"/>
    <cellStyle name="Normal 3 2 5 3" xfId="5539" xr:uid="{00000000-0005-0000-0000-0000D5110000}"/>
    <cellStyle name="Normal 3 2 5 3 2" xfId="13974" xr:uid="{CDF2640C-24BB-4B81-B09C-9CA1BEB5381F}"/>
    <cellStyle name="Normal 3 2 5 4" xfId="9756" xr:uid="{7A57FAEE-4D9B-46A8-8669-64C3AC1417F5}"/>
    <cellStyle name="Normal 3 2 6" xfId="1644" xr:uid="{00000000-0005-0000-0000-0000D6110000}"/>
    <cellStyle name="Normal 3 2 6 2" xfId="3874" xr:uid="{00000000-0005-0000-0000-0000D7110000}"/>
    <cellStyle name="Normal 3 2 6 2 2" xfId="8097" xr:uid="{00000000-0005-0000-0000-0000D8110000}"/>
    <cellStyle name="Normal 3 2 6 2 2 2" xfId="16532" xr:uid="{42AAA97B-A3E7-4EFA-8C13-4A5C93325B0F}"/>
    <cellStyle name="Normal 3 2 6 2 3" xfId="12314" xr:uid="{6E3664F5-55ED-494F-93CE-CDBB93E53C1D}"/>
    <cellStyle name="Normal 3 2 6 3" xfId="5952" xr:uid="{00000000-0005-0000-0000-0000D9110000}"/>
    <cellStyle name="Normal 3 2 6 3 2" xfId="14387" xr:uid="{F09EA76C-0673-4284-A69E-450CD2835016}"/>
    <cellStyle name="Normal 3 2 6 4" xfId="10169" xr:uid="{0FA1F5C9-20F1-47C3-A748-CAFFC3F86BA7}"/>
    <cellStyle name="Normal 3 2 7" xfId="2058" xr:uid="{00000000-0005-0000-0000-0000DA110000}"/>
    <cellStyle name="Normal 3 2 7 2" xfId="4287" xr:uid="{00000000-0005-0000-0000-0000DB110000}"/>
    <cellStyle name="Normal 3 2 7 2 2" xfId="8510" xr:uid="{00000000-0005-0000-0000-0000DC110000}"/>
    <cellStyle name="Normal 3 2 7 2 2 2" xfId="16945" xr:uid="{B39CA021-69CE-4A78-9745-2B31D2726EB8}"/>
    <cellStyle name="Normal 3 2 7 2 3" xfId="12727" xr:uid="{A5EB1351-5137-48E5-A0D5-37435BDC1061}"/>
    <cellStyle name="Normal 3 2 7 3" xfId="6365" xr:uid="{00000000-0005-0000-0000-0000DD110000}"/>
    <cellStyle name="Normal 3 2 7 3 2" xfId="14800" xr:uid="{EDE36FC7-F6D9-42F0-9D2A-9B61D37193F8}"/>
    <cellStyle name="Normal 3 2 7 4" xfId="10582" xr:uid="{6B98686B-7F70-4E2A-BA2A-C0430948FB84}"/>
    <cellStyle name="Normal 3 2 8" xfId="2494" xr:uid="{00000000-0005-0000-0000-0000DE110000}"/>
    <cellStyle name="Normal 3 2 8 2" xfId="6778" xr:uid="{00000000-0005-0000-0000-0000DF110000}"/>
    <cellStyle name="Normal 3 2 8 2 2" xfId="15213" xr:uid="{1A8A83DE-1DBE-4034-8112-B8E28AB5811D}"/>
    <cellStyle name="Normal 3 2 8 3" xfId="10995" xr:uid="{D0219B22-BD51-4917-870A-F5E36CA9E7C4}"/>
    <cellStyle name="Normal 3 2 9" xfId="4712" xr:uid="{00000000-0005-0000-0000-0000E0110000}"/>
    <cellStyle name="Normal 3 2 9 2" xfId="13147" xr:uid="{4A96E592-651F-4EDA-A8DF-BEEBB8C1ACDE}"/>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10" xfId="8934" xr:uid="{76DB5231-2D32-451A-AA11-EA414468407C}"/>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2 2 2" xfId="16950" xr:uid="{D5037143-9119-453A-9CC2-D9D9CF83FBB7}"/>
    <cellStyle name="Normal 4 2 2 10 2 3" xfId="12732" xr:uid="{9A8FFE04-A12F-4AA3-B770-C2B5E5976E8E}"/>
    <cellStyle name="Normal 4 2 2 10 3" xfId="6370" xr:uid="{00000000-0005-0000-0000-0000ED110000}"/>
    <cellStyle name="Normal 4 2 2 10 3 2" xfId="14805" xr:uid="{7017A680-BEB1-4BB2-8415-5BA4EB27412B}"/>
    <cellStyle name="Normal 4 2 2 10 4" xfId="10587" xr:uid="{02984BE1-8A51-4FC5-8C27-60C856600380}"/>
    <cellStyle name="Normal 4 2 2 11" xfId="2499" xr:uid="{00000000-0005-0000-0000-0000EE110000}"/>
    <cellStyle name="Normal 4 2 2 11 2" xfId="6783" xr:uid="{00000000-0005-0000-0000-0000EF110000}"/>
    <cellStyle name="Normal 4 2 2 11 2 2" xfId="15218" xr:uid="{96712E2F-23EF-420F-B14D-79825D38E305}"/>
    <cellStyle name="Normal 4 2 2 11 3" xfId="11000" xr:uid="{1BCD2B46-C61B-4003-A597-BBEFA921B20D}"/>
    <cellStyle name="Normal 4 2 2 12" xfId="4718" xr:uid="{00000000-0005-0000-0000-0000F0110000}"/>
    <cellStyle name="Normal 4 2 2 12 2" xfId="13153" xr:uid="{3E9739B4-D454-4A91-A462-77DAE212D20C}"/>
    <cellStyle name="Normal 4 2 2 13" xfId="8935" xr:uid="{25E8CAC1-A98D-446E-BC49-EAD495A1CBC9}"/>
    <cellStyle name="Normal 4 2 2 2" xfId="338" xr:uid="{00000000-0005-0000-0000-0000F1110000}"/>
    <cellStyle name="Normal 4 2 2 3" xfId="339" xr:uid="{00000000-0005-0000-0000-0000F2110000}"/>
    <cellStyle name="Normal 4 2 2 3 10" xfId="4719" xr:uid="{00000000-0005-0000-0000-0000F3110000}"/>
    <cellStyle name="Normal 4 2 2 3 10 2" xfId="13154" xr:uid="{A9D162B9-1F41-4C76-8058-3A6A15483BF8}"/>
    <cellStyle name="Normal 4 2 2 3 11" xfId="8936" xr:uid="{99E67915-E191-4469-BB20-029A32E37A6A}"/>
    <cellStyle name="Normal 4 2 2 3 2" xfId="340" xr:uid="{00000000-0005-0000-0000-0000F4110000}"/>
    <cellStyle name="Normal 4 2 2 3 2 10" xfId="8937" xr:uid="{774C5477-4AEA-45D9-9883-4215F739C8C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2 2 2" xfId="15715" xr:uid="{D87D8E77-B823-477E-A9A8-AC7D96758E36}"/>
    <cellStyle name="Normal 4 2 2 3 2 2 2 2 2 3" xfId="11497" xr:uid="{3C6DA087-CAFC-4C1D-B76C-5C5D92507B90}"/>
    <cellStyle name="Normal 4 2 2 3 2 2 2 2 3" xfId="5135" xr:uid="{00000000-0005-0000-0000-0000FA110000}"/>
    <cellStyle name="Normal 4 2 2 3 2 2 2 2 3 2" xfId="13570" xr:uid="{D2CA3171-EC50-46D4-A909-369844189EAE}"/>
    <cellStyle name="Normal 4 2 2 3 2 2 2 2 4" xfId="9352" xr:uid="{5203163B-02CF-46F2-A910-D3B098707773}"/>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2 2 2" xfId="16128" xr:uid="{C7BE1D38-E6DC-4BFC-A3AC-F752A1B70D85}"/>
    <cellStyle name="Normal 4 2 2 3 2 2 2 3 2 3" xfId="11910" xr:uid="{4E360775-8DD0-45A5-BEFC-41056E05A1CA}"/>
    <cellStyle name="Normal 4 2 2 3 2 2 2 3 3" xfId="5548" xr:uid="{00000000-0005-0000-0000-0000FE110000}"/>
    <cellStyle name="Normal 4 2 2 3 2 2 2 3 3 2" xfId="13983" xr:uid="{30BF7102-0B5B-4FB7-8310-50F01F3F2E1F}"/>
    <cellStyle name="Normal 4 2 2 3 2 2 2 3 4" xfId="9765" xr:uid="{0D63340F-6CAC-46D9-92B2-1A23D7FB7566}"/>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2 2 2" xfId="16541" xr:uid="{0ABB8A39-58E0-4137-B368-8BCEE677209E}"/>
    <cellStyle name="Normal 4 2 2 3 2 2 2 4 2 3" xfId="12323" xr:uid="{D5210825-5D63-43AA-A760-D401AD55443E}"/>
    <cellStyle name="Normal 4 2 2 3 2 2 2 4 3" xfId="5961" xr:uid="{00000000-0005-0000-0000-000002120000}"/>
    <cellStyle name="Normal 4 2 2 3 2 2 2 4 3 2" xfId="14396" xr:uid="{4F43497A-1292-4491-89FC-12592B961ABC}"/>
    <cellStyle name="Normal 4 2 2 3 2 2 2 4 4" xfId="10178" xr:uid="{8073A039-53BC-44C2-9065-AA7C4327F0B6}"/>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2 2 2" xfId="16954" xr:uid="{7FEE625A-0A1F-47BC-83FC-13A5625F25AC}"/>
    <cellStyle name="Normal 4 2 2 3 2 2 2 5 2 3" xfId="12736" xr:uid="{5182A477-918F-4021-BA7F-67BC5A322E3F}"/>
    <cellStyle name="Normal 4 2 2 3 2 2 2 5 3" xfId="6374" xr:uid="{00000000-0005-0000-0000-000006120000}"/>
    <cellStyle name="Normal 4 2 2 3 2 2 2 5 3 2" xfId="14809" xr:uid="{E3A8954A-DA04-465A-A509-D2CC02E9C99C}"/>
    <cellStyle name="Normal 4 2 2 3 2 2 2 5 4" xfId="10591" xr:uid="{39636AD6-14F3-473A-9407-64A2020BD68A}"/>
    <cellStyle name="Normal 4 2 2 3 2 2 2 6" xfId="2503" xr:uid="{00000000-0005-0000-0000-000007120000}"/>
    <cellStyle name="Normal 4 2 2 3 2 2 2 6 2" xfId="6787" xr:uid="{00000000-0005-0000-0000-000008120000}"/>
    <cellStyle name="Normal 4 2 2 3 2 2 2 6 2 2" xfId="15222" xr:uid="{98DB3D75-C07E-4F23-983C-F17188BD6C66}"/>
    <cellStyle name="Normal 4 2 2 3 2 2 2 6 3" xfId="11004" xr:uid="{E04D6091-83FB-4C83-9BA5-465D0E3AC905}"/>
    <cellStyle name="Normal 4 2 2 3 2 2 2 7" xfId="4722" xr:uid="{00000000-0005-0000-0000-000009120000}"/>
    <cellStyle name="Normal 4 2 2 3 2 2 2 7 2" xfId="13157" xr:uid="{EAF97AFE-C80A-48E4-B022-48C01D61BE67}"/>
    <cellStyle name="Normal 4 2 2 3 2 2 2 8" xfId="8939" xr:uid="{0834E577-38D7-4BF9-8A93-16232A14CDE3}"/>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2 2 2" xfId="15714" xr:uid="{9D4C5070-46A6-47F5-A185-170A7D10E2FA}"/>
    <cellStyle name="Normal 4 2 2 3 2 2 3 2 3" xfId="11496" xr:uid="{8CEE65FE-52D8-44FE-B719-D1B6FD0BCBE3}"/>
    <cellStyle name="Normal 4 2 2 3 2 2 3 3" xfId="5134" xr:uid="{00000000-0005-0000-0000-00000D120000}"/>
    <cellStyle name="Normal 4 2 2 3 2 2 3 3 2" xfId="13569" xr:uid="{9881727E-A577-4660-A80D-D391186F8904}"/>
    <cellStyle name="Normal 4 2 2 3 2 2 3 4" xfId="9351" xr:uid="{637C7E8E-BDDB-45B5-9269-655A498E1093}"/>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2 2 2" xfId="16127" xr:uid="{4B7728B5-1055-461F-9936-CF599DD629C6}"/>
    <cellStyle name="Normal 4 2 2 3 2 2 4 2 3" xfId="11909" xr:uid="{DCE90CF8-5297-4FE9-8D58-8BB4592D6659}"/>
    <cellStyle name="Normal 4 2 2 3 2 2 4 3" xfId="5547" xr:uid="{00000000-0005-0000-0000-000011120000}"/>
    <cellStyle name="Normal 4 2 2 3 2 2 4 3 2" xfId="13982" xr:uid="{980D6AF1-FFF0-4AC8-BAA1-AA97FF47A1CC}"/>
    <cellStyle name="Normal 4 2 2 3 2 2 4 4" xfId="9764" xr:uid="{D63BF8CD-32C6-4005-9597-6919D3671A68}"/>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2 2 2" xfId="16540" xr:uid="{668F927F-AFE0-4931-B396-168418952F80}"/>
    <cellStyle name="Normal 4 2 2 3 2 2 5 2 3" xfId="12322" xr:uid="{EB9D9814-4773-4691-83C3-B5A0167334FD}"/>
    <cellStyle name="Normal 4 2 2 3 2 2 5 3" xfId="5960" xr:uid="{00000000-0005-0000-0000-000015120000}"/>
    <cellStyle name="Normal 4 2 2 3 2 2 5 3 2" xfId="14395" xr:uid="{93198335-1854-4D5F-A40F-E691F295E65B}"/>
    <cellStyle name="Normal 4 2 2 3 2 2 5 4" xfId="10177" xr:uid="{7EBB4952-A823-4825-B4A0-5353E076D5F8}"/>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2 2 2" xfId="16953" xr:uid="{ACACB019-3CC1-4ED2-92CC-296EBF5AE1B8}"/>
    <cellStyle name="Normal 4 2 2 3 2 2 6 2 3" xfId="12735" xr:uid="{4139AA26-CFA9-4F2A-8D04-44D47B738B1B}"/>
    <cellStyle name="Normal 4 2 2 3 2 2 6 3" xfId="6373" xr:uid="{00000000-0005-0000-0000-000019120000}"/>
    <cellStyle name="Normal 4 2 2 3 2 2 6 3 2" xfId="14808" xr:uid="{8EE79A0A-6FCD-42E8-B937-0304730C5FFC}"/>
    <cellStyle name="Normal 4 2 2 3 2 2 6 4" xfId="10590" xr:uid="{97E51275-7D0D-4EDD-BD8D-68576F9FA704}"/>
    <cellStyle name="Normal 4 2 2 3 2 2 7" xfId="2502" xr:uid="{00000000-0005-0000-0000-00001A120000}"/>
    <cellStyle name="Normal 4 2 2 3 2 2 7 2" xfId="6786" xr:uid="{00000000-0005-0000-0000-00001B120000}"/>
    <cellStyle name="Normal 4 2 2 3 2 2 7 2 2" xfId="15221" xr:uid="{0AFD3C05-9FA9-4A27-8555-B04D12C951B4}"/>
    <cellStyle name="Normal 4 2 2 3 2 2 7 3" xfId="11003" xr:uid="{4DFD75AD-CEAD-4C77-8750-A4181F4C3191}"/>
    <cellStyle name="Normal 4 2 2 3 2 2 8" xfId="4721" xr:uid="{00000000-0005-0000-0000-00001C120000}"/>
    <cellStyle name="Normal 4 2 2 3 2 2 8 2" xfId="13156" xr:uid="{EA9F6803-14AB-40AA-BFA1-DC7DCFED0AD7}"/>
    <cellStyle name="Normal 4 2 2 3 2 2 9" xfId="8938" xr:uid="{BE2F915D-A2F7-41B0-901D-B027A1AC5FC7}"/>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2 2 2" xfId="15716" xr:uid="{D435DE5C-8ABD-4BA7-BC9D-1C3D4E716981}"/>
    <cellStyle name="Normal 4 2 2 3 2 3 2 2 3" xfId="11498" xr:uid="{4DD1E2C8-9A67-424E-AFD1-609698DF8B55}"/>
    <cellStyle name="Normal 4 2 2 3 2 3 2 3" xfId="5136" xr:uid="{00000000-0005-0000-0000-000021120000}"/>
    <cellStyle name="Normal 4 2 2 3 2 3 2 3 2" xfId="13571" xr:uid="{14D0BADD-89E6-44D3-81D3-2AAE9010697E}"/>
    <cellStyle name="Normal 4 2 2 3 2 3 2 4" xfId="9353" xr:uid="{45B93E37-000B-4A10-ACF0-75FF76453C7B}"/>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2 2 2" xfId="16129" xr:uid="{984FA6DB-36D1-4EB9-9CE9-71E10357CE27}"/>
    <cellStyle name="Normal 4 2 2 3 2 3 3 2 3" xfId="11911" xr:uid="{E25D5289-330A-4C16-944F-816533714EB0}"/>
    <cellStyle name="Normal 4 2 2 3 2 3 3 3" xfId="5549" xr:uid="{00000000-0005-0000-0000-000025120000}"/>
    <cellStyle name="Normal 4 2 2 3 2 3 3 3 2" xfId="13984" xr:uid="{8DA75A38-E9EA-494C-88F6-7383CE96C245}"/>
    <cellStyle name="Normal 4 2 2 3 2 3 3 4" xfId="9766" xr:uid="{57432327-0AF5-4627-B83B-FE08E612C542}"/>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2 2 2" xfId="16542" xr:uid="{2EDCF462-C7B8-4922-81C7-AE649A5F7524}"/>
    <cellStyle name="Normal 4 2 2 3 2 3 4 2 3" xfId="12324" xr:uid="{984B067B-A5D1-4D2F-83A4-CDABA795883E}"/>
    <cellStyle name="Normal 4 2 2 3 2 3 4 3" xfId="5962" xr:uid="{00000000-0005-0000-0000-000029120000}"/>
    <cellStyle name="Normal 4 2 2 3 2 3 4 3 2" xfId="14397" xr:uid="{FCB136C5-7A58-4EF4-A7E8-DDFC6D933964}"/>
    <cellStyle name="Normal 4 2 2 3 2 3 4 4" xfId="10179" xr:uid="{CD688307-47F5-487F-9AA2-DCE9789B59CF}"/>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2 2 2" xfId="16955" xr:uid="{DC46DB0E-570D-45C6-888E-E790D821CB47}"/>
    <cellStyle name="Normal 4 2 2 3 2 3 5 2 3" xfId="12737" xr:uid="{02C06D5D-63B0-4E95-8609-455E5318476C}"/>
    <cellStyle name="Normal 4 2 2 3 2 3 5 3" xfId="6375" xr:uid="{00000000-0005-0000-0000-00002D120000}"/>
    <cellStyle name="Normal 4 2 2 3 2 3 5 3 2" xfId="14810" xr:uid="{ACA75A80-1712-4180-9115-367E012192E3}"/>
    <cellStyle name="Normal 4 2 2 3 2 3 5 4" xfId="10592" xr:uid="{B5E1B9B9-70F8-43A4-9B5A-39851CD42FAE}"/>
    <cellStyle name="Normal 4 2 2 3 2 3 6" xfId="2504" xr:uid="{00000000-0005-0000-0000-00002E120000}"/>
    <cellStyle name="Normal 4 2 2 3 2 3 6 2" xfId="6788" xr:uid="{00000000-0005-0000-0000-00002F120000}"/>
    <cellStyle name="Normal 4 2 2 3 2 3 6 2 2" xfId="15223" xr:uid="{58492055-342F-42EE-9A76-24C1B116C548}"/>
    <cellStyle name="Normal 4 2 2 3 2 3 6 3" xfId="11005" xr:uid="{9881220D-CEE7-4FAD-B5E0-5F0DA3D2FB5D}"/>
    <cellStyle name="Normal 4 2 2 3 2 3 7" xfId="4723" xr:uid="{00000000-0005-0000-0000-000030120000}"/>
    <cellStyle name="Normal 4 2 2 3 2 3 7 2" xfId="13158" xr:uid="{4E6F86C0-1516-427D-B804-B1AB1A1CA5AE}"/>
    <cellStyle name="Normal 4 2 2 3 2 3 8" xfId="8940" xr:uid="{685AE69E-3B81-4E5A-9242-781F9B28A732}"/>
    <cellStyle name="Normal 4 2 2 3 2 4" xfId="818" xr:uid="{00000000-0005-0000-0000-000031120000}"/>
    <cellStyle name="Normal 4 2 2 3 2 4 2" xfId="3055" xr:uid="{00000000-0005-0000-0000-000032120000}"/>
    <cellStyle name="Normal 4 2 2 3 2 4 2 2" xfId="7278" xr:uid="{00000000-0005-0000-0000-000033120000}"/>
    <cellStyle name="Normal 4 2 2 3 2 4 2 2 2" xfId="15713" xr:uid="{385359F2-DF9F-48D9-A11C-F788673BBF9B}"/>
    <cellStyle name="Normal 4 2 2 3 2 4 2 3" xfId="11495" xr:uid="{42170D8E-0F27-4D71-8DD2-71FA1D79EE3F}"/>
    <cellStyle name="Normal 4 2 2 3 2 4 3" xfId="5133" xr:uid="{00000000-0005-0000-0000-000034120000}"/>
    <cellStyle name="Normal 4 2 2 3 2 4 3 2" xfId="13568" xr:uid="{EE53F3DA-4D0A-4E9A-A5F7-B607E4FC224A}"/>
    <cellStyle name="Normal 4 2 2 3 2 4 4" xfId="9350" xr:uid="{584CC155-86DF-43D0-9A17-42CCFFF1CE38}"/>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2 2 2" xfId="16126" xr:uid="{BA3F091A-7156-4F2E-A780-88B9C4E238B3}"/>
    <cellStyle name="Normal 4 2 2 3 2 5 2 3" xfId="11908" xr:uid="{15024B9C-D715-44CC-BB16-DE67ED36FEA5}"/>
    <cellStyle name="Normal 4 2 2 3 2 5 3" xfId="5546" xr:uid="{00000000-0005-0000-0000-000038120000}"/>
    <cellStyle name="Normal 4 2 2 3 2 5 3 2" xfId="13981" xr:uid="{E54A9EDE-818C-4E36-90B6-D4797DA364F9}"/>
    <cellStyle name="Normal 4 2 2 3 2 5 4" xfId="9763" xr:uid="{211473BD-8F9A-46DA-B770-6962DCA7CD51}"/>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2 2 2" xfId="16539" xr:uid="{6032959E-5F5A-45E6-8E53-B5340FB41255}"/>
    <cellStyle name="Normal 4 2 2 3 2 6 2 3" xfId="12321" xr:uid="{C635D900-DF2A-4B9F-AB75-AA5BE18D4FDD}"/>
    <cellStyle name="Normal 4 2 2 3 2 6 3" xfId="5959" xr:uid="{00000000-0005-0000-0000-00003C120000}"/>
    <cellStyle name="Normal 4 2 2 3 2 6 3 2" xfId="14394" xr:uid="{328E46F8-8FF9-4754-A6F6-5F20D2BFB006}"/>
    <cellStyle name="Normal 4 2 2 3 2 6 4" xfId="10176" xr:uid="{A5A00694-DE2A-4327-94BD-E30299159CBC}"/>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2 2 2" xfId="16952" xr:uid="{F386C164-3CAE-4970-925D-80ADDC19524A}"/>
    <cellStyle name="Normal 4 2 2 3 2 7 2 3" xfId="12734" xr:uid="{4417D1F9-0ECD-4307-8956-0398A3B65875}"/>
    <cellStyle name="Normal 4 2 2 3 2 7 3" xfId="6372" xr:uid="{00000000-0005-0000-0000-000040120000}"/>
    <cellStyle name="Normal 4 2 2 3 2 7 3 2" xfId="14807" xr:uid="{636A9B11-7CB1-488C-A7B1-A3B60D33DF9C}"/>
    <cellStyle name="Normal 4 2 2 3 2 7 4" xfId="10589" xr:uid="{C14A8897-87C8-4F6D-BA7F-A07E5C7AFEA7}"/>
    <cellStyle name="Normal 4 2 2 3 2 8" xfId="2501" xr:uid="{00000000-0005-0000-0000-000041120000}"/>
    <cellStyle name="Normal 4 2 2 3 2 8 2" xfId="6785" xr:uid="{00000000-0005-0000-0000-000042120000}"/>
    <cellStyle name="Normal 4 2 2 3 2 8 2 2" xfId="15220" xr:uid="{6530D659-5188-4300-88FE-9AC1513642B2}"/>
    <cellStyle name="Normal 4 2 2 3 2 8 3" xfId="11002" xr:uid="{044D275F-C216-43AF-9471-D042F843CE1B}"/>
    <cellStyle name="Normal 4 2 2 3 2 9" xfId="4720" xr:uid="{00000000-0005-0000-0000-000043120000}"/>
    <cellStyle name="Normal 4 2 2 3 2 9 2" xfId="13155" xr:uid="{AC11F2AA-E00E-4687-A40B-F97ACCC86A4F}"/>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2 2 2" xfId="15718" xr:uid="{B186E13B-D95E-4F3A-962C-C978BF2E5250}"/>
    <cellStyle name="Normal 4 2 2 3 3 2 2 2 3" xfId="11500" xr:uid="{F0F9FA18-D388-406F-A715-FB28E54D5A9B}"/>
    <cellStyle name="Normal 4 2 2 3 3 2 2 3" xfId="5138" xr:uid="{00000000-0005-0000-0000-000049120000}"/>
    <cellStyle name="Normal 4 2 2 3 3 2 2 3 2" xfId="13573" xr:uid="{752F6E42-EDCB-4ADA-AB58-1ED2C0BB87C0}"/>
    <cellStyle name="Normal 4 2 2 3 3 2 2 4" xfId="9355" xr:uid="{3769F9E9-E686-4086-BE1D-23C399CC0E66}"/>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2 2 2" xfId="16131" xr:uid="{DACE03FF-A9A6-409E-A200-12567E3A490F}"/>
    <cellStyle name="Normal 4 2 2 3 3 2 3 2 3" xfId="11913" xr:uid="{B3204B6B-2860-48EF-B0CF-04AF2B6EC54C}"/>
    <cellStyle name="Normal 4 2 2 3 3 2 3 3" xfId="5551" xr:uid="{00000000-0005-0000-0000-00004D120000}"/>
    <cellStyle name="Normal 4 2 2 3 3 2 3 3 2" xfId="13986" xr:uid="{69ED0E07-85C3-4CD3-9B1F-279E1FDD11B3}"/>
    <cellStyle name="Normal 4 2 2 3 3 2 3 4" xfId="9768" xr:uid="{94713B60-4A8F-4E26-A077-90FC0952F2ED}"/>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2 2 2" xfId="16544" xr:uid="{94F0A545-19E1-4A68-B4B5-855257736CBE}"/>
    <cellStyle name="Normal 4 2 2 3 3 2 4 2 3" xfId="12326" xr:uid="{C11C1585-2915-4889-8B8A-929AC31A6D21}"/>
    <cellStyle name="Normal 4 2 2 3 3 2 4 3" xfId="5964" xr:uid="{00000000-0005-0000-0000-000051120000}"/>
    <cellStyle name="Normal 4 2 2 3 3 2 4 3 2" xfId="14399" xr:uid="{B4D093AC-0031-443A-B9EB-C3AF68DFBB16}"/>
    <cellStyle name="Normal 4 2 2 3 3 2 4 4" xfId="10181" xr:uid="{E3360440-E77B-46F8-B424-37E50B1CC337}"/>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2 2 2" xfId="16957" xr:uid="{B616CC58-586E-4112-89AC-F7A3DEB0FC14}"/>
    <cellStyle name="Normal 4 2 2 3 3 2 5 2 3" xfId="12739" xr:uid="{E6348D26-A8CD-4424-8C63-141294B3A609}"/>
    <cellStyle name="Normal 4 2 2 3 3 2 5 3" xfId="6377" xr:uid="{00000000-0005-0000-0000-000055120000}"/>
    <cellStyle name="Normal 4 2 2 3 3 2 5 3 2" xfId="14812" xr:uid="{1DA5E236-C2C0-4747-ABE0-55C0F10D5530}"/>
    <cellStyle name="Normal 4 2 2 3 3 2 5 4" xfId="10594" xr:uid="{EA87AA57-1D17-4D92-B0B8-6F9221265EC0}"/>
    <cellStyle name="Normal 4 2 2 3 3 2 6" xfId="2506" xr:uid="{00000000-0005-0000-0000-000056120000}"/>
    <cellStyle name="Normal 4 2 2 3 3 2 6 2" xfId="6790" xr:uid="{00000000-0005-0000-0000-000057120000}"/>
    <cellStyle name="Normal 4 2 2 3 3 2 6 2 2" xfId="15225" xr:uid="{0D787520-A09F-4D8B-9BD9-96B63BB1455B}"/>
    <cellStyle name="Normal 4 2 2 3 3 2 6 3" xfId="11007" xr:uid="{07941CDA-596F-4FE3-BED6-477C829F4563}"/>
    <cellStyle name="Normal 4 2 2 3 3 2 7" xfId="4725" xr:uid="{00000000-0005-0000-0000-000058120000}"/>
    <cellStyle name="Normal 4 2 2 3 3 2 7 2" xfId="13160" xr:uid="{09533D1A-6D95-4198-AD50-12FD10B9C501}"/>
    <cellStyle name="Normal 4 2 2 3 3 2 8" xfId="8942" xr:uid="{D63EB631-E24A-4279-A37C-73F8AF66C631}"/>
    <cellStyle name="Normal 4 2 2 3 3 3" xfId="822" xr:uid="{00000000-0005-0000-0000-000059120000}"/>
    <cellStyle name="Normal 4 2 2 3 3 3 2" xfId="3059" xr:uid="{00000000-0005-0000-0000-00005A120000}"/>
    <cellStyle name="Normal 4 2 2 3 3 3 2 2" xfId="7282" xr:uid="{00000000-0005-0000-0000-00005B120000}"/>
    <cellStyle name="Normal 4 2 2 3 3 3 2 2 2" xfId="15717" xr:uid="{C9487CF9-D9FC-490E-8D24-30A567946988}"/>
    <cellStyle name="Normal 4 2 2 3 3 3 2 3" xfId="11499" xr:uid="{694E3322-A31A-4EFA-9DA3-C5240F4B2091}"/>
    <cellStyle name="Normal 4 2 2 3 3 3 3" xfId="5137" xr:uid="{00000000-0005-0000-0000-00005C120000}"/>
    <cellStyle name="Normal 4 2 2 3 3 3 3 2" xfId="13572" xr:uid="{57D15204-3D61-4570-B5D9-15A106E7638A}"/>
    <cellStyle name="Normal 4 2 2 3 3 3 4" xfId="9354" xr:uid="{E005BE85-351B-4757-B544-FD3CD6C01278}"/>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2 2 2" xfId="16130" xr:uid="{8DC79B67-0698-4E2B-B7E1-CA081DFE66A9}"/>
    <cellStyle name="Normal 4 2 2 3 3 4 2 3" xfId="11912" xr:uid="{1B428079-49C6-4447-80BE-BDC36FD13038}"/>
    <cellStyle name="Normal 4 2 2 3 3 4 3" xfId="5550" xr:uid="{00000000-0005-0000-0000-000060120000}"/>
    <cellStyle name="Normal 4 2 2 3 3 4 3 2" xfId="13985" xr:uid="{BDDF46F8-38EE-4683-A642-46551C06D51B}"/>
    <cellStyle name="Normal 4 2 2 3 3 4 4" xfId="9767" xr:uid="{CE1C5CCE-F0A9-4308-B96A-127630631565}"/>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2 2 2" xfId="16543" xr:uid="{1D14361A-888D-41D8-84C0-3A01BBE5EDDC}"/>
    <cellStyle name="Normal 4 2 2 3 3 5 2 3" xfId="12325" xr:uid="{6B29082A-5519-495E-BA20-FA06C9675751}"/>
    <cellStyle name="Normal 4 2 2 3 3 5 3" xfId="5963" xr:uid="{00000000-0005-0000-0000-000064120000}"/>
    <cellStyle name="Normal 4 2 2 3 3 5 3 2" xfId="14398" xr:uid="{E0FAB626-AEE8-4FAB-AE31-5BADB0604369}"/>
    <cellStyle name="Normal 4 2 2 3 3 5 4" xfId="10180" xr:uid="{C4080898-A8D4-4097-B592-9EE03A4095ED}"/>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2 2 2" xfId="16956" xr:uid="{F9F79FEA-D544-41BD-8AF0-D3AB0AA173D0}"/>
    <cellStyle name="Normal 4 2 2 3 3 6 2 3" xfId="12738" xr:uid="{53F0AB1E-AC05-44EA-90A5-26AEF6B1D86C}"/>
    <cellStyle name="Normal 4 2 2 3 3 6 3" xfId="6376" xr:uid="{00000000-0005-0000-0000-000068120000}"/>
    <cellStyle name="Normal 4 2 2 3 3 6 3 2" xfId="14811" xr:uid="{9C8FEE8A-BC06-406F-B8CF-4EAB8370277B}"/>
    <cellStyle name="Normal 4 2 2 3 3 6 4" xfId="10593" xr:uid="{8C5C2A59-0903-4E90-850D-B5467566B78E}"/>
    <cellStyle name="Normal 4 2 2 3 3 7" xfId="2505" xr:uid="{00000000-0005-0000-0000-000069120000}"/>
    <cellStyle name="Normal 4 2 2 3 3 7 2" xfId="6789" xr:uid="{00000000-0005-0000-0000-00006A120000}"/>
    <cellStyle name="Normal 4 2 2 3 3 7 2 2" xfId="15224" xr:uid="{4CC9371C-48ED-4E42-9279-0779FC1E64AF}"/>
    <cellStyle name="Normal 4 2 2 3 3 7 3" xfId="11006" xr:uid="{85AD7268-8318-4ED6-B73D-8758BAD86211}"/>
    <cellStyle name="Normal 4 2 2 3 3 8" xfId="4724" xr:uid="{00000000-0005-0000-0000-00006B120000}"/>
    <cellStyle name="Normal 4 2 2 3 3 8 2" xfId="13159" xr:uid="{C16446AB-58C8-45E3-B350-3D21C361BD21}"/>
    <cellStyle name="Normal 4 2 2 3 3 9" xfId="8941" xr:uid="{481DB925-FD7F-4A23-9859-BC266FCA353F}"/>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2 2 2" xfId="15719" xr:uid="{1E324C84-2C31-4DDE-B1C3-8C1235D18055}"/>
    <cellStyle name="Normal 4 2 2 3 4 2 2 3" xfId="11501" xr:uid="{04F416AA-0E28-4A2D-83B9-A6752D807DF7}"/>
    <cellStyle name="Normal 4 2 2 3 4 2 3" xfId="5139" xr:uid="{00000000-0005-0000-0000-000070120000}"/>
    <cellStyle name="Normal 4 2 2 3 4 2 3 2" xfId="13574" xr:uid="{9E366FDC-BE11-46CA-BEB0-E80F94B65E92}"/>
    <cellStyle name="Normal 4 2 2 3 4 2 4" xfId="9356" xr:uid="{67C2290A-9424-44A4-A335-0A8B3761B11C}"/>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2 2 2" xfId="16132" xr:uid="{CAB7911F-8AB6-4666-90F7-CC5F8D20E70A}"/>
    <cellStyle name="Normal 4 2 2 3 4 3 2 3" xfId="11914" xr:uid="{AEB5093B-F1AD-434C-A86A-D6BC7EA08A74}"/>
    <cellStyle name="Normal 4 2 2 3 4 3 3" xfId="5552" xr:uid="{00000000-0005-0000-0000-000074120000}"/>
    <cellStyle name="Normal 4 2 2 3 4 3 3 2" xfId="13987" xr:uid="{0942A9AA-3F19-411C-932B-17DA3F337BF2}"/>
    <cellStyle name="Normal 4 2 2 3 4 3 4" xfId="9769" xr:uid="{D7D48040-4267-40E2-96E3-EAE902C6C567}"/>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2 2 2" xfId="16545" xr:uid="{E5FB20C4-8C31-46EC-AA29-B74DAE9F2404}"/>
    <cellStyle name="Normal 4 2 2 3 4 4 2 3" xfId="12327" xr:uid="{83D56B78-3FC3-44E0-B89F-0F408E3D85C1}"/>
    <cellStyle name="Normal 4 2 2 3 4 4 3" xfId="5965" xr:uid="{00000000-0005-0000-0000-000078120000}"/>
    <cellStyle name="Normal 4 2 2 3 4 4 3 2" xfId="14400" xr:uid="{52E6225E-5D90-44CB-B5EE-C35449A7CE0C}"/>
    <cellStyle name="Normal 4 2 2 3 4 4 4" xfId="10182" xr:uid="{C0A3CED3-1F53-49B1-B5AA-AF92835811FE}"/>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2 2 2" xfId="16958" xr:uid="{85C67D64-074C-456F-8096-78B67A8E2D76}"/>
    <cellStyle name="Normal 4 2 2 3 4 5 2 3" xfId="12740" xr:uid="{4351D4AC-5ED1-4EBC-9B7E-D2C69AE03EA2}"/>
    <cellStyle name="Normal 4 2 2 3 4 5 3" xfId="6378" xr:uid="{00000000-0005-0000-0000-00007C120000}"/>
    <cellStyle name="Normal 4 2 2 3 4 5 3 2" xfId="14813" xr:uid="{202AABC8-6F26-4480-B564-EFBF03A4FC50}"/>
    <cellStyle name="Normal 4 2 2 3 4 5 4" xfId="10595" xr:uid="{CC27CFD7-5DD0-4DA0-ACEE-55E40C0ABD9D}"/>
    <cellStyle name="Normal 4 2 2 3 4 6" xfId="2507" xr:uid="{00000000-0005-0000-0000-00007D120000}"/>
    <cellStyle name="Normal 4 2 2 3 4 6 2" xfId="6791" xr:uid="{00000000-0005-0000-0000-00007E120000}"/>
    <cellStyle name="Normal 4 2 2 3 4 6 2 2" xfId="15226" xr:uid="{93AE18CC-E47F-45BB-A66C-4F9175863AB5}"/>
    <cellStyle name="Normal 4 2 2 3 4 6 3" xfId="11008" xr:uid="{1E40B653-B47D-4B96-A224-4B2AB1DC1FBE}"/>
    <cellStyle name="Normal 4 2 2 3 4 7" xfId="4726" xr:uid="{00000000-0005-0000-0000-00007F120000}"/>
    <cellStyle name="Normal 4 2 2 3 4 7 2" xfId="13161" xr:uid="{7E4BF426-4FF3-421B-BC60-3032094A0636}"/>
    <cellStyle name="Normal 4 2 2 3 4 8" xfId="8943" xr:uid="{D4945B7F-49BD-4EA1-8791-40711A27AB6C}"/>
    <cellStyle name="Normal 4 2 2 3 5" xfId="817" xr:uid="{00000000-0005-0000-0000-000080120000}"/>
    <cellStyle name="Normal 4 2 2 3 5 2" xfId="3054" xr:uid="{00000000-0005-0000-0000-000081120000}"/>
    <cellStyle name="Normal 4 2 2 3 5 2 2" xfId="7277" xr:uid="{00000000-0005-0000-0000-000082120000}"/>
    <cellStyle name="Normal 4 2 2 3 5 2 2 2" xfId="15712" xr:uid="{94F8532F-F4D9-4FB8-B93D-42BFE4EC6D4C}"/>
    <cellStyle name="Normal 4 2 2 3 5 2 3" xfId="11494" xr:uid="{CBA6F223-FC18-404A-BF1A-08DBBD253FF8}"/>
    <cellStyle name="Normal 4 2 2 3 5 3" xfId="5132" xr:uid="{00000000-0005-0000-0000-000083120000}"/>
    <cellStyle name="Normal 4 2 2 3 5 3 2" xfId="13567" xr:uid="{BA4C43CA-C988-47A7-B25C-871EAE42B287}"/>
    <cellStyle name="Normal 4 2 2 3 5 4" xfId="9349" xr:uid="{CC3F2BB1-C5D4-4F43-A48E-D9FD1DC508E1}"/>
    <cellStyle name="Normal 4 2 2 3 6" xfId="1237" xr:uid="{00000000-0005-0000-0000-000084120000}"/>
    <cellStyle name="Normal 4 2 2 3 6 2" xfId="3467" xr:uid="{00000000-0005-0000-0000-000085120000}"/>
    <cellStyle name="Normal 4 2 2 3 6 2 2" xfId="7690" xr:uid="{00000000-0005-0000-0000-000086120000}"/>
    <cellStyle name="Normal 4 2 2 3 6 2 2 2" xfId="16125" xr:uid="{56304FE0-65C1-4BC9-9DEF-7E1E6EE8F4F8}"/>
    <cellStyle name="Normal 4 2 2 3 6 2 3" xfId="11907" xr:uid="{BDA06D9E-D8C1-42DB-B915-36F3FC1382F1}"/>
    <cellStyle name="Normal 4 2 2 3 6 3" xfId="5545" xr:uid="{00000000-0005-0000-0000-000087120000}"/>
    <cellStyle name="Normal 4 2 2 3 6 3 2" xfId="13980" xr:uid="{CF6F0008-7A5A-49A5-BF8B-FC953F29F4C6}"/>
    <cellStyle name="Normal 4 2 2 3 6 4" xfId="9762" xr:uid="{0455993A-6146-46F6-871C-9D77F654B865}"/>
    <cellStyle name="Normal 4 2 2 3 7" xfId="1650" xr:uid="{00000000-0005-0000-0000-000088120000}"/>
    <cellStyle name="Normal 4 2 2 3 7 2" xfId="3880" xr:uid="{00000000-0005-0000-0000-000089120000}"/>
    <cellStyle name="Normal 4 2 2 3 7 2 2" xfId="8103" xr:uid="{00000000-0005-0000-0000-00008A120000}"/>
    <cellStyle name="Normal 4 2 2 3 7 2 2 2" xfId="16538" xr:uid="{5F5DCD03-1838-4F7F-B612-81BE4BFCADB7}"/>
    <cellStyle name="Normal 4 2 2 3 7 2 3" xfId="12320" xr:uid="{FE474AA3-B63D-4989-8BE9-B8651F9A9DD0}"/>
    <cellStyle name="Normal 4 2 2 3 7 3" xfId="5958" xr:uid="{00000000-0005-0000-0000-00008B120000}"/>
    <cellStyle name="Normal 4 2 2 3 7 3 2" xfId="14393" xr:uid="{7986FC4D-BD0B-494D-98E3-C36E03A4F1BC}"/>
    <cellStyle name="Normal 4 2 2 3 7 4" xfId="10175" xr:uid="{056AA5E5-1969-4B22-BF94-82F684892D04}"/>
    <cellStyle name="Normal 4 2 2 3 8" xfId="2064" xr:uid="{00000000-0005-0000-0000-00008C120000}"/>
    <cellStyle name="Normal 4 2 2 3 8 2" xfId="4293" xr:uid="{00000000-0005-0000-0000-00008D120000}"/>
    <cellStyle name="Normal 4 2 2 3 8 2 2" xfId="8516" xr:uid="{00000000-0005-0000-0000-00008E120000}"/>
    <cellStyle name="Normal 4 2 2 3 8 2 2 2" xfId="16951" xr:uid="{20D0499B-1056-46E2-AE74-FABA1BDFEA87}"/>
    <cellStyle name="Normal 4 2 2 3 8 2 3" xfId="12733" xr:uid="{631CDD66-08E7-4441-A9B9-F3E2E48D69F0}"/>
    <cellStyle name="Normal 4 2 2 3 8 3" xfId="6371" xr:uid="{00000000-0005-0000-0000-00008F120000}"/>
    <cellStyle name="Normal 4 2 2 3 8 3 2" xfId="14806" xr:uid="{0C239369-23AB-42AE-B199-4E27AE074741}"/>
    <cellStyle name="Normal 4 2 2 3 8 4" xfId="10588" xr:uid="{785EA6B3-7914-486D-A74D-F1CF08274A20}"/>
    <cellStyle name="Normal 4 2 2 3 9" xfId="2500" xr:uid="{00000000-0005-0000-0000-000090120000}"/>
    <cellStyle name="Normal 4 2 2 3 9 2" xfId="6784" xr:uid="{00000000-0005-0000-0000-000091120000}"/>
    <cellStyle name="Normal 4 2 2 3 9 2 2" xfId="15219" xr:uid="{27C6ED53-B957-43E6-92ED-01A4277C5605}"/>
    <cellStyle name="Normal 4 2 2 3 9 3" xfId="11001" xr:uid="{A163C328-2BAA-4EFB-B362-AE3E6B6947D8}"/>
    <cellStyle name="Normal 4 2 2 4" xfId="347" xr:uid="{00000000-0005-0000-0000-000092120000}"/>
    <cellStyle name="Normal 4 2 2 4 10" xfId="8944" xr:uid="{CEDFC268-B5A0-4DF5-8AD0-1C0320538D9E}"/>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2 2 2" xfId="15722" xr:uid="{114B1B04-1B80-43D0-B630-839C60FEE4F6}"/>
    <cellStyle name="Normal 4 2 2 4 2 2 2 2 3" xfId="11504" xr:uid="{EEA8BEF0-67AA-45D9-9416-809C1AB98039}"/>
    <cellStyle name="Normal 4 2 2 4 2 2 2 3" xfId="5142" xr:uid="{00000000-0005-0000-0000-000098120000}"/>
    <cellStyle name="Normal 4 2 2 4 2 2 2 3 2" xfId="13577" xr:uid="{F241581A-EEE8-456A-9C9A-3370315BFB99}"/>
    <cellStyle name="Normal 4 2 2 4 2 2 2 4" xfId="9359" xr:uid="{1983A761-CA2E-4227-BD0C-16DE7720FD1D}"/>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2 2 2" xfId="16135" xr:uid="{E9F5091C-D996-4C05-BDD8-7F19A8A4EBB8}"/>
    <cellStyle name="Normal 4 2 2 4 2 2 3 2 3" xfId="11917" xr:uid="{571FB08E-404F-44AD-816F-BD45F09CE57F}"/>
    <cellStyle name="Normal 4 2 2 4 2 2 3 3" xfId="5555" xr:uid="{00000000-0005-0000-0000-00009C120000}"/>
    <cellStyle name="Normal 4 2 2 4 2 2 3 3 2" xfId="13990" xr:uid="{02301CB7-7254-4851-B7E4-8AEDF067D4FE}"/>
    <cellStyle name="Normal 4 2 2 4 2 2 3 4" xfId="9772" xr:uid="{91BB0B81-CC96-42B4-9E2F-173F9D8EFD7B}"/>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2 2 2" xfId="16548" xr:uid="{D2893613-6EDD-4408-9E91-CB97DC57F492}"/>
    <cellStyle name="Normal 4 2 2 4 2 2 4 2 3" xfId="12330" xr:uid="{04910723-8CE0-4DAB-8463-713A921127B3}"/>
    <cellStyle name="Normal 4 2 2 4 2 2 4 3" xfId="5968" xr:uid="{00000000-0005-0000-0000-0000A0120000}"/>
    <cellStyle name="Normal 4 2 2 4 2 2 4 3 2" xfId="14403" xr:uid="{3C184756-F3BD-43CB-870B-17A93556527C}"/>
    <cellStyle name="Normal 4 2 2 4 2 2 4 4" xfId="10185" xr:uid="{4C322492-F914-4411-BBC8-095B2642A1D2}"/>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2 2 2" xfId="16961" xr:uid="{7F8CD517-ED5D-42F6-98C6-0D0006402E33}"/>
    <cellStyle name="Normal 4 2 2 4 2 2 5 2 3" xfId="12743" xr:uid="{3CCF4F3E-8DBB-42C3-89C3-2F48590C745A}"/>
    <cellStyle name="Normal 4 2 2 4 2 2 5 3" xfId="6381" xr:uid="{00000000-0005-0000-0000-0000A4120000}"/>
    <cellStyle name="Normal 4 2 2 4 2 2 5 3 2" xfId="14816" xr:uid="{FE8E31B9-DD79-448E-AF2B-AC0853D8FB91}"/>
    <cellStyle name="Normal 4 2 2 4 2 2 5 4" xfId="10598" xr:uid="{6BB4C61D-3485-497F-BE0F-F073B97A64D1}"/>
    <cellStyle name="Normal 4 2 2 4 2 2 6" xfId="2510" xr:uid="{00000000-0005-0000-0000-0000A5120000}"/>
    <cellStyle name="Normal 4 2 2 4 2 2 6 2" xfId="6794" xr:uid="{00000000-0005-0000-0000-0000A6120000}"/>
    <cellStyle name="Normal 4 2 2 4 2 2 6 2 2" xfId="15229" xr:uid="{218C6057-396F-43ED-A48B-020E9B59BB42}"/>
    <cellStyle name="Normal 4 2 2 4 2 2 6 3" xfId="11011" xr:uid="{0FD1DB28-2FFE-4AFD-8FCA-70B295398665}"/>
    <cellStyle name="Normal 4 2 2 4 2 2 7" xfId="4729" xr:uid="{00000000-0005-0000-0000-0000A7120000}"/>
    <cellStyle name="Normal 4 2 2 4 2 2 7 2" xfId="13164" xr:uid="{D8F0FDBA-B4EA-489E-B228-2E7BED7ABBA5}"/>
    <cellStyle name="Normal 4 2 2 4 2 2 8" xfId="8946" xr:uid="{B3FED4AB-7C76-443B-85E2-514627AF417D}"/>
    <cellStyle name="Normal 4 2 2 4 2 3" xfId="826" xr:uid="{00000000-0005-0000-0000-0000A8120000}"/>
    <cellStyle name="Normal 4 2 2 4 2 3 2" xfId="3063" xr:uid="{00000000-0005-0000-0000-0000A9120000}"/>
    <cellStyle name="Normal 4 2 2 4 2 3 2 2" xfId="7286" xr:uid="{00000000-0005-0000-0000-0000AA120000}"/>
    <cellStyle name="Normal 4 2 2 4 2 3 2 2 2" xfId="15721" xr:uid="{6C32B837-47A2-460F-B4D5-32ADBF156C97}"/>
    <cellStyle name="Normal 4 2 2 4 2 3 2 3" xfId="11503" xr:uid="{C4244E2F-A8DB-4AD5-A3A9-ADF05BBA2233}"/>
    <cellStyle name="Normal 4 2 2 4 2 3 3" xfId="5141" xr:uid="{00000000-0005-0000-0000-0000AB120000}"/>
    <cellStyle name="Normal 4 2 2 4 2 3 3 2" xfId="13576" xr:uid="{44568A77-8E95-437C-A734-9B155586251B}"/>
    <cellStyle name="Normal 4 2 2 4 2 3 4" xfId="9358" xr:uid="{18D84F32-B6D5-424E-AB04-38574EC59E87}"/>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2 2 2" xfId="16134" xr:uid="{4C739211-1F68-4524-8443-C693A9A9F27F}"/>
    <cellStyle name="Normal 4 2 2 4 2 4 2 3" xfId="11916" xr:uid="{1D1B8954-5C69-4243-AB77-D9C21BC23C5A}"/>
    <cellStyle name="Normal 4 2 2 4 2 4 3" xfId="5554" xr:uid="{00000000-0005-0000-0000-0000AF120000}"/>
    <cellStyle name="Normal 4 2 2 4 2 4 3 2" xfId="13989" xr:uid="{FF836446-F542-49A6-84E8-13BEFC2B0693}"/>
    <cellStyle name="Normal 4 2 2 4 2 4 4" xfId="9771" xr:uid="{F9E452EC-704F-4D5B-9A40-1101711300C5}"/>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2 2 2" xfId="16547" xr:uid="{99EA05E4-F7D7-405D-B4ED-C8534B1E0987}"/>
    <cellStyle name="Normal 4 2 2 4 2 5 2 3" xfId="12329" xr:uid="{5DC87568-6AFE-4352-A779-FD2CDC0F1071}"/>
    <cellStyle name="Normal 4 2 2 4 2 5 3" xfId="5967" xr:uid="{00000000-0005-0000-0000-0000B3120000}"/>
    <cellStyle name="Normal 4 2 2 4 2 5 3 2" xfId="14402" xr:uid="{2EB29D31-E165-4A63-ADAA-FE85B5750539}"/>
    <cellStyle name="Normal 4 2 2 4 2 5 4" xfId="10184" xr:uid="{DA0DDDE5-7DA8-4BD0-978C-4A56DE15D38D}"/>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2 2 2" xfId="16960" xr:uid="{4BD8A2BB-0F89-4507-A88E-033634CEAA50}"/>
    <cellStyle name="Normal 4 2 2 4 2 6 2 3" xfId="12742" xr:uid="{F03D3A80-C13D-4B95-84AD-68ACC8348079}"/>
    <cellStyle name="Normal 4 2 2 4 2 6 3" xfId="6380" xr:uid="{00000000-0005-0000-0000-0000B7120000}"/>
    <cellStyle name="Normal 4 2 2 4 2 6 3 2" xfId="14815" xr:uid="{409DBCBE-1FE6-4BD0-80BD-1497E23F31B1}"/>
    <cellStyle name="Normal 4 2 2 4 2 6 4" xfId="10597" xr:uid="{CC686993-F41F-4C01-B112-7B2FFF15F2ED}"/>
    <cellStyle name="Normal 4 2 2 4 2 7" xfId="2509" xr:uid="{00000000-0005-0000-0000-0000B8120000}"/>
    <cellStyle name="Normal 4 2 2 4 2 7 2" xfId="6793" xr:uid="{00000000-0005-0000-0000-0000B9120000}"/>
    <cellStyle name="Normal 4 2 2 4 2 7 2 2" xfId="15228" xr:uid="{E696B611-1DCE-4B4A-8F22-394985A13CD3}"/>
    <cellStyle name="Normal 4 2 2 4 2 7 3" xfId="11010" xr:uid="{57715976-55B3-44E5-A70A-8756252E03F2}"/>
    <cellStyle name="Normal 4 2 2 4 2 8" xfId="4728" xr:uid="{00000000-0005-0000-0000-0000BA120000}"/>
    <cellStyle name="Normal 4 2 2 4 2 8 2" xfId="13163" xr:uid="{8CAEC1AF-6ACB-4429-A279-D8EE1312C64F}"/>
    <cellStyle name="Normal 4 2 2 4 2 9" xfId="8945" xr:uid="{60936813-7DDD-447A-922B-31F218E3CFA3}"/>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2 2 2" xfId="15723" xr:uid="{27A9772E-8EEF-4327-B37C-BBF4DBB54062}"/>
    <cellStyle name="Normal 4 2 2 4 3 2 2 3" xfId="11505" xr:uid="{4077312C-E70E-4BAF-9E08-4FE5032AE84B}"/>
    <cellStyle name="Normal 4 2 2 4 3 2 3" xfId="5143" xr:uid="{00000000-0005-0000-0000-0000BF120000}"/>
    <cellStyle name="Normal 4 2 2 4 3 2 3 2" xfId="13578" xr:uid="{8EF98199-9A56-41A2-8DD0-C8B287E5CC47}"/>
    <cellStyle name="Normal 4 2 2 4 3 2 4" xfId="9360" xr:uid="{F3E4815F-998D-4AD4-AF60-96AEC4AA04A7}"/>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2 2 2" xfId="16136" xr:uid="{639CFE32-7580-48D8-AB70-C8396DA122F9}"/>
    <cellStyle name="Normal 4 2 2 4 3 3 2 3" xfId="11918" xr:uid="{3F50B59E-E977-4861-BB2F-818828055042}"/>
    <cellStyle name="Normal 4 2 2 4 3 3 3" xfId="5556" xr:uid="{00000000-0005-0000-0000-0000C3120000}"/>
    <cellStyle name="Normal 4 2 2 4 3 3 3 2" xfId="13991" xr:uid="{F98BA43F-0BEC-4A34-85E7-8205A602D5C3}"/>
    <cellStyle name="Normal 4 2 2 4 3 3 4" xfId="9773" xr:uid="{1A02D5A0-95CB-4572-A353-19133162DE36}"/>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2 2 2" xfId="16549" xr:uid="{FBA25351-6D0D-4F14-B3B6-C6D9F22C6B60}"/>
    <cellStyle name="Normal 4 2 2 4 3 4 2 3" xfId="12331" xr:uid="{8722252E-9D08-4A35-9855-3D0703A2846D}"/>
    <cellStyle name="Normal 4 2 2 4 3 4 3" xfId="5969" xr:uid="{00000000-0005-0000-0000-0000C7120000}"/>
    <cellStyle name="Normal 4 2 2 4 3 4 3 2" xfId="14404" xr:uid="{B988D3D3-912A-4EA6-97A2-DF82968109A6}"/>
    <cellStyle name="Normal 4 2 2 4 3 4 4" xfId="10186" xr:uid="{FE2E64B9-BBC5-4796-BB8E-3E84A9F51D37}"/>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2 2 2" xfId="16962" xr:uid="{9F2C80E6-FA94-48BB-A5ED-0841B69BF405}"/>
    <cellStyle name="Normal 4 2 2 4 3 5 2 3" xfId="12744" xr:uid="{4D5CDA69-54C2-4F47-943E-98EB101B1D1B}"/>
    <cellStyle name="Normal 4 2 2 4 3 5 3" xfId="6382" xr:uid="{00000000-0005-0000-0000-0000CB120000}"/>
    <cellStyle name="Normal 4 2 2 4 3 5 3 2" xfId="14817" xr:uid="{DF8936CE-1271-4532-A69A-3D8F14B39973}"/>
    <cellStyle name="Normal 4 2 2 4 3 5 4" xfId="10599" xr:uid="{D03E32BE-FE2D-4B0D-80E0-A0B1F8926CC8}"/>
    <cellStyle name="Normal 4 2 2 4 3 6" xfId="2511" xr:uid="{00000000-0005-0000-0000-0000CC120000}"/>
    <cellStyle name="Normal 4 2 2 4 3 6 2" xfId="6795" xr:uid="{00000000-0005-0000-0000-0000CD120000}"/>
    <cellStyle name="Normal 4 2 2 4 3 6 2 2" xfId="15230" xr:uid="{ABA688B8-1C96-47FA-A152-DE0658CBDECD}"/>
    <cellStyle name="Normal 4 2 2 4 3 6 3" xfId="11012" xr:uid="{4728F514-08E5-4CE3-A252-EB17B283F156}"/>
    <cellStyle name="Normal 4 2 2 4 3 7" xfId="4730" xr:uid="{00000000-0005-0000-0000-0000CE120000}"/>
    <cellStyle name="Normal 4 2 2 4 3 7 2" xfId="13165" xr:uid="{9434BC9D-E986-40B6-8E3F-AD44B8F9E197}"/>
    <cellStyle name="Normal 4 2 2 4 3 8" xfId="8947" xr:uid="{F9D8B4A0-FCDF-4B48-B6CF-E5CE7C45422D}"/>
    <cellStyle name="Normal 4 2 2 4 4" xfId="825" xr:uid="{00000000-0005-0000-0000-0000CF120000}"/>
    <cellStyle name="Normal 4 2 2 4 4 2" xfId="3062" xr:uid="{00000000-0005-0000-0000-0000D0120000}"/>
    <cellStyle name="Normal 4 2 2 4 4 2 2" xfId="7285" xr:uid="{00000000-0005-0000-0000-0000D1120000}"/>
    <cellStyle name="Normal 4 2 2 4 4 2 2 2" xfId="15720" xr:uid="{CEF9CFEE-8022-49EF-8B3D-C135A3E1B33D}"/>
    <cellStyle name="Normal 4 2 2 4 4 2 3" xfId="11502" xr:uid="{C7521783-F2AA-4627-BC32-3BF8C996AE47}"/>
    <cellStyle name="Normal 4 2 2 4 4 3" xfId="5140" xr:uid="{00000000-0005-0000-0000-0000D2120000}"/>
    <cellStyle name="Normal 4 2 2 4 4 3 2" xfId="13575" xr:uid="{FBCF34E7-52D9-4510-95FF-4FFEB7AA6A04}"/>
    <cellStyle name="Normal 4 2 2 4 4 4" xfId="9357" xr:uid="{D80567A6-6A3E-4B00-90DE-CEDA494617F9}"/>
    <cellStyle name="Normal 4 2 2 4 5" xfId="1245" xr:uid="{00000000-0005-0000-0000-0000D3120000}"/>
    <cellStyle name="Normal 4 2 2 4 5 2" xfId="3475" xr:uid="{00000000-0005-0000-0000-0000D4120000}"/>
    <cellStyle name="Normal 4 2 2 4 5 2 2" xfId="7698" xr:uid="{00000000-0005-0000-0000-0000D5120000}"/>
    <cellStyle name="Normal 4 2 2 4 5 2 2 2" xfId="16133" xr:uid="{486ABDE0-AF94-43AC-B81D-D00AA2C2F314}"/>
    <cellStyle name="Normal 4 2 2 4 5 2 3" xfId="11915" xr:uid="{EDA1B595-E0CD-4D76-9963-9EC1E2072D7C}"/>
    <cellStyle name="Normal 4 2 2 4 5 3" xfId="5553" xr:uid="{00000000-0005-0000-0000-0000D6120000}"/>
    <cellStyle name="Normal 4 2 2 4 5 3 2" xfId="13988" xr:uid="{F9FDFAF2-78B4-4F81-85D8-DD950FD9AA6E}"/>
    <cellStyle name="Normal 4 2 2 4 5 4" xfId="9770" xr:uid="{D11342F2-9707-494A-B97E-6C30EC952C0A}"/>
    <cellStyle name="Normal 4 2 2 4 6" xfId="1658" xr:uid="{00000000-0005-0000-0000-0000D7120000}"/>
    <cellStyle name="Normal 4 2 2 4 6 2" xfId="3888" xr:uid="{00000000-0005-0000-0000-0000D8120000}"/>
    <cellStyle name="Normal 4 2 2 4 6 2 2" xfId="8111" xr:uid="{00000000-0005-0000-0000-0000D9120000}"/>
    <cellStyle name="Normal 4 2 2 4 6 2 2 2" xfId="16546" xr:uid="{F8FCED98-E760-46D3-A3B1-8E980F7826C1}"/>
    <cellStyle name="Normal 4 2 2 4 6 2 3" xfId="12328" xr:uid="{87617770-4097-4474-9BFC-EA305D1BF2EA}"/>
    <cellStyle name="Normal 4 2 2 4 6 3" xfId="5966" xr:uid="{00000000-0005-0000-0000-0000DA120000}"/>
    <cellStyle name="Normal 4 2 2 4 6 3 2" xfId="14401" xr:uid="{4351700D-070B-48A4-81BB-A6EB05C23E29}"/>
    <cellStyle name="Normal 4 2 2 4 6 4" xfId="10183" xr:uid="{75543C4C-D903-4514-9105-99734F6D3EA0}"/>
    <cellStyle name="Normal 4 2 2 4 7" xfId="2072" xr:uid="{00000000-0005-0000-0000-0000DB120000}"/>
    <cellStyle name="Normal 4 2 2 4 7 2" xfId="4301" xr:uid="{00000000-0005-0000-0000-0000DC120000}"/>
    <cellStyle name="Normal 4 2 2 4 7 2 2" xfId="8524" xr:uid="{00000000-0005-0000-0000-0000DD120000}"/>
    <cellStyle name="Normal 4 2 2 4 7 2 2 2" xfId="16959" xr:uid="{FDB7CC4C-45BE-4565-A279-B8DE3F329000}"/>
    <cellStyle name="Normal 4 2 2 4 7 2 3" xfId="12741" xr:uid="{3FE2DC6D-5DCC-42A4-BCD5-BE768FE34B30}"/>
    <cellStyle name="Normal 4 2 2 4 7 3" xfId="6379" xr:uid="{00000000-0005-0000-0000-0000DE120000}"/>
    <cellStyle name="Normal 4 2 2 4 7 3 2" xfId="14814" xr:uid="{5E5DEFDF-9E8B-4433-995C-6819647C67B0}"/>
    <cellStyle name="Normal 4 2 2 4 7 4" xfId="10596" xr:uid="{5585FA0A-5124-45CC-839D-C6BDDAC0FB20}"/>
    <cellStyle name="Normal 4 2 2 4 8" xfId="2508" xr:uid="{00000000-0005-0000-0000-0000DF120000}"/>
    <cellStyle name="Normal 4 2 2 4 8 2" xfId="6792" xr:uid="{00000000-0005-0000-0000-0000E0120000}"/>
    <cellStyle name="Normal 4 2 2 4 8 2 2" xfId="15227" xr:uid="{130412E4-3815-4B2E-A4FD-8E927C764AA2}"/>
    <cellStyle name="Normal 4 2 2 4 8 3" xfId="11009" xr:uid="{358A394B-A98C-466D-8A85-3CAE651B01BD}"/>
    <cellStyle name="Normal 4 2 2 4 9" xfId="4727" xr:uid="{00000000-0005-0000-0000-0000E1120000}"/>
    <cellStyle name="Normal 4 2 2 4 9 2" xfId="13162" xr:uid="{1975021C-A23C-4603-8F90-084606E108A6}"/>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2 2 2" xfId="15725" xr:uid="{D62118BD-2107-4FDC-A453-1E51F92C6E5B}"/>
    <cellStyle name="Normal 4 2 2 5 2 2 2 3" xfId="11507" xr:uid="{F670C339-7B20-475F-B904-72AC51AF417B}"/>
    <cellStyle name="Normal 4 2 2 5 2 2 3" xfId="5145" xr:uid="{00000000-0005-0000-0000-0000E7120000}"/>
    <cellStyle name="Normal 4 2 2 5 2 2 3 2" xfId="13580" xr:uid="{9581A7DE-DA5C-413E-A157-A506A5847179}"/>
    <cellStyle name="Normal 4 2 2 5 2 2 4" xfId="9362" xr:uid="{44FFA3B9-DF28-4AE0-AA06-F06BC74FCB8B}"/>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2 2 2" xfId="16138" xr:uid="{75B9D552-247C-4F0D-B5A9-4C80D3C3CEC1}"/>
    <cellStyle name="Normal 4 2 2 5 2 3 2 3" xfId="11920" xr:uid="{1E8AD801-E429-4DCA-96E1-6AFB488024B7}"/>
    <cellStyle name="Normal 4 2 2 5 2 3 3" xfId="5558" xr:uid="{00000000-0005-0000-0000-0000EB120000}"/>
    <cellStyle name="Normal 4 2 2 5 2 3 3 2" xfId="13993" xr:uid="{DA51349A-021F-4111-85C6-53E596B5AC5A}"/>
    <cellStyle name="Normal 4 2 2 5 2 3 4" xfId="9775" xr:uid="{97D9BF64-6310-49DD-ADC9-FB7482F88CBB}"/>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2 2 2" xfId="16551" xr:uid="{686C2FB8-691E-4934-B5DB-DFD5B38F641D}"/>
    <cellStyle name="Normal 4 2 2 5 2 4 2 3" xfId="12333" xr:uid="{6DC9A164-DEFC-4738-9016-3F55C434D14E}"/>
    <cellStyle name="Normal 4 2 2 5 2 4 3" xfId="5971" xr:uid="{00000000-0005-0000-0000-0000EF120000}"/>
    <cellStyle name="Normal 4 2 2 5 2 4 3 2" xfId="14406" xr:uid="{D4CF6854-DC0D-4977-ADF2-5EF3994CB8FA}"/>
    <cellStyle name="Normal 4 2 2 5 2 4 4" xfId="10188" xr:uid="{6B5417AA-8B02-482F-B60F-36878C5436E4}"/>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2 2 2" xfId="16964" xr:uid="{DE13B4B8-FA54-4FE8-BB74-7B466348CECA}"/>
    <cellStyle name="Normal 4 2 2 5 2 5 2 3" xfId="12746" xr:uid="{7E1F7893-8110-446E-8A60-08DBF1135667}"/>
    <cellStyle name="Normal 4 2 2 5 2 5 3" xfId="6384" xr:uid="{00000000-0005-0000-0000-0000F3120000}"/>
    <cellStyle name="Normal 4 2 2 5 2 5 3 2" xfId="14819" xr:uid="{EC4297D9-77BA-4BE4-BA84-936F3006462F}"/>
    <cellStyle name="Normal 4 2 2 5 2 5 4" xfId="10601" xr:uid="{EC2CE6C2-ACA1-44F8-A519-8862E22DEE38}"/>
    <cellStyle name="Normal 4 2 2 5 2 6" xfId="2513" xr:uid="{00000000-0005-0000-0000-0000F4120000}"/>
    <cellStyle name="Normal 4 2 2 5 2 6 2" xfId="6797" xr:uid="{00000000-0005-0000-0000-0000F5120000}"/>
    <cellStyle name="Normal 4 2 2 5 2 6 2 2" xfId="15232" xr:uid="{F4BDFD9A-23B0-4486-8354-6AFD32A390AC}"/>
    <cellStyle name="Normal 4 2 2 5 2 6 3" xfId="11014" xr:uid="{7082CA05-F109-44CE-A24D-12703D5B611D}"/>
    <cellStyle name="Normal 4 2 2 5 2 7" xfId="4732" xr:uid="{00000000-0005-0000-0000-0000F6120000}"/>
    <cellStyle name="Normal 4 2 2 5 2 7 2" xfId="13167" xr:uid="{FA799913-04A8-4FBF-8453-3E015F03550B}"/>
    <cellStyle name="Normal 4 2 2 5 2 8" xfId="8949" xr:uid="{DF1CE0AA-8E15-4342-8713-12C530A1AE9D}"/>
    <cellStyle name="Normal 4 2 2 5 3" xfId="829" xr:uid="{00000000-0005-0000-0000-0000F7120000}"/>
    <cellStyle name="Normal 4 2 2 5 3 2" xfId="3066" xr:uid="{00000000-0005-0000-0000-0000F8120000}"/>
    <cellStyle name="Normal 4 2 2 5 3 2 2" xfId="7289" xr:uid="{00000000-0005-0000-0000-0000F9120000}"/>
    <cellStyle name="Normal 4 2 2 5 3 2 2 2" xfId="15724" xr:uid="{9C64BDC3-404E-471E-AF37-975762E5794B}"/>
    <cellStyle name="Normal 4 2 2 5 3 2 3" xfId="11506" xr:uid="{99F13362-C885-4215-95E6-E28623AC4767}"/>
    <cellStyle name="Normal 4 2 2 5 3 3" xfId="5144" xr:uid="{00000000-0005-0000-0000-0000FA120000}"/>
    <cellStyle name="Normal 4 2 2 5 3 3 2" xfId="13579" xr:uid="{99FE587A-761A-4AA2-9963-B78FA2F4A9CF}"/>
    <cellStyle name="Normal 4 2 2 5 3 4" xfId="9361" xr:uid="{BDA81FDB-2531-4F98-A011-8D06A2A8CFDF}"/>
    <cellStyle name="Normal 4 2 2 5 4" xfId="1249" xr:uid="{00000000-0005-0000-0000-0000FB120000}"/>
    <cellStyle name="Normal 4 2 2 5 4 2" xfId="3479" xr:uid="{00000000-0005-0000-0000-0000FC120000}"/>
    <cellStyle name="Normal 4 2 2 5 4 2 2" xfId="7702" xr:uid="{00000000-0005-0000-0000-0000FD120000}"/>
    <cellStyle name="Normal 4 2 2 5 4 2 2 2" xfId="16137" xr:uid="{ED28D3F2-9680-4DB5-910B-E67F0ECE37F0}"/>
    <cellStyle name="Normal 4 2 2 5 4 2 3" xfId="11919" xr:uid="{518349C1-D281-4B3B-B345-8D27C5034162}"/>
    <cellStyle name="Normal 4 2 2 5 4 3" xfId="5557" xr:uid="{00000000-0005-0000-0000-0000FE120000}"/>
    <cellStyle name="Normal 4 2 2 5 4 3 2" xfId="13992" xr:uid="{92F6219B-BBDE-41DD-8EFB-E94BB67078F5}"/>
    <cellStyle name="Normal 4 2 2 5 4 4" xfId="9774" xr:uid="{80F72C8B-50EE-4A7C-9BA7-FCB540F2E44A}"/>
    <cellStyle name="Normal 4 2 2 5 5" xfId="1662" xr:uid="{00000000-0005-0000-0000-0000FF120000}"/>
    <cellStyle name="Normal 4 2 2 5 5 2" xfId="3892" xr:uid="{00000000-0005-0000-0000-000000130000}"/>
    <cellStyle name="Normal 4 2 2 5 5 2 2" xfId="8115" xr:uid="{00000000-0005-0000-0000-000001130000}"/>
    <cellStyle name="Normal 4 2 2 5 5 2 2 2" xfId="16550" xr:uid="{CEC99BBE-D7DB-4E45-A5F2-98E87F6B1D93}"/>
    <cellStyle name="Normal 4 2 2 5 5 2 3" xfId="12332" xr:uid="{99F3C073-7B1B-4276-A1D1-5ADB04694F94}"/>
    <cellStyle name="Normal 4 2 2 5 5 3" xfId="5970" xr:uid="{00000000-0005-0000-0000-000002130000}"/>
    <cellStyle name="Normal 4 2 2 5 5 3 2" xfId="14405" xr:uid="{CDF0FD20-1AB4-4167-973C-B7167D274461}"/>
    <cellStyle name="Normal 4 2 2 5 5 4" xfId="10187" xr:uid="{31F4472B-CD08-41EE-AD7C-CA42DA0FFEEC}"/>
    <cellStyle name="Normal 4 2 2 5 6" xfId="2076" xr:uid="{00000000-0005-0000-0000-000003130000}"/>
    <cellStyle name="Normal 4 2 2 5 6 2" xfId="4305" xr:uid="{00000000-0005-0000-0000-000004130000}"/>
    <cellStyle name="Normal 4 2 2 5 6 2 2" xfId="8528" xr:uid="{00000000-0005-0000-0000-000005130000}"/>
    <cellStyle name="Normal 4 2 2 5 6 2 2 2" xfId="16963" xr:uid="{3EE21998-7570-4E3E-A032-BB169986B68F}"/>
    <cellStyle name="Normal 4 2 2 5 6 2 3" xfId="12745" xr:uid="{2316DFD5-EEC6-4D1C-9C46-F08732B35B3E}"/>
    <cellStyle name="Normal 4 2 2 5 6 3" xfId="6383" xr:uid="{00000000-0005-0000-0000-000006130000}"/>
    <cellStyle name="Normal 4 2 2 5 6 3 2" xfId="14818" xr:uid="{80E26AC2-EAEB-46FB-B87E-68AC16D0BC04}"/>
    <cellStyle name="Normal 4 2 2 5 6 4" xfId="10600" xr:uid="{9722C09D-08F8-4D49-82C0-389486553ABA}"/>
    <cellStyle name="Normal 4 2 2 5 7" xfId="2512" xr:uid="{00000000-0005-0000-0000-000007130000}"/>
    <cellStyle name="Normal 4 2 2 5 7 2" xfId="6796" xr:uid="{00000000-0005-0000-0000-000008130000}"/>
    <cellStyle name="Normal 4 2 2 5 7 2 2" xfId="15231" xr:uid="{7EF8E633-F986-404B-B7D8-56B566AFF731}"/>
    <cellStyle name="Normal 4 2 2 5 7 3" xfId="11013" xr:uid="{D746076D-2471-4FB1-AE89-CD8D6190323C}"/>
    <cellStyle name="Normal 4 2 2 5 8" xfId="4731" xr:uid="{00000000-0005-0000-0000-000009130000}"/>
    <cellStyle name="Normal 4 2 2 5 8 2" xfId="13166" xr:uid="{553BFA71-AF09-4711-87B0-60BB8B719AB4}"/>
    <cellStyle name="Normal 4 2 2 5 9" xfId="8948" xr:uid="{23C311E6-7669-4EB9-AB90-F337C1C58D4D}"/>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2 2 2" xfId="15726" xr:uid="{4734009B-B513-4157-8E2E-B7C17BB72793}"/>
    <cellStyle name="Normal 4 2 2 6 2 2 3" xfId="11508" xr:uid="{AB8109E6-88E2-4760-9252-40F8F3EAF19B}"/>
    <cellStyle name="Normal 4 2 2 6 2 3" xfId="5146" xr:uid="{00000000-0005-0000-0000-00000E130000}"/>
    <cellStyle name="Normal 4 2 2 6 2 3 2" xfId="13581" xr:uid="{5267F89C-4DD5-480C-BC31-90E97C8061CF}"/>
    <cellStyle name="Normal 4 2 2 6 2 4" xfId="9363" xr:uid="{0742E79B-2FA6-4230-9C00-2AE1FA68443D}"/>
    <cellStyle name="Normal 4 2 2 6 3" xfId="1251" xr:uid="{00000000-0005-0000-0000-00000F130000}"/>
    <cellStyle name="Normal 4 2 2 6 3 2" xfId="3481" xr:uid="{00000000-0005-0000-0000-000010130000}"/>
    <cellStyle name="Normal 4 2 2 6 3 2 2" xfId="7704" xr:uid="{00000000-0005-0000-0000-000011130000}"/>
    <cellStyle name="Normal 4 2 2 6 3 2 2 2" xfId="16139" xr:uid="{1E0BF753-67EF-4DAD-9AEA-6EFCB740AD33}"/>
    <cellStyle name="Normal 4 2 2 6 3 2 3" xfId="11921" xr:uid="{F18B8A76-B5D6-49E5-9AD2-FF49A3567F6E}"/>
    <cellStyle name="Normal 4 2 2 6 3 3" xfId="5559" xr:uid="{00000000-0005-0000-0000-000012130000}"/>
    <cellStyle name="Normal 4 2 2 6 3 3 2" xfId="13994" xr:uid="{B3F0E539-9A64-488F-BC7A-7E54B9B30EC7}"/>
    <cellStyle name="Normal 4 2 2 6 3 4" xfId="9776" xr:uid="{8EDDE166-5CB1-4145-B11B-3C90B0A137B9}"/>
    <cellStyle name="Normal 4 2 2 6 4" xfId="1664" xr:uid="{00000000-0005-0000-0000-000013130000}"/>
    <cellStyle name="Normal 4 2 2 6 4 2" xfId="3894" xr:uid="{00000000-0005-0000-0000-000014130000}"/>
    <cellStyle name="Normal 4 2 2 6 4 2 2" xfId="8117" xr:uid="{00000000-0005-0000-0000-000015130000}"/>
    <cellStyle name="Normal 4 2 2 6 4 2 2 2" xfId="16552" xr:uid="{14A0C87B-DE47-4362-A1C6-1E03CA778E91}"/>
    <cellStyle name="Normal 4 2 2 6 4 2 3" xfId="12334" xr:uid="{B5D08B16-CC33-4BE3-8DFF-ABD4334ECB71}"/>
    <cellStyle name="Normal 4 2 2 6 4 3" xfId="5972" xr:uid="{00000000-0005-0000-0000-000016130000}"/>
    <cellStyle name="Normal 4 2 2 6 4 3 2" xfId="14407" xr:uid="{8DF0C739-91D7-4949-943C-4C0549A2CD52}"/>
    <cellStyle name="Normal 4 2 2 6 4 4" xfId="10189" xr:uid="{79DA8108-6368-425D-9947-9513E86A6424}"/>
    <cellStyle name="Normal 4 2 2 6 5" xfId="2078" xr:uid="{00000000-0005-0000-0000-000017130000}"/>
    <cellStyle name="Normal 4 2 2 6 5 2" xfId="4307" xr:uid="{00000000-0005-0000-0000-000018130000}"/>
    <cellStyle name="Normal 4 2 2 6 5 2 2" xfId="8530" xr:uid="{00000000-0005-0000-0000-000019130000}"/>
    <cellStyle name="Normal 4 2 2 6 5 2 2 2" xfId="16965" xr:uid="{25363770-1180-4DA6-AB6D-C8B1BA234745}"/>
    <cellStyle name="Normal 4 2 2 6 5 2 3" xfId="12747" xr:uid="{458CC64D-29B0-4E64-BAED-5B700B985A30}"/>
    <cellStyle name="Normal 4 2 2 6 5 3" xfId="6385" xr:uid="{00000000-0005-0000-0000-00001A130000}"/>
    <cellStyle name="Normal 4 2 2 6 5 3 2" xfId="14820" xr:uid="{489D08E2-E2C7-40D2-861D-0B9FDACC8AF2}"/>
    <cellStyle name="Normal 4 2 2 6 5 4" xfId="10602" xr:uid="{7BD9DCB0-05E8-4541-BD89-24E0F0841AE3}"/>
    <cellStyle name="Normal 4 2 2 6 6" xfId="2514" xr:uid="{00000000-0005-0000-0000-00001B130000}"/>
    <cellStyle name="Normal 4 2 2 6 6 2" xfId="6798" xr:uid="{00000000-0005-0000-0000-00001C130000}"/>
    <cellStyle name="Normal 4 2 2 6 6 2 2" xfId="15233" xr:uid="{7921C34B-CD9F-4417-B251-1E6EF2FBB792}"/>
    <cellStyle name="Normal 4 2 2 6 6 3" xfId="11015" xr:uid="{8A09ACF7-6320-43BC-BD38-140B0CF8382C}"/>
    <cellStyle name="Normal 4 2 2 6 7" xfId="4733" xr:uid="{00000000-0005-0000-0000-00001D130000}"/>
    <cellStyle name="Normal 4 2 2 6 7 2" xfId="13168" xr:uid="{F090B886-641C-4838-80BC-E73718F7146A}"/>
    <cellStyle name="Normal 4 2 2 6 8" xfId="8950" xr:uid="{2135D7BF-9071-4060-9E3B-4B4F9DEDAF55}"/>
    <cellStyle name="Normal 4 2 2 7" xfId="816" xr:uid="{00000000-0005-0000-0000-00001E130000}"/>
    <cellStyle name="Normal 4 2 2 7 2" xfId="3053" xr:uid="{00000000-0005-0000-0000-00001F130000}"/>
    <cellStyle name="Normal 4 2 2 7 2 2" xfId="7276" xr:uid="{00000000-0005-0000-0000-000020130000}"/>
    <cellStyle name="Normal 4 2 2 7 2 2 2" xfId="15711" xr:uid="{A27FFB7D-4E84-4354-B4A0-14A20182CD46}"/>
    <cellStyle name="Normal 4 2 2 7 2 3" xfId="11493" xr:uid="{B20F3034-1873-4DF8-9F62-DCEC36207137}"/>
    <cellStyle name="Normal 4 2 2 7 3" xfId="5131" xr:uid="{00000000-0005-0000-0000-000021130000}"/>
    <cellStyle name="Normal 4 2 2 7 3 2" xfId="13566" xr:uid="{6483B4D5-CD23-4D0A-B43B-24E41CCA53FC}"/>
    <cellStyle name="Normal 4 2 2 7 4" xfId="9348" xr:uid="{E6897748-BA42-4D9F-82CB-48F74E619936}"/>
    <cellStyle name="Normal 4 2 2 8" xfId="1236" xr:uid="{00000000-0005-0000-0000-000022130000}"/>
    <cellStyle name="Normal 4 2 2 8 2" xfId="3466" xr:uid="{00000000-0005-0000-0000-000023130000}"/>
    <cellStyle name="Normal 4 2 2 8 2 2" xfId="7689" xr:uid="{00000000-0005-0000-0000-000024130000}"/>
    <cellStyle name="Normal 4 2 2 8 2 2 2" xfId="16124" xr:uid="{3499D7D6-0BD4-4559-9670-93C1CBFD4079}"/>
    <cellStyle name="Normal 4 2 2 8 2 3" xfId="11906" xr:uid="{4F8420B0-127D-4E13-A69F-1AC19D261A8E}"/>
    <cellStyle name="Normal 4 2 2 8 3" xfId="5544" xr:uid="{00000000-0005-0000-0000-000025130000}"/>
    <cellStyle name="Normal 4 2 2 8 3 2" xfId="13979" xr:uid="{69D05944-13A7-4D07-935C-57B9885BE960}"/>
    <cellStyle name="Normal 4 2 2 8 4" xfId="9761" xr:uid="{1A748F32-E5B8-441F-B9BE-16EEAD925A76}"/>
    <cellStyle name="Normal 4 2 2 9" xfId="1649" xr:uid="{00000000-0005-0000-0000-000026130000}"/>
    <cellStyle name="Normal 4 2 2 9 2" xfId="3879" xr:uid="{00000000-0005-0000-0000-000027130000}"/>
    <cellStyle name="Normal 4 2 2 9 2 2" xfId="8102" xr:uid="{00000000-0005-0000-0000-000028130000}"/>
    <cellStyle name="Normal 4 2 2 9 2 2 2" xfId="16537" xr:uid="{EF65115A-7DD6-4FB6-AA08-2BC36E430E03}"/>
    <cellStyle name="Normal 4 2 2 9 2 3" xfId="12319" xr:uid="{A7BDA449-A371-4FFD-BBCA-358ED2BF8457}"/>
    <cellStyle name="Normal 4 2 2 9 3" xfId="5957" xr:uid="{00000000-0005-0000-0000-000029130000}"/>
    <cellStyle name="Normal 4 2 2 9 3 2" xfId="14392" xr:uid="{508E8EF8-8870-4D6C-ADCB-EBE040B07DB4}"/>
    <cellStyle name="Normal 4 2 2 9 4" xfId="10174" xr:uid="{E0DA0FE0-1781-492C-B874-EB248192979E}"/>
    <cellStyle name="Normal 4 2 3" xfId="354" xr:uid="{00000000-0005-0000-0000-00002A130000}"/>
    <cellStyle name="Normal 4 2 4" xfId="355" xr:uid="{00000000-0005-0000-0000-00002B130000}"/>
    <cellStyle name="Normal 4 2 4 10" xfId="4734" xr:uid="{00000000-0005-0000-0000-00002C130000}"/>
    <cellStyle name="Normal 4 2 4 10 2" xfId="13169" xr:uid="{643763FF-5DC2-4745-B03B-1821E076A30F}"/>
    <cellStyle name="Normal 4 2 4 11" xfId="8951" xr:uid="{23B6DE48-9658-4B12-81E9-D3231B179044}"/>
    <cellStyle name="Normal 4 2 4 2" xfId="356" xr:uid="{00000000-0005-0000-0000-00002D130000}"/>
    <cellStyle name="Normal 4 2 4 2 10" xfId="8952" xr:uid="{91027EAE-7C51-4F76-B60B-AEDA26541B4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2 2 2" xfId="15730" xr:uid="{96725DA9-E3DE-48B1-BA44-F1BB3B475EA9}"/>
    <cellStyle name="Normal 4 2 4 2 2 2 2 2 3" xfId="11512" xr:uid="{98A53184-EA49-4AA7-B67C-9ABA44154B32}"/>
    <cellStyle name="Normal 4 2 4 2 2 2 2 3" xfId="5150" xr:uid="{00000000-0005-0000-0000-000033130000}"/>
    <cellStyle name="Normal 4 2 4 2 2 2 2 3 2" xfId="13585" xr:uid="{44755E0F-A9B9-4C0C-A9CB-407A3492A3FF}"/>
    <cellStyle name="Normal 4 2 4 2 2 2 2 4" xfId="9367" xr:uid="{CB20A82C-BC73-41D6-A713-4C4732BF93DF}"/>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2 2 2" xfId="16143" xr:uid="{4339F4FD-4B52-4C3B-9F39-D0A51C1C1FAF}"/>
    <cellStyle name="Normal 4 2 4 2 2 2 3 2 3" xfId="11925" xr:uid="{7C1BA811-9347-4115-A629-C25BA5788FD1}"/>
    <cellStyle name="Normal 4 2 4 2 2 2 3 3" xfId="5563" xr:uid="{00000000-0005-0000-0000-000037130000}"/>
    <cellStyle name="Normal 4 2 4 2 2 2 3 3 2" xfId="13998" xr:uid="{A7E8B09B-D0B4-4208-A3DF-37AA3CC92173}"/>
    <cellStyle name="Normal 4 2 4 2 2 2 3 4" xfId="9780" xr:uid="{A2A96618-3740-4E29-A24A-44CCBFF83988}"/>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2 2 2" xfId="16556" xr:uid="{C73EC230-A929-42BE-AB34-1B1A1AE382E5}"/>
    <cellStyle name="Normal 4 2 4 2 2 2 4 2 3" xfId="12338" xr:uid="{4D4A5F2F-E11F-4E10-ADE3-290BCEFE9AB0}"/>
    <cellStyle name="Normal 4 2 4 2 2 2 4 3" xfId="5976" xr:uid="{00000000-0005-0000-0000-00003B130000}"/>
    <cellStyle name="Normal 4 2 4 2 2 2 4 3 2" xfId="14411" xr:uid="{D5336D38-6E22-4752-B3C7-D66A20AA6A1F}"/>
    <cellStyle name="Normal 4 2 4 2 2 2 4 4" xfId="10193" xr:uid="{7C4BB41E-EEE9-432E-87F8-27CCC33AC29F}"/>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2 2 2" xfId="16969" xr:uid="{AB3E9645-64B3-4939-892D-E0E1A71E6FC4}"/>
    <cellStyle name="Normal 4 2 4 2 2 2 5 2 3" xfId="12751" xr:uid="{C1973118-545E-4657-82AA-930AA3AD67B2}"/>
    <cellStyle name="Normal 4 2 4 2 2 2 5 3" xfId="6389" xr:uid="{00000000-0005-0000-0000-00003F130000}"/>
    <cellStyle name="Normal 4 2 4 2 2 2 5 3 2" xfId="14824" xr:uid="{F96BE4DD-1D65-4AE7-A4E6-BDF1D441041A}"/>
    <cellStyle name="Normal 4 2 4 2 2 2 5 4" xfId="10606" xr:uid="{A1546A6E-3CD5-4737-BC88-384B216D433E}"/>
    <cellStyle name="Normal 4 2 4 2 2 2 6" xfId="2518" xr:uid="{00000000-0005-0000-0000-000040130000}"/>
    <cellStyle name="Normal 4 2 4 2 2 2 6 2" xfId="6802" xr:uid="{00000000-0005-0000-0000-000041130000}"/>
    <cellStyle name="Normal 4 2 4 2 2 2 6 2 2" xfId="15237" xr:uid="{FD11EE59-05D6-4E39-9070-3A72C5C38D17}"/>
    <cellStyle name="Normal 4 2 4 2 2 2 6 3" xfId="11019" xr:uid="{E0971C3E-7608-4329-AA41-F799EB3C7C03}"/>
    <cellStyle name="Normal 4 2 4 2 2 2 7" xfId="4737" xr:uid="{00000000-0005-0000-0000-000042130000}"/>
    <cellStyle name="Normal 4 2 4 2 2 2 7 2" xfId="13172" xr:uid="{9EB6A566-6229-417E-92DC-DDBA821F9523}"/>
    <cellStyle name="Normal 4 2 4 2 2 2 8" xfId="8954" xr:uid="{84D23A4B-E29F-4E2F-9223-F88D977330EE}"/>
    <cellStyle name="Normal 4 2 4 2 2 3" xfId="834" xr:uid="{00000000-0005-0000-0000-000043130000}"/>
    <cellStyle name="Normal 4 2 4 2 2 3 2" xfId="3071" xr:uid="{00000000-0005-0000-0000-000044130000}"/>
    <cellStyle name="Normal 4 2 4 2 2 3 2 2" xfId="7294" xr:uid="{00000000-0005-0000-0000-000045130000}"/>
    <cellStyle name="Normal 4 2 4 2 2 3 2 2 2" xfId="15729" xr:uid="{D3424718-1079-4AD0-98F4-1E0B39DAA466}"/>
    <cellStyle name="Normal 4 2 4 2 2 3 2 3" xfId="11511" xr:uid="{190243A4-86AE-46EF-96D6-EAAF76BE4332}"/>
    <cellStyle name="Normal 4 2 4 2 2 3 3" xfId="5149" xr:uid="{00000000-0005-0000-0000-000046130000}"/>
    <cellStyle name="Normal 4 2 4 2 2 3 3 2" xfId="13584" xr:uid="{E069D016-4095-4227-9959-AA4F9FD03AEB}"/>
    <cellStyle name="Normal 4 2 4 2 2 3 4" xfId="9366" xr:uid="{9BFDCBA9-87AC-485A-A95D-A6FADB75E21F}"/>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2 2 2" xfId="16142" xr:uid="{FA90A770-F65D-40DA-B9A5-679C89619998}"/>
    <cellStyle name="Normal 4 2 4 2 2 4 2 3" xfId="11924" xr:uid="{1DE7C4BC-056A-4BEA-A1C3-945EFBBA74C5}"/>
    <cellStyle name="Normal 4 2 4 2 2 4 3" xfId="5562" xr:uid="{00000000-0005-0000-0000-00004A130000}"/>
    <cellStyle name="Normal 4 2 4 2 2 4 3 2" xfId="13997" xr:uid="{146C5756-34ED-4ACC-8286-26DEC1E30E63}"/>
    <cellStyle name="Normal 4 2 4 2 2 4 4" xfId="9779" xr:uid="{CFB294A2-F67C-45BA-8012-22959C88C8CF}"/>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2 2 2" xfId="16555" xr:uid="{6133905D-6F3D-4B43-8205-4C156B5DF78B}"/>
    <cellStyle name="Normal 4 2 4 2 2 5 2 3" xfId="12337" xr:uid="{B9F7D9BA-337B-4E19-A491-145C57CD2CA8}"/>
    <cellStyle name="Normal 4 2 4 2 2 5 3" xfId="5975" xr:uid="{00000000-0005-0000-0000-00004E130000}"/>
    <cellStyle name="Normal 4 2 4 2 2 5 3 2" xfId="14410" xr:uid="{C2440ED6-75AD-4624-8B21-82AD9EA88504}"/>
    <cellStyle name="Normal 4 2 4 2 2 5 4" xfId="10192" xr:uid="{3BD8E546-A59B-45E3-8F16-9D8B27ACF596}"/>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2 2 2" xfId="16968" xr:uid="{F6782D68-070A-46E6-9FFB-73FED890A9A3}"/>
    <cellStyle name="Normal 4 2 4 2 2 6 2 3" xfId="12750" xr:uid="{99C840C3-C6EE-40F5-AC6A-F0C8F2A11F6D}"/>
    <cellStyle name="Normal 4 2 4 2 2 6 3" xfId="6388" xr:uid="{00000000-0005-0000-0000-000052130000}"/>
    <cellStyle name="Normal 4 2 4 2 2 6 3 2" xfId="14823" xr:uid="{E9688CCC-CAF6-427A-AB71-C642F466C4D9}"/>
    <cellStyle name="Normal 4 2 4 2 2 6 4" xfId="10605" xr:uid="{44122237-2B9C-485A-9CCB-EF9C6EA57608}"/>
    <cellStyle name="Normal 4 2 4 2 2 7" xfId="2517" xr:uid="{00000000-0005-0000-0000-000053130000}"/>
    <cellStyle name="Normal 4 2 4 2 2 7 2" xfId="6801" xr:uid="{00000000-0005-0000-0000-000054130000}"/>
    <cellStyle name="Normal 4 2 4 2 2 7 2 2" xfId="15236" xr:uid="{C9E3005C-53A6-4D17-9795-E17042A3D346}"/>
    <cellStyle name="Normal 4 2 4 2 2 7 3" xfId="11018" xr:uid="{3973C9A5-07FD-452C-A0B3-3169AF115F89}"/>
    <cellStyle name="Normal 4 2 4 2 2 8" xfId="4736" xr:uid="{00000000-0005-0000-0000-000055130000}"/>
    <cellStyle name="Normal 4 2 4 2 2 8 2" xfId="13171" xr:uid="{E86DD25E-7F58-423B-982B-F698731FF2C4}"/>
    <cellStyle name="Normal 4 2 4 2 2 9" xfId="8953" xr:uid="{1B876F55-DAAA-4A4A-AFE0-DB5945DC6949}"/>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2 2 2" xfId="15731" xr:uid="{D5E5093B-7515-461C-9D21-206445A47191}"/>
    <cellStyle name="Normal 4 2 4 2 3 2 2 3" xfId="11513" xr:uid="{6BF7A0A7-AC32-4835-B884-569A9D59DB08}"/>
    <cellStyle name="Normal 4 2 4 2 3 2 3" xfId="5151" xr:uid="{00000000-0005-0000-0000-00005A130000}"/>
    <cellStyle name="Normal 4 2 4 2 3 2 3 2" xfId="13586" xr:uid="{5659655C-41BA-4A9D-A3D4-A3E7B4AE89F0}"/>
    <cellStyle name="Normal 4 2 4 2 3 2 4" xfId="9368" xr:uid="{0473DB06-CDEA-48B7-A19A-475249B0DEDF}"/>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2 2 2" xfId="16144" xr:uid="{104964A3-7EDA-44C3-B254-268CAD8E777D}"/>
    <cellStyle name="Normal 4 2 4 2 3 3 2 3" xfId="11926" xr:uid="{BC9961F3-D51A-499D-B636-E88B6BE2BBC1}"/>
    <cellStyle name="Normal 4 2 4 2 3 3 3" xfId="5564" xr:uid="{00000000-0005-0000-0000-00005E130000}"/>
    <cellStyle name="Normal 4 2 4 2 3 3 3 2" xfId="13999" xr:uid="{2E735123-231F-4906-BD55-B0FAFC7A8D24}"/>
    <cellStyle name="Normal 4 2 4 2 3 3 4" xfId="9781" xr:uid="{DFE56098-D6DB-4006-B6AC-6E3812C1A30F}"/>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2 2 2" xfId="16557" xr:uid="{5AFA3A31-F030-412F-9BED-23C60893DC14}"/>
    <cellStyle name="Normal 4 2 4 2 3 4 2 3" xfId="12339" xr:uid="{067F9B5C-0103-4649-8862-C2BCFB2E76EB}"/>
    <cellStyle name="Normal 4 2 4 2 3 4 3" xfId="5977" xr:uid="{00000000-0005-0000-0000-000062130000}"/>
    <cellStyle name="Normal 4 2 4 2 3 4 3 2" xfId="14412" xr:uid="{3BDC83D3-F971-4C7B-9DF5-DB198310B3D3}"/>
    <cellStyle name="Normal 4 2 4 2 3 4 4" xfId="10194" xr:uid="{2987E794-FB72-4287-AF48-F2872297921B}"/>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2 2 2" xfId="16970" xr:uid="{470FE412-2460-45F6-BC85-1778758B4755}"/>
    <cellStyle name="Normal 4 2 4 2 3 5 2 3" xfId="12752" xr:uid="{F2E83173-254D-4D23-9BF6-8F3A2C8EE4CE}"/>
    <cellStyle name="Normal 4 2 4 2 3 5 3" xfId="6390" xr:uid="{00000000-0005-0000-0000-000066130000}"/>
    <cellStyle name="Normal 4 2 4 2 3 5 3 2" xfId="14825" xr:uid="{67E8613A-F1DC-4BC6-B9D3-53AD5CD6666F}"/>
    <cellStyle name="Normal 4 2 4 2 3 5 4" xfId="10607" xr:uid="{4F57E0AC-B7AB-4142-8188-D944F4076034}"/>
    <cellStyle name="Normal 4 2 4 2 3 6" xfId="2519" xr:uid="{00000000-0005-0000-0000-000067130000}"/>
    <cellStyle name="Normal 4 2 4 2 3 6 2" xfId="6803" xr:uid="{00000000-0005-0000-0000-000068130000}"/>
    <cellStyle name="Normal 4 2 4 2 3 6 2 2" xfId="15238" xr:uid="{8DC6642F-41D8-423C-8919-5D5F29CB736E}"/>
    <cellStyle name="Normal 4 2 4 2 3 6 3" xfId="11020" xr:uid="{6736B122-4EB3-42E4-B23B-5F7B71D52C51}"/>
    <cellStyle name="Normal 4 2 4 2 3 7" xfId="4738" xr:uid="{00000000-0005-0000-0000-000069130000}"/>
    <cellStyle name="Normal 4 2 4 2 3 7 2" xfId="13173" xr:uid="{2E3D39AB-D73C-4565-A2A5-96B41C580F0A}"/>
    <cellStyle name="Normal 4 2 4 2 3 8" xfId="8955" xr:uid="{310E33CE-5BE0-483A-9AD8-05A844F8B6AA}"/>
    <cellStyle name="Normal 4 2 4 2 4" xfId="833" xr:uid="{00000000-0005-0000-0000-00006A130000}"/>
    <cellStyle name="Normal 4 2 4 2 4 2" xfId="3070" xr:uid="{00000000-0005-0000-0000-00006B130000}"/>
    <cellStyle name="Normal 4 2 4 2 4 2 2" xfId="7293" xr:uid="{00000000-0005-0000-0000-00006C130000}"/>
    <cellStyle name="Normal 4 2 4 2 4 2 2 2" xfId="15728" xr:uid="{36620767-465D-422B-8C8E-D5A67819B225}"/>
    <cellStyle name="Normal 4 2 4 2 4 2 3" xfId="11510" xr:uid="{5161BA46-9A09-48C0-9A9A-BD83948EEAE8}"/>
    <cellStyle name="Normal 4 2 4 2 4 3" xfId="5148" xr:uid="{00000000-0005-0000-0000-00006D130000}"/>
    <cellStyle name="Normal 4 2 4 2 4 3 2" xfId="13583" xr:uid="{81054CA6-6065-4DF6-8AEF-EEB19240F189}"/>
    <cellStyle name="Normal 4 2 4 2 4 4" xfId="9365" xr:uid="{71E836EF-A25E-4F9C-943E-124A57F8326C}"/>
    <cellStyle name="Normal 4 2 4 2 5" xfId="1253" xr:uid="{00000000-0005-0000-0000-00006E130000}"/>
    <cellStyle name="Normal 4 2 4 2 5 2" xfId="3483" xr:uid="{00000000-0005-0000-0000-00006F130000}"/>
    <cellStyle name="Normal 4 2 4 2 5 2 2" xfId="7706" xr:uid="{00000000-0005-0000-0000-000070130000}"/>
    <cellStyle name="Normal 4 2 4 2 5 2 2 2" xfId="16141" xr:uid="{3CC0AB74-D7D9-4D0E-8BA5-6B7BCE8ED6EF}"/>
    <cellStyle name="Normal 4 2 4 2 5 2 3" xfId="11923" xr:uid="{8FDDBBCA-08B2-4939-B156-F227DFF3F459}"/>
    <cellStyle name="Normal 4 2 4 2 5 3" xfId="5561" xr:uid="{00000000-0005-0000-0000-000071130000}"/>
    <cellStyle name="Normal 4 2 4 2 5 3 2" xfId="13996" xr:uid="{EEA1AC33-00BA-4C0B-AA63-C474B1B77512}"/>
    <cellStyle name="Normal 4 2 4 2 5 4" xfId="9778" xr:uid="{493FAB66-EDD8-4EFC-AA21-2717DDFF87CE}"/>
    <cellStyle name="Normal 4 2 4 2 6" xfId="1666" xr:uid="{00000000-0005-0000-0000-000072130000}"/>
    <cellStyle name="Normal 4 2 4 2 6 2" xfId="3896" xr:uid="{00000000-0005-0000-0000-000073130000}"/>
    <cellStyle name="Normal 4 2 4 2 6 2 2" xfId="8119" xr:uid="{00000000-0005-0000-0000-000074130000}"/>
    <cellStyle name="Normal 4 2 4 2 6 2 2 2" xfId="16554" xr:uid="{A113F14B-F913-4FD3-8583-E8CA0A4BD549}"/>
    <cellStyle name="Normal 4 2 4 2 6 2 3" xfId="12336" xr:uid="{90318B66-0956-4479-B3F7-02430F3AEC97}"/>
    <cellStyle name="Normal 4 2 4 2 6 3" xfId="5974" xr:uid="{00000000-0005-0000-0000-000075130000}"/>
    <cellStyle name="Normal 4 2 4 2 6 3 2" xfId="14409" xr:uid="{6B836427-4BA6-45EB-AF38-DB75440D453E}"/>
    <cellStyle name="Normal 4 2 4 2 6 4" xfId="10191" xr:uid="{95D727CD-8947-4CFA-8695-0792CA95EEC9}"/>
    <cellStyle name="Normal 4 2 4 2 7" xfId="2080" xr:uid="{00000000-0005-0000-0000-000076130000}"/>
    <cellStyle name="Normal 4 2 4 2 7 2" xfId="4309" xr:uid="{00000000-0005-0000-0000-000077130000}"/>
    <cellStyle name="Normal 4 2 4 2 7 2 2" xfId="8532" xr:uid="{00000000-0005-0000-0000-000078130000}"/>
    <cellStyle name="Normal 4 2 4 2 7 2 2 2" xfId="16967" xr:uid="{4666C719-B539-4BC9-AD6C-79C12F6E01D8}"/>
    <cellStyle name="Normal 4 2 4 2 7 2 3" xfId="12749" xr:uid="{2B24AF12-1438-4C81-9FF6-4B0C3C9C6AAF}"/>
    <cellStyle name="Normal 4 2 4 2 7 3" xfId="6387" xr:uid="{00000000-0005-0000-0000-000079130000}"/>
    <cellStyle name="Normal 4 2 4 2 7 3 2" xfId="14822" xr:uid="{E349A8BC-BF00-4130-84A9-CA2F9EAD4EB0}"/>
    <cellStyle name="Normal 4 2 4 2 7 4" xfId="10604" xr:uid="{5B13B39F-984D-4C9D-B1DF-37CBFDB996C9}"/>
    <cellStyle name="Normal 4 2 4 2 8" xfId="2516" xr:uid="{00000000-0005-0000-0000-00007A130000}"/>
    <cellStyle name="Normal 4 2 4 2 8 2" xfId="6800" xr:uid="{00000000-0005-0000-0000-00007B130000}"/>
    <cellStyle name="Normal 4 2 4 2 8 2 2" xfId="15235" xr:uid="{8D5F0F06-3B78-49AD-A01C-52E10C204CEF}"/>
    <cellStyle name="Normal 4 2 4 2 8 3" xfId="11017" xr:uid="{DE6E71A0-CC51-4C32-9836-9F18E8CBAAA5}"/>
    <cellStyle name="Normal 4 2 4 2 9" xfId="4735" xr:uid="{00000000-0005-0000-0000-00007C130000}"/>
    <cellStyle name="Normal 4 2 4 2 9 2" xfId="13170" xr:uid="{B2CEE0C3-336E-4F8F-A8F0-CEC697B401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2 2 2" xfId="15733" xr:uid="{1A7DC7FD-AD00-4409-9C6E-0D4C56E9822C}"/>
    <cellStyle name="Normal 4 2 4 3 2 2 2 3" xfId="11515" xr:uid="{B945402B-6A7A-4E56-B55D-3EC43F263741}"/>
    <cellStyle name="Normal 4 2 4 3 2 2 3" xfId="5153" xr:uid="{00000000-0005-0000-0000-000082130000}"/>
    <cellStyle name="Normal 4 2 4 3 2 2 3 2" xfId="13588" xr:uid="{7CC722A2-FCB1-41F2-ACA2-2896CDE7E8F2}"/>
    <cellStyle name="Normal 4 2 4 3 2 2 4" xfId="9370" xr:uid="{AA94E000-AA1E-443E-AD00-B4313B53A593}"/>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2 2 2" xfId="16146" xr:uid="{BB68EABD-ED3D-48E6-A1C3-D61369BE31C6}"/>
    <cellStyle name="Normal 4 2 4 3 2 3 2 3" xfId="11928" xr:uid="{36A01E11-2F1F-49BE-8D03-BEF50D5522AC}"/>
    <cellStyle name="Normal 4 2 4 3 2 3 3" xfId="5566" xr:uid="{00000000-0005-0000-0000-000086130000}"/>
    <cellStyle name="Normal 4 2 4 3 2 3 3 2" xfId="14001" xr:uid="{7637BA81-8A86-4B38-8812-96FBACCF24CA}"/>
    <cellStyle name="Normal 4 2 4 3 2 3 4" xfId="9783" xr:uid="{3DFB89AB-EA35-41D9-A540-E72D390C118B}"/>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2 2 2" xfId="16559" xr:uid="{4F5871B0-DAB4-4CD6-825E-B023DDD6A769}"/>
    <cellStyle name="Normal 4 2 4 3 2 4 2 3" xfId="12341" xr:uid="{850F45BF-190B-4E01-ADE9-ABF1B07ADC9C}"/>
    <cellStyle name="Normal 4 2 4 3 2 4 3" xfId="5979" xr:uid="{00000000-0005-0000-0000-00008A130000}"/>
    <cellStyle name="Normal 4 2 4 3 2 4 3 2" xfId="14414" xr:uid="{82A3E6EC-ED4F-4C4E-B285-3280850DF9B9}"/>
    <cellStyle name="Normal 4 2 4 3 2 4 4" xfId="10196" xr:uid="{41B4381F-F591-4076-9767-048419FC28B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2 2 2" xfId="16972" xr:uid="{E208F295-E4D3-4C65-98C7-6F054D7459DE}"/>
    <cellStyle name="Normal 4 2 4 3 2 5 2 3" xfId="12754" xr:uid="{10ADE5CA-C9DA-4540-AA61-0BD550796138}"/>
    <cellStyle name="Normal 4 2 4 3 2 5 3" xfId="6392" xr:uid="{00000000-0005-0000-0000-00008E130000}"/>
    <cellStyle name="Normal 4 2 4 3 2 5 3 2" xfId="14827" xr:uid="{A8F58329-AA84-4F08-980C-04ECCB842E7E}"/>
    <cellStyle name="Normal 4 2 4 3 2 5 4" xfId="10609" xr:uid="{D8C1691A-7210-4F89-A653-D9CBA50CFA57}"/>
    <cellStyle name="Normal 4 2 4 3 2 6" xfId="2521" xr:uid="{00000000-0005-0000-0000-00008F130000}"/>
    <cellStyle name="Normal 4 2 4 3 2 6 2" xfId="6805" xr:uid="{00000000-0005-0000-0000-000090130000}"/>
    <cellStyle name="Normal 4 2 4 3 2 6 2 2" xfId="15240" xr:uid="{4122E5B7-7456-4D2A-8C69-9ABE0A9784D4}"/>
    <cellStyle name="Normal 4 2 4 3 2 6 3" xfId="11022" xr:uid="{D1A380C7-5F42-4894-8206-281F5B3A0415}"/>
    <cellStyle name="Normal 4 2 4 3 2 7" xfId="4740" xr:uid="{00000000-0005-0000-0000-000091130000}"/>
    <cellStyle name="Normal 4 2 4 3 2 7 2" xfId="13175" xr:uid="{A25E6D5C-76C7-480F-A22C-89B085DC5D0E}"/>
    <cellStyle name="Normal 4 2 4 3 2 8" xfId="8957" xr:uid="{DD368B9D-909F-4AE6-A953-01B660C381DC}"/>
    <cellStyle name="Normal 4 2 4 3 3" xfId="837" xr:uid="{00000000-0005-0000-0000-000092130000}"/>
    <cellStyle name="Normal 4 2 4 3 3 2" xfId="3074" xr:uid="{00000000-0005-0000-0000-000093130000}"/>
    <cellStyle name="Normal 4 2 4 3 3 2 2" xfId="7297" xr:uid="{00000000-0005-0000-0000-000094130000}"/>
    <cellStyle name="Normal 4 2 4 3 3 2 2 2" xfId="15732" xr:uid="{EF65C46F-7964-48D3-BADE-34571579D48D}"/>
    <cellStyle name="Normal 4 2 4 3 3 2 3" xfId="11514" xr:uid="{358B6C34-18D2-45F4-B831-73069972167B}"/>
    <cellStyle name="Normal 4 2 4 3 3 3" xfId="5152" xr:uid="{00000000-0005-0000-0000-000095130000}"/>
    <cellStyle name="Normal 4 2 4 3 3 3 2" xfId="13587" xr:uid="{36C4FD73-1225-44D3-AB66-1F7591D1A81A}"/>
    <cellStyle name="Normal 4 2 4 3 3 4" xfId="9369" xr:uid="{1F091A0B-097B-47D7-A947-6B016464F653}"/>
    <cellStyle name="Normal 4 2 4 3 4" xfId="1257" xr:uid="{00000000-0005-0000-0000-000096130000}"/>
    <cellStyle name="Normal 4 2 4 3 4 2" xfId="3487" xr:uid="{00000000-0005-0000-0000-000097130000}"/>
    <cellStyle name="Normal 4 2 4 3 4 2 2" xfId="7710" xr:uid="{00000000-0005-0000-0000-000098130000}"/>
    <cellStyle name="Normal 4 2 4 3 4 2 2 2" xfId="16145" xr:uid="{A98CA7A4-24F7-451B-9440-F9B3012C50AA}"/>
    <cellStyle name="Normal 4 2 4 3 4 2 3" xfId="11927" xr:uid="{04E8E79A-FDAC-4B9C-AC2C-4F4274C4CE61}"/>
    <cellStyle name="Normal 4 2 4 3 4 3" xfId="5565" xr:uid="{00000000-0005-0000-0000-000099130000}"/>
    <cellStyle name="Normal 4 2 4 3 4 3 2" xfId="14000" xr:uid="{CDB0AD31-DBDF-41B9-A1EB-71342ABAB331}"/>
    <cellStyle name="Normal 4 2 4 3 4 4" xfId="9782" xr:uid="{614CE032-0DAE-43C2-BFDA-89400BD6E1CD}"/>
    <cellStyle name="Normal 4 2 4 3 5" xfId="1670" xr:uid="{00000000-0005-0000-0000-00009A130000}"/>
    <cellStyle name="Normal 4 2 4 3 5 2" xfId="3900" xr:uid="{00000000-0005-0000-0000-00009B130000}"/>
    <cellStyle name="Normal 4 2 4 3 5 2 2" xfId="8123" xr:uid="{00000000-0005-0000-0000-00009C130000}"/>
    <cellStyle name="Normal 4 2 4 3 5 2 2 2" xfId="16558" xr:uid="{BFA183A5-4FA7-4C62-B0A9-DDB3CAC58F7C}"/>
    <cellStyle name="Normal 4 2 4 3 5 2 3" xfId="12340" xr:uid="{471256F0-A9B6-4644-9D4C-38A6B56FB212}"/>
    <cellStyle name="Normal 4 2 4 3 5 3" xfId="5978" xr:uid="{00000000-0005-0000-0000-00009D130000}"/>
    <cellStyle name="Normal 4 2 4 3 5 3 2" xfId="14413" xr:uid="{A3038690-39C5-49BB-BEF5-BA98F662D439}"/>
    <cellStyle name="Normal 4 2 4 3 5 4" xfId="10195" xr:uid="{B1CC8C51-5DB6-4570-8757-B3A9CC68F765}"/>
    <cellStyle name="Normal 4 2 4 3 6" xfId="2084" xr:uid="{00000000-0005-0000-0000-00009E130000}"/>
    <cellStyle name="Normal 4 2 4 3 6 2" xfId="4313" xr:uid="{00000000-0005-0000-0000-00009F130000}"/>
    <cellStyle name="Normal 4 2 4 3 6 2 2" xfId="8536" xr:uid="{00000000-0005-0000-0000-0000A0130000}"/>
    <cellStyle name="Normal 4 2 4 3 6 2 2 2" xfId="16971" xr:uid="{9C693AC0-E2CE-4A48-A380-5A223B95F855}"/>
    <cellStyle name="Normal 4 2 4 3 6 2 3" xfId="12753" xr:uid="{9461987E-CD6E-43B9-A4C1-285BAD9CA21D}"/>
    <cellStyle name="Normal 4 2 4 3 6 3" xfId="6391" xr:uid="{00000000-0005-0000-0000-0000A1130000}"/>
    <cellStyle name="Normal 4 2 4 3 6 3 2" xfId="14826" xr:uid="{ABB3D352-8523-4E02-BB45-9F4F5FADA9EE}"/>
    <cellStyle name="Normal 4 2 4 3 6 4" xfId="10608" xr:uid="{F5B9C812-6B18-49B8-9CB4-5175F5884BFD}"/>
    <cellStyle name="Normal 4 2 4 3 7" xfId="2520" xr:uid="{00000000-0005-0000-0000-0000A2130000}"/>
    <cellStyle name="Normal 4 2 4 3 7 2" xfId="6804" xr:uid="{00000000-0005-0000-0000-0000A3130000}"/>
    <cellStyle name="Normal 4 2 4 3 7 2 2" xfId="15239" xr:uid="{415999D1-500A-468A-AD93-317CE759F723}"/>
    <cellStyle name="Normal 4 2 4 3 7 3" xfId="11021" xr:uid="{4DA1BC4C-00DF-4249-93E9-75B67540F780}"/>
    <cellStyle name="Normal 4 2 4 3 8" xfId="4739" xr:uid="{00000000-0005-0000-0000-0000A4130000}"/>
    <cellStyle name="Normal 4 2 4 3 8 2" xfId="13174" xr:uid="{C6FE37EE-A45A-4E91-89F3-EB36FDCF3B69}"/>
    <cellStyle name="Normal 4 2 4 3 9" xfId="8956" xr:uid="{B9D0155C-2F4F-49E6-B2F8-DD91A2EEC1BA}"/>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2 2 2" xfId="15734" xr:uid="{F0A708D4-5E8D-409B-A7BD-4537464DC69F}"/>
    <cellStyle name="Normal 4 2 4 4 2 2 3" xfId="11516" xr:uid="{94AF76D9-F9C5-43CB-B8CF-C3E558D8F7C5}"/>
    <cellStyle name="Normal 4 2 4 4 2 3" xfId="5154" xr:uid="{00000000-0005-0000-0000-0000A9130000}"/>
    <cellStyle name="Normal 4 2 4 4 2 3 2" xfId="13589" xr:uid="{9FD47023-C717-4928-ADDC-3E523688C810}"/>
    <cellStyle name="Normal 4 2 4 4 2 4" xfId="9371" xr:uid="{7D36624E-265C-4373-B1E1-E324B74CAC99}"/>
    <cellStyle name="Normal 4 2 4 4 3" xfId="1259" xr:uid="{00000000-0005-0000-0000-0000AA130000}"/>
    <cellStyle name="Normal 4 2 4 4 3 2" xfId="3489" xr:uid="{00000000-0005-0000-0000-0000AB130000}"/>
    <cellStyle name="Normal 4 2 4 4 3 2 2" xfId="7712" xr:uid="{00000000-0005-0000-0000-0000AC130000}"/>
    <cellStyle name="Normal 4 2 4 4 3 2 2 2" xfId="16147" xr:uid="{65E29632-6398-4400-A499-D741AD2B64EB}"/>
    <cellStyle name="Normal 4 2 4 4 3 2 3" xfId="11929" xr:uid="{C0A93CAB-5783-491E-8A6B-DCE098410F2B}"/>
    <cellStyle name="Normal 4 2 4 4 3 3" xfId="5567" xr:uid="{00000000-0005-0000-0000-0000AD130000}"/>
    <cellStyle name="Normal 4 2 4 4 3 3 2" xfId="14002" xr:uid="{F1F50626-DB6B-4562-8E91-A282826140AC}"/>
    <cellStyle name="Normal 4 2 4 4 3 4" xfId="9784" xr:uid="{5457A8FF-8436-476A-B52F-95F69EE41EB6}"/>
    <cellStyle name="Normal 4 2 4 4 4" xfId="1672" xr:uid="{00000000-0005-0000-0000-0000AE130000}"/>
    <cellStyle name="Normal 4 2 4 4 4 2" xfId="3902" xr:uid="{00000000-0005-0000-0000-0000AF130000}"/>
    <cellStyle name="Normal 4 2 4 4 4 2 2" xfId="8125" xr:uid="{00000000-0005-0000-0000-0000B0130000}"/>
    <cellStyle name="Normal 4 2 4 4 4 2 2 2" xfId="16560" xr:uid="{9FDB2733-A414-4B24-A947-16A7949A349C}"/>
    <cellStyle name="Normal 4 2 4 4 4 2 3" xfId="12342" xr:uid="{FE962F50-7D1D-4394-BCA9-3116CB533E3A}"/>
    <cellStyle name="Normal 4 2 4 4 4 3" xfId="5980" xr:uid="{00000000-0005-0000-0000-0000B1130000}"/>
    <cellStyle name="Normal 4 2 4 4 4 3 2" xfId="14415" xr:uid="{080C17E0-3F4F-42A2-B4B2-9EE44715DA5E}"/>
    <cellStyle name="Normal 4 2 4 4 4 4" xfId="10197" xr:uid="{7C81E1E7-3FDE-414D-811B-33AF6817B9E8}"/>
    <cellStyle name="Normal 4 2 4 4 5" xfId="2086" xr:uid="{00000000-0005-0000-0000-0000B2130000}"/>
    <cellStyle name="Normal 4 2 4 4 5 2" xfId="4315" xr:uid="{00000000-0005-0000-0000-0000B3130000}"/>
    <cellStyle name="Normal 4 2 4 4 5 2 2" xfId="8538" xr:uid="{00000000-0005-0000-0000-0000B4130000}"/>
    <cellStyle name="Normal 4 2 4 4 5 2 2 2" xfId="16973" xr:uid="{90EFB1B7-054E-45AE-A7C2-9EA0D65E4325}"/>
    <cellStyle name="Normal 4 2 4 4 5 2 3" xfId="12755" xr:uid="{1344A49A-AC15-4264-A8C2-BE3439D7B4D0}"/>
    <cellStyle name="Normal 4 2 4 4 5 3" xfId="6393" xr:uid="{00000000-0005-0000-0000-0000B5130000}"/>
    <cellStyle name="Normal 4 2 4 4 5 3 2" xfId="14828" xr:uid="{D819CA8B-DC70-4795-A2CC-5612E393D6E3}"/>
    <cellStyle name="Normal 4 2 4 4 5 4" xfId="10610" xr:uid="{C4877A28-6BAF-4FE6-877E-96B1713F64BF}"/>
    <cellStyle name="Normal 4 2 4 4 6" xfId="2522" xr:uid="{00000000-0005-0000-0000-0000B6130000}"/>
    <cellStyle name="Normal 4 2 4 4 6 2" xfId="6806" xr:uid="{00000000-0005-0000-0000-0000B7130000}"/>
    <cellStyle name="Normal 4 2 4 4 6 2 2" xfId="15241" xr:uid="{EF573C37-6BB7-46EE-8A6C-C1D9B1157D45}"/>
    <cellStyle name="Normal 4 2 4 4 6 3" xfId="11023" xr:uid="{986A36AC-E934-4846-8D8E-9A3BDAF91BA0}"/>
    <cellStyle name="Normal 4 2 4 4 7" xfId="4741" xr:uid="{00000000-0005-0000-0000-0000B8130000}"/>
    <cellStyle name="Normal 4 2 4 4 7 2" xfId="13176" xr:uid="{8FB81548-CE60-4BA6-BBBA-9C78796ABCB5}"/>
    <cellStyle name="Normal 4 2 4 4 8" xfId="8958" xr:uid="{B78F4CB6-146E-40A8-9634-7C6474879280}"/>
    <cellStyle name="Normal 4 2 4 5" xfId="832" xr:uid="{00000000-0005-0000-0000-0000B9130000}"/>
    <cellStyle name="Normal 4 2 4 5 2" xfId="3069" xr:uid="{00000000-0005-0000-0000-0000BA130000}"/>
    <cellStyle name="Normal 4 2 4 5 2 2" xfId="7292" xr:uid="{00000000-0005-0000-0000-0000BB130000}"/>
    <cellStyle name="Normal 4 2 4 5 2 2 2" xfId="15727" xr:uid="{B3A9F1C1-10F3-4674-8114-7641EAEDDC19}"/>
    <cellStyle name="Normal 4 2 4 5 2 3" xfId="11509" xr:uid="{83FF998D-AF34-4E90-89C1-BA9DF2BE5307}"/>
    <cellStyle name="Normal 4 2 4 5 3" xfId="5147" xr:uid="{00000000-0005-0000-0000-0000BC130000}"/>
    <cellStyle name="Normal 4 2 4 5 3 2" xfId="13582" xr:uid="{6B39F727-1307-4CFD-812A-A205319B5CEF}"/>
    <cellStyle name="Normal 4 2 4 5 4" xfId="9364" xr:uid="{36B197B1-B163-4942-8C07-9E41ABE89062}"/>
    <cellStyle name="Normal 4 2 4 6" xfId="1252" xr:uid="{00000000-0005-0000-0000-0000BD130000}"/>
    <cellStyle name="Normal 4 2 4 6 2" xfId="3482" xr:uid="{00000000-0005-0000-0000-0000BE130000}"/>
    <cellStyle name="Normal 4 2 4 6 2 2" xfId="7705" xr:uid="{00000000-0005-0000-0000-0000BF130000}"/>
    <cellStyle name="Normal 4 2 4 6 2 2 2" xfId="16140" xr:uid="{A48AC29A-E875-4D45-A6B7-54B14873C29A}"/>
    <cellStyle name="Normal 4 2 4 6 2 3" xfId="11922" xr:uid="{B17FEB45-4C39-41D6-9C25-B08B93F24D50}"/>
    <cellStyle name="Normal 4 2 4 6 3" xfId="5560" xr:uid="{00000000-0005-0000-0000-0000C0130000}"/>
    <cellStyle name="Normal 4 2 4 6 3 2" xfId="13995" xr:uid="{3021FBF8-ABD1-48E3-A9FC-70F10B67C4BB}"/>
    <cellStyle name="Normal 4 2 4 6 4" xfId="9777" xr:uid="{9EB5DE61-E3B8-4414-BB49-4563123BFB08}"/>
    <cellStyle name="Normal 4 2 4 7" xfId="1665" xr:uid="{00000000-0005-0000-0000-0000C1130000}"/>
    <cellStyle name="Normal 4 2 4 7 2" xfId="3895" xr:uid="{00000000-0005-0000-0000-0000C2130000}"/>
    <cellStyle name="Normal 4 2 4 7 2 2" xfId="8118" xr:uid="{00000000-0005-0000-0000-0000C3130000}"/>
    <cellStyle name="Normal 4 2 4 7 2 2 2" xfId="16553" xr:uid="{36A506C2-8770-418B-AECD-D996A0968FF8}"/>
    <cellStyle name="Normal 4 2 4 7 2 3" xfId="12335" xr:uid="{8CC99CE9-67B9-4BC9-B57C-9F10A87CC65B}"/>
    <cellStyle name="Normal 4 2 4 7 3" xfId="5973" xr:uid="{00000000-0005-0000-0000-0000C4130000}"/>
    <cellStyle name="Normal 4 2 4 7 3 2" xfId="14408" xr:uid="{A381A911-4627-40BB-BC71-21CC60E7800E}"/>
    <cellStyle name="Normal 4 2 4 7 4" xfId="10190" xr:uid="{CAA6DAF0-E079-4B85-9100-B04FC58B4A10}"/>
    <cellStyle name="Normal 4 2 4 8" xfId="2079" xr:uid="{00000000-0005-0000-0000-0000C5130000}"/>
    <cellStyle name="Normal 4 2 4 8 2" xfId="4308" xr:uid="{00000000-0005-0000-0000-0000C6130000}"/>
    <cellStyle name="Normal 4 2 4 8 2 2" xfId="8531" xr:uid="{00000000-0005-0000-0000-0000C7130000}"/>
    <cellStyle name="Normal 4 2 4 8 2 2 2" xfId="16966" xr:uid="{9934AD71-256B-4071-B261-2A02D7FE5684}"/>
    <cellStyle name="Normal 4 2 4 8 2 3" xfId="12748" xr:uid="{FEBE7480-49B1-4F9C-8EE8-5E73C5FEA078}"/>
    <cellStyle name="Normal 4 2 4 8 3" xfId="6386" xr:uid="{00000000-0005-0000-0000-0000C8130000}"/>
    <cellStyle name="Normal 4 2 4 8 3 2" xfId="14821" xr:uid="{1F01B519-D73A-45B9-B23E-FBF15F30D8F6}"/>
    <cellStyle name="Normal 4 2 4 8 4" xfId="10603" xr:uid="{B196B364-3A0D-418A-98C5-EBBD3E0CEADA}"/>
    <cellStyle name="Normal 4 2 4 9" xfId="2515" xr:uid="{00000000-0005-0000-0000-0000C9130000}"/>
    <cellStyle name="Normal 4 2 4 9 2" xfId="6799" xr:uid="{00000000-0005-0000-0000-0000CA130000}"/>
    <cellStyle name="Normal 4 2 4 9 2 2" xfId="15234" xr:uid="{0866F252-3F14-4B61-A8E0-2E4F66FC44D1}"/>
    <cellStyle name="Normal 4 2 4 9 3" xfId="11016" xr:uid="{1C0E5006-192F-4726-A334-D65F09F811C6}"/>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2 2 2" xfId="15736" xr:uid="{9B955534-A2FD-4969-8148-EB2DCAA5DD58}"/>
    <cellStyle name="Normal 4 2 5 2 2 2 3" xfId="11518" xr:uid="{1BDB11ED-637F-4826-BD16-D3E0BBC97039}"/>
    <cellStyle name="Normal 4 2 5 2 2 3" xfId="5156" xr:uid="{00000000-0005-0000-0000-0000D0130000}"/>
    <cellStyle name="Normal 4 2 5 2 2 3 2" xfId="13591" xr:uid="{637F8B6F-20E1-494C-808F-48B9E73A79E3}"/>
    <cellStyle name="Normal 4 2 5 2 2 4" xfId="9373" xr:uid="{9DD939DA-2551-4888-92DE-9920C6A640C8}"/>
    <cellStyle name="Normal 4 2 5 2 3" xfId="1261" xr:uid="{00000000-0005-0000-0000-0000D1130000}"/>
    <cellStyle name="Normal 4 2 5 2 3 2" xfId="3491" xr:uid="{00000000-0005-0000-0000-0000D2130000}"/>
    <cellStyle name="Normal 4 2 5 2 3 2 2" xfId="7714" xr:uid="{00000000-0005-0000-0000-0000D3130000}"/>
    <cellStyle name="Normal 4 2 5 2 3 2 2 2" xfId="16149" xr:uid="{38E13812-D7E0-462D-8AFE-C110A7BE14FB}"/>
    <cellStyle name="Normal 4 2 5 2 3 2 3" xfId="11931" xr:uid="{5CF8AD98-C9B4-4261-8493-D10D41A88327}"/>
    <cellStyle name="Normal 4 2 5 2 3 3" xfId="5569" xr:uid="{00000000-0005-0000-0000-0000D4130000}"/>
    <cellStyle name="Normal 4 2 5 2 3 3 2" xfId="14004" xr:uid="{9BF70AF0-26AA-46A2-932F-E02E6D996A90}"/>
    <cellStyle name="Normal 4 2 5 2 3 4" xfId="9786" xr:uid="{94683288-1A9D-4C44-A604-B998AF0C5EC8}"/>
    <cellStyle name="Normal 4 2 5 2 4" xfId="1674" xr:uid="{00000000-0005-0000-0000-0000D5130000}"/>
    <cellStyle name="Normal 4 2 5 2 4 2" xfId="3904" xr:uid="{00000000-0005-0000-0000-0000D6130000}"/>
    <cellStyle name="Normal 4 2 5 2 4 2 2" xfId="8127" xr:uid="{00000000-0005-0000-0000-0000D7130000}"/>
    <cellStyle name="Normal 4 2 5 2 4 2 2 2" xfId="16562" xr:uid="{1530D427-D7CB-4449-8FF3-54616659AAFF}"/>
    <cellStyle name="Normal 4 2 5 2 4 2 3" xfId="12344" xr:uid="{3149BE39-93D8-4C3E-969C-AC98F440AFE3}"/>
    <cellStyle name="Normal 4 2 5 2 4 3" xfId="5982" xr:uid="{00000000-0005-0000-0000-0000D8130000}"/>
    <cellStyle name="Normal 4 2 5 2 4 3 2" xfId="14417" xr:uid="{52B60C12-62AF-40A6-BE29-AC481ABBDC9F}"/>
    <cellStyle name="Normal 4 2 5 2 4 4" xfId="10199" xr:uid="{73BF82BD-262C-4B90-993F-F0EFADB0A001}"/>
    <cellStyle name="Normal 4 2 5 2 5" xfId="2088" xr:uid="{00000000-0005-0000-0000-0000D9130000}"/>
    <cellStyle name="Normal 4 2 5 2 5 2" xfId="4317" xr:uid="{00000000-0005-0000-0000-0000DA130000}"/>
    <cellStyle name="Normal 4 2 5 2 5 2 2" xfId="8540" xr:uid="{00000000-0005-0000-0000-0000DB130000}"/>
    <cellStyle name="Normal 4 2 5 2 5 2 2 2" xfId="16975" xr:uid="{6C332FCE-6160-4BEE-89E3-B2FEAB624DC8}"/>
    <cellStyle name="Normal 4 2 5 2 5 2 3" xfId="12757" xr:uid="{45DF5E18-F7A0-4DAB-8DF9-3BDA3DDCF029}"/>
    <cellStyle name="Normal 4 2 5 2 5 3" xfId="6395" xr:uid="{00000000-0005-0000-0000-0000DC130000}"/>
    <cellStyle name="Normal 4 2 5 2 5 3 2" xfId="14830" xr:uid="{03E35ED1-D2C6-4F40-B78A-FA57A1823359}"/>
    <cellStyle name="Normal 4 2 5 2 5 4" xfId="10612" xr:uid="{EAB4213E-5554-49AB-A070-18E263BF1F18}"/>
    <cellStyle name="Normal 4 2 5 2 6" xfId="2524" xr:uid="{00000000-0005-0000-0000-0000DD130000}"/>
    <cellStyle name="Normal 4 2 5 2 6 2" xfId="6808" xr:uid="{00000000-0005-0000-0000-0000DE130000}"/>
    <cellStyle name="Normal 4 2 5 2 6 2 2" xfId="15243" xr:uid="{F95EF44C-1CBC-4247-ABFD-6B4372CB51BE}"/>
    <cellStyle name="Normal 4 2 5 2 6 3" xfId="11025" xr:uid="{D1E8F849-48AE-4FD2-ACE0-99CED5BD0898}"/>
    <cellStyle name="Normal 4 2 5 2 7" xfId="4743" xr:uid="{00000000-0005-0000-0000-0000DF130000}"/>
    <cellStyle name="Normal 4 2 5 2 7 2" xfId="13178" xr:uid="{59497EF8-9096-40A9-AEA0-A6B0E1E68F6E}"/>
    <cellStyle name="Normal 4 2 5 2 8" xfId="8960" xr:uid="{DE83B97E-B862-45BD-8CB3-9677C6B7A9DA}"/>
    <cellStyle name="Normal 4 2 5 3" xfId="840" xr:uid="{00000000-0005-0000-0000-0000E0130000}"/>
    <cellStyle name="Normal 4 2 5 3 2" xfId="3077" xr:uid="{00000000-0005-0000-0000-0000E1130000}"/>
    <cellStyle name="Normal 4 2 5 3 2 2" xfId="7300" xr:uid="{00000000-0005-0000-0000-0000E2130000}"/>
    <cellStyle name="Normal 4 2 5 3 2 2 2" xfId="15735" xr:uid="{35C07AC6-A609-43D0-8A03-701629D4197C}"/>
    <cellStyle name="Normal 4 2 5 3 2 3" xfId="11517" xr:uid="{6A1F9429-238D-4CD5-8941-242BB108D636}"/>
    <cellStyle name="Normal 4 2 5 3 3" xfId="5155" xr:uid="{00000000-0005-0000-0000-0000E3130000}"/>
    <cellStyle name="Normal 4 2 5 3 3 2" xfId="13590" xr:uid="{22B1DC31-57C0-4350-B980-CFE4FCE79B62}"/>
    <cellStyle name="Normal 4 2 5 3 4" xfId="9372" xr:uid="{B73CE8EC-0751-43D7-A136-B515098FFBC8}"/>
    <cellStyle name="Normal 4 2 5 4" xfId="1260" xr:uid="{00000000-0005-0000-0000-0000E4130000}"/>
    <cellStyle name="Normal 4 2 5 4 2" xfId="3490" xr:uid="{00000000-0005-0000-0000-0000E5130000}"/>
    <cellStyle name="Normal 4 2 5 4 2 2" xfId="7713" xr:uid="{00000000-0005-0000-0000-0000E6130000}"/>
    <cellStyle name="Normal 4 2 5 4 2 2 2" xfId="16148" xr:uid="{A9C8A1C5-A9A5-43E3-B566-BEEB9BD5E1F6}"/>
    <cellStyle name="Normal 4 2 5 4 2 3" xfId="11930" xr:uid="{351A1427-C18D-47FF-9272-FFA65DFA5106}"/>
    <cellStyle name="Normal 4 2 5 4 3" xfId="5568" xr:uid="{00000000-0005-0000-0000-0000E7130000}"/>
    <cellStyle name="Normal 4 2 5 4 3 2" xfId="14003" xr:uid="{EFCA79DC-FBB2-432C-B09E-0CAB60F535ED}"/>
    <cellStyle name="Normal 4 2 5 4 4" xfId="9785" xr:uid="{D35F1C0A-D59B-4A62-A6BB-DD44B539DD2F}"/>
    <cellStyle name="Normal 4 2 5 5" xfId="1673" xr:uid="{00000000-0005-0000-0000-0000E8130000}"/>
    <cellStyle name="Normal 4 2 5 5 2" xfId="3903" xr:uid="{00000000-0005-0000-0000-0000E9130000}"/>
    <cellStyle name="Normal 4 2 5 5 2 2" xfId="8126" xr:uid="{00000000-0005-0000-0000-0000EA130000}"/>
    <cellStyle name="Normal 4 2 5 5 2 2 2" xfId="16561" xr:uid="{7D9235C4-EE0A-49E4-B75B-FA62AB7C0E7F}"/>
    <cellStyle name="Normal 4 2 5 5 2 3" xfId="12343" xr:uid="{3083D0CD-348A-431E-BC43-F566A00374B2}"/>
    <cellStyle name="Normal 4 2 5 5 3" xfId="5981" xr:uid="{00000000-0005-0000-0000-0000EB130000}"/>
    <cellStyle name="Normal 4 2 5 5 3 2" xfId="14416" xr:uid="{A42404B7-FD8E-4C65-A90C-2E62CDCD9825}"/>
    <cellStyle name="Normal 4 2 5 5 4" xfId="10198" xr:uid="{0ABF5A29-CA18-4F3A-B7E6-1792DCBCD9D2}"/>
    <cellStyle name="Normal 4 2 5 6" xfId="2087" xr:uid="{00000000-0005-0000-0000-0000EC130000}"/>
    <cellStyle name="Normal 4 2 5 6 2" xfId="4316" xr:uid="{00000000-0005-0000-0000-0000ED130000}"/>
    <cellStyle name="Normal 4 2 5 6 2 2" xfId="8539" xr:uid="{00000000-0005-0000-0000-0000EE130000}"/>
    <cellStyle name="Normal 4 2 5 6 2 2 2" xfId="16974" xr:uid="{200E6CD7-12CA-467E-AAC0-60FA5B0A8D84}"/>
    <cellStyle name="Normal 4 2 5 6 2 3" xfId="12756" xr:uid="{BB91DE57-F3BF-4AA6-9AC2-F372025B9503}"/>
    <cellStyle name="Normal 4 2 5 6 3" xfId="6394" xr:uid="{00000000-0005-0000-0000-0000EF130000}"/>
    <cellStyle name="Normal 4 2 5 6 3 2" xfId="14829" xr:uid="{2072EAB5-C2B6-4392-B7E4-75A8AB645183}"/>
    <cellStyle name="Normal 4 2 5 6 4" xfId="10611" xr:uid="{0E36AADF-0A81-419D-8E0B-2B995A0F35BA}"/>
    <cellStyle name="Normal 4 2 5 7" xfId="2523" xr:uid="{00000000-0005-0000-0000-0000F0130000}"/>
    <cellStyle name="Normal 4 2 5 7 2" xfId="6807" xr:uid="{00000000-0005-0000-0000-0000F1130000}"/>
    <cellStyle name="Normal 4 2 5 7 2 2" xfId="15242" xr:uid="{08767EC2-EAFC-456C-93FA-3FAA39019CF0}"/>
    <cellStyle name="Normal 4 2 5 7 3" xfId="11024" xr:uid="{2325D058-E74E-4AD2-9A3D-B82940A123DF}"/>
    <cellStyle name="Normal 4 2 5 8" xfId="4742" xr:uid="{00000000-0005-0000-0000-0000F2130000}"/>
    <cellStyle name="Normal 4 2 5 8 2" xfId="13177" xr:uid="{17082D79-32EB-4554-BA70-F956BCC65EF7}"/>
    <cellStyle name="Normal 4 2 5 9" xfId="8959" xr:uid="{C6FDB3C3-5332-43C0-AB0D-E8879552A1D5}"/>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2 2 2" xfId="15737" xr:uid="{0A67D903-8C03-4B49-B164-DDFCCB05D199}"/>
    <cellStyle name="Normal 4 2 6 2 2 3" xfId="11519" xr:uid="{D13D6E46-FC3D-42BB-9C7C-492749FF336F}"/>
    <cellStyle name="Normal 4 2 6 2 3" xfId="5157" xr:uid="{00000000-0005-0000-0000-0000F7130000}"/>
    <cellStyle name="Normal 4 2 6 2 3 2" xfId="13592" xr:uid="{D4620E7B-BDC2-43FF-BBF8-934EC30E800D}"/>
    <cellStyle name="Normal 4 2 6 2 4" xfId="9374" xr:uid="{6F6E8AFA-7494-479D-A5F6-5A5FBD837461}"/>
    <cellStyle name="Normal 4 2 6 3" xfId="1262" xr:uid="{00000000-0005-0000-0000-0000F8130000}"/>
    <cellStyle name="Normal 4 2 6 3 2" xfId="3492" xr:uid="{00000000-0005-0000-0000-0000F9130000}"/>
    <cellStyle name="Normal 4 2 6 3 2 2" xfId="7715" xr:uid="{00000000-0005-0000-0000-0000FA130000}"/>
    <cellStyle name="Normal 4 2 6 3 2 2 2" xfId="16150" xr:uid="{E62CC11C-E1E8-472D-85CC-132E2A9CEDC7}"/>
    <cellStyle name="Normal 4 2 6 3 2 3" xfId="11932" xr:uid="{6DB77DD1-CAB8-42C9-8045-25F10B2F8531}"/>
    <cellStyle name="Normal 4 2 6 3 3" xfId="5570" xr:uid="{00000000-0005-0000-0000-0000FB130000}"/>
    <cellStyle name="Normal 4 2 6 3 3 2" xfId="14005" xr:uid="{6826BE12-2259-4C1A-8CBF-D6D85F157698}"/>
    <cellStyle name="Normal 4 2 6 3 4" xfId="9787" xr:uid="{4F3E9834-1E1E-4073-AB02-81E191267D88}"/>
    <cellStyle name="Normal 4 2 6 4" xfId="1675" xr:uid="{00000000-0005-0000-0000-0000FC130000}"/>
    <cellStyle name="Normal 4 2 6 4 2" xfId="3905" xr:uid="{00000000-0005-0000-0000-0000FD130000}"/>
    <cellStyle name="Normal 4 2 6 4 2 2" xfId="8128" xr:uid="{00000000-0005-0000-0000-0000FE130000}"/>
    <cellStyle name="Normal 4 2 6 4 2 2 2" xfId="16563" xr:uid="{730F3C42-0A22-4536-920C-B635ADBCF8D1}"/>
    <cellStyle name="Normal 4 2 6 4 2 3" xfId="12345" xr:uid="{5DF93CC3-12B2-4B6C-AF8B-87196C73D8B3}"/>
    <cellStyle name="Normal 4 2 6 4 3" xfId="5983" xr:uid="{00000000-0005-0000-0000-0000FF130000}"/>
    <cellStyle name="Normal 4 2 6 4 3 2" xfId="14418" xr:uid="{067DACAA-A5D3-44E7-ADA2-919E7DA7B875}"/>
    <cellStyle name="Normal 4 2 6 4 4" xfId="10200" xr:uid="{84A0CCEE-1770-4C90-B85F-F81AB320679B}"/>
    <cellStyle name="Normal 4 2 6 5" xfId="2089" xr:uid="{00000000-0005-0000-0000-000000140000}"/>
    <cellStyle name="Normal 4 2 6 5 2" xfId="4318" xr:uid="{00000000-0005-0000-0000-000001140000}"/>
    <cellStyle name="Normal 4 2 6 5 2 2" xfId="8541" xr:uid="{00000000-0005-0000-0000-000002140000}"/>
    <cellStyle name="Normal 4 2 6 5 2 2 2" xfId="16976" xr:uid="{418A3158-B66D-4DA3-B6CE-7C5B3FA29F3C}"/>
    <cellStyle name="Normal 4 2 6 5 2 3" xfId="12758" xr:uid="{730539DB-C16E-41F6-826B-22626F3F88C6}"/>
    <cellStyle name="Normal 4 2 6 5 3" xfId="6396" xr:uid="{00000000-0005-0000-0000-000003140000}"/>
    <cellStyle name="Normal 4 2 6 5 3 2" xfId="14831" xr:uid="{1048CF1D-CAD0-4FAF-BAA3-22FB0D421527}"/>
    <cellStyle name="Normal 4 2 6 5 4" xfId="10613" xr:uid="{FB32FF1F-DA8F-41A5-A4E1-30E4CC206BDB}"/>
    <cellStyle name="Normal 4 2 6 6" xfId="2525" xr:uid="{00000000-0005-0000-0000-000004140000}"/>
    <cellStyle name="Normal 4 2 6 6 2" xfId="6809" xr:uid="{00000000-0005-0000-0000-000005140000}"/>
    <cellStyle name="Normal 4 2 6 6 2 2" xfId="15244" xr:uid="{7341FE92-8E93-4F12-A712-AC4F02BF7D96}"/>
    <cellStyle name="Normal 4 2 6 6 3" xfId="11026" xr:uid="{F6859322-486F-471C-9105-7FDE74B1A16D}"/>
    <cellStyle name="Normal 4 2 6 7" xfId="4744" xr:uid="{00000000-0005-0000-0000-000006140000}"/>
    <cellStyle name="Normal 4 2 6 7 2" xfId="13179" xr:uid="{2A393B34-A4E6-47FB-B0DA-931F6960ACEE}"/>
    <cellStyle name="Normal 4 2 6 8" xfId="8961" xr:uid="{B280CBD8-295C-4C5B-9131-F96E80C99923}"/>
    <cellStyle name="Normal 4 3" xfId="366" xr:uid="{00000000-0005-0000-0000-000007140000}"/>
    <cellStyle name="Normal 4 3 10" xfId="8962" xr:uid="{E69BB6AB-BCDF-4A95-A564-26B317E2C14D}"/>
    <cellStyle name="Normal 4 3 2" xfId="367" xr:uid="{00000000-0005-0000-0000-000008140000}"/>
    <cellStyle name="Normal 4 3 2 2" xfId="368" xr:uid="{00000000-0005-0000-0000-000009140000}"/>
    <cellStyle name="Normal 4 3 2 2 2" xfId="369" xr:uid="{00000000-0005-0000-0000-00000A140000}"/>
    <cellStyle name="Normal 4 3 2 2 2 10" xfId="8963" xr:uid="{252B66CB-A323-46BF-BD8C-0EB404927D5C}"/>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2 2 2" xfId="15741" xr:uid="{FC97D10D-4BE5-4D33-9809-BBC6734C0788}"/>
    <cellStyle name="Normal 4 3 2 2 2 2 2 2 2 3" xfId="11523" xr:uid="{B90EDB83-1297-4A80-BD12-23337902CAD8}"/>
    <cellStyle name="Normal 4 3 2 2 2 2 2 2 3" xfId="5161" xr:uid="{00000000-0005-0000-0000-000010140000}"/>
    <cellStyle name="Normal 4 3 2 2 2 2 2 2 3 2" xfId="13596" xr:uid="{5EDE5F98-6F32-4EFB-8B20-000C6F758872}"/>
    <cellStyle name="Normal 4 3 2 2 2 2 2 2 4" xfId="9378" xr:uid="{53380F08-51D3-42BE-9F59-D6C5C55A860E}"/>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2 2 2" xfId="16154" xr:uid="{7FD74593-1428-420F-A954-2438A97B0E18}"/>
    <cellStyle name="Normal 4 3 2 2 2 2 2 3 2 3" xfId="11936" xr:uid="{EF22543F-DF1E-4B1A-88E5-BB55D3CBD3DA}"/>
    <cellStyle name="Normal 4 3 2 2 2 2 2 3 3" xfId="5574" xr:uid="{00000000-0005-0000-0000-000014140000}"/>
    <cellStyle name="Normal 4 3 2 2 2 2 2 3 3 2" xfId="14009" xr:uid="{25603AE9-A9AD-4368-8A1D-342204AF6727}"/>
    <cellStyle name="Normal 4 3 2 2 2 2 2 3 4" xfId="9791" xr:uid="{91037973-7FD2-4071-B5A3-7D8C986A9E8A}"/>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2 2 2" xfId="16567" xr:uid="{9E5F287A-09CC-4914-87CF-16DCF7A038B0}"/>
    <cellStyle name="Normal 4 3 2 2 2 2 2 4 2 3" xfId="12349" xr:uid="{346AF84F-D63E-4410-9509-5728457DADE6}"/>
    <cellStyle name="Normal 4 3 2 2 2 2 2 4 3" xfId="5987" xr:uid="{00000000-0005-0000-0000-000018140000}"/>
    <cellStyle name="Normal 4 3 2 2 2 2 2 4 3 2" xfId="14422" xr:uid="{3F941B0A-C7B4-46A0-B8DD-91105406834A}"/>
    <cellStyle name="Normal 4 3 2 2 2 2 2 4 4" xfId="10204" xr:uid="{FF83AA32-8CC9-4897-954F-BC76EA0553CF}"/>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2 2 2" xfId="16980" xr:uid="{E5363F3D-4C72-4306-B0C9-7E10597B6F11}"/>
    <cellStyle name="Normal 4 3 2 2 2 2 2 5 2 3" xfId="12762" xr:uid="{AA37575F-FD4F-4614-A6DC-D1FFF8126590}"/>
    <cellStyle name="Normal 4 3 2 2 2 2 2 5 3" xfId="6400" xr:uid="{00000000-0005-0000-0000-00001C140000}"/>
    <cellStyle name="Normal 4 3 2 2 2 2 2 5 3 2" xfId="14835" xr:uid="{EBCC313A-8802-4808-A19D-CD9199EA71C8}"/>
    <cellStyle name="Normal 4 3 2 2 2 2 2 5 4" xfId="10617" xr:uid="{0CB73222-9FB2-4831-9E43-15112634D570}"/>
    <cellStyle name="Normal 4 3 2 2 2 2 2 6" xfId="2529" xr:uid="{00000000-0005-0000-0000-00001D140000}"/>
    <cellStyle name="Normal 4 3 2 2 2 2 2 6 2" xfId="6813" xr:uid="{00000000-0005-0000-0000-00001E140000}"/>
    <cellStyle name="Normal 4 3 2 2 2 2 2 6 2 2" xfId="15248" xr:uid="{88A89BA1-A631-4BBE-BBC5-BB9B4507991A}"/>
    <cellStyle name="Normal 4 3 2 2 2 2 2 6 3" xfId="11030" xr:uid="{315ECA54-BE90-4973-AA2B-1849201C96D9}"/>
    <cellStyle name="Normal 4 3 2 2 2 2 2 7" xfId="4748" xr:uid="{00000000-0005-0000-0000-00001F140000}"/>
    <cellStyle name="Normal 4 3 2 2 2 2 2 7 2" xfId="13183" xr:uid="{54369ADC-7401-444E-924A-734C1066974B}"/>
    <cellStyle name="Normal 4 3 2 2 2 2 2 8" xfId="8965" xr:uid="{3C64D08A-A49D-4C3C-9C86-79836A4505AC}"/>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2 2 2" xfId="15740" xr:uid="{BB46508B-F3D7-4AE2-AFE2-EE466B7F351F}"/>
    <cellStyle name="Normal 4 3 2 2 2 2 3 2 3" xfId="11522" xr:uid="{DD685475-B872-41E2-B009-9EFE68568A2B}"/>
    <cellStyle name="Normal 4 3 2 2 2 2 3 3" xfId="5160" xr:uid="{00000000-0005-0000-0000-000023140000}"/>
    <cellStyle name="Normal 4 3 2 2 2 2 3 3 2" xfId="13595" xr:uid="{6EB25D9F-4E10-4F16-9A08-F3B86796616E}"/>
    <cellStyle name="Normal 4 3 2 2 2 2 3 4" xfId="9377" xr:uid="{FCECAFA7-F01E-4567-AE85-7026BC46E73C}"/>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2 2 2" xfId="16153" xr:uid="{54A27405-56D9-4045-AC3D-7E536BC5C374}"/>
    <cellStyle name="Normal 4 3 2 2 2 2 4 2 3" xfId="11935" xr:uid="{A414BFCB-D3DD-4469-BA37-A8B556FA095B}"/>
    <cellStyle name="Normal 4 3 2 2 2 2 4 3" xfId="5573" xr:uid="{00000000-0005-0000-0000-000027140000}"/>
    <cellStyle name="Normal 4 3 2 2 2 2 4 3 2" xfId="14008" xr:uid="{406A6B68-4F81-430B-A59A-DA5340F178DE}"/>
    <cellStyle name="Normal 4 3 2 2 2 2 4 4" xfId="9790" xr:uid="{22A3B21C-7AE8-4426-8372-386AAB996B38}"/>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2 2 2" xfId="16566" xr:uid="{DD3FD2F2-25D4-4B01-B033-EEC18044C001}"/>
    <cellStyle name="Normal 4 3 2 2 2 2 5 2 3" xfId="12348" xr:uid="{A1F8F3E8-91BA-4FBF-842A-64573DF4BB2D}"/>
    <cellStyle name="Normal 4 3 2 2 2 2 5 3" xfId="5986" xr:uid="{00000000-0005-0000-0000-00002B140000}"/>
    <cellStyle name="Normal 4 3 2 2 2 2 5 3 2" xfId="14421" xr:uid="{DEC3451B-EA48-44A1-87A5-64DA4385744F}"/>
    <cellStyle name="Normal 4 3 2 2 2 2 5 4" xfId="10203" xr:uid="{A34C9D1F-B961-42C8-81F3-29F909F3CB1B}"/>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2 2 2" xfId="16979" xr:uid="{5C4991D1-DA2E-4D7E-A69A-E713B13CC2C4}"/>
    <cellStyle name="Normal 4 3 2 2 2 2 6 2 3" xfId="12761" xr:uid="{D896CA43-B71F-4482-99C1-547754D173A1}"/>
    <cellStyle name="Normal 4 3 2 2 2 2 6 3" xfId="6399" xr:uid="{00000000-0005-0000-0000-00002F140000}"/>
    <cellStyle name="Normal 4 3 2 2 2 2 6 3 2" xfId="14834" xr:uid="{8CE0654A-2A04-44E4-8B95-5D8611EBCB80}"/>
    <cellStyle name="Normal 4 3 2 2 2 2 6 4" xfId="10616" xr:uid="{3169528C-EE3B-4894-BCD9-C03025BCB50F}"/>
    <cellStyle name="Normal 4 3 2 2 2 2 7" xfId="2528" xr:uid="{00000000-0005-0000-0000-000030140000}"/>
    <cellStyle name="Normal 4 3 2 2 2 2 7 2" xfId="6812" xr:uid="{00000000-0005-0000-0000-000031140000}"/>
    <cellStyle name="Normal 4 3 2 2 2 2 7 2 2" xfId="15247" xr:uid="{A6499563-89D8-4F8B-A679-D870C5BB7968}"/>
    <cellStyle name="Normal 4 3 2 2 2 2 7 3" xfId="11029" xr:uid="{1C320F23-1018-4B4D-8D20-306FA3EB2FB3}"/>
    <cellStyle name="Normal 4 3 2 2 2 2 8" xfId="4747" xr:uid="{00000000-0005-0000-0000-000032140000}"/>
    <cellStyle name="Normal 4 3 2 2 2 2 8 2" xfId="13182" xr:uid="{538A83AC-A04F-44A1-9FA1-61F9FFC8553A}"/>
    <cellStyle name="Normal 4 3 2 2 2 2 9" xfId="8964" xr:uid="{27D04DE0-4CC1-4BAD-A05E-930CF98EF178}"/>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2 2 2" xfId="15742" xr:uid="{69ED5024-FC9E-48F8-A39C-211995D67CFC}"/>
    <cellStyle name="Normal 4 3 2 2 2 3 2 2 3" xfId="11524" xr:uid="{BDC4F179-3DD7-45BA-B611-8FD0FB643380}"/>
    <cellStyle name="Normal 4 3 2 2 2 3 2 3" xfId="5162" xr:uid="{00000000-0005-0000-0000-000037140000}"/>
    <cellStyle name="Normal 4 3 2 2 2 3 2 3 2" xfId="13597" xr:uid="{D7092D62-6536-4BF2-B0C4-D3C417A7FF1B}"/>
    <cellStyle name="Normal 4 3 2 2 2 3 2 4" xfId="9379" xr:uid="{7EBED240-8266-4590-9CC6-D425C1D832CB}"/>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2 2 2" xfId="16155" xr:uid="{CF038907-5B49-4ECC-8B20-15D13DC6B279}"/>
    <cellStyle name="Normal 4 3 2 2 2 3 3 2 3" xfId="11937" xr:uid="{21624A6A-03CA-4E85-B732-1EE75EA261BA}"/>
    <cellStyle name="Normal 4 3 2 2 2 3 3 3" xfId="5575" xr:uid="{00000000-0005-0000-0000-00003B140000}"/>
    <cellStyle name="Normal 4 3 2 2 2 3 3 3 2" xfId="14010" xr:uid="{AE37D1C8-8EC6-41A8-B644-670373DDBCCD}"/>
    <cellStyle name="Normal 4 3 2 2 2 3 3 4" xfId="9792" xr:uid="{A8A55E71-C968-4703-A77C-05BFFE6AB47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2 2 2" xfId="16568" xr:uid="{A7939B9C-A923-43BE-8F57-3CB342D39086}"/>
    <cellStyle name="Normal 4 3 2 2 2 3 4 2 3" xfId="12350" xr:uid="{63419A03-33CC-4867-B825-3AF405FD0A84}"/>
    <cellStyle name="Normal 4 3 2 2 2 3 4 3" xfId="5988" xr:uid="{00000000-0005-0000-0000-00003F140000}"/>
    <cellStyle name="Normal 4 3 2 2 2 3 4 3 2" xfId="14423" xr:uid="{DCA76F8F-95CC-4A72-9C21-8F3E46FC7AEB}"/>
    <cellStyle name="Normal 4 3 2 2 2 3 4 4" xfId="10205" xr:uid="{E0FE7BA4-9C9D-400F-8A5F-2B4E38E1BBFA}"/>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2 2 2" xfId="16981" xr:uid="{CB519C57-95ED-4AC2-8F48-AD1BE0D06210}"/>
    <cellStyle name="Normal 4 3 2 2 2 3 5 2 3" xfId="12763" xr:uid="{69394CEF-265D-47F3-A721-1C10E6E0EFBC}"/>
    <cellStyle name="Normal 4 3 2 2 2 3 5 3" xfId="6401" xr:uid="{00000000-0005-0000-0000-000043140000}"/>
    <cellStyle name="Normal 4 3 2 2 2 3 5 3 2" xfId="14836" xr:uid="{CF207B46-03AB-4D66-B2F3-C266D18CCD5F}"/>
    <cellStyle name="Normal 4 3 2 2 2 3 5 4" xfId="10618" xr:uid="{C39519C5-0BA1-414F-97D3-9C33B0FCB3AF}"/>
    <cellStyle name="Normal 4 3 2 2 2 3 6" xfId="2530" xr:uid="{00000000-0005-0000-0000-000044140000}"/>
    <cellStyle name="Normal 4 3 2 2 2 3 6 2" xfId="6814" xr:uid="{00000000-0005-0000-0000-000045140000}"/>
    <cellStyle name="Normal 4 3 2 2 2 3 6 2 2" xfId="15249" xr:uid="{CDE609AA-5D6E-491F-918C-4BE68FB13625}"/>
    <cellStyle name="Normal 4 3 2 2 2 3 6 3" xfId="11031" xr:uid="{DE2F03FC-7263-4C8F-BD56-350F690522BF}"/>
    <cellStyle name="Normal 4 3 2 2 2 3 7" xfId="4749" xr:uid="{00000000-0005-0000-0000-000046140000}"/>
    <cellStyle name="Normal 4 3 2 2 2 3 7 2" xfId="13184" xr:uid="{EDC5E071-994E-42DC-BC77-AD199A305BBF}"/>
    <cellStyle name="Normal 4 3 2 2 2 3 8" xfId="8966" xr:uid="{5E7A86A1-109C-4E9E-95D9-57A622DC8B54}"/>
    <cellStyle name="Normal 4 3 2 2 2 4" xfId="845" xr:uid="{00000000-0005-0000-0000-000047140000}"/>
    <cellStyle name="Normal 4 3 2 2 2 4 2" xfId="3081" xr:uid="{00000000-0005-0000-0000-000048140000}"/>
    <cellStyle name="Normal 4 3 2 2 2 4 2 2" xfId="7304" xr:uid="{00000000-0005-0000-0000-000049140000}"/>
    <cellStyle name="Normal 4 3 2 2 2 4 2 2 2" xfId="15739" xr:uid="{6AB6F430-6B7F-4BC6-85A6-D75B39A5BCF1}"/>
    <cellStyle name="Normal 4 3 2 2 2 4 2 3" xfId="11521" xr:uid="{A3454B30-07A9-4D64-8443-A5974E0E2090}"/>
    <cellStyle name="Normal 4 3 2 2 2 4 3" xfId="5159" xr:uid="{00000000-0005-0000-0000-00004A140000}"/>
    <cellStyle name="Normal 4 3 2 2 2 4 3 2" xfId="13594" xr:uid="{D3A89BB2-FA81-40FC-8EFC-F45D2F28856E}"/>
    <cellStyle name="Normal 4 3 2 2 2 4 4" xfId="9376" xr:uid="{ADA6D713-98EC-4D4B-9414-D91E12F82A79}"/>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2 2 2" xfId="16152" xr:uid="{81AD8DF9-DEE4-48A4-9FE0-0ED992FC2A95}"/>
    <cellStyle name="Normal 4 3 2 2 2 5 2 3" xfId="11934" xr:uid="{71FF799B-CE07-45BD-B1E9-18CEDF29DA2E}"/>
    <cellStyle name="Normal 4 3 2 2 2 5 3" xfId="5572" xr:uid="{00000000-0005-0000-0000-00004E140000}"/>
    <cellStyle name="Normal 4 3 2 2 2 5 3 2" xfId="14007" xr:uid="{43D08D28-EA49-4887-B6B4-E17E78E32E5A}"/>
    <cellStyle name="Normal 4 3 2 2 2 5 4" xfId="9789" xr:uid="{2A85E863-A263-4A11-99A2-E72AA5FB9832}"/>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2 2 2" xfId="16565" xr:uid="{B1BD16D4-928D-481B-B74E-4C9931DDF45C}"/>
    <cellStyle name="Normal 4 3 2 2 2 6 2 3" xfId="12347" xr:uid="{8B656572-CBF2-4D2B-ABED-517407527047}"/>
    <cellStyle name="Normal 4 3 2 2 2 6 3" xfId="5985" xr:uid="{00000000-0005-0000-0000-000052140000}"/>
    <cellStyle name="Normal 4 3 2 2 2 6 3 2" xfId="14420" xr:uid="{6F631921-D443-4B5E-BB06-2919336FA46B}"/>
    <cellStyle name="Normal 4 3 2 2 2 6 4" xfId="10202" xr:uid="{95A1E462-E2BC-44BB-ACD5-E6865D5D4458}"/>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2 2 2" xfId="16978" xr:uid="{37982790-B7A0-4D29-9E4E-8C4A9D545210}"/>
    <cellStyle name="Normal 4 3 2 2 2 7 2 3" xfId="12760" xr:uid="{BE0D1F76-D1C6-40EF-8A5B-4163E4CC0846}"/>
    <cellStyle name="Normal 4 3 2 2 2 7 3" xfId="6398" xr:uid="{00000000-0005-0000-0000-000056140000}"/>
    <cellStyle name="Normal 4 3 2 2 2 7 3 2" xfId="14833" xr:uid="{3DB9937E-373E-40B0-AA1E-F393AA329DF9}"/>
    <cellStyle name="Normal 4 3 2 2 2 7 4" xfId="10615" xr:uid="{FBD8407A-AB5E-452B-9203-282749808B78}"/>
    <cellStyle name="Normal 4 3 2 2 2 8" xfId="2527" xr:uid="{00000000-0005-0000-0000-000057140000}"/>
    <cellStyle name="Normal 4 3 2 2 2 8 2" xfId="6811" xr:uid="{00000000-0005-0000-0000-000058140000}"/>
    <cellStyle name="Normal 4 3 2 2 2 8 2 2" xfId="15246" xr:uid="{3BD491FC-BB11-43C7-B3DF-188AB75A1AA5}"/>
    <cellStyle name="Normal 4 3 2 2 2 8 3" xfId="11028" xr:uid="{62519AA7-2322-4C58-BDF1-2E2287B34954}"/>
    <cellStyle name="Normal 4 3 2 2 2 9" xfId="4746" xr:uid="{00000000-0005-0000-0000-000059140000}"/>
    <cellStyle name="Normal 4 3 2 2 2 9 2" xfId="13181" xr:uid="{16C3ED6D-004E-4313-BE13-EA217A58C57D}"/>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10" xfId="8967" xr:uid="{9043EAA0-B8FA-48F1-88BF-807F165D77D3}"/>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2 2 2" xfId="15745" xr:uid="{CEEF4D61-F36A-44B9-9617-22FB0532E044}"/>
    <cellStyle name="Normal 4 3 3 2 2 2 2 3" xfId="11527" xr:uid="{4AB14430-A3DA-4C58-AA06-6D290FBA8DFF}"/>
    <cellStyle name="Normal 4 3 3 2 2 2 3" xfId="5165" xr:uid="{00000000-0005-0000-0000-000063140000}"/>
    <cellStyle name="Normal 4 3 3 2 2 2 3 2" xfId="13600" xr:uid="{F9924FB3-E73E-4775-96C2-C61F8EBB502C}"/>
    <cellStyle name="Normal 4 3 3 2 2 2 4" xfId="9382" xr:uid="{610F7BAE-5070-415B-906F-0984FC07901D}"/>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2 2 2" xfId="16158" xr:uid="{9D5D81BB-7222-4FEB-9C75-D4A5E40BB679}"/>
    <cellStyle name="Normal 4 3 3 2 2 3 2 3" xfId="11940" xr:uid="{AC37D5C7-AE99-4A49-AEE2-9DB547022C03}"/>
    <cellStyle name="Normal 4 3 3 2 2 3 3" xfId="5578" xr:uid="{00000000-0005-0000-0000-000067140000}"/>
    <cellStyle name="Normal 4 3 3 2 2 3 3 2" xfId="14013" xr:uid="{F7125653-F397-48C9-A9B1-DB4457D9A663}"/>
    <cellStyle name="Normal 4 3 3 2 2 3 4" xfId="9795" xr:uid="{EBDD81AC-2D5C-4058-94C7-A54B3870C3FD}"/>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2 2 2" xfId="16571" xr:uid="{575E3BA9-E498-4A77-8AE5-2F5B1C4902BA}"/>
    <cellStyle name="Normal 4 3 3 2 2 4 2 3" xfId="12353" xr:uid="{0156E024-568D-42C2-BE8E-40D6EF073298}"/>
    <cellStyle name="Normal 4 3 3 2 2 4 3" xfId="5991" xr:uid="{00000000-0005-0000-0000-00006B140000}"/>
    <cellStyle name="Normal 4 3 3 2 2 4 3 2" xfId="14426" xr:uid="{AF476CD6-5F65-41FB-B977-396F02363D15}"/>
    <cellStyle name="Normal 4 3 3 2 2 4 4" xfId="10208" xr:uid="{F38070F1-1FDF-4D40-BB45-B681433A30A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2 2 2" xfId="16984" xr:uid="{5FCC8B90-CE3D-4BE0-B2B1-2B5C2472955E}"/>
    <cellStyle name="Normal 4 3 3 2 2 5 2 3" xfId="12766" xr:uid="{08CB51DA-0A48-4669-BEAE-B930F49364C4}"/>
    <cellStyle name="Normal 4 3 3 2 2 5 3" xfId="6404" xr:uid="{00000000-0005-0000-0000-00006F140000}"/>
    <cellStyle name="Normal 4 3 3 2 2 5 3 2" xfId="14839" xr:uid="{60417F08-57CB-4BD4-B0DD-110B22B60413}"/>
    <cellStyle name="Normal 4 3 3 2 2 5 4" xfId="10621" xr:uid="{4E1306F4-B41D-4979-8944-E654E4A9DEBF}"/>
    <cellStyle name="Normal 4 3 3 2 2 6" xfId="2533" xr:uid="{00000000-0005-0000-0000-000070140000}"/>
    <cellStyle name="Normal 4 3 3 2 2 6 2" xfId="6817" xr:uid="{00000000-0005-0000-0000-000071140000}"/>
    <cellStyle name="Normal 4 3 3 2 2 6 2 2" xfId="15252" xr:uid="{968EE986-3067-4194-BA31-47977BE1ED53}"/>
    <cellStyle name="Normal 4 3 3 2 2 6 3" xfId="11034" xr:uid="{7450D05D-D982-4634-B408-C567729868A7}"/>
    <cellStyle name="Normal 4 3 3 2 2 7" xfId="4752" xr:uid="{00000000-0005-0000-0000-000072140000}"/>
    <cellStyle name="Normal 4 3 3 2 2 7 2" xfId="13187" xr:uid="{56E54647-8A5D-4D71-8FA8-BA00F3B90581}"/>
    <cellStyle name="Normal 4 3 3 2 2 8" xfId="8969" xr:uid="{818A34B1-8D7F-4F06-9A0A-09C9A3EB05A2}"/>
    <cellStyle name="Normal 4 3 3 2 3" xfId="851" xr:uid="{00000000-0005-0000-0000-000073140000}"/>
    <cellStyle name="Normal 4 3 3 2 3 2" xfId="3086" xr:uid="{00000000-0005-0000-0000-000074140000}"/>
    <cellStyle name="Normal 4 3 3 2 3 2 2" xfId="7309" xr:uid="{00000000-0005-0000-0000-000075140000}"/>
    <cellStyle name="Normal 4 3 3 2 3 2 2 2" xfId="15744" xr:uid="{B4E7386D-534E-4005-B149-62E46A0FA620}"/>
    <cellStyle name="Normal 4 3 3 2 3 2 3" xfId="11526" xr:uid="{5655FDCD-8B5E-4941-8EF6-F7E7A0C98756}"/>
    <cellStyle name="Normal 4 3 3 2 3 3" xfId="5164" xr:uid="{00000000-0005-0000-0000-000076140000}"/>
    <cellStyle name="Normal 4 3 3 2 3 3 2" xfId="13599" xr:uid="{E49FF7CB-FB9D-419C-8BB7-825E5A98621D}"/>
    <cellStyle name="Normal 4 3 3 2 3 4" xfId="9381" xr:uid="{1E4BA35C-781A-4143-BF24-CCD815F742B6}"/>
    <cellStyle name="Normal 4 3 3 2 4" xfId="1269" xr:uid="{00000000-0005-0000-0000-000077140000}"/>
    <cellStyle name="Normal 4 3 3 2 4 2" xfId="3499" xr:uid="{00000000-0005-0000-0000-000078140000}"/>
    <cellStyle name="Normal 4 3 3 2 4 2 2" xfId="7722" xr:uid="{00000000-0005-0000-0000-000079140000}"/>
    <cellStyle name="Normal 4 3 3 2 4 2 2 2" xfId="16157" xr:uid="{64922EED-D94F-49BE-BF50-C337F9E604CC}"/>
    <cellStyle name="Normal 4 3 3 2 4 2 3" xfId="11939" xr:uid="{9A6F278E-9960-4DE0-8EA8-5D98CE4E5C67}"/>
    <cellStyle name="Normal 4 3 3 2 4 3" xfId="5577" xr:uid="{00000000-0005-0000-0000-00007A140000}"/>
    <cellStyle name="Normal 4 3 3 2 4 3 2" xfId="14012" xr:uid="{7B609DDF-4550-40CB-95F6-90C116EA156F}"/>
    <cellStyle name="Normal 4 3 3 2 4 4" xfId="9794" xr:uid="{608575CA-2CF5-4DFB-9C69-6E90F6802822}"/>
    <cellStyle name="Normal 4 3 3 2 5" xfId="1682" xr:uid="{00000000-0005-0000-0000-00007B140000}"/>
    <cellStyle name="Normal 4 3 3 2 5 2" xfId="3912" xr:uid="{00000000-0005-0000-0000-00007C140000}"/>
    <cellStyle name="Normal 4 3 3 2 5 2 2" xfId="8135" xr:uid="{00000000-0005-0000-0000-00007D140000}"/>
    <cellStyle name="Normal 4 3 3 2 5 2 2 2" xfId="16570" xr:uid="{E801C113-2750-45CF-9582-9E9F0ACC662F}"/>
    <cellStyle name="Normal 4 3 3 2 5 2 3" xfId="12352" xr:uid="{4BFF62AC-146F-406F-9708-123A4A5318EC}"/>
    <cellStyle name="Normal 4 3 3 2 5 3" xfId="5990" xr:uid="{00000000-0005-0000-0000-00007E140000}"/>
    <cellStyle name="Normal 4 3 3 2 5 3 2" xfId="14425" xr:uid="{EC5491EE-5238-4760-B268-12A7D1C96DEB}"/>
    <cellStyle name="Normal 4 3 3 2 5 4" xfId="10207" xr:uid="{81C16DC9-3B2E-434E-A627-7C2774DF6A23}"/>
    <cellStyle name="Normal 4 3 3 2 6" xfId="2096" xr:uid="{00000000-0005-0000-0000-00007F140000}"/>
    <cellStyle name="Normal 4 3 3 2 6 2" xfId="4325" xr:uid="{00000000-0005-0000-0000-000080140000}"/>
    <cellStyle name="Normal 4 3 3 2 6 2 2" xfId="8548" xr:uid="{00000000-0005-0000-0000-000081140000}"/>
    <cellStyle name="Normal 4 3 3 2 6 2 2 2" xfId="16983" xr:uid="{32AEA79B-5C24-4913-9DD4-44BA08283214}"/>
    <cellStyle name="Normal 4 3 3 2 6 2 3" xfId="12765" xr:uid="{0719D108-A8BE-4667-8E02-1144F0106256}"/>
    <cellStyle name="Normal 4 3 3 2 6 3" xfId="6403" xr:uid="{00000000-0005-0000-0000-000082140000}"/>
    <cellStyle name="Normal 4 3 3 2 6 3 2" xfId="14838" xr:uid="{20FE6B49-8138-4BAA-AEB4-9F2C3576E389}"/>
    <cellStyle name="Normal 4 3 3 2 6 4" xfId="10620" xr:uid="{D287A4E3-C473-4FF3-B9F1-474ACB1C99DB}"/>
    <cellStyle name="Normal 4 3 3 2 7" xfId="2532" xr:uid="{00000000-0005-0000-0000-000083140000}"/>
    <cellStyle name="Normal 4 3 3 2 7 2" xfId="6816" xr:uid="{00000000-0005-0000-0000-000084140000}"/>
    <cellStyle name="Normal 4 3 3 2 7 2 2" xfId="15251" xr:uid="{828EF3F1-819A-47D7-A4BF-CC9F48F13654}"/>
    <cellStyle name="Normal 4 3 3 2 7 3" xfId="11033" xr:uid="{74565B5D-E071-4BB9-A18F-A97646DCC04F}"/>
    <cellStyle name="Normal 4 3 3 2 8" xfId="4751" xr:uid="{00000000-0005-0000-0000-000085140000}"/>
    <cellStyle name="Normal 4 3 3 2 8 2" xfId="13186" xr:uid="{62A3C1CD-6014-4BA7-8EB2-FE727024EABE}"/>
    <cellStyle name="Normal 4 3 3 2 9" xfId="8968" xr:uid="{C49FE52A-B647-41B6-95C3-855D6D9F97E8}"/>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2 2 2" xfId="15746" xr:uid="{198850E8-7D74-460F-A83A-7D34F83E3B7B}"/>
    <cellStyle name="Normal 4 3 3 3 2 2 3" xfId="11528" xr:uid="{944D4B87-9C8F-4EF1-B7F7-988EEAF5814D}"/>
    <cellStyle name="Normal 4 3 3 3 2 3" xfId="5166" xr:uid="{00000000-0005-0000-0000-00008A140000}"/>
    <cellStyle name="Normal 4 3 3 3 2 3 2" xfId="13601" xr:uid="{E4C9A7D6-8297-4CF4-B514-CEF1D8E44FBB}"/>
    <cellStyle name="Normal 4 3 3 3 2 4" xfId="9383" xr:uid="{25E3F805-D099-431B-84CC-672C9BC42127}"/>
    <cellStyle name="Normal 4 3 3 3 3" xfId="1271" xr:uid="{00000000-0005-0000-0000-00008B140000}"/>
    <cellStyle name="Normal 4 3 3 3 3 2" xfId="3501" xr:uid="{00000000-0005-0000-0000-00008C140000}"/>
    <cellStyle name="Normal 4 3 3 3 3 2 2" xfId="7724" xr:uid="{00000000-0005-0000-0000-00008D140000}"/>
    <cellStyle name="Normal 4 3 3 3 3 2 2 2" xfId="16159" xr:uid="{DC1EC14E-A52D-49C0-87D9-7AC13E85AC63}"/>
    <cellStyle name="Normal 4 3 3 3 3 2 3" xfId="11941" xr:uid="{ABDD2D78-5E90-490B-85F2-2C3CC92B3043}"/>
    <cellStyle name="Normal 4 3 3 3 3 3" xfId="5579" xr:uid="{00000000-0005-0000-0000-00008E140000}"/>
    <cellStyle name="Normal 4 3 3 3 3 3 2" xfId="14014" xr:uid="{1B247368-518C-449C-9B19-322B7697DC88}"/>
    <cellStyle name="Normal 4 3 3 3 3 4" xfId="9796" xr:uid="{DFB5D0AF-C974-462A-9876-C6775AA1BACE}"/>
    <cellStyle name="Normal 4 3 3 3 4" xfId="1684" xr:uid="{00000000-0005-0000-0000-00008F140000}"/>
    <cellStyle name="Normal 4 3 3 3 4 2" xfId="3914" xr:uid="{00000000-0005-0000-0000-000090140000}"/>
    <cellStyle name="Normal 4 3 3 3 4 2 2" xfId="8137" xr:uid="{00000000-0005-0000-0000-000091140000}"/>
    <cellStyle name="Normal 4 3 3 3 4 2 2 2" xfId="16572" xr:uid="{2650E0B3-F04F-45F2-8DAB-B58D90309B4C}"/>
    <cellStyle name="Normal 4 3 3 3 4 2 3" xfId="12354" xr:uid="{D7A32116-2852-44B2-A5A5-5976382B7277}"/>
    <cellStyle name="Normal 4 3 3 3 4 3" xfId="5992" xr:uid="{00000000-0005-0000-0000-000092140000}"/>
    <cellStyle name="Normal 4 3 3 3 4 3 2" xfId="14427" xr:uid="{82F9815D-0859-4DD5-BB9A-B499AC4161E3}"/>
    <cellStyle name="Normal 4 3 3 3 4 4" xfId="10209" xr:uid="{BAE0D42C-BE7B-423F-BC5E-7224B2BFDF02}"/>
    <cellStyle name="Normal 4 3 3 3 5" xfId="2098" xr:uid="{00000000-0005-0000-0000-000093140000}"/>
    <cellStyle name="Normal 4 3 3 3 5 2" xfId="4327" xr:uid="{00000000-0005-0000-0000-000094140000}"/>
    <cellStyle name="Normal 4 3 3 3 5 2 2" xfId="8550" xr:uid="{00000000-0005-0000-0000-000095140000}"/>
    <cellStyle name="Normal 4 3 3 3 5 2 2 2" xfId="16985" xr:uid="{90EF3CB0-533C-4228-B8E1-79C28F11F18A}"/>
    <cellStyle name="Normal 4 3 3 3 5 2 3" xfId="12767" xr:uid="{DCEB6EC4-FDB7-4E51-A078-6DA1EB840E02}"/>
    <cellStyle name="Normal 4 3 3 3 5 3" xfId="6405" xr:uid="{00000000-0005-0000-0000-000096140000}"/>
    <cellStyle name="Normal 4 3 3 3 5 3 2" xfId="14840" xr:uid="{30914DDD-D8A6-42C7-87D0-107B0351383C}"/>
    <cellStyle name="Normal 4 3 3 3 5 4" xfId="10622" xr:uid="{6F83320C-E823-44E6-8DD0-685DE6F21EB5}"/>
    <cellStyle name="Normal 4 3 3 3 6" xfId="2534" xr:uid="{00000000-0005-0000-0000-000097140000}"/>
    <cellStyle name="Normal 4 3 3 3 6 2" xfId="6818" xr:uid="{00000000-0005-0000-0000-000098140000}"/>
    <cellStyle name="Normal 4 3 3 3 6 2 2" xfId="15253" xr:uid="{77CA4069-2CAF-46D2-8AD9-A833395172AB}"/>
    <cellStyle name="Normal 4 3 3 3 6 3" xfId="11035" xr:uid="{9A187FB2-88A8-4828-B9BF-EE990A41B502}"/>
    <cellStyle name="Normal 4 3 3 3 7" xfId="4753" xr:uid="{00000000-0005-0000-0000-000099140000}"/>
    <cellStyle name="Normal 4 3 3 3 7 2" xfId="13188" xr:uid="{195A2364-9132-420F-8286-D8CC97B5FC45}"/>
    <cellStyle name="Normal 4 3 3 3 8" xfId="8970" xr:uid="{5B602D2C-741B-48AD-B523-CF6C70C2228C}"/>
    <cellStyle name="Normal 4 3 3 4" xfId="850" xr:uid="{00000000-0005-0000-0000-00009A140000}"/>
    <cellStyle name="Normal 4 3 3 4 2" xfId="3085" xr:uid="{00000000-0005-0000-0000-00009B140000}"/>
    <cellStyle name="Normal 4 3 3 4 2 2" xfId="7308" xr:uid="{00000000-0005-0000-0000-00009C140000}"/>
    <cellStyle name="Normal 4 3 3 4 2 2 2" xfId="15743" xr:uid="{257C494C-401C-46AB-8785-BDF892EABEE2}"/>
    <cellStyle name="Normal 4 3 3 4 2 3" xfId="11525" xr:uid="{9B53E7CC-8A57-4A31-A947-9F4ACE829C0F}"/>
    <cellStyle name="Normal 4 3 3 4 3" xfId="5163" xr:uid="{00000000-0005-0000-0000-00009D140000}"/>
    <cellStyle name="Normal 4 3 3 4 3 2" xfId="13598" xr:uid="{BC86C6B9-F070-4A43-A358-A1619295FC9E}"/>
    <cellStyle name="Normal 4 3 3 4 4" xfId="9380" xr:uid="{18A3A775-362C-47EE-9394-56E28816AB6E}"/>
    <cellStyle name="Normal 4 3 3 5" xfId="1268" xr:uid="{00000000-0005-0000-0000-00009E140000}"/>
    <cellStyle name="Normal 4 3 3 5 2" xfId="3498" xr:uid="{00000000-0005-0000-0000-00009F140000}"/>
    <cellStyle name="Normal 4 3 3 5 2 2" xfId="7721" xr:uid="{00000000-0005-0000-0000-0000A0140000}"/>
    <cellStyle name="Normal 4 3 3 5 2 2 2" xfId="16156" xr:uid="{530F17B5-863D-44FB-BCE0-25B919BBAECC}"/>
    <cellStyle name="Normal 4 3 3 5 2 3" xfId="11938" xr:uid="{8E6837FD-2EC2-46B4-BCF1-B6A595BD4F07}"/>
    <cellStyle name="Normal 4 3 3 5 3" xfId="5576" xr:uid="{00000000-0005-0000-0000-0000A1140000}"/>
    <cellStyle name="Normal 4 3 3 5 3 2" xfId="14011" xr:uid="{DFBAAC40-EFB8-4895-BE46-762AAD6B53C8}"/>
    <cellStyle name="Normal 4 3 3 5 4" xfId="9793" xr:uid="{41309830-0345-4686-AB2C-38448124A402}"/>
    <cellStyle name="Normal 4 3 3 6" xfId="1681" xr:uid="{00000000-0005-0000-0000-0000A2140000}"/>
    <cellStyle name="Normal 4 3 3 6 2" xfId="3911" xr:uid="{00000000-0005-0000-0000-0000A3140000}"/>
    <cellStyle name="Normal 4 3 3 6 2 2" xfId="8134" xr:uid="{00000000-0005-0000-0000-0000A4140000}"/>
    <cellStyle name="Normal 4 3 3 6 2 2 2" xfId="16569" xr:uid="{1707BC3A-285C-46CE-9886-29D0D067CD61}"/>
    <cellStyle name="Normal 4 3 3 6 2 3" xfId="12351" xr:uid="{C8CFB526-6394-405F-A332-18A99EDBC535}"/>
    <cellStyle name="Normal 4 3 3 6 3" xfId="5989" xr:uid="{00000000-0005-0000-0000-0000A5140000}"/>
    <cellStyle name="Normal 4 3 3 6 3 2" xfId="14424" xr:uid="{CDF5B6C9-D689-42BA-A58A-A49DDEE4E538}"/>
    <cellStyle name="Normal 4 3 3 6 4" xfId="10206" xr:uid="{2E507C17-DD11-4FA1-B0F7-C0A773E70DBC}"/>
    <cellStyle name="Normal 4 3 3 7" xfId="2095" xr:uid="{00000000-0005-0000-0000-0000A6140000}"/>
    <cellStyle name="Normal 4 3 3 7 2" xfId="4324" xr:uid="{00000000-0005-0000-0000-0000A7140000}"/>
    <cellStyle name="Normal 4 3 3 7 2 2" xfId="8547" xr:uid="{00000000-0005-0000-0000-0000A8140000}"/>
    <cellStyle name="Normal 4 3 3 7 2 2 2" xfId="16982" xr:uid="{54623A84-3D9D-4616-A644-DF890F8AA19D}"/>
    <cellStyle name="Normal 4 3 3 7 2 3" xfId="12764" xr:uid="{3D8EAFF6-BDBB-4942-B027-139729567652}"/>
    <cellStyle name="Normal 4 3 3 7 3" xfId="6402" xr:uid="{00000000-0005-0000-0000-0000A9140000}"/>
    <cellStyle name="Normal 4 3 3 7 3 2" xfId="14837" xr:uid="{AD458456-9F04-4422-B83A-1F404CABE01A}"/>
    <cellStyle name="Normal 4 3 3 7 4" xfId="10619" xr:uid="{3C849523-975F-4D2D-AF5C-DCD5821EA15C}"/>
    <cellStyle name="Normal 4 3 3 8" xfId="2531" xr:uid="{00000000-0005-0000-0000-0000AA140000}"/>
    <cellStyle name="Normal 4 3 3 8 2" xfId="6815" xr:uid="{00000000-0005-0000-0000-0000AB140000}"/>
    <cellStyle name="Normal 4 3 3 8 2 2" xfId="15250" xr:uid="{2219CB78-5B00-43C0-9BB5-4060459BE1DA}"/>
    <cellStyle name="Normal 4 3 3 8 3" xfId="11032" xr:uid="{AB04DCF3-7B9A-4716-A90E-F92D0F7E90DB}"/>
    <cellStyle name="Normal 4 3 3 9" xfId="4750" xr:uid="{00000000-0005-0000-0000-0000AC140000}"/>
    <cellStyle name="Normal 4 3 3 9 2" xfId="13185" xr:uid="{A418E6A0-771C-46DA-A172-FB048D53919C}"/>
    <cellStyle name="Normal 4 3 4" xfId="843" xr:uid="{00000000-0005-0000-0000-0000AD140000}"/>
    <cellStyle name="Normal 4 3 4 2" xfId="3080" xr:uid="{00000000-0005-0000-0000-0000AE140000}"/>
    <cellStyle name="Normal 4 3 4 2 2" xfId="7303" xr:uid="{00000000-0005-0000-0000-0000AF140000}"/>
    <cellStyle name="Normal 4 3 4 2 2 2" xfId="15738" xr:uid="{70B77DD6-2A51-410F-B832-C54C776786DB}"/>
    <cellStyle name="Normal 4 3 4 2 3" xfId="11520" xr:uid="{1C51B7B5-B27C-4EB1-A671-480208C30646}"/>
    <cellStyle name="Normal 4 3 4 3" xfId="5158" xr:uid="{00000000-0005-0000-0000-0000B0140000}"/>
    <cellStyle name="Normal 4 3 4 3 2" xfId="13593" xr:uid="{5B04D8B7-00FD-4D0F-9EB9-5AF13003F32A}"/>
    <cellStyle name="Normal 4 3 4 4" xfId="9375" xr:uid="{A1C001DE-3A06-4E4B-B5DB-4D169BEAA431}"/>
    <cellStyle name="Normal 4 3 5" xfId="1263" xr:uid="{00000000-0005-0000-0000-0000B1140000}"/>
    <cellStyle name="Normal 4 3 5 2" xfId="3493" xr:uid="{00000000-0005-0000-0000-0000B2140000}"/>
    <cellStyle name="Normal 4 3 5 2 2" xfId="7716" xr:uid="{00000000-0005-0000-0000-0000B3140000}"/>
    <cellStyle name="Normal 4 3 5 2 2 2" xfId="16151" xr:uid="{30237553-E601-44D5-BB5F-D371B087CD53}"/>
    <cellStyle name="Normal 4 3 5 2 3" xfId="11933" xr:uid="{9300331D-EA08-46C8-BFC0-AC74B70F7CF7}"/>
    <cellStyle name="Normal 4 3 5 3" xfId="5571" xr:uid="{00000000-0005-0000-0000-0000B4140000}"/>
    <cellStyle name="Normal 4 3 5 3 2" xfId="14006" xr:uid="{C9BAB70C-CAA8-47F0-AB92-02EB94E2BADC}"/>
    <cellStyle name="Normal 4 3 5 4" xfId="9788" xr:uid="{3AD83CDB-8D7E-42A8-B5EC-CA530064A3BE}"/>
    <cellStyle name="Normal 4 3 6" xfId="1676" xr:uid="{00000000-0005-0000-0000-0000B5140000}"/>
    <cellStyle name="Normal 4 3 6 2" xfId="3906" xr:uid="{00000000-0005-0000-0000-0000B6140000}"/>
    <cellStyle name="Normal 4 3 6 2 2" xfId="8129" xr:uid="{00000000-0005-0000-0000-0000B7140000}"/>
    <cellStyle name="Normal 4 3 6 2 2 2" xfId="16564" xr:uid="{9387FFF0-1AD7-4649-B05E-F5363893305F}"/>
    <cellStyle name="Normal 4 3 6 2 3" xfId="12346" xr:uid="{3A5C1162-A322-4730-9401-29F60D9EBD87}"/>
    <cellStyle name="Normal 4 3 6 3" xfId="5984" xr:uid="{00000000-0005-0000-0000-0000B8140000}"/>
    <cellStyle name="Normal 4 3 6 3 2" xfId="14419" xr:uid="{0FC33A16-F224-4009-8518-C9D8D1869A37}"/>
    <cellStyle name="Normal 4 3 6 4" xfId="10201" xr:uid="{72697C45-35DE-495B-B39E-57A0A4ECBDF3}"/>
    <cellStyle name="Normal 4 3 7" xfId="2090" xr:uid="{00000000-0005-0000-0000-0000B9140000}"/>
    <cellStyle name="Normal 4 3 7 2" xfId="4319" xr:uid="{00000000-0005-0000-0000-0000BA140000}"/>
    <cellStyle name="Normal 4 3 7 2 2" xfId="8542" xr:uid="{00000000-0005-0000-0000-0000BB140000}"/>
    <cellStyle name="Normal 4 3 7 2 2 2" xfId="16977" xr:uid="{14C2065D-06A4-4100-9A83-A22040C2C450}"/>
    <cellStyle name="Normal 4 3 7 2 3" xfId="12759" xr:uid="{0F24959A-A9E4-4607-89AE-86D4C779260B}"/>
    <cellStyle name="Normal 4 3 7 3" xfId="6397" xr:uid="{00000000-0005-0000-0000-0000BC140000}"/>
    <cellStyle name="Normal 4 3 7 3 2" xfId="14832" xr:uid="{83549D08-2BEF-470C-9482-D7A119BBD941}"/>
    <cellStyle name="Normal 4 3 7 4" xfId="10614" xr:uid="{615DC9E4-6530-4C13-AC01-3CA6649E3C82}"/>
    <cellStyle name="Normal 4 3 8" xfId="2526" xr:uid="{00000000-0005-0000-0000-0000BD140000}"/>
    <cellStyle name="Normal 4 3 8 2" xfId="6810" xr:uid="{00000000-0005-0000-0000-0000BE140000}"/>
    <cellStyle name="Normal 4 3 8 2 2" xfId="15245" xr:uid="{84523D0A-405E-4964-8A0A-C49D4A220DBC}"/>
    <cellStyle name="Normal 4 3 8 3" xfId="11027" xr:uid="{3F9477F1-1469-4F84-A085-3F7A5A64E685}"/>
    <cellStyle name="Normal 4 3 9" xfId="4745" xr:uid="{00000000-0005-0000-0000-0000BF140000}"/>
    <cellStyle name="Normal 4 3 9 2" xfId="13180" xr:uid="{4B829E38-AE19-422C-BBAD-9D8CCA66B512}"/>
    <cellStyle name="Normal 4 4" xfId="378" xr:uid="{00000000-0005-0000-0000-0000C0140000}"/>
    <cellStyle name="Normal 4 4 10" xfId="2535" xr:uid="{00000000-0005-0000-0000-0000C1140000}"/>
    <cellStyle name="Normal 4 4 10 2" xfId="6819" xr:uid="{00000000-0005-0000-0000-0000C2140000}"/>
    <cellStyle name="Normal 4 4 10 2 2" xfId="15254" xr:uid="{45EDDBFB-6473-4E8A-A475-8D2ABFE03AE7}"/>
    <cellStyle name="Normal 4 4 10 3" xfId="11036" xr:uid="{12306B52-0B09-4219-ADAB-C503AE4614C2}"/>
    <cellStyle name="Normal 4 4 11" xfId="4754" xr:uid="{00000000-0005-0000-0000-0000C3140000}"/>
    <cellStyle name="Normal 4 4 11 2" xfId="13189" xr:uid="{320D75DE-0EFC-45AE-BAB3-20F1773BACBA}"/>
    <cellStyle name="Normal 4 4 12" xfId="8971" xr:uid="{0BB68500-6B8A-476B-B01F-DC1AA9A6AEB0}"/>
    <cellStyle name="Normal 4 4 2" xfId="379" xr:uid="{00000000-0005-0000-0000-0000C4140000}"/>
    <cellStyle name="Normal 4 4 2 10" xfId="4755" xr:uid="{00000000-0005-0000-0000-0000C5140000}"/>
    <cellStyle name="Normal 4 4 2 10 2" xfId="13190" xr:uid="{BBAB4D4B-4E2F-4C99-A4E6-ABE0D094A026}"/>
    <cellStyle name="Normal 4 4 2 11" xfId="8972" xr:uid="{2B1897C4-7584-4EF4-BB4A-07C116D39DDC}"/>
    <cellStyle name="Normal 4 4 2 2" xfId="380" xr:uid="{00000000-0005-0000-0000-0000C6140000}"/>
    <cellStyle name="Normal 4 4 2 2 10" xfId="8973" xr:uid="{A50FE9E2-1BAD-4747-BD9D-5FE646518C5F}"/>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2 2 2" xfId="15751" xr:uid="{F86B30DC-865A-4753-BD75-A3F7DFAC4E87}"/>
    <cellStyle name="Normal 4 4 2 2 2 2 2 2 3" xfId="11533" xr:uid="{C5F0955E-4902-4741-9E9A-DC51C3248D86}"/>
    <cellStyle name="Normal 4 4 2 2 2 2 2 3" xfId="5171" xr:uid="{00000000-0005-0000-0000-0000CC140000}"/>
    <cellStyle name="Normal 4 4 2 2 2 2 2 3 2" xfId="13606" xr:uid="{162EF619-4EC7-4BCF-970C-3B7DCD2784B7}"/>
    <cellStyle name="Normal 4 4 2 2 2 2 2 4" xfId="9388" xr:uid="{C700FE0C-DFE0-4A7C-9028-30B94A4A82FD}"/>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2 2 2" xfId="16164" xr:uid="{82042987-966A-4737-A664-786E4CB42BCD}"/>
    <cellStyle name="Normal 4 4 2 2 2 2 3 2 3" xfId="11946" xr:uid="{59CFB2EE-8547-48BE-9710-636AC6FE3390}"/>
    <cellStyle name="Normal 4 4 2 2 2 2 3 3" xfId="5584" xr:uid="{00000000-0005-0000-0000-0000D0140000}"/>
    <cellStyle name="Normal 4 4 2 2 2 2 3 3 2" xfId="14019" xr:uid="{A9D79957-CEEC-43CA-9FCD-81D8A90617E0}"/>
    <cellStyle name="Normal 4 4 2 2 2 2 3 4" xfId="9801" xr:uid="{B792BA08-680A-42A7-A585-3D1FAE26DC53}"/>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2 2 2" xfId="16577" xr:uid="{95AB7876-0FF4-45EC-A091-8087B352F4C7}"/>
    <cellStyle name="Normal 4 4 2 2 2 2 4 2 3" xfId="12359" xr:uid="{09E0EAC7-5465-4655-9410-54FD95976D18}"/>
    <cellStyle name="Normal 4 4 2 2 2 2 4 3" xfId="5997" xr:uid="{00000000-0005-0000-0000-0000D4140000}"/>
    <cellStyle name="Normal 4 4 2 2 2 2 4 3 2" xfId="14432" xr:uid="{B86EB747-CF98-4287-AC9B-60AA32DB8F69}"/>
    <cellStyle name="Normal 4 4 2 2 2 2 4 4" xfId="10214" xr:uid="{BCEB721D-6B80-4484-9090-658BA7D6413B}"/>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2 2 2" xfId="16990" xr:uid="{86DDCDDB-CCDC-43A3-BF16-4F4D188C16E7}"/>
    <cellStyle name="Normal 4 4 2 2 2 2 5 2 3" xfId="12772" xr:uid="{1147DFF0-F343-4C83-A680-70E90D811ADC}"/>
    <cellStyle name="Normal 4 4 2 2 2 2 5 3" xfId="6410" xr:uid="{00000000-0005-0000-0000-0000D8140000}"/>
    <cellStyle name="Normal 4 4 2 2 2 2 5 3 2" xfId="14845" xr:uid="{DD1B7644-D9EB-461B-AEBB-EBD5641DF3BC}"/>
    <cellStyle name="Normal 4 4 2 2 2 2 5 4" xfId="10627" xr:uid="{D53279E4-16AF-4146-A791-F5A7CF65635F}"/>
    <cellStyle name="Normal 4 4 2 2 2 2 6" xfId="2539" xr:uid="{00000000-0005-0000-0000-0000D9140000}"/>
    <cellStyle name="Normal 4 4 2 2 2 2 6 2" xfId="6823" xr:uid="{00000000-0005-0000-0000-0000DA140000}"/>
    <cellStyle name="Normal 4 4 2 2 2 2 6 2 2" xfId="15258" xr:uid="{28A9D98E-2495-4F23-8DD7-30D0245692B3}"/>
    <cellStyle name="Normal 4 4 2 2 2 2 6 3" xfId="11040" xr:uid="{2C7EBD54-4E28-463C-87FD-0A8FA9812285}"/>
    <cellStyle name="Normal 4 4 2 2 2 2 7" xfId="4758" xr:uid="{00000000-0005-0000-0000-0000DB140000}"/>
    <cellStyle name="Normal 4 4 2 2 2 2 7 2" xfId="13193" xr:uid="{E37EAB5D-68A9-48EC-8EAC-235AAC214962}"/>
    <cellStyle name="Normal 4 4 2 2 2 2 8" xfId="8975" xr:uid="{6C8B04DE-7466-405E-9C42-A29E4ACF699D}"/>
    <cellStyle name="Normal 4 4 2 2 2 3" xfId="857" xr:uid="{00000000-0005-0000-0000-0000DC140000}"/>
    <cellStyle name="Normal 4 4 2 2 2 3 2" xfId="3092" xr:uid="{00000000-0005-0000-0000-0000DD140000}"/>
    <cellStyle name="Normal 4 4 2 2 2 3 2 2" xfId="7315" xr:uid="{00000000-0005-0000-0000-0000DE140000}"/>
    <cellStyle name="Normal 4 4 2 2 2 3 2 2 2" xfId="15750" xr:uid="{8DB3B5F3-D254-4C66-BF87-74C09F107DA7}"/>
    <cellStyle name="Normal 4 4 2 2 2 3 2 3" xfId="11532" xr:uid="{3D384FC8-E05F-4711-8226-E1362F8AB4E9}"/>
    <cellStyle name="Normal 4 4 2 2 2 3 3" xfId="5170" xr:uid="{00000000-0005-0000-0000-0000DF140000}"/>
    <cellStyle name="Normal 4 4 2 2 2 3 3 2" xfId="13605" xr:uid="{11D18504-F1DD-4C15-A9FB-C8239C7F3E08}"/>
    <cellStyle name="Normal 4 4 2 2 2 3 4" xfId="9387" xr:uid="{BE2BE472-69FA-4E78-A2CD-C1E6902648AD}"/>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2 2 2" xfId="16163" xr:uid="{EB62DF9F-468B-40F0-81EF-BF9E8994AFB4}"/>
    <cellStyle name="Normal 4 4 2 2 2 4 2 3" xfId="11945" xr:uid="{76CBECBC-EAAE-4EA0-BE7F-1497BBAD6968}"/>
    <cellStyle name="Normal 4 4 2 2 2 4 3" xfId="5583" xr:uid="{00000000-0005-0000-0000-0000E3140000}"/>
    <cellStyle name="Normal 4 4 2 2 2 4 3 2" xfId="14018" xr:uid="{3BC895A1-9D15-40A0-AA7B-FAAB8A286C24}"/>
    <cellStyle name="Normal 4 4 2 2 2 4 4" xfId="9800" xr:uid="{2497B280-3645-416E-AE79-2AF32D7C56AA}"/>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2 2 2" xfId="16576" xr:uid="{52FC16C5-AA49-407A-8A47-FEC9162CFBD1}"/>
    <cellStyle name="Normal 4 4 2 2 2 5 2 3" xfId="12358" xr:uid="{6C5F5C04-52FC-465C-82EB-E4E32A1936D7}"/>
    <cellStyle name="Normal 4 4 2 2 2 5 3" xfId="5996" xr:uid="{00000000-0005-0000-0000-0000E7140000}"/>
    <cellStyle name="Normal 4 4 2 2 2 5 3 2" xfId="14431" xr:uid="{ECE7A774-3841-4E17-B5D1-BC9648D9BE4E}"/>
    <cellStyle name="Normal 4 4 2 2 2 5 4" xfId="10213" xr:uid="{E6BFE04B-24EA-41F1-B9EF-B17EEBF92932}"/>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2 2 2" xfId="16989" xr:uid="{0C292A94-249A-4D47-A11B-E609F7C239F3}"/>
    <cellStyle name="Normal 4 4 2 2 2 6 2 3" xfId="12771" xr:uid="{A0378B40-EA4D-444E-9ABE-18ABF71C225A}"/>
    <cellStyle name="Normal 4 4 2 2 2 6 3" xfId="6409" xr:uid="{00000000-0005-0000-0000-0000EB140000}"/>
    <cellStyle name="Normal 4 4 2 2 2 6 3 2" xfId="14844" xr:uid="{114613D4-0C92-4E0B-A6CB-45585E6B86BD}"/>
    <cellStyle name="Normal 4 4 2 2 2 6 4" xfId="10626" xr:uid="{6046EEDD-2058-48F9-97CD-A5AC74ECDF48}"/>
    <cellStyle name="Normal 4 4 2 2 2 7" xfId="2538" xr:uid="{00000000-0005-0000-0000-0000EC140000}"/>
    <cellStyle name="Normal 4 4 2 2 2 7 2" xfId="6822" xr:uid="{00000000-0005-0000-0000-0000ED140000}"/>
    <cellStyle name="Normal 4 4 2 2 2 7 2 2" xfId="15257" xr:uid="{3CC03791-617C-439C-8935-0A71150E85B1}"/>
    <cellStyle name="Normal 4 4 2 2 2 7 3" xfId="11039" xr:uid="{441A6F1C-CBE6-42DF-B969-50ED78629098}"/>
    <cellStyle name="Normal 4 4 2 2 2 8" xfId="4757" xr:uid="{00000000-0005-0000-0000-0000EE140000}"/>
    <cellStyle name="Normal 4 4 2 2 2 8 2" xfId="13192" xr:uid="{2D5F98BB-565A-4872-874F-AA6719B8AA59}"/>
    <cellStyle name="Normal 4 4 2 2 2 9" xfId="8974" xr:uid="{5EC63452-4CE7-4019-AB68-A71189E5A0DA}"/>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2 2 2" xfId="15752" xr:uid="{C45F5033-CFF6-4EA3-973F-155F410B830C}"/>
    <cellStyle name="Normal 4 4 2 2 3 2 2 3" xfId="11534" xr:uid="{5CA79F4F-01DF-4DA9-B909-83C9827B6A00}"/>
    <cellStyle name="Normal 4 4 2 2 3 2 3" xfId="5172" xr:uid="{00000000-0005-0000-0000-0000F3140000}"/>
    <cellStyle name="Normal 4 4 2 2 3 2 3 2" xfId="13607" xr:uid="{33907CB1-C01B-4F4F-8189-DD0E1DF4D0AD}"/>
    <cellStyle name="Normal 4 4 2 2 3 2 4" xfId="9389" xr:uid="{8E57883A-86F9-432E-83E4-054FBFD9679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2 2 2" xfId="16165" xr:uid="{1B10A641-BF01-460C-97ED-9360A63A3BA6}"/>
    <cellStyle name="Normal 4 4 2 2 3 3 2 3" xfId="11947" xr:uid="{5D56796F-D3BE-47CD-A4AE-5954B1A133A5}"/>
    <cellStyle name="Normal 4 4 2 2 3 3 3" xfId="5585" xr:uid="{00000000-0005-0000-0000-0000F7140000}"/>
    <cellStyle name="Normal 4 4 2 2 3 3 3 2" xfId="14020" xr:uid="{9E99F656-C421-4509-907D-67027CF96DAD}"/>
    <cellStyle name="Normal 4 4 2 2 3 3 4" xfId="9802" xr:uid="{B9A5168A-62AC-4A93-8E07-2257924DCB0E}"/>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2 2 2" xfId="16578" xr:uid="{9A61D2B6-3D03-4670-ACF1-720028B31315}"/>
    <cellStyle name="Normal 4 4 2 2 3 4 2 3" xfId="12360" xr:uid="{D0F27EC6-3193-4C3B-90A8-F7ED989A2A86}"/>
    <cellStyle name="Normal 4 4 2 2 3 4 3" xfId="5998" xr:uid="{00000000-0005-0000-0000-0000FB140000}"/>
    <cellStyle name="Normal 4 4 2 2 3 4 3 2" xfId="14433" xr:uid="{0855094D-FCD8-4DDB-865D-A968C913928F}"/>
    <cellStyle name="Normal 4 4 2 2 3 4 4" xfId="10215" xr:uid="{27CA5300-9145-4714-A94D-3799D4082727}"/>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2 2 2" xfId="16991" xr:uid="{62EA2F7F-2A8A-4E48-BE2C-716E10B6FA37}"/>
    <cellStyle name="Normal 4 4 2 2 3 5 2 3" xfId="12773" xr:uid="{70D48597-01EB-4382-B221-1E996CBF381C}"/>
    <cellStyle name="Normal 4 4 2 2 3 5 3" xfId="6411" xr:uid="{00000000-0005-0000-0000-0000FF140000}"/>
    <cellStyle name="Normal 4 4 2 2 3 5 3 2" xfId="14846" xr:uid="{BA50084C-0D98-43A5-BF38-F39AFBDB3AEC}"/>
    <cellStyle name="Normal 4 4 2 2 3 5 4" xfId="10628" xr:uid="{F7E34891-7BAB-4CCA-82CA-330B97289FEB}"/>
    <cellStyle name="Normal 4 4 2 2 3 6" xfId="2540" xr:uid="{00000000-0005-0000-0000-000000150000}"/>
    <cellStyle name="Normal 4 4 2 2 3 6 2" xfId="6824" xr:uid="{00000000-0005-0000-0000-000001150000}"/>
    <cellStyle name="Normal 4 4 2 2 3 6 2 2" xfId="15259" xr:uid="{97C503D4-896E-4233-92E3-47A5D85A9423}"/>
    <cellStyle name="Normal 4 4 2 2 3 6 3" xfId="11041" xr:uid="{1E90A85E-63CA-4B6B-B168-C0CC29A017B3}"/>
    <cellStyle name="Normal 4 4 2 2 3 7" xfId="4759" xr:uid="{00000000-0005-0000-0000-000002150000}"/>
    <cellStyle name="Normal 4 4 2 2 3 7 2" xfId="13194" xr:uid="{7EC50459-3299-40D4-8293-755687E1A40F}"/>
    <cellStyle name="Normal 4 4 2 2 3 8" xfId="8976" xr:uid="{9F1C5CD7-750C-4E18-BD4B-C89A24B69DBA}"/>
    <cellStyle name="Normal 4 4 2 2 4" xfId="856" xr:uid="{00000000-0005-0000-0000-000003150000}"/>
    <cellStyle name="Normal 4 4 2 2 4 2" xfId="3091" xr:uid="{00000000-0005-0000-0000-000004150000}"/>
    <cellStyle name="Normal 4 4 2 2 4 2 2" xfId="7314" xr:uid="{00000000-0005-0000-0000-000005150000}"/>
    <cellStyle name="Normal 4 4 2 2 4 2 2 2" xfId="15749" xr:uid="{125F2F0D-ADEA-4BE0-84A1-73A2D25C23E3}"/>
    <cellStyle name="Normal 4 4 2 2 4 2 3" xfId="11531" xr:uid="{2A237475-E9E3-4584-9C75-9F0E72A9B744}"/>
    <cellStyle name="Normal 4 4 2 2 4 3" xfId="5169" xr:uid="{00000000-0005-0000-0000-000006150000}"/>
    <cellStyle name="Normal 4 4 2 2 4 3 2" xfId="13604" xr:uid="{A5220FEE-36AC-4426-8506-972A7A9EC8DC}"/>
    <cellStyle name="Normal 4 4 2 2 4 4" xfId="9386" xr:uid="{D56BF9D4-7348-47F3-AAE5-08A7002F65BC}"/>
    <cellStyle name="Normal 4 4 2 2 5" xfId="1274" xr:uid="{00000000-0005-0000-0000-000007150000}"/>
    <cellStyle name="Normal 4 4 2 2 5 2" xfId="3504" xr:uid="{00000000-0005-0000-0000-000008150000}"/>
    <cellStyle name="Normal 4 4 2 2 5 2 2" xfId="7727" xr:uid="{00000000-0005-0000-0000-000009150000}"/>
    <cellStyle name="Normal 4 4 2 2 5 2 2 2" xfId="16162" xr:uid="{11F86549-BCA6-4909-8AA3-5360DC146C45}"/>
    <cellStyle name="Normal 4 4 2 2 5 2 3" xfId="11944" xr:uid="{7CF43EF5-32FA-49C9-BEF8-9EA7D6D39F4D}"/>
    <cellStyle name="Normal 4 4 2 2 5 3" xfId="5582" xr:uid="{00000000-0005-0000-0000-00000A150000}"/>
    <cellStyle name="Normal 4 4 2 2 5 3 2" xfId="14017" xr:uid="{DFA9DB32-53F3-4B64-8D50-264CC8992CE7}"/>
    <cellStyle name="Normal 4 4 2 2 5 4" xfId="9799" xr:uid="{8A384594-4D73-4727-9402-17375C714A08}"/>
    <cellStyle name="Normal 4 4 2 2 6" xfId="1687" xr:uid="{00000000-0005-0000-0000-00000B150000}"/>
    <cellStyle name="Normal 4 4 2 2 6 2" xfId="3917" xr:uid="{00000000-0005-0000-0000-00000C150000}"/>
    <cellStyle name="Normal 4 4 2 2 6 2 2" xfId="8140" xr:uid="{00000000-0005-0000-0000-00000D150000}"/>
    <cellStyle name="Normal 4 4 2 2 6 2 2 2" xfId="16575" xr:uid="{944A02B7-8A7B-4AE1-AF8A-7F512314D1A7}"/>
    <cellStyle name="Normal 4 4 2 2 6 2 3" xfId="12357" xr:uid="{7DC9FE21-3F0E-4536-BD34-C60B6E2718F1}"/>
    <cellStyle name="Normal 4 4 2 2 6 3" xfId="5995" xr:uid="{00000000-0005-0000-0000-00000E150000}"/>
    <cellStyle name="Normal 4 4 2 2 6 3 2" xfId="14430" xr:uid="{57317286-E257-4CC9-95CB-034C5374B2E0}"/>
    <cellStyle name="Normal 4 4 2 2 6 4" xfId="10212" xr:uid="{64E70CEA-95D4-44CF-A452-CCBB4765D5AF}"/>
    <cellStyle name="Normal 4 4 2 2 7" xfId="2101" xr:uid="{00000000-0005-0000-0000-00000F150000}"/>
    <cellStyle name="Normal 4 4 2 2 7 2" xfId="4330" xr:uid="{00000000-0005-0000-0000-000010150000}"/>
    <cellStyle name="Normal 4 4 2 2 7 2 2" xfId="8553" xr:uid="{00000000-0005-0000-0000-000011150000}"/>
    <cellStyle name="Normal 4 4 2 2 7 2 2 2" xfId="16988" xr:uid="{77AA0A14-9B73-4092-8D1F-4DF9C5556B50}"/>
    <cellStyle name="Normal 4 4 2 2 7 2 3" xfId="12770" xr:uid="{B0626D44-2AF2-470F-8598-7A3F2B3BA5F6}"/>
    <cellStyle name="Normal 4 4 2 2 7 3" xfId="6408" xr:uid="{00000000-0005-0000-0000-000012150000}"/>
    <cellStyle name="Normal 4 4 2 2 7 3 2" xfId="14843" xr:uid="{B15FDCB4-4BCF-4201-B024-E3E00E3C39F5}"/>
    <cellStyle name="Normal 4 4 2 2 7 4" xfId="10625" xr:uid="{460BEFB0-9F71-42EF-9059-B7D207757FD0}"/>
    <cellStyle name="Normal 4 4 2 2 8" xfId="2537" xr:uid="{00000000-0005-0000-0000-000013150000}"/>
    <cellStyle name="Normal 4 4 2 2 8 2" xfId="6821" xr:uid="{00000000-0005-0000-0000-000014150000}"/>
    <cellStyle name="Normal 4 4 2 2 8 2 2" xfId="15256" xr:uid="{F5E99B5B-D059-4507-A31F-5517B5C3EA95}"/>
    <cellStyle name="Normal 4 4 2 2 8 3" xfId="11038" xr:uid="{0106B0A0-E3A3-4709-9CB2-0AFB9FBFEB3D}"/>
    <cellStyle name="Normal 4 4 2 2 9" xfId="4756" xr:uid="{00000000-0005-0000-0000-000015150000}"/>
    <cellStyle name="Normal 4 4 2 2 9 2" xfId="13191" xr:uid="{2DD063A6-4F1D-4E23-91B2-E1FA7BD0F4DF}"/>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2 2 2" xfId="15754" xr:uid="{F904F9DB-31E6-4CF5-9396-F14DC74382D3}"/>
    <cellStyle name="Normal 4 4 2 3 2 2 2 3" xfId="11536" xr:uid="{9B86B8A8-96FA-4A09-8D47-C90FE15AB373}"/>
    <cellStyle name="Normal 4 4 2 3 2 2 3" xfId="5174" xr:uid="{00000000-0005-0000-0000-00001B150000}"/>
    <cellStyle name="Normal 4 4 2 3 2 2 3 2" xfId="13609" xr:uid="{70C62F4B-BABC-42C8-9B85-DDFA12E857EA}"/>
    <cellStyle name="Normal 4 4 2 3 2 2 4" xfId="9391" xr:uid="{7E323A30-F782-49DE-A9FC-ACBFD9A90D3B}"/>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2 2 2" xfId="16167" xr:uid="{BE198888-AD57-4255-BBFA-83430A8640C6}"/>
    <cellStyle name="Normal 4 4 2 3 2 3 2 3" xfId="11949" xr:uid="{D0038199-714D-4D4E-B5C7-1ECE402EC15E}"/>
    <cellStyle name="Normal 4 4 2 3 2 3 3" xfId="5587" xr:uid="{00000000-0005-0000-0000-00001F150000}"/>
    <cellStyle name="Normal 4 4 2 3 2 3 3 2" xfId="14022" xr:uid="{2D65E52A-3C48-4371-956C-61CA522E2502}"/>
    <cellStyle name="Normal 4 4 2 3 2 3 4" xfId="9804" xr:uid="{AC933F88-4676-4B7C-A8B9-103754C44246}"/>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2 2 2" xfId="16580" xr:uid="{B984FF33-A5C1-4FC6-B7FB-2F5B9970E1B3}"/>
    <cellStyle name="Normal 4 4 2 3 2 4 2 3" xfId="12362" xr:uid="{8A6E4972-7CC9-4965-8EA2-B118437B42EE}"/>
    <cellStyle name="Normal 4 4 2 3 2 4 3" xfId="6000" xr:uid="{00000000-0005-0000-0000-000023150000}"/>
    <cellStyle name="Normal 4 4 2 3 2 4 3 2" xfId="14435" xr:uid="{7EE13554-8469-45C0-990B-E206B4C77AB6}"/>
    <cellStyle name="Normal 4 4 2 3 2 4 4" xfId="10217" xr:uid="{E3D1AF8C-BC3B-4F92-89B9-5CCF212ADBFA}"/>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2 2 2" xfId="16993" xr:uid="{69C66272-0624-4693-B826-2DBAA2255953}"/>
    <cellStyle name="Normal 4 4 2 3 2 5 2 3" xfId="12775" xr:uid="{23EC11D2-CF80-45C8-B1F8-6EE50333A74F}"/>
    <cellStyle name="Normal 4 4 2 3 2 5 3" xfId="6413" xr:uid="{00000000-0005-0000-0000-000027150000}"/>
    <cellStyle name="Normal 4 4 2 3 2 5 3 2" xfId="14848" xr:uid="{79DCE8CD-3288-4A2A-89AA-C51D83A9585B}"/>
    <cellStyle name="Normal 4 4 2 3 2 5 4" xfId="10630" xr:uid="{58CD2444-D18C-4315-9400-AAD55E2AB082}"/>
    <cellStyle name="Normal 4 4 2 3 2 6" xfId="2542" xr:uid="{00000000-0005-0000-0000-000028150000}"/>
    <cellStyle name="Normal 4 4 2 3 2 6 2" xfId="6826" xr:uid="{00000000-0005-0000-0000-000029150000}"/>
    <cellStyle name="Normal 4 4 2 3 2 6 2 2" xfId="15261" xr:uid="{EDA2E9BD-9EB3-4570-9994-96B3EDE61955}"/>
    <cellStyle name="Normal 4 4 2 3 2 6 3" xfId="11043" xr:uid="{15E79357-3A8B-4C3A-B4DE-C4E77D9EF5B9}"/>
    <cellStyle name="Normal 4 4 2 3 2 7" xfId="4761" xr:uid="{00000000-0005-0000-0000-00002A150000}"/>
    <cellStyle name="Normal 4 4 2 3 2 7 2" xfId="13196" xr:uid="{38DF030D-222D-4149-95E9-BAFFA67C2502}"/>
    <cellStyle name="Normal 4 4 2 3 2 8" xfId="8978" xr:uid="{4C60D238-CF33-4FBC-826C-98812D1D1E90}"/>
    <cellStyle name="Normal 4 4 2 3 3" xfId="860" xr:uid="{00000000-0005-0000-0000-00002B150000}"/>
    <cellStyle name="Normal 4 4 2 3 3 2" xfId="3095" xr:uid="{00000000-0005-0000-0000-00002C150000}"/>
    <cellStyle name="Normal 4 4 2 3 3 2 2" xfId="7318" xr:uid="{00000000-0005-0000-0000-00002D150000}"/>
    <cellStyle name="Normal 4 4 2 3 3 2 2 2" xfId="15753" xr:uid="{63FD5473-0D1F-4478-9B7A-30FC1179F27C}"/>
    <cellStyle name="Normal 4 4 2 3 3 2 3" xfId="11535" xr:uid="{1786C22F-2855-4761-A361-CBA116D9315D}"/>
    <cellStyle name="Normal 4 4 2 3 3 3" xfId="5173" xr:uid="{00000000-0005-0000-0000-00002E150000}"/>
    <cellStyle name="Normal 4 4 2 3 3 3 2" xfId="13608" xr:uid="{05407A1B-F4B4-49E0-8985-18384A9A6AD8}"/>
    <cellStyle name="Normal 4 4 2 3 3 4" xfId="9390" xr:uid="{9B6B6347-9A82-4B63-AA48-79193435C60C}"/>
    <cellStyle name="Normal 4 4 2 3 4" xfId="1278" xr:uid="{00000000-0005-0000-0000-00002F150000}"/>
    <cellStyle name="Normal 4 4 2 3 4 2" xfId="3508" xr:uid="{00000000-0005-0000-0000-000030150000}"/>
    <cellStyle name="Normal 4 4 2 3 4 2 2" xfId="7731" xr:uid="{00000000-0005-0000-0000-000031150000}"/>
    <cellStyle name="Normal 4 4 2 3 4 2 2 2" xfId="16166" xr:uid="{81943AEC-DFDF-4B68-B2C8-8FA7D65E4A29}"/>
    <cellStyle name="Normal 4 4 2 3 4 2 3" xfId="11948" xr:uid="{E7407849-EA4E-4BB1-A381-9526E0DDD1B6}"/>
    <cellStyle name="Normal 4 4 2 3 4 3" xfId="5586" xr:uid="{00000000-0005-0000-0000-000032150000}"/>
    <cellStyle name="Normal 4 4 2 3 4 3 2" xfId="14021" xr:uid="{176E4C3E-DDB0-4423-B43C-1B2F81DBDD82}"/>
    <cellStyle name="Normal 4 4 2 3 4 4" xfId="9803" xr:uid="{B7C7A05D-2FA7-4DC2-BFBA-2C529F113610}"/>
    <cellStyle name="Normal 4 4 2 3 5" xfId="1691" xr:uid="{00000000-0005-0000-0000-000033150000}"/>
    <cellStyle name="Normal 4 4 2 3 5 2" xfId="3921" xr:uid="{00000000-0005-0000-0000-000034150000}"/>
    <cellStyle name="Normal 4 4 2 3 5 2 2" xfId="8144" xr:uid="{00000000-0005-0000-0000-000035150000}"/>
    <cellStyle name="Normal 4 4 2 3 5 2 2 2" xfId="16579" xr:uid="{5367A757-054A-4833-A970-1F304A626948}"/>
    <cellStyle name="Normal 4 4 2 3 5 2 3" xfId="12361" xr:uid="{CF1C4B5B-0829-4FBD-8E6B-2A62ADA678E7}"/>
    <cellStyle name="Normal 4 4 2 3 5 3" xfId="5999" xr:uid="{00000000-0005-0000-0000-000036150000}"/>
    <cellStyle name="Normal 4 4 2 3 5 3 2" xfId="14434" xr:uid="{2E7444EF-7852-4BED-B1E5-823E798EC559}"/>
    <cellStyle name="Normal 4 4 2 3 5 4" xfId="10216" xr:uid="{FC80A0DF-6F0F-4EE3-BBC7-E50BE9A73356}"/>
    <cellStyle name="Normal 4 4 2 3 6" xfId="2105" xr:uid="{00000000-0005-0000-0000-000037150000}"/>
    <cellStyle name="Normal 4 4 2 3 6 2" xfId="4334" xr:uid="{00000000-0005-0000-0000-000038150000}"/>
    <cellStyle name="Normal 4 4 2 3 6 2 2" xfId="8557" xr:uid="{00000000-0005-0000-0000-000039150000}"/>
    <cellStyle name="Normal 4 4 2 3 6 2 2 2" xfId="16992" xr:uid="{36B057B6-DA53-4AD1-95FC-167D4574358E}"/>
    <cellStyle name="Normal 4 4 2 3 6 2 3" xfId="12774" xr:uid="{870E5C71-2B2D-4D59-B028-AB7C510176AE}"/>
    <cellStyle name="Normal 4 4 2 3 6 3" xfId="6412" xr:uid="{00000000-0005-0000-0000-00003A150000}"/>
    <cellStyle name="Normal 4 4 2 3 6 3 2" xfId="14847" xr:uid="{B8AB1427-95B0-4E57-8BB1-241966D5C219}"/>
    <cellStyle name="Normal 4 4 2 3 6 4" xfId="10629" xr:uid="{554C5F94-4D3F-40EC-B804-84393AEAF2FC}"/>
    <cellStyle name="Normal 4 4 2 3 7" xfId="2541" xr:uid="{00000000-0005-0000-0000-00003B150000}"/>
    <cellStyle name="Normal 4 4 2 3 7 2" xfId="6825" xr:uid="{00000000-0005-0000-0000-00003C150000}"/>
    <cellStyle name="Normal 4 4 2 3 7 2 2" xfId="15260" xr:uid="{4DCECECF-D416-4BB7-BBC4-27DD69C306CB}"/>
    <cellStyle name="Normal 4 4 2 3 7 3" xfId="11042" xr:uid="{92E39E9B-E916-46B8-BF5F-3FA53FD542AA}"/>
    <cellStyle name="Normal 4 4 2 3 8" xfId="4760" xr:uid="{00000000-0005-0000-0000-00003D150000}"/>
    <cellStyle name="Normal 4 4 2 3 8 2" xfId="13195" xr:uid="{4CB59DA0-E815-4816-A5A9-72D54C495E28}"/>
    <cellStyle name="Normal 4 4 2 3 9" xfId="8977" xr:uid="{796DCED7-3C1D-4ED4-8102-D6FD3B2E6B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2 2 2" xfId="15755" xr:uid="{6EFA7C46-D814-476C-A0D4-659004E38EB7}"/>
    <cellStyle name="Normal 4 4 2 4 2 2 3" xfId="11537" xr:uid="{0C134AC8-73B6-40B3-9373-D1C27F5FB736}"/>
    <cellStyle name="Normal 4 4 2 4 2 3" xfId="5175" xr:uid="{00000000-0005-0000-0000-000042150000}"/>
    <cellStyle name="Normal 4 4 2 4 2 3 2" xfId="13610" xr:uid="{551A47BB-E6E7-4EE4-9D61-794BA83F0ECA}"/>
    <cellStyle name="Normal 4 4 2 4 2 4" xfId="9392" xr:uid="{0341525D-824E-4B0E-8288-98A2FF9C4D87}"/>
    <cellStyle name="Normal 4 4 2 4 3" xfId="1280" xr:uid="{00000000-0005-0000-0000-000043150000}"/>
    <cellStyle name="Normal 4 4 2 4 3 2" xfId="3510" xr:uid="{00000000-0005-0000-0000-000044150000}"/>
    <cellStyle name="Normal 4 4 2 4 3 2 2" xfId="7733" xr:uid="{00000000-0005-0000-0000-000045150000}"/>
    <cellStyle name="Normal 4 4 2 4 3 2 2 2" xfId="16168" xr:uid="{C4F8AA68-F2B2-414F-8D87-08B236329E31}"/>
    <cellStyle name="Normal 4 4 2 4 3 2 3" xfId="11950" xr:uid="{A33C950A-1447-41DC-BB80-33FA2CD52542}"/>
    <cellStyle name="Normal 4 4 2 4 3 3" xfId="5588" xr:uid="{00000000-0005-0000-0000-000046150000}"/>
    <cellStyle name="Normal 4 4 2 4 3 3 2" xfId="14023" xr:uid="{5A67F526-8416-4EF7-ABCB-74A77966331D}"/>
    <cellStyle name="Normal 4 4 2 4 3 4" xfId="9805" xr:uid="{B49CD8C1-1A4A-410C-8B96-8AE2474641ED}"/>
    <cellStyle name="Normal 4 4 2 4 4" xfId="1693" xr:uid="{00000000-0005-0000-0000-000047150000}"/>
    <cellStyle name="Normal 4 4 2 4 4 2" xfId="3923" xr:uid="{00000000-0005-0000-0000-000048150000}"/>
    <cellStyle name="Normal 4 4 2 4 4 2 2" xfId="8146" xr:uid="{00000000-0005-0000-0000-000049150000}"/>
    <cellStyle name="Normal 4 4 2 4 4 2 2 2" xfId="16581" xr:uid="{D98BCAC9-EB25-41A9-B68D-C0B97171E623}"/>
    <cellStyle name="Normal 4 4 2 4 4 2 3" xfId="12363" xr:uid="{348A015F-8A33-47DA-A216-49FA8921D898}"/>
    <cellStyle name="Normal 4 4 2 4 4 3" xfId="6001" xr:uid="{00000000-0005-0000-0000-00004A150000}"/>
    <cellStyle name="Normal 4 4 2 4 4 3 2" xfId="14436" xr:uid="{9993BB44-31FA-47EC-BE7D-6EA14E62BAC7}"/>
    <cellStyle name="Normal 4 4 2 4 4 4" xfId="10218" xr:uid="{E7F156E6-F4DF-4DEB-A270-912DF2DECB58}"/>
    <cellStyle name="Normal 4 4 2 4 5" xfId="2107" xr:uid="{00000000-0005-0000-0000-00004B150000}"/>
    <cellStyle name="Normal 4 4 2 4 5 2" xfId="4336" xr:uid="{00000000-0005-0000-0000-00004C150000}"/>
    <cellStyle name="Normal 4 4 2 4 5 2 2" xfId="8559" xr:uid="{00000000-0005-0000-0000-00004D150000}"/>
    <cellStyle name="Normal 4 4 2 4 5 2 2 2" xfId="16994" xr:uid="{77F6E20B-92A0-48A0-A501-23A5297CA5C0}"/>
    <cellStyle name="Normal 4 4 2 4 5 2 3" xfId="12776" xr:uid="{DF848CF4-84B6-4084-BC5D-EC49FEB372C3}"/>
    <cellStyle name="Normal 4 4 2 4 5 3" xfId="6414" xr:uid="{00000000-0005-0000-0000-00004E150000}"/>
    <cellStyle name="Normal 4 4 2 4 5 3 2" xfId="14849" xr:uid="{1CA8E9E2-D156-465F-8221-E519600B99CA}"/>
    <cellStyle name="Normal 4 4 2 4 5 4" xfId="10631" xr:uid="{BAA483DA-4913-41E9-AF8C-4268E8FB4597}"/>
    <cellStyle name="Normal 4 4 2 4 6" xfId="2543" xr:uid="{00000000-0005-0000-0000-00004F150000}"/>
    <cellStyle name="Normal 4 4 2 4 6 2" xfId="6827" xr:uid="{00000000-0005-0000-0000-000050150000}"/>
    <cellStyle name="Normal 4 4 2 4 6 2 2" xfId="15262" xr:uid="{7554FC74-46CD-4BB2-8C0C-CC8C88360E33}"/>
    <cellStyle name="Normal 4 4 2 4 6 3" xfId="11044" xr:uid="{AF2110F5-CDFA-480D-AE25-65DCD01B19D0}"/>
    <cellStyle name="Normal 4 4 2 4 7" xfId="4762" xr:uid="{00000000-0005-0000-0000-000051150000}"/>
    <cellStyle name="Normal 4 4 2 4 7 2" xfId="13197" xr:uid="{BA273472-2811-46C9-8C5A-DE498FD55CBF}"/>
    <cellStyle name="Normal 4 4 2 4 8" xfId="8979" xr:uid="{09E4C0C1-66AD-4566-8FF8-BD8F3A36AC9B}"/>
    <cellStyle name="Normal 4 4 2 5" xfId="855" xr:uid="{00000000-0005-0000-0000-000052150000}"/>
    <cellStyle name="Normal 4 4 2 5 2" xfId="3090" xr:uid="{00000000-0005-0000-0000-000053150000}"/>
    <cellStyle name="Normal 4 4 2 5 2 2" xfId="7313" xr:uid="{00000000-0005-0000-0000-000054150000}"/>
    <cellStyle name="Normal 4 4 2 5 2 2 2" xfId="15748" xr:uid="{61BBD120-8952-4EF0-9BD7-DF3DB64A81FF}"/>
    <cellStyle name="Normal 4 4 2 5 2 3" xfId="11530" xr:uid="{B8AF4CC8-5269-403D-8D1E-2D311449E282}"/>
    <cellStyle name="Normal 4 4 2 5 3" xfId="5168" xr:uid="{00000000-0005-0000-0000-000055150000}"/>
    <cellStyle name="Normal 4 4 2 5 3 2" xfId="13603" xr:uid="{34F58AE5-0E0E-494D-ACBE-B843225AC748}"/>
    <cellStyle name="Normal 4 4 2 5 4" xfId="9385" xr:uid="{A3BE59DB-5359-48A2-A7F9-90D3B9B85682}"/>
    <cellStyle name="Normal 4 4 2 6" xfId="1273" xr:uid="{00000000-0005-0000-0000-000056150000}"/>
    <cellStyle name="Normal 4 4 2 6 2" xfId="3503" xr:uid="{00000000-0005-0000-0000-000057150000}"/>
    <cellStyle name="Normal 4 4 2 6 2 2" xfId="7726" xr:uid="{00000000-0005-0000-0000-000058150000}"/>
    <cellStyle name="Normal 4 4 2 6 2 2 2" xfId="16161" xr:uid="{EC4F1610-AB55-4D43-8584-10A3B9DD601F}"/>
    <cellStyle name="Normal 4 4 2 6 2 3" xfId="11943" xr:uid="{8C2ADAD3-4C6B-47D3-8BA7-C6042E3C404D}"/>
    <cellStyle name="Normal 4 4 2 6 3" xfId="5581" xr:uid="{00000000-0005-0000-0000-000059150000}"/>
    <cellStyle name="Normal 4 4 2 6 3 2" xfId="14016" xr:uid="{991A2B1D-AED5-4C17-B0CE-9CEFB836AF0B}"/>
    <cellStyle name="Normal 4 4 2 6 4" xfId="9798" xr:uid="{9BFC4AC7-C59F-4DB8-B6A2-7C292AD862EE}"/>
    <cellStyle name="Normal 4 4 2 7" xfId="1686" xr:uid="{00000000-0005-0000-0000-00005A150000}"/>
    <cellStyle name="Normal 4 4 2 7 2" xfId="3916" xr:uid="{00000000-0005-0000-0000-00005B150000}"/>
    <cellStyle name="Normal 4 4 2 7 2 2" xfId="8139" xr:uid="{00000000-0005-0000-0000-00005C150000}"/>
    <cellStyle name="Normal 4 4 2 7 2 2 2" xfId="16574" xr:uid="{14342693-F93B-44AB-BD94-E25D870C32B8}"/>
    <cellStyle name="Normal 4 4 2 7 2 3" xfId="12356" xr:uid="{584FE28C-C2E0-49B5-A1A8-02DBCD43BF9A}"/>
    <cellStyle name="Normal 4 4 2 7 3" xfId="5994" xr:uid="{00000000-0005-0000-0000-00005D150000}"/>
    <cellStyle name="Normal 4 4 2 7 3 2" xfId="14429" xr:uid="{0AAEBF88-1865-47DB-AF01-C86611086743}"/>
    <cellStyle name="Normal 4 4 2 7 4" xfId="10211" xr:uid="{FD7B996A-B629-430B-9E25-73136F258DA0}"/>
    <cellStyle name="Normal 4 4 2 8" xfId="2100" xr:uid="{00000000-0005-0000-0000-00005E150000}"/>
    <cellStyle name="Normal 4 4 2 8 2" xfId="4329" xr:uid="{00000000-0005-0000-0000-00005F150000}"/>
    <cellStyle name="Normal 4 4 2 8 2 2" xfId="8552" xr:uid="{00000000-0005-0000-0000-000060150000}"/>
    <cellStyle name="Normal 4 4 2 8 2 2 2" xfId="16987" xr:uid="{F32FAB82-E1E2-4741-810F-F8DAB781C50A}"/>
    <cellStyle name="Normal 4 4 2 8 2 3" xfId="12769" xr:uid="{AFC63F3C-0002-4C1E-AA21-7B3508E073EC}"/>
    <cellStyle name="Normal 4 4 2 8 3" xfId="6407" xr:uid="{00000000-0005-0000-0000-000061150000}"/>
    <cellStyle name="Normal 4 4 2 8 3 2" xfId="14842" xr:uid="{596C5340-796D-463F-BDF7-ACA963F45C0D}"/>
    <cellStyle name="Normal 4 4 2 8 4" xfId="10624" xr:uid="{68D8D13B-57D1-4DCA-9E58-AE4AE231AB70}"/>
    <cellStyle name="Normal 4 4 2 9" xfId="2536" xr:uid="{00000000-0005-0000-0000-000062150000}"/>
    <cellStyle name="Normal 4 4 2 9 2" xfId="6820" xr:uid="{00000000-0005-0000-0000-000063150000}"/>
    <cellStyle name="Normal 4 4 2 9 2 2" xfId="15255" xr:uid="{EFA43C13-C7EB-4D2C-BBB4-F19D2D9EEB3A}"/>
    <cellStyle name="Normal 4 4 2 9 3" xfId="11037" xr:uid="{7CC31A28-2CFC-47DB-AE95-4B271C0DC644}"/>
    <cellStyle name="Normal 4 4 3" xfId="387" xr:uid="{00000000-0005-0000-0000-000064150000}"/>
    <cellStyle name="Normal 4 4 3 10" xfId="8980" xr:uid="{E6DF5C3C-E0E9-4691-A3C8-AE6575E50EDF}"/>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2 2 2" xfId="15758" xr:uid="{00758A43-7D6D-41CD-A718-1C44DAA6165A}"/>
    <cellStyle name="Normal 4 4 3 2 2 2 2 3" xfId="11540" xr:uid="{4E734B6A-E45E-48F4-9F0B-8EE9543CC78E}"/>
    <cellStyle name="Normal 4 4 3 2 2 2 3" xfId="5178" xr:uid="{00000000-0005-0000-0000-00006A150000}"/>
    <cellStyle name="Normal 4 4 3 2 2 2 3 2" xfId="13613" xr:uid="{B3644875-839A-4C28-A862-3384FAD494E4}"/>
    <cellStyle name="Normal 4 4 3 2 2 2 4" xfId="9395" xr:uid="{2BDD2779-C0AC-4005-8973-7D799AFD00E1}"/>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2 2 2" xfId="16171" xr:uid="{E382652D-3A86-403D-9FF0-40983D46CFF4}"/>
    <cellStyle name="Normal 4 4 3 2 2 3 2 3" xfId="11953" xr:uid="{41BE3EF8-C488-40CD-9E82-740FFC0040FD}"/>
    <cellStyle name="Normal 4 4 3 2 2 3 3" xfId="5591" xr:uid="{00000000-0005-0000-0000-00006E150000}"/>
    <cellStyle name="Normal 4 4 3 2 2 3 3 2" xfId="14026" xr:uid="{E34DC835-744C-4036-BE89-B8155EEFC9A5}"/>
    <cellStyle name="Normal 4 4 3 2 2 3 4" xfId="9808" xr:uid="{C3648CCF-AD62-4EF8-BBBB-AED4554B5DF5}"/>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2 2 2" xfId="16584" xr:uid="{C6CFB149-2796-4B06-967B-FA78C1F05AAF}"/>
    <cellStyle name="Normal 4 4 3 2 2 4 2 3" xfId="12366" xr:uid="{AA214231-0219-4735-8FF8-13DA1290DBCB}"/>
    <cellStyle name="Normal 4 4 3 2 2 4 3" xfId="6004" xr:uid="{00000000-0005-0000-0000-000072150000}"/>
    <cellStyle name="Normal 4 4 3 2 2 4 3 2" xfId="14439" xr:uid="{56F7770C-D3DB-4513-9EBC-9064B17F61C2}"/>
    <cellStyle name="Normal 4 4 3 2 2 4 4" xfId="10221" xr:uid="{C54799A7-0D05-425F-AE2F-5EE54E2BC57E}"/>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2 2 2" xfId="16997" xr:uid="{69FDE00D-1213-496A-89E4-D654502F89CF}"/>
    <cellStyle name="Normal 4 4 3 2 2 5 2 3" xfId="12779" xr:uid="{28E9433B-DD58-41B0-A60A-6436951145DE}"/>
    <cellStyle name="Normal 4 4 3 2 2 5 3" xfId="6417" xr:uid="{00000000-0005-0000-0000-000076150000}"/>
    <cellStyle name="Normal 4 4 3 2 2 5 3 2" xfId="14852" xr:uid="{6782DC28-5CCB-4EFB-B3C5-6DF5848EC3F7}"/>
    <cellStyle name="Normal 4 4 3 2 2 5 4" xfId="10634" xr:uid="{B85DA723-44E5-4871-97D6-F917AD1045DC}"/>
    <cellStyle name="Normal 4 4 3 2 2 6" xfId="2546" xr:uid="{00000000-0005-0000-0000-000077150000}"/>
    <cellStyle name="Normal 4 4 3 2 2 6 2" xfId="6830" xr:uid="{00000000-0005-0000-0000-000078150000}"/>
    <cellStyle name="Normal 4 4 3 2 2 6 2 2" xfId="15265" xr:uid="{47025822-F4DC-4B7E-A5A5-C2BC4608D27E}"/>
    <cellStyle name="Normal 4 4 3 2 2 6 3" xfId="11047" xr:uid="{0AE3803E-3CF2-484B-8B76-81C84E06FF7B}"/>
    <cellStyle name="Normal 4 4 3 2 2 7" xfId="4765" xr:uid="{00000000-0005-0000-0000-000079150000}"/>
    <cellStyle name="Normal 4 4 3 2 2 7 2" xfId="13200" xr:uid="{724D1025-309D-4F49-B1E0-9534EAC16210}"/>
    <cellStyle name="Normal 4 4 3 2 2 8" xfId="8982" xr:uid="{124BC571-3B06-4FD6-A0A1-6CAE09FFF102}"/>
    <cellStyle name="Normal 4 4 3 2 3" xfId="864" xr:uid="{00000000-0005-0000-0000-00007A150000}"/>
    <cellStyle name="Normal 4 4 3 2 3 2" xfId="3099" xr:uid="{00000000-0005-0000-0000-00007B150000}"/>
    <cellStyle name="Normal 4 4 3 2 3 2 2" xfId="7322" xr:uid="{00000000-0005-0000-0000-00007C150000}"/>
    <cellStyle name="Normal 4 4 3 2 3 2 2 2" xfId="15757" xr:uid="{98C73895-04B9-4721-BF13-212FCE0B660F}"/>
    <cellStyle name="Normal 4 4 3 2 3 2 3" xfId="11539" xr:uid="{3292F323-B4CF-45B0-A3ED-17F8B511B7BD}"/>
    <cellStyle name="Normal 4 4 3 2 3 3" xfId="5177" xr:uid="{00000000-0005-0000-0000-00007D150000}"/>
    <cellStyle name="Normal 4 4 3 2 3 3 2" xfId="13612" xr:uid="{DFB2D18D-E300-4DCC-AF4F-19D2AC223452}"/>
    <cellStyle name="Normal 4 4 3 2 3 4" xfId="9394" xr:uid="{DD60F2E5-1D4A-42F7-B696-DFD1237EF1C1}"/>
    <cellStyle name="Normal 4 4 3 2 4" xfId="1282" xr:uid="{00000000-0005-0000-0000-00007E150000}"/>
    <cellStyle name="Normal 4 4 3 2 4 2" xfId="3512" xr:uid="{00000000-0005-0000-0000-00007F150000}"/>
    <cellStyle name="Normal 4 4 3 2 4 2 2" xfId="7735" xr:uid="{00000000-0005-0000-0000-000080150000}"/>
    <cellStyle name="Normal 4 4 3 2 4 2 2 2" xfId="16170" xr:uid="{45B47753-63A5-4504-B6E9-DAFE369D04ED}"/>
    <cellStyle name="Normal 4 4 3 2 4 2 3" xfId="11952" xr:uid="{B315B857-373D-4D5F-BEA7-D31B77AA226E}"/>
    <cellStyle name="Normal 4 4 3 2 4 3" xfId="5590" xr:uid="{00000000-0005-0000-0000-000081150000}"/>
    <cellStyle name="Normal 4 4 3 2 4 3 2" xfId="14025" xr:uid="{B19A7212-6BC2-4C61-AA99-613C4166F11C}"/>
    <cellStyle name="Normal 4 4 3 2 4 4" xfId="9807" xr:uid="{8EC9805C-AFB6-4041-B9BB-1374BB39B2FA}"/>
    <cellStyle name="Normal 4 4 3 2 5" xfId="1695" xr:uid="{00000000-0005-0000-0000-000082150000}"/>
    <cellStyle name="Normal 4 4 3 2 5 2" xfId="3925" xr:uid="{00000000-0005-0000-0000-000083150000}"/>
    <cellStyle name="Normal 4 4 3 2 5 2 2" xfId="8148" xr:uid="{00000000-0005-0000-0000-000084150000}"/>
    <cellStyle name="Normal 4 4 3 2 5 2 2 2" xfId="16583" xr:uid="{CF91B32D-F95F-47D7-9B6F-3C9DB00BCDF3}"/>
    <cellStyle name="Normal 4 4 3 2 5 2 3" xfId="12365" xr:uid="{8A4894BE-0D4B-48AF-8B4B-68A57A8A5E9B}"/>
    <cellStyle name="Normal 4 4 3 2 5 3" xfId="6003" xr:uid="{00000000-0005-0000-0000-000085150000}"/>
    <cellStyle name="Normal 4 4 3 2 5 3 2" xfId="14438" xr:uid="{EAF4BAE0-3893-4C03-8140-8467DDAFB93A}"/>
    <cellStyle name="Normal 4 4 3 2 5 4" xfId="10220" xr:uid="{1C239F79-0D39-4B14-8CF3-B82C13199A57}"/>
    <cellStyle name="Normal 4 4 3 2 6" xfId="2109" xr:uid="{00000000-0005-0000-0000-000086150000}"/>
    <cellStyle name="Normal 4 4 3 2 6 2" xfId="4338" xr:uid="{00000000-0005-0000-0000-000087150000}"/>
    <cellStyle name="Normal 4 4 3 2 6 2 2" xfId="8561" xr:uid="{00000000-0005-0000-0000-000088150000}"/>
    <cellStyle name="Normal 4 4 3 2 6 2 2 2" xfId="16996" xr:uid="{2688D7F6-EB44-4C22-BE71-5A1C641D9518}"/>
    <cellStyle name="Normal 4 4 3 2 6 2 3" xfId="12778" xr:uid="{C54D425E-6C4C-4298-A4D8-A9238CA4F2DD}"/>
    <cellStyle name="Normal 4 4 3 2 6 3" xfId="6416" xr:uid="{00000000-0005-0000-0000-000089150000}"/>
    <cellStyle name="Normal 4 4 3 2 6 3 2" xfId="14851" xr:uid="{FBD30BBC-080C-49F8-B946-3C6D885E65B0}"/>
    <cellStyle name="Normal 4 4 3 2 6 4" xfId="10633" xr:uid="{801010BD-BBBA-42D8-AE1A-4A97320215A8}"/>
    <cellStyle name="Normal 4 4 3 2 7" xfId="2545" xr:uid="{00000000-0005-0000-0000-00008A150000}"/>
    <cellStyle name="Normal 4 4 3 2 7 2" xfId="6829" xr:uid="{00000000-0005-0000-0000-00008B150000}"/>
    <cellStyle name="Normal 4 4 3 2 7 2 2" xfId="15264" xr:uid="{B2B41D8A-31F0-4B3D-848D-DEAC36BA2E35}"/>
    <cellStyle name="Normal 4 4 3 2 7 3" xfId="11046" xr:uid="{79CAC59B-6054-4382-98D6-700021F6B310}"/>
    <cellStyle name="Normal 4 4 3 2 8" xfId="4764" xr:uid="{00000000-0005-0000-0000-00008C150000}"/>
    <cellStyle name="Normal 4 4 3 2 8 2" xfId="13199" xr:uid="{846E0FA3-E543-493C-9143-242D850AA13A}"/>
    <cellStyle name="Normal 4 4 3 2 9" xfId="8981" xr:uid="{96381BA5-BB60-46BA-9BF9-D85AC91031C6}"/>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2 2 2" xfId="15759" xr:uid="{25C9E2D8-EDD5-4C8C-A9A6-19EB78FE3003}"/>
    <cellStyle name="Normal 4 4 3 3 2 2 3" xfId="11541" xr:uid="{4C63D1AE-407C-415E-8F03-FFDA1797356A}"/>
    <cellStyle name="Normal 4 4 3 3 2 3" xfId="5179" xr:uid="{00000000-0005-0000-0000-000091150000}"/>
    <cellStyle name="Normal 4 4 3 3 2 3 2" xfId="13614" xr:uid="{5153042E-6ACB-40FC-B657-31B0040A7EC6}"/>
    <cellStyle name="Normal 4 4 3 3 2 4" xfId="9396" xr:uid="{DA3A2EA5-3E85-48D7-9D35-7BB2345DF8D6}"/>
    <cellStyle name="Normal 4 4 3 3 3" xfId="1284" xr:uid="{00000000-0005-0000-0000-000092150000}"/>
    <cellStyle name="Normal 4 4 3 3 3 2" xfId="3514" xr:uid="{00000000-0005-0000-0000-000093150000}"/>
    <cellStyle name="Normal 4 4 3 3 3 2 2" xfId="7737" xr:uid="{00000000-0005-0000-0000-000094150000}"/>
    <cellStyle name="Normal 4 4 3 3 3 2 2 2" xfId="16172" xr:uid="{BA31DA4E-02AB-4F91-8169-FD716548F221}"/>
    <cellStyle name="Normal 4 4 3 3 3 2 3" xfId="11954" xr:uid="{C6AD3A28-19E6-470E-8C63-052B005FFB5A}"/>
    <cellStyle name="Normal 4 4 3 3 3 3" xfId="5592" xr:uid="{00000000-0005-0000-0000-000095150000}"/>
    <cellStyle name="Normal 4 4 3 3 3 3 2" xfId="14027" xr:uid="{C24588BB-4D78-4635-8C91-427623591392}"/>
    <cellStyle name="Normal 4 4 3 3 3 4" xfId="9809" xr:uid="{A60F6F2C-3CE2-46BB-A4CA-33CC1A1E53A7}"/>
    <cellStyle name="Normal 4 4 3 3 4" xfId="1697" xr:uid="{00000000-0005-0000-0000-000096150000}"/>
    <cellStyle name="Normal 4 4 3 3 4 2" xfId="3927" xr:uid="{00000000-0005-0000-0000-000097150000}"/>
    <cellStyle name="Normal 4 4 3 3 4 2 2" xfId="8150" xr:uid="{00000000-0005-0000-0000-000098150000}"/>
    <cellStyle name="Normal 4 4 3 3 4 2 2 2" xfId="16585" xr:uid="{97F57474-A628-4823-A6FA-0ED1AA2A3EC0}"/>
    <cellStyle name="Normal 4 4 3 3 4 2 3" xfId="12367" xr:uid="{E10B3073-7CEB-43E2-9051-D7419C44D9AD}"/>
    <cellStyle name="Normal 4 4 3 3 4 3" xfId="6005" xr:uid="{00000000-0005-0000-0000-000099150000}"/>
    <cellStyle name="Normal 4 4 3 3 4 3 2" xfId="14440" xr:uid="{152562C9-CFAF-4E4A-B134-AB1653A4A44D}"/>
    <cellStyle name="Normal 4 4 3 3 4 4" xfId="10222" xr:uid="{181AF1E0-245B-4970-838D-8AA5C016A492}"/>
    <cellStyle name="Normal 4 4 3 3 5" xfId="2111" xr:uid="{00000000-0005-0000-0000-00009A150000}"/>
    <cellStyle name="Normal 4 4 3 3 5 2" xfId="4340" xr:uid="{00000000-0005-0000-0000-00009B150000}"/>
    <cellStyle name="Normal 4 4 3 3 5 2 2" xfId="8563" xr:uid="{00000000-0005-0000-0000-00009C150000}"/>
    <cellStyle name="Normal 4 4 3 3 5 2 2 2" xfId="16998" xr:uid="{34AA7270-810F-4876-8821-B7D6FCCE1267}"/>
    <cellStyle name="Normal 4 4 3 3 5 2 3" xfId="12780" xr:uid="{CDF12D9B-6C4D-4E19-AE4C-EAE1B60EE9CF}"/>
    <cellStyle name="Normal 4 4 3 3 5 3" xfId="6418" xr:uid="{00000000-0005-0000-0000-00009D150000}"/>
    <cellStyle name="Normal 4 4 3 3 5 3 2" xfId="14853" xr:uid="{4F0005E0-60C2-4807-8FB6-3B61C0BFF66B}"/>
    <cellStyle name="Normal 4 4 3 3 5 4" xfId="10635" xr:uid="{4DCE59A4-F43E-436B-ACBB-B8C388D2BDB4}"/>
    <cellStyle name="Normal 4 4 3 3 6" xfId="2547" xr:uid="{00000000-0005-0000-0000-00009E150000}"/>
    <cellStyle name="Normal 4 4 3 3 6 2" xfId="6831" xr:uid="{00000000-0005-0000-0000-00009F150000}"/>
    <cellStyle name="Normal 4 4 3 3 6 2 2" xfId="15266" xr:uid="{383BBECE-9F86-4E99-9CAE-B2492CF71170}"/>
    <cellStyle name="Normal 4 4 3 3 6 3" xfId="11048" xr:uid="{FA9F2D42-BB10-48A6-80E8-9235445A482E}"/>
    <cellStyle name="Normal 4 4 3 3 7" xfId="4766" xr:uid="{00000000-0005-0000-0000-0000A0150000}"/>
    <cellStyle name="Normal 4 4 3 3 7 2" xfId="13201" xr:uid="{A940133F-0122-48A6-AB67-AEF802A77169}"/>
    <cellStyle name="Normal 4 4 3 3 8" xfId="8983" xr:uid="{07846654-402B-47E1-955A-1A3D34E0624A}"/>
    <cellStyle name="Normal 4 4 3 4" xfId="863" xr:uid="{00000000-0005-0000-0000-0000A1150000}"/>
    <cellStyle name="Normal 4 4 3 4 2" xfId="3098" xr:uid="{00000000-0005-0000-0000-0000A2150000}"/>
    <cellStyle name="Normal 4 4 3 4 2 2" xfId="7321" xr:uid="{00000000-0005-0000-0000-0000A3150000}"/>
    <cellStyle name="Normal 4 4 3 4 2 2 2" xfId="15756" xr:uid="{75B1FB7F-27E3-4718-B4EE-02C9BA817708}"/>
    <cellStyle name="Normal 4 4 3 4 2 3" xfId="11538" xr:uid="{3A8924C4-D484-48E9-97E9-120C925B91BB}"/>
    <cellStyle name="Normal 4 4 3 4 3" xfId="5176" xr:uid="{00000000-0005-0000-0000-0000A4150000}"/>
    <cellStyle name="Normal 4 4 3 4 3 2" xfId="13611" xr:uid="{4318EE4F-D9F8-4BEE-9B24-E163B941CCC2}"/>
    <cellStyle name="Normal 4 4 3 4 4" xfId="9393" xr:uid="{88E27BDE-1F59-40B3-870F-FDE0FC861A06}"/>
    <cellStyle name="Normal 4 4 3 5" xfId="1281" xr:uid="{00000000-0005-0000-0000-0000A5150000}"/>
    <cellStyle name="Normal 4 4 3 5 2" xfId="3511" xr:uid="{00000000-0005-0000-0000-0000A6150000}"/>
    <cellStyle name="Normal 4 4 3 5 2 2" xfId="7734" xr:uid="{00000000-0005-0000-0000-0000A7150000}"/>
    <cellStyle name="Normal 4 4 3 5 2 2 2" xfId="16169" xr:uid="{CEA915DC-4FBE-4ACD-A742-9A86CA6CC5F7}"/>
    <cellStyle name="Normal 4 4 3 5 2 3" xfId="11951" xr:uid="{B6931644-E51A-4A8C-8B56-0C28021FCCAB}"/>
    <cellStyle name="Normal 4 4 3 5 3" xfId="5589" xr:uid="{00000000-0005-0000-0000-0000A8150000}"/>
    <cellStyle name="Normal 4 4 3 5 3 2" xfId="14024" xr:uid="{BD0ED87C-A615-4EF1-B92D-0C58F114C115}"/>
    <cellStyle name="Normal 4 4 3 5 4" xfId="9806" xr:uid="{EDE9F0EE-4931-43F4-96FE-199A7C46632F}"/>
    <cellStyle name="Normal 4 4 3 6" xfId="1694" xr:uid="{00000000-0005-0000-0000-0000A9150000}"/>
    <cellStyle name="Normal 4 4 3 6 2" xfId="3924" xr:uid="{00000000-0005-0000-0000-0000AA150000}"/>
    <cellStyle name="Normal 4 4 3 6 2 2" xfId="8147" xr:uid="{00000000-0005-0000-0000-0000AB150000}"/>
    <cellStyle name="Normal 4 4 3 6 2 2 2" xfId="16582" xr:uid="{8A45FB44-7937-4610-B52B-275BC9118EF1}"/>
    <cellStyle name="Normal 4 4 3 6 2 3" xfId="12364" xr:uid="{028750F9-7FF9-433E-A11F-A4E4BC2F3E52}"/>
    <cellStyle name="Normal 4 4 3 6 3" xfId="6002" xr:uid="{00000000-0005-0000-0000-0000AC150000}"/>
    <cellStyle name="Normal 4 4 3 6 3 2" xfId="14437" xr:uid="{58D40EFF-E1BE-41D9-A65E-935D925ECF08}"/>
    <cellStyle name="Normal 4 4 3 6 4" xfId="10219" xr:uid="{DE0ADCC4-893F-44EE-AE52-9E95B9F1674A}"/>
    <cellStyle name="Normal 4 4 3 7" xfId="2108" xr:uid="{00000000-0005-0000-0000-0000AD150000}"/>
    <cellStyle name="Normal 4 4 3 7 2" xfId="4337" xr:uid="{00000000-0005-0000-0000-0000AE150000}"/>
    <cellStyle name="Normal 4 4 3 7 2 2" xfId="8560" xr:uid="{00000000-0005-0000-0000-0000AF150000}"/>
    <cellStyle name="Normal 4 4 3 7 2 2 2" xfId="16995" xr:uid="{C3043FE7-A308-4181-8C38-93FC68DB3136}"/>
    <cellStyle name="Normal 4 4 3 7 2 3" xfId="12777" xr:uid="{41126858-DFD9-47FD-B0B8-A5006A94F023}"/>
    <cellStyle name="Normal 4 4 3 7 3" xfId="6415" xr:uid="{00000000-0005-0000-0000-0000B0150000}"/>
    <cellStyle name="Normal 4 4 3 7 3 2" xfId="14850" xr:uid="{BF3C919A-F44A-4BE5-92C8-58ACAF104AB4}"/>
    <cellStyle name="Normal 4 4 3 7 4" xfId="10632" xr:uid="{0A4E5F53-0DCB-4ADC-BFA7-18C73FDCE2D2}"/>
    <cellStyle name="Normal 4 4 3 8" xfId="2544" xr:uid="{00000000-0005-0000-0000-0000B1150000}"/>
    <cellStyle name="Normal 4 4 3 8 2" xfId="6828" xr:uid="{00000000-0005-0000-0000-0000B2150000}"/>
    <cellStyle name="Normal 4 4 3 8 2 2" xfId="15263" xr:uid="{55B528A9-BDC7-4EC8-BBCC-C50EC5D84BCE}"/>
    <cellStyle name="Normal 4 4 3 8 3" xfId="11045" xr:uid="{24D17737-38A1-43D9-8A47-AA1FB8C23205}"/>
    <cellStyle name="Normal 4 4 3 9" xfId="4763" xr:uid="{00000000-0005-0000-0000-0000B3150000}"/>
    <cellStyle name="Normal 4 4 3 9 2" xfId="13198" xr:uid="{5DACAA1B-9A56-4654-914D-0C2CB49F6E3F}"/>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2 2 2" xfId="15761" xr:uid="{E84CEEDC-6050-4E06-8D6C-88EFFA1FCD16}"/>
    <cellStyle name="Normal 4 4 4 2 2 2 3" xfId="11543" xr:uid="{909A67B3-9B60-4BFF-B256-2A81A71CC07C}"/>
    <cellStyle name="Normal 4 4 4 2 2 3" xfId="5181" xr:uid="{00000000-0005-0000-0000-0000B9150000}"/>
    <cellStyle name="Normal 4 4 4 2 2 3 2" xfId="13616" xr:uid="{6C5E6B52-DFC1-47F9-8B83-947E36E7231A}"/>
    <cellStyle name="Normal 4 4 4 2 2 4" xfId="9398" xr:uid="{5F9AA2F2-F512-4378-98B8-60E3889E2260}"/>
    <cellStyle name="Normal 4 4 4 2 3" xfId="1286" xr:uid="{00000000-0005-0000-0000-0000BA150000}"/>
    <cellStyle name="Normal 4 4 4 2 3 2" xfId="3516" xr:uid="{00000000-0005-0000-0000-0000BB150000}"/>
    <cellStyle name="Normal 4 4 4 2 3 2 2" xfId="7739" xr:uid="{00000000-0005-0000-0000-0000BC150000}"/>
    <cellStyle name="Normal 4 4 4 2 3 2 2 2" xfId="16174" xr:uid="{370F223E-C204-41A5-AB82-5C46790CF6E4}"/>
    <cellStyle name="Normal 4 4 4 2 3 2 3" xfId="11956" xr:uid="{FDD792FC-750B-4C4C-B805-F217E1097DE1}"/>
    <cellStyle name="Normal 4 4 4 2 3 3" xfId="5594" xr:uid="{00000000-0005-0000-0000-0000BD150000}"/>
    <cellStyle name="Normal 4 4 4 2 3 3 2" xfId="14029" xr:uid="{970D6804-A5CD-4332-8675-0AA894C3C15A}"/>
    <cellStyle name="Normal 4 4 4 2 3 4" xfId="9811" xr:uid="{E56E02FE-EBBD-47D0-A49D-670162F24D32}"/>
    <cellStyle name="Normal 4 4 4 2 4" xfId="1699" xr:uid="{00000000-0005-0000-0000-0000BE150000}"/>
    <cellStyle name="Normal 4 4 4 2 4 2" xfId="3929" xr:uid="{00000000-0005-0000-0000-0000BF150000}"/>
    <cellStyle name="Normal 4 4 4 2 4 2 2" xfId="8152" xr:uid="{00000000-0005-0000-0000-0000C0150000}"/>
    <cellStyle name="Normal 4 4 4 2 4 2 2 2" xfId="16587" xr:uid="{A97AD142-2D09-41CE-BDD7-EA031D73FA7F}"/>
    <cellStyle name="Normal 4 4 4 2 4 2 3" xfId="12369" xr:uid="{BDCB9516-6612-494B-A256-27CE23770C9B}"/>
    <cellStyle name="Normal 4 4 4 2 4 3" xfId="6007" xr:uid="{00000000-0005-0000-0000-0000C1150000}"/>
    <cellStyle name="Normal 4 4 4 2 4 3 2" xfId="14442" xr:uid="{099B7DE5-61C1-4C06-855B-D34A9D990CD3}"/>
    <cellStyle name="Normal 4 4 4 2 4 4" xfId="10224" xr:uid="{88D6A1CF-3087-4556-8593-E5D26B89E8AE}"/>
    <cellStyle name="Normal 4 4 4 2 5" xfId="2113" xr:uid="{00000000-0005-0000-0000-0000C2150000}"/>
    <cellStyle name="Normal 4 4 4 2 5 2" xfId="4342" xr:uid="{00000000-0005-0000-0000-0000C3150000}"/>
    <cellStyle name="Normal 4 4 4 2 5 2 2" xfId="8565" xr:uid="{00000000-0005-0000-0000-0000C4150000}"/>
    <cellStyle name="Normal 4 4 4 2 5 2 2 2" xfId="17000" xr:uid="{7F37BF14-CDFA-415F-9E52-EC258B720E86}"/>
    <cellStyle name="Normal 4 4 4 2 5 2 3" xfId="12782" xr:uid="{2A256B95-AA57-40EC-B3D0-33AEA1765230}"/>
    <cellStyle name="Normal 4 4 4 2 5 3" xfId="6420" xr:uid="{00000000-0005-0000-0000-0000C5150000}"/>
    <cellStyle name="Normal 4 4 4 2 5 3 2" xfId="14855" xr:uid="{66623EE4-8683-4BC3-9E78-442BD6391126}"/>
    <cellStyle name="Normal 4 4 4 2 5 4" xfId="10637" xr:uid="{5683B6CF-4ECE-4534-A383-7C5B84381235}"/>
    <cellStyle name="Normal 4 4 4 2 6" xfId="2549" xr:uid="{00000000-0005-0000-0000-0000C6150000}"/>
    <cellStyle name="Normal 4 4 4 2 6 2" xfId="6833" xr:uid="{00000000-0005-0000-0000-0000C7150000}"/>
    <cellStyle name="Normal 4 4 4 2 6 2 2" xfId="15268" xr:uid="{890C681F-6762-4C8F-8C37-E2BAED3102E4}"/>
    <cellStyle name="Normal 4 4 4 2 6 3" xfId="11050" xr:uid="{BE8F9C2D-38F0-4D0E-A98E-B3164E552A9B}"/>
    <cellStyle name="Normal 4 4 4 2 7" xfId="4768" xr:uid="{00000000-0005-0000-0000-0000C8150000}"/>
    <cellStyle name="Normal 4 4 4 2 7 2" xfId="13203" xr:uid="{F70F6B4B-69BD-4FA8-BFD0-807F62724F61}"/>
    <cellStyle name="Normal 4 4 4 2 8" xfId="8985" xr:uid="{C9A4DC21-892F-49F8-88A1-8E16C04C314B}"/>
    <cellStyle name="Normal 4 4 4 3" xfId="867" xr:uid="{00000000-0005-0000-0000-0000C9150000}"/>
    <cellStyle name="Normal 4 4 4 3 2" xfId="3102" xr:uid="{00000000-0005-0000-0000-0000CA150000}"/>
    <cellStyle name="Normal 4 4 4 3 2 2" xfId="7325" xr:uid="{00000000-0005-0000-0000-0000CB150000}"/>
    <cellStyle name="Normal 4 4 4 3 2 2 2" xfId="15760" xr:uid="{DECE7142-F4D2-49A0-9323-21A23F655178}"/>
    <cellStyle name="Normal 4 4 4 3 2 3" xfId="11542" xr:uid="{5AA7B65F-B049-4172-B82B-57AF9FD12BEC}"/>
    <cellStyle name="Normal 4 4 4 3 3" xfId="5180" xr:uid="{00000000-0005-0000-0000-0000CC150000}"/>
    <cellStyle name="Normal 4 4 4 3 3 2" xfId="13615" xr:uid="{CA76892C-63D9-48E9-B7A4-1886B9DB584E}"/>
    <cellStyle name="Normal 4 4 4 3 4" xfId="9397" xr:uid="{A2302F19-D2DB-4363-B21D-57255286C18A}"/>
    <cellStyle name="Normal 4 4 4 4" xfId="1285" xr:uid="{00000000-0005-0000-0000-0000CD150000}"/>
    <cellStyle name="Normal 4 4 4 4 2" xfId="3515" xr:uid="{00000000-0005-0000-0000-0000CE150000}"/>
    <cellStyle name="Normal 4 4 4 4 2 2" xfId="7738" xr:uid="{00000000-0005-0000-0000-0000CF150000}"/>
    <cellStyle name="Normal 4 4 4 4 2 2 2" xfId="16173" xr:uid="{808DADF4-3749-4B09-821B-B55A3882977A}"/>
    <cellStyle name="Normal 4 4 4 4 2 3" xfId="11955" xr:uid="{F2DF1885-44BD-4702-A390-EC9526188A0B}"/>
    <cellStyle name="Normal 4 4 4 4 3" xfId="5593" xr:uid="{00000000-0005-0000-0000-0000D0150000}"/>
    <cellStyle name="Normal 4 4 4 4 3 2" xfId="14028" xr:uid="{FB1FC9AE-E1B4-4768-AAE4-4B3FB7B9C519}"/>
    <cellStyle name="Normal 4 4 4 4 4" xfId="9810" xr:uid="{205CA373-DA09-4C4D-897E-829C3B61BDD3}"/>
    <cellStyle name="Normal 4 4 4 5" xfId="1698" xr:uid="{00000000-0005-0000-0000-0000D1150000}"/>
    <cellStyle name="Normal 4 4 4 5 2" xfId="3928" xr:uid="{00000000-0005-0000-0000-0000D2150000}"/>
    <cellStyle name="Normal 4 4 4 5 2 2" xfId="8151" xr:uid="{00000000-0005-0000-0000-0000D3150000}"/>
    <cellStyle name="Normal 4 4 4 5 2 2 2" xfId="16586" xr:uid="{59C9EB8B-A285-4AEF-947E-CE8D672058F3}"/>
    <cellStyle name="Normal 4 4 4 5 2 3" xfId="12368" xr:uid="{F09E6330-9AF2-4FE3-A8BF-81CF575CA09F}"/>
    <cellStyle name="Normal 4 4 4 5 3" xfId="6006" xr:uid="{00000000-0005-0000-0000-0000D4150000}"/>
    <cellStyle name="Normal 4 4 4 5 3 2" xfId="14441" xr:uid="{E48D914C-4905-4E5C-839E-D5893FDAA2FA}"/>
    <cellStyle name="Normal 4 4 4 5 4" xfId="10223" xr:uid="{53F1ACD7-432C-411C-95A5-AD52737EB973}"/>
    <cellStyle name="Normal 4 4 4 6" xfId="2112" xr:uid="{00000000-0005-0000-0000-0000D5150000}"/>
    <cellStyle name="Normal 4 4 4 6 2" xfId="4341" xr:uid="{00000000-0005-0000-0000-0000D6150000}"/>
    <cellStyle name="Normal 4 4 4 6 2 2" xfId="8564" xr:uid="{00000000-0005-0000-0000-0000D7150000}"/>
    <cellStyle name="Normal 4 4 4 6 2 2 2" xfId="16999" xr:uid="{AAF709DE-E942-429D-8789-ED704976F4BF}"/>
    <cellStyle name="Normal 4 4 4 6 2 3" xfId="12781" xr:uid="{E1121A00-09DF-494E-B55B-6A973BDFAFDC}"/>
    <cellStyle name="Normal 4 4 4 6 3" xfId="6419" xr:uid="{00000000-0005-0000-0000-0000D8150000}"/>
    <cellStyle name="Normal 4 4 4 6 3 2" xfId="14854" xr:uid="{A5C77B0F-B71D-416B-83F5-244B8616E28B}"/>
    <cellStyle name="Normal 4 4 4 6 4" xfId="10636" xr:uid="{CC1A2BA1-8C92-413B-912E-37DE0EE53CAF}"/>
    <cellStyle name="Normal 4 4 4 7" xfId="2548" xr:uid="{00000000-0005-0000-0000-0000D9150000}"/>
    <cellStyle name="Normal 4 4 4 7 2" xfId="6832" xr:uid="{00000000-0005-0000-0000-0000DA150000}"/>
    <cellStyle name="Normal 4 4 4 7 2 2" xfId="15267" xr:uid="{B930EDAC-54E8-41C6-B2FF-BA181D8D7BE3}"/>
    <cellStyle name="Normal 4 4 4 7 3" xfId="11049" xr:uid="{E5D7DEF2-EB16-40D4-9AB8-1B8E28A424D2}"/>
    <cellStyle name="Normal 4 4 4 8" xfId="4767" xr:uid="{00000000-0005-0000-0000-0000DB150000}"/>
    <cellStyle name="Normal 4 4 4 8 2" xfId="13202" xr:uid="{6BA406C2-42F6-433B-A005-E99560CFE166}"/>
    <cellStyle name="Normal 4 4 4 9" xfId="8984" xr:uid="{84E81307-1FCE-4CA5-8D31-84D9EF9B8226}"/>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2 2 2" xfId="15762" xr:uid="{A8F497D4-9D75-4BF2-A3DE-DF649E14EB40}"/>
    <cellStyle name="Normal 4 4 5 2 2 3" xfId="11544" xr:uid="{EF3BC15A-D5AF-4C9F-9674-562C6B7CAA4D}"/>
    <cellStyle name="Normal 4 4 5 2 3" xfId="5182" xr:uid="{00000000-0005-0000-0000-0000E0150000}"/>
    <cellStyle name="Normal 4 4 5 2 3 2" xfId="13617" xr:uid="{47F0D7D8-F3B9-473B-8B50-4F60AD989DEB}"/>
    <cellStyle name="Normal 4 4 5 2 4" xfId="9399" xr:uid="{F8A83503-0B02-4813-8347-1BEF0C6F3A2C}"/>
    <cellStyle name="Normal 4 4 5 3" xfId="1287" xr:uid="{00000000-0005-0000-0000-0000E1150000}"/>
    <cellStyle name="Normal 4 4 5 3 2" xfId="3517" xr:uid="{00000000-0005-0000-0000-0000E2150000}"/>
    <cellStyle name="Normal 4 4 5 3 2 2" xfId="7740" xr:uid="{00000000-0005-0000-0000-0000E3150000}"/>
    <cellStyle name="Normal 4 4 5 3 2 2 2" xfId="16175" xr:uid="{4AC00603-63EC-49F6-803E-844DF2B9B035}"/>
    <cellStyle name="Normal 4 4 5 3 2 3" xfId="11957" xr:uid="{6D209DF4-EDD3-4F67-9952-A0BFFBF125BB}"/>
    <cellStyle name="Normal 4 4 5 3 3" xfId="5595" xr:uid="{00000000-0005-0000-0000-0000E4150000}"/>
    <cellStyle name="Normal 4 4 5 3 3 2" xfId="14030" xr:uid="{49C11A68-9BE4-4F65-9E5B-0C0114AB9FD8}"/>
    <cellStyle name="Normal 4 4 5 3 4" xfId="9812" xr:uid="{B70532CC-9237-4F7E-91E7-C0404001CDCA}"/>
    <cellStyle name="Normal 4 4 5 4" xfId="1700" xr:uid="{00000000-0005-0000-0000-0000E5150000}"/>
    <cellStyle name="Normal 4 4 5 4 2" xfId="3930" xr:uid="{00000000-0005-0000-0000-0000E6150000}"/>
    <cellStyle name="Normal 4 4 5 4 2 2" xfId="8153" xr:uid="{00000000-0005-0000-0000-0000E7150000}"/>
    <cellStyle name="Normal 4 4 5 4 2 2 2" xfId="16588" xr:uid="{19851CC4-CC8E-4301-9D8A-7B8A52B3145D}"/>
    <cellStyle name="Normal 4 4 5 4 2 3" xfId="12370" xr:uid="{3CEAD480-9BF4-4565-898E-E6FE6AA6AA82}"/>
    <cellStyle name="Normal 4 4 5 4 3" xfId="6008" xr:uid="{00000000-0005-0000-0000-0000E8150000}"/>
    <cellStyle name="Normal 4 4 5 4 3 2" xfId="14443" xr:uid="{BB52D0D0-A70C-488E-BFAD-00064D185B97}"/>
    <cellStyle name="Normal 4 4 5 4 4" xfId="10225" xr:uid="{B9877CD6-C44F-4D62-B76A-E3AAA53E2C28}"/>
    <cellStyle name="Normal 4 4 5 5" xfId="2114" xr:uid="{00000000-0005-0000-0000-0000E9150000}"/>
    <cellStyle name="Normal 4 4 5 5 2" xfId="4343" xr:uid="{00000000-0005-0000-0000-0000EA150000}"/>
    <cellStyle name="Normal 4 4 5 5 2 2" xfId="8566" xr:uid="{00000000-0005-0000-0000-0000EB150000}"/>
    <cellStyle name="Normal 4 4 5 5 2 2 2" xfId="17001" xr:uid="{562F2E6C-9CBA-42C3-9D6D-7B61B7279DFF}"/>
    <cellStyle name="Normal 4 4 5 5 2 3" xfId="12783" xr:uid="{ABA5F02B-23EF-40ED-9D50-EF8EAECE80C5}"/>
    <cellStyle name="Normal 4 4 5 5 3" xfId="6421" xr:uid="{00000000-0005-0000-0000-0000EC150000}"/>
    <cellStyle name="Normal 4 4 5 5 3 2" xfId="14856" xr:uid="{06D54406-2E08-4740-85F0-5D7150BEFB1A}"/>
    <cellStyle name="Normal 4 4 5 5 4" xfId="10638" xr:uid="{0DA3E06D-D217-42EE-A7FE-DD59531C93F7}"/>
    <cellStyle name="Normal 4 4 5 6" xfId="2550" xr:uid="{00000000-0005-0000-0000-0000ED150000}"/>
    <cellStyle name="Normal 4 4 5 6 2" xfId="6834" xr:uid="{00000000-0005-0000-0000-0000EE150000}"/>
    <cellStyle name="Normal 4 4 5 6 2 2" xfId="15269" xr:uid="{52941EB9-C7B1-4184-8515-D00AD1778E2E}"/>
    <cellStyle name="Normal 4 4 5 6 3" xfId="11051" xr:uid="{1E09F8EB-59AC-4F64-8874-F2033F3490F6}"/>
    <cellStyle name="Normal 4 4 5 7" xfId="4769" xr:uid="{00000000-0005-0000-0000-0000EF150000}"/>
    <cellStyle name="Normal 4 4 5 7 2" xfId="13204" xr:uid="{36E6E46A-8FED-4976-BA09-0579920BEBA3}"/>
    <cellStyle name="Normal 4 4 5 8" xfId="8986" xr:uid="{7DDD104D-F3CD-4C0E-9499-162BA6581796}"/>
    <cellStyle name="Normal 4 4 6" xfId="854" xr:uid="{00000000-0005-0000-0000-0000F0150000}"/>
    <cellStyle name="Normal 4 4 6 2" xfId="3089" xr:uid="{00000000-0005-0000-0000-0000F1150000}"/>
    <cellStyle name="Normal 4 4 6 2 2" xfId="7312" xr:uid="{00000000-0005-0000-0000-0000F2150000}"/>
    <cellStyle name="Normal 4 4 6 2 2 2" xfId="15747" xr:uid="{C63B7DB0-91DE-4594-8EBA-FC71C9BA3C61}"/>
    <cellStyle name="Normal 4 4 6 2 3" xfId="11529" xr:uid="{5CCB190B-B3BC-488C-BAFD-8BC424966DFD}"/>
    <cellStyle name="Normal 4 4 6 3" xfId="5167" xr:uid="{00000000-0005-0000-0000-0000F3150000}"/>
    <cellStyle name="Normal 4 4 6 3 2" xfId="13602" xr:uid="{6243E061-A5BB-427C-B7AC-2C7909055EEA}"/>
    <cellStyle name="Normal 4 4 6 4" xfId="9384" xr:uid="{DFFA5010-6CA4-4781-ACEA-18838B37C168}"/>
    <cellStyle name="Normal 4 4 7" xfId="1272" xr:uid="{00000000-0005-0000-0000-0000F4150000}"/>
    <cellStyle name="Normal 4 4 7 2" xfId="3502" xr:uid="{00000000-0005-0000-0000-0000F5150000}"/>
    <cellStyle name="Normal 4 4 7 2 2" xfId="7725" xr:uid="{00000000-0005-0000-0000-0000F6150000}"/>
    <cellStyle name="Normal 4 4 7 2 2 2" xfId="16160" xr:uid="{6A715372-2F0F-463E-8763-F0ABEDD7B97A}"/>
    <cellStyle name="Normal 4 4 7 2 3" xfId="11942" xr:uid="{F9F09D9C-7470-4A2A-9E6B-1481E01CB3F5}"/>
    <cellStyle name="Normal 4 4 7 3" xfId="5580" xr:uid="{00000000-0005-0000-0000-0000F7150000}"/>
    <cellStyle name="Normal 4 4 7 3 2" xfId="14015" xr:uid="{3DE6B44C-3EA2-4EA9-9EB0-BDE875CFE0E8}"/>
    <cellStyle name="Normal 4 4 7 4" xfId="9797" xr:uid="{F0CC2BE6-76DE-48FC-9B6A-3CAF802E672C}"/>
    <cellStyle name="Normal 4 4 8" xfId="1685" xr:uid="{00000000-0005-0000-0000-0000F8150000}"/>
    <cellStyle name="Normal 4 4 8 2" xfId="3915" xr:uid="{00000000-0005-0000-0000-0000F9150000}"/>
    <cellStyle name="Normal 4 4 8 2 2" xfId="8138" xr:uid="{00000000-0005-0000-0000-0000FA150000}"/>
    <cellStyle name="Normal 4 4 8 2 2 2" xfId="16573" xr:uid="{FE620BBB-C94D-414B-B5D3-FF1E99AF88A9}"/>
    <cellStyle name="Normal 4 4 8 2 3" xfId="12355" xr:uid="{89B29937-ABE4-45C8-8161-E790F20B549B}"/>
    <cellStyle name="Normal 4 4 8 3" xfId="5993" xr:uid="{00000000-0005-0000-0000-0000FB150000}"/>
    <cellStyle name="Normal 4 4 8 3 2" xfId="14428" xr:uid="{7C1996AF-9B14-4FD3-88A1-BB48FC5DC9AF}"/>
    <cellStyle name="Normal 4 4 8 4" xfId="10210" xr:uid="{DA8E52AB-346D-4999-A488-FF3306B4C1BB}"/>
    <cellStyle name="Normal 4 4 9" xfId="2099" xr:uid="{00000000-0005-0000-0000-0000FC150000}"/>
    <cellStyle name="Normal 4 4 9 2" xfId="4328" xr:uid="{00000000-0005-0000-0000-0000FD150000}"/>
    <cellStyle name="Normal 4 4 9 2 2" xfId="8551" xr:uid="{00000000-0005-0000-0000-0000FE150000}"/>
    <cellStyle name="Normal 4 4 9 2 2 2" xfId="16986" xr:uid="{17E3DC94-80AC-4D47-ABB7-A18B55B69616}"/>
    <cellStyle name="Normal 4 4 9 2 3" xfId="12768" xr:uid="{864A97E0-1E63-4241-82B3-5FCFC113AC42}"/>
    <cellStyle name="Normal 4 4 9 3" xfId="6406" xr:uid="{00000000-0005-0000-0000-0000FF150000}"/>
    <cellStyle name="Normal 4 4 9 3 2" xfId="14841" xr:uid="{790A8150-A8BF-43BD-BCF1-401F085355E9}"/>
    <cellStyle name="Normal 4 4 9 4" xfId="10623" xr:uid="{784B2094-F07E-4FE9-9B00-B97BAFF48B8E}"/>
    <cellStyle name="Normal 4 5" xfId="394" xr:uid="{00000000-0005-0000-0000-000000160000}"/>
    <cellStyle name="Normal 4 6" xfId="395" xr:uid="{00000000-0005-0000-0000-000001160000}"/>
    <cellStyle name="Normal 4 6 10" xfId="4770" xr:uid="{00000000-0005-0000-0000-000002160000}"/>
    <cellStyle name="Normal 4 6 10 2" xfId="13205" xr:uid="{338FF576-3DDE-446E-BEE3-73E9F86772FE}"/>
    <cellStyle name="Normal 4 6 11" xfId="8987" xr:uid="{DD39FA3A-5A8C-4D84-B2E1-B5FF04927CC7}"/>
    <cellStyle name="Normal 4 6 2" xfId="396" xr:uid="{00000000-0005-0000-0000-000003160000}"/>
    <cellStyle name="Normal 4 6 2 10" xfId="8988" xr:uid="{F38E4A44-552E-4492-BE69-93021683B448}"/>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2 2 2" xfId="15766" xr:uid="{BD7B3C35-C12B-4195-A435-6A662EC231D7}"/>
    <cellStyle name="Normal 4 6 2 2 2 2 2 3" xfId="11548" xr:uid="{164DAB6F-B222-4676-824D-54C518EEA8C9}"/>
    <cellStyle name="Normal 4 6 2 2 2 2 3" xfId="5186" xr:uid="{00000000-0005-0000-0000-000009160000}"/>
    <cellStyle name="Normal 4 6 2 2 2 2 3 2" xfId="13621" xr:uid="{40E17862-3F44-4F0F-9311-9A50B40C7BED}"/>
    <cellStyle name="Normal 4 6 2 2 2 2 4" xfId="9403" xr:uid="{8C119E86-1905-4B5A-A48F-26B69D6E7FC9}"/>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2 2 2" xfId="16179" xr:uid="{01A82743-B4DD-49A0-B4FB-47DD02D982A5}"/>
    <cellStyle name="Normal 4 6 2 2 2 3 2 3" xfId="11961" xr:uid="{9409F795-6DEF-4DA3-86E7-25643EFD303F}"/>
    <cellStyle name="Normal 4 6 2 2 2 3 3" xfId="5599" xr:uid="{00000000-0005-0000-0000-00000D160000}"/>
    <cellStyle name="Normal 4 6 2 2 2 3 3 2" xfId="14034" xr:uid="{F462528E-1CF5-4442-BDB7-93FD2A756259}"/>
    <cellStyle name="Normal 4 6 2 2 2 3 4" xfId="9816" xr:uid="{03F336B7-13E3-479D-9250-20010E31F1E8}"/>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2 2 2" xfId="16592" xr:uid="{E9CBE9AA-EFA4-49B6-92D7-E5BCF2AC185C}"/>
    <cellStyle name="Normal 4 6 2 2 2 4 2 3" xfId="12374" xr:uid="{66B89235-7AFD-4D58-9F21-9C727D4D08B7}"/>
    <cellStyle name="Normal 4 6 2 2 2 4 3" xfId="6012" xr:uid="{00000000-0005-0000-0000-000011160000}"/>
    <cellStyle name="Normal 4 6 2 2 2 4 3 2" xfId="14447" xr:uid="{11BA8DA3-C1C5-488E-9A5A-55C6710BF7A2}"/>
    <cellStyle name="Normal 4 6 2 2 2 4 4" xfId="10229" xr:uid="{4284C188-E822-495F-92F5-7C6C657E4FCE}"/>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2 2 2" xfId="17005" xr:uid="{B933A069-7835-4DC3-9D54-4226C049D46B}"/>
    <cellStyle name="Normal 4 6 2 2 2 5 2 3" xfId="12787" xr:uid="{9DC2BBEF-43FE-47FE-BD51-7416EAA90E06}"/>
    <cellStyle name="Normal 4 6 2 2 2 5 3" xfId="6425" xr:uid="{00000000-0005-0000-0000-000015160000}"/>
    <cellStyle name="Normal 4 6 2 2 2 5 3 2" xfId="14860" xr:uid="{9860BAB8-4D1E-478C-9961-7941092F7E61}"/>
    <cellStyle name="Normal 4 6 2 2 2 5 4" xfId="10642" xr:uid="{17FFFBC8-2C04-4BF9-95E6-55BD825F8985}"/>
    <cellStyle name="Normal 4 6 2 2 2 6" xfId="2554" xr:uid="{00000000-0005-0000-0000-000016160000}"/>
    <cellStyle name="Normal 4 6 2 2 2 6 2" xfId="6838" xr:uid="{00000000-0005-0000-0000-000017160000}"/>
    <cellStyle name="Normal 4 6 2 2 2 6 2 2" xfId="15273" xr:uid="{01AD760B-E94E-40B5-93F4-C46121AF8CDB}"/>
    <cellStyle name="Normal 4 6 2 2 2 6 3" xfId="11055" xr:uid="{B82BAECB-1B0D-4105-AAB0-D3DF3B48AC7A}"/>
    <cellStyle name="Normal 4 6 2 2 2 7" xfId="4773" xr:uid="{00000000-0005-0000-0000-000018160000}"/>
    <cellStyle name="Normal 4 6 2 2 2 7 2" xfId="13208" xr:uid="{857EC10E-134F-49EE-AA11-4ABA64C2F54D}"/>
    <cellStyle name="Normal 4 6 2 2 2 8" xfId="8990" xr:uid="{3E3408E6-1EA9-4A85-9763-EB5EBDFF71FD}"/>
    <cellStyle name="Normal 4 6 2 2 3" xfId="872" xr:uid="{00000000-0005-0000-0000-000019160000}"/>
    <cellStyle name="Normal 4 6 2 2 3 2" xfId="3107" xr:uid="{00000000-0005-0000-0000-00001A160000}"/>
    <cellStyle name="Normal 4 6 2 2 3 2 2" xfId="7330" xr:uid="{00000000-0005-0000-0000-00001B160000}"/>
    <cellStyle name="Normal 4 6 2 2 3 2 2 2" xfId="15765" xr:uid="{EA5E6D5F-7A96-49F3-8205-DFCC60F1A543}"/>
    <cellStyle name="Normal 4 6 2 2 3 2 3" xfId="11547" xr:uid="{C649A867-D040-4497-91D6-85FED948CF78}"/>
    <cellStyle name="Normal 4 6 2 2 3 3" xfId="5185" xr:uid="{00000000-0005-0000-0000-00001C160000}"/>
    <cellStyle name="Normal 4 6 2 2 3 3 2" xfId="13620" xr:uid="{D9F44657-7479-4D79-9EA4-53057D592B1D}"/>
    <cellStyle name="Normal 4 6 2 2 3 4" xfId="9402" xr:uid="{5894262E-2CB4-4E08-ABEE-086D2DF441B7}"/>
    <cellStyle name="Normal 4 6 2 2 4" xfId="1290" xr:uid="{00000000-0005-0000-0000-00001D160000}"/>
    <cellStyle name="Normal 4 6 2 2 4 2" xfId="3520" xr:uid="{00000000-0005-0000-0000-00001E160000}"/>
    <cellStyle name="Normal 4 6 2 2 4 2 2" xfId="7743" xr:uid="{00000000-0005-0000-0000-00001F160000}"/>
    <cellStyle name="Normal 4 6 2 2 4 2 2 2" xfId="16178" xr:uid="{69A25F6F-2D4B-498B-861E-721C3BF54E8F}"/>
    <cellStyle name="Normal 4 6 2 2 4 2 3" xfId="11960" xr:uid="{1430A569-19DB-4D93-BC83-E87F2FD4AFAA}"/>
    <cellStyle name="Normal 4 6 2 2 4 3" xfId="5598" xr:uid="{00000000-0005-0000-0000-000020160000}"/>
    <cellStyle name="Normal 4 6 2 2 4 3 2" xfId="14033" xr:uid="{6E0E0414-5616-4EC8-8514-5FA7ED557794}"/>
    <cellStyle name="Normal 4 6 2 2 4 4" xfId="9815" xr:uid="{3D29942A-E9F8-46F3-80E7-4FE9A923DA44}"/>
    <cellStyle name="Normal 4 6 2 2 5" xfId="1703" xr:uid="{00000000-0005-0000-0000-000021160000}"/>
    <cellStyle name="Normal 4 6 2 2 5 2" xfId="3933" xr:uid="{00000000-0005-0000-0000-000022160000}"/>
    <cellStyle name="Normal 4 6 2 2 5 2 2" xfId="8156" xr:uid="{00000000-0005-0000-0000-000023160000}"/>
    <cellStyle name="Normal 4 6 2 2 5 2 2 2" xfId="16591" xr:uid="{BBA8004C-FE39-4F6F-AB0A-5D73B4BBDCF1}"/>
    <cellStyle name="Normal 4 6 2 2 5 2 3" xfId="12373" xr:uid="{9382C099-35FB-4EC8-AAB4-F42A65627AC6}"/>
    <cellStyle name="Normal 4 6 2 2 5 3" xfId="6011" xr:uid="{00000000-0005-0000-0000-000024160000}"/>
    <cellStyle name="Normal 4 6 2 2 5 3 2" xfId="14446" xr:uid="{35C6A3A3-187B-474F-93D6-9CC85EA670AC}"/>
    <cellStyle name="Normal 4 6 2 2 5 4" xfId="10228" xr:uid="{F924F9B5-B7B3-4984-A3BD-E97734A28A94}"/>
    <cellStyle name="Normal 4 6 2 2 6" xfId="2117" xr:uid="{00000000-0005-0000-0000-000025160000}"/>
    <cellStyle name="Normal 4 6 2 2 6 2" xfId="4346" xr:uid="{00000000-0005-0000-0000-000026160000}"/>
    <cellStyle name="Normal 4 6 2 2 6 2 2" xfId="8569" xr:uid="{00000000-0005-0000-0000-000027160000}"/>
    <cellStyle name="Normal 4 6 2 2 6 2 2 2" xfId="17004" xr:uid="{0503C874-31F1-4CE1-8488-A4E811752E5C}"/>
    <cellStyle name="Normal 4 6 2 2 6 2 3" xfId="12786" xr:uid="{5795D89D-3FE4-47E4-A1F0-75C886386C8A}"/>
    <cellStyle name="Normal 4 6 2 2 6 3" xfId="6424" xr:uid="{00000000-0005-0000-0000-000028160000}"/>
    <cellStyle name="Normal 4 6 2 2 6 3 2" xfId="14859" xr:uid="{A6350FB1-76ED-4CA5-8874-D89A85FAE5EB}"/>
    <cellStyle name="Normal 4 6 2 2 6 4" xfId="10641" xr:uid="{4EB10079-D9FC-4F5E-9780-C37B010F2D73}"/>
    <cellStyle name="Normal 4 6 2 2 7" xfId="2553" xr:uid="{00000000-0005-0000-0000-000029160000}"/>
    <cellStyle name="Normal 4 6 2 2 7 2" xfId="6837" xr:uid="{00000000-0005-0000-0000-00002A160000}"/>
    <cellStyle name="Normal 4 6 2 2 7 2 2" xfId="15272" xr:uid="{4A17214C-ECC7-42B6-B72F-762AA4D79935}"/>
    <cellStyle name="Normal 4 6 2 2 7 3" xfId="11054" xr:uid="{6A616D03-988E-4D1F-A76D-88F0AFF1718C}"/>
    <cellStyle name="Normal 4 6 2 2 8" xfId="4772" xr:uid="{00000000-0005-0000-0000-00002B160000}"/>
    <cellStyle name="Normal 4 6 2 2 8 2" xfId="13207" xr:uid="{56DB95EB-C406-4B52-9F6D-101B8CEEF6A6}"/>
    <cellStyle name="Normal 4 6 2 2 9" xfId="8989" xr:uid="{76B666DF-E1D8-4AF4-9299-E112BABD05D2}"/>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2 2 2" xfId="15767" xr:uid="{6D1B1FB8-2A65-47AD-B7E3-B9E07D9AF968}"/>
    <cellStyle name="Normal 4 6 2 3 2 2 3" xfId="11549" xr:uid="{425A5C10-FC9C-4FB9-BCF2-E6A728A47EAE}"/>
    <cellStyle name="Normal 4 6 2 3 2 3" xfId="5187" xr:uid="{00000000-0005-0000-0000-000030160000}"/>
    <cellStyle name="Normal 4 6 2 3 2 3 2" xfId="13622" xr:uid="{310D8553-13C9-4241-812A-44A9D8FE84A5}"/>
    <cellStyle name="Normal 4 6 2 3 2 4" xfId="9404" xr:uid="{2166C4D6-9501-4604-AB83-C9AF93A6A82B}"/>
    <cellStyle name="Normal 4 6 2 3 3" xfId="1292" xr:uid="{00000000-0005-0000-0000-000031160000}"/>
    <cellStyle name="Normal 4 6 2 3 3 2" xfId="3522" xr:uid="{00000000-0005-0000-0000-000032160000}"/>
    <cellStyle name="Normal 4 6 2 3 3 2 2" xfId="7745" xr:uid="{00000000-0005-0000-0000-000033160000}"/>
    <cellStyle name="Normal 4 6 2 3 3 2 2 2" xfId="16180" xr:uid="{B532705E-7DFE-4FD3-B5D9-773EA92A354E}"/>
    <cellStyle name="Normal 4 6 2 3 3 2 3" xfId="11962" xr:uid="{20E0083B-80D1-4B39-98DA-BDA89132E53D}"/>
    <cellStyle name="Normal 4 6 2 3 3 3" xfId="5600" xr:uid="{00000000-0005-0000-0000-000034160000}"/>
    <cellStyle name="Normal 4 6 2 3 3 3 2" xfId="14035" xr:uid="{3030E766-02EF-402C-81D3-BA4C6905BF1E}"/>
    <cellStyle name="Normal 4 6 2 3 3 4" xfId="9817" xr:uid="{C4B8F543-A2D9-413E-94BD-F8B161385B65}"/>
    <cellStyle name="Normal 4 6 2 3 4" xfId="1705" xr:uid="{00000000-0005-0000-0000-000035160000}"/>
    <cellStyle name="Normal 4 6 2 3 4 2" xfId="3935" xr:uid="{00000000-0005-0000-0000-000036160000}"/>
    <cellStyle name="Normal 4 6 2 3 4 2 2" xfId="8158" xr:uid="{00000000-0005-0000-0000-000037160000}"/>
    <cellStyle name="Normal 4 6 2 3 4 2 2 2" xfId="16593" xr:uid="{C449CEAE-1A63-4184-B711-762C7908F993}"/>
    <cellStyle name="Normal 4 6 2 3 4 2 3" xfId="12375" xr:uid="{9770D5D1-6F24-4FF0-A90A-120F285F8D4C}"/>
    <cellStyle name="Normal 4 6 2 3 4 3" xfId="6013" xr:uid="{00000000-0005-0000-0000-000038160000}"/>
    <cellStyle name="Normal 4 6 2 3 4 3 2" xfId="14448" xr:uid="{38C6BD17-9CA6-4873-9A2F-4AD415BBC903}"/>
    <cellStyle name="Normal 4 6 2 3 4 4" xfId="10230" xr:uid="{51415A01-F248-48A5-9746-AB6DBEBACBCE}"/>
    <cellStyle name="Normal 4 6 2 3 5" xfId="2119" xr:uid="{00000000-0005-0000-0000-000039160000}"/>
    <cellStyle name="Normal 4 6 2 3 5 2" xfId="4348" xr:uid="{00000000-0005-0000-0000-00003A160000}"/>
    <cellStyle name="Normal 4 6 2 3 5 2 2" xfId="8571" xr:uid="{00000000-0005-0000-0000-00003B160000}"/>
    <cellStyle name="Normal 4 6 2 3 5 2 2 2" xfId="17006" xr:uid="{0383381E-3759-4097-AEF7-DD32B18467EA}"/>
    <cellStyle name="Normal 4 6 2 3 5 2 3" xfId="12788" xr:uid="{2C97ADC0-1D8F-4A0C-9DB5-C4C6375BC265}"/>
    <cellStyle name="Normal 4 6 2 3 5 3" xfId="6426" xr:uid="{00000000-0005-0000-0000-00003C160000}"/>
    <cellStyle name="Normal 4 6 2 3 5 3 2" xfId="14861" xr:uid="{AAE2658B-F9B2-4A17-8628-1BFE072F065A}"/>
    <cellStyle name="Normal 4 6 2 3 5 4" xfId="10643" xr:uid="{470231FC-9199-4F85-93D9-FDB0C7860433}"/>
    <cellStyle name="Normal 4 6 2 3 6" xfId="2555" xr:uid="{00000000-0005-0000-0000-00003D160000}"/>
    <cellStyle name="Normal 4 6 2 3 6 2" xfId="6839" xr:uid="{00000000-0005-0000-0000-00003E160000}"/>
    <cellStyle name="Normal 4 6 2 3 6 2 2" xfId="15274" xr:uid="{CB93C05E-43B0-4379-90D4-05BE8D220569}"/>
    <cellStyle name="Normal 4 6 2 3 6 3" xfId="11056" xr:uid="{06DF4311-3842-4C77-AF61-9B2D07104074}"/>
    <cellStyle name="Normal 4 6 2 3 7" xfId="4774" xr:uid="{00000000-0005-0000-0000-00003F160000}"/>
    <cellStyle name="Normal 4 6 2 3 7 2" xfId="13209" xr:uid="{BC4284FC-C8AA-4E42-B2B3-34C27791B7FB}"/>
    <cellStyle name="Normal 4 6 2 3 8" xfId="8991" xr:uid="{FDE92C4A-9DD2-4803-9ADE-DA5AE5EE668B}"/>
    <cellStyle name="Normal 4 6 2 4" xfId="871" xr:uid="{00000000-0005-0000-0000-000040160000}"/>
    <cellStyle name="Normal 4 6 2 4 2" xfId="3106" xr:uid="{00000000-0005-0000-0000-000041160000}"/>
    <cellStyle name="Normal 4 6 2 4 2 2" xfId="7329" xr:uid="{00000000-0005-0000-0000-000042160000}"/>
    <cellStyle name="Normal 4 6 2 4 2 2 2" xfId="15764" xr:uid="{3D70B930-F4DF-4B1D-8840-B36C622FCC8B}"/>
    <cellStyle name="Normal 4 6 2 4 2 3" xfId="11546" xr:uid="{C39F5B8A-1D96-4272-8E43-7CD3757982FC}"/>
    <cellStyle name="Normal 4 6 2 4 3" xfId="5184" xr:uid="{00000000-0005-0000-0000-000043160000}"/>
    <cellStyle name="Normal 4 6 2 4 3 2" xfId="13619" xr:uid="{2F075B93-3019-466A-9D7C-2A1FC3C7A589}"/>
    <cellStyle name="Normal 4 6 2 4 4" xfId="9401" xr:uid="{87B4FB4C-15A2-4F6E-93A5-6D1C456D9F90}"/>
    <cellStyle name="Normal 4 6 2 5" xfId="1289" xr:uid="{00000000-0005-0000-0000-000044160000}"/>
    <cellStyle name="Normal 4 6 2 5 2" xfId="3519" xr:uid="{00000000-0005-0000-0000-000045160000}"/>
    <cellStyle name="Normal 4 6 2 5 2 2" xfId="7742" xr:uid="{00000000-0005-0000-0000-000046160000}"/>
    <cellStyle name="Normal 4 6 2 5 2 2 2" xfId="16177" xr:uid="{1091AA32-1E0E-42A4-A94B-75A47636C564}"/>
    <cellStyle name="Normal 4 6 2 5 2 3" xfId="11959" xr:uid="{FCF727DA-50BC-43D2-82FB-B100DD617EF9}"/>
    <cellStyle name="Normal 4 6 2 5 3" xfId="5597" xr:uid="{00000000-0005-0000-0000-000047160000}"/>
    <cellStyle name="Normal 4 6 2 5 3 2" xfId="14032" xr:uid="{FA60BC95-B484-4941-8D89-23A953131958}"/>
    <cellStyle name="Normal 4 6 2 5 4" xfId="9814" xr:uid="{C4EA2C47-61F6-42DB-A363-8ECBBD81ACEF}"/>
    <cellStyle name="Normal 4 6 2 6" xfId="1702" xr:uid="{00000000-0005-0000-0000-000048160000}"/>
    <cellStyle name="Normal 4 6 2 6 2" xfId="3932" xr:uid="{00000000-0005-0000-0000-000049160000}"/>
    <cellStyle name="Normal 4 6 2 6 2 2" xfId="8155" xr:uid="{00000000-0005-0000-0000-00004A160000}"/>
    <cellStyle name="Normal 4 6 2 6 2 2 2" xfId="16590" xr:uid="{E026A8DB-6BCF-496E-83DB-3481ED145F0F}"/>
    <cellStyle name="Normal 4 6 2 6 2 3" xfId="12372" xr:uid="{60ACC109-B3F6-46DF-9848-2EBCE9AF0505}"/>
    <cellStyle name="Normal 4 6 2 6 3" xfId="6010" xr:uid="{00000000-0005-0000-0000-00004B160000}"/>
    <cellStyle name="Normal 4 6 2 6 3 2" xfId="14445" xr:uid="{D5F1AA21-FEFD-494B-AE1B-E85D82A0AD13}"/>
    <cellStyle name="Normal 4 6 2 6 4" xfId="10227" xr:uid="{1AD91D19-04A4-40B6-989A-128E98CB972A}"/>
    <cellStyle name="Normal 4 6 2 7" xfId="2116" xr:uid="{00000000-0005-0000-0000-00004C160000}"/>
    <cellStyle name="Normal 4 6 2 7 2" xfId="4345" xr:uid="{00000000-0005-0000-0000-00004D160000}"/>
    <cellStyle name="Normal 4 6 2 7 2 2" xfId="8568" xr:uid="{00000000-0005-0000-0000-00004E160000}"/>
    <cellStyle name="Normal 4 6 2 7 2 2 2" xfId="17003" xr:uid="{3B23FFD8-A71E-4687-9949-7A99493312DF}"/>
    <cellStyle name="Normal 4 6 2 7 2 3" xfId="12785" xr:uid="{321B1DEF-CFBB-4FBE-9D88-71C13FF4AB3A}"/>
    <cellStyle name="Normal 4 6 2 7 3" xfId="6423" xr:uid="{00000000-0005-0000-0000-00004F160000}"/>
    <cellStyle name="Normal 4 6 2 7 3 2" xfId="14858" xr:uid="{F92CA84E-980E-4CB4-9A5A-B28D22CC2D20}"/>
    <cellStyle name="Normal 4 6 2 7 4" xfId="10640" xr:uid="{F83EF10D-1133-4F2B-96E7-210D96F50C3A}"/>
    <cellStyle name="Normal 4 6 2 8" xfId="2552" xr:uid="{00000000-0005-0000-0000-000050160000}"/>
    <cellStyle name="Normal 4 6 2 8 2" xfId="6836" xr:uid="{00000000-0005-0000-0000-000051160000}"/>
    <cellStyle name="Normal 4 6 2 8 2 2" xfId="15271" xr:uid="{55848A12-0DFE-41C6-BA8A-C3EFD8501B1C}"/>
    <cellStyle name="Normal 4 6 2 8 3" xfId="11053" xr:uid="{80C97535-725C-4B98-815A-0F7FCEC32128}"/>
    <cellStyle name="Normal 4 6 2 9" xfId="4771" xr:uid="{00000000-0005-0000-0000-000052160000}"/>
    <cellStyle name="Normal 4 6 2 9 2" xfId="13206" xr:uid="{084C58F6-212E-4E52-A62D-00AE7C8FC02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2 2 2" xfId="15769" xr:uid="{AFFEA17B-369F-4D71-B125-D41BF0745AC5}"/>
    <cellStyle name="Normal 4 6 3 2 2 2 3" xfId="11551" xr:uid="{BDB8243A-A118-4C86-979B-10D5C4D1C2CD}"/>
    <cellStyle name="Normal 4 6 3 2 2 3" xfId="5189" xr:uid="{00000000-0005-0000-0000-000058160000}"/>
    <cellStyle name="Normal 4 6 3 2 2 3 2" xfId="13624" xr:uid="{65BDAFE1-4346-48E7-9D18-7FD5FE5B347E}"/>
    <cellStyle name="Normal 4 6 3 2 2 4" xfId="9406" xr:uid="{69EF80CC-2915-4B50-BD22-B0660412AEA1}"/>
    <cellStyle name="Normal 4 6 3 2 3" xfId="1294" xr:uid="{00000000-0005-0000-0000-000059160000}"/>
    <cellStyle name="Normal 4 6 3 2 3 2" xfId="3524" xr:uid="{00000000-0005-0000-0000-00005A160000}"/>
    <cellStyle name="Normal 4 6 3 2 3 2 2" xfId="7747" xr:uid="{00000000-0005-0000-0000-00005B160000}"/>
    <cellStyle name="Normal 4 6 3 2 3 2 2 2" xfId="16182" xr:uid="{50B34D75-C838-47E4-98A2-E46B99A21DE0}"/>
    <cellStyle name="Normal 4 6 3 2 3 2 3" xfId="11964" xr:uid="{3BACF4D5-9E92-4FE6-BD7E-33674EAFD0C9}"/>
    <cellStyle name="Normal 4 6 3 2 3 3" xfId="5602" xr:uid="{00000000-0005-0000-0000-00005C160000}"/>
    <cellStyle name="Normal 4 6 3 2 3 3 2" xfId="14037" xr:uid="{EB38B94E-BBF3-432F-818A-B91C7BA128B9}"/>
    <cellStyle name="Normal 4 6 3 2 3 4" xfId="9819" xr:uid="{CEF09B34-52F3-420A-84A7-CB4C847E7F78}"/>
    <cellStyle name="Normal 4 6 3 2 4" xfId="1707" xr:uid="{00000000-0005-0000-0000-00005D160000}"/>
    <cellStyle name="Normal 4 6 3 2 4 2" xfId="3937" xr:uid="{00000000-0005-0000-0000-00005E160000}"/>
    <cellStyle name="Normal 4 6 3 2 4 2 2" xfId="8160" xr:uid="{00000000-0005-0000-0000-00005F160000}"/>
    <cellStyle name="Normal 4 6 3 2 4 2 2 2" xfId="16595" xr:uid="{AA0C2718-BA3E-4804-8FB5-4E41A3D118A7}"/>
    <cellStyle name="Normal 4 6 3 2 4 2 3" xfId="12377" xr:uid="{CF07B8B7-EA0D-4DDF-BE6F-9D62A0068CE1}"/>
    <cellStyle name="Normal 4 6 3 2 4 3" xfId="6015" xr:uid="{00000000-0005-0000-0000-000060160000}"/>
    <cellStyle name="Normal 4 6 3 2 4 3 2" xfId="14450" xr:uid="{917EF2B1-03BD-497C-8106-3FAA7CF0AEBE}"/>
    <cellStyle name="Normal 4 6 3 2 4 4" xfId="10232" xr:uid="{1BAD9C71-6F22-48D0-87CD-A9674F3A53C3}"/>
    <cellStyle name="Normal 4 6 3 2 5" xfId="2121" xr:uid="{00000000-0005-0000-0000-000061160000}"/>
    <cellStyle name="Normal 4 6 3 2 5 2" xfId="4350" xr:uid="{00000000-0005-0000-0000-000062160000}"/>
    <cellStyle name="Normal 4 6 3 2 5 2 2" xfId="8573" xr:uid="{00000000-0005-0000-0000-000063160000}"/>
    <cellStyle name="Normal 4 6 3 2 5 2 2 2" xfId="17008" xr:uid="{E356AD69-9655-45FB-BB10-79F060D3E514}"/>
    <cellStyle name="Normal 4 6 3 2 5 2 3" xfId="12790" xr:uid="{A393D2AC-2D55-4B03-937E-B0778A09F105}"/>
    <cellStyle name="Normal 4 6 3 2 5 3" xfId="6428" xr:uid="{00000000-0005-0000-0000-000064160000}"/>
    <cellStyle name="Normal 4 6 3 2 5 3 2" xfId="14863" xr:uid="{AA55DDA6-8921-424B-831D-5E7548536781}"/>
    <cellStyle name="Normal 4 6 3 2 5 4" xfId="10645" xr:uid="{3D8FC21B-746B-450A-8150-F59F815B6E75}"/>
    <cellStyle name="Normal 4 6 3 2 6" xfId="2557" xr:uid="{00000000-0005-0000-0000-000065160000}"/>
    <cellStyle name="Normal 4 6 3 2 6 2" xfId="6841" xr:uid="{00000000-0005-0000-0000-000066160000}"/>
    <cellStyle name="Normal 4 6 3 2 6 2 2" xfId="15276" xr:uid="{A983636A-4BEA-4EFE-BF99-C0E826154D0C}"/>
    <cellStyle name="Normal 4 6 3 2 6 3" xfId="11058" xr:uid="{B140A522-D666-41C6-A1E1-87C2B62B4089}"/>
    <cellStyle name="Normal 4 6 3 2 7" xfId="4776" xr:uid="{00000000-0005-0000-0000-000067160000}"/>
    <cellStyle name="Normal 4 6 3 2 7 2" xfId="13211" xr:uid="{CEA4045F-B7D8-4734-8080-B9203DC8B35C}"/>
    <cellStyle name="Normal 4 6 3 2 8" xfId="8993" xr:uid="{D134C9A0-68A8-4442-AF56-D5BBF156A941}"/>
    <cellStyle name="Normal 4 6 3 3" xfId="875" xr:uid="{00000000-0005-0000-0000-000068160000}"/>
    <cellStyle name="Normal 4 6 3 3 2" xfId="3110" xr:uid="{00000000-0005-0000-0000-000069160000}"/>
    <cellStyle name="Normal 4 6 3 3 2 2" xfId="7333" xr:uid="{00000000-0005-0000-0000-00006A160000}"/>
    <cellStyle name="Normal 4 6 3 3 2 2 2" xfId="15768" xr:uid="{72DEEEFF-9C12-4AF3-A117-F12F52966686}"/>
    <cellStyle name="Normal 4 6 3 3 2 3" xfId="11550" xr:uid="{0EF9F976-BB07-4E02-B4DC-08173D49D717}"/>
    <cellStyle name="Normal 4 6 3 3 3" xfId="5188" xr:uid="{00000000-0005-0000-0000-00006B160000}"/>
    <cellStyle name="Normal 4 6 3 3 3 2" xfId="13623" xr:uid="{3233F644-70C6-498C-922D-C0A5F61F9643}"/>
    <cellStyle name="Normal 4 6 3 3 4" xfId="9405" xr:uid="{ED5EAE1B-0293-4EDF-A468-05264D422A1C}"/>
    <cellStyle name="Normal 4 6 3 4" xfId="1293" xr:uid="{00000000-0005-0000-0000-00006C160000}"/>
    <cellStyle name="Normal 4 6 3 4 2" xfId="3523" xr:uid="{00000000-0005-0000-0000-00006D160000}"/>
    <cellStyle name="Normal 4 6 3 4 2 2" xfId="7746" xr:uid="{00000000-0005-0000-0000-00006E160000}"/>
    <cellStyle name="Normal 4 6 3 4 2 2 2" xfId="16181" xr:uid="{69426B3B-E2EB-405C-AF71-61D566D2762B}"/>
    <cellStyle name="Normal 4 6 3 4 2 3" xfId="11963" xr:uid="{6406F6E0-94EB-4D2B-89E1-03A267FDAAFC}"/>
    <cellStyle name="Normal 4 6 3 4 3" xfId="5601" xr:uid="{00000000-0005-0000-0000-00006F160000}"/>
    <cellStyle name="Normal 4 6 3 4 3 2" xfId="14036" xr:uid="{CBC8B9C2-005B-4B96-8A34-48762F8701B1}"/>
    <cellStyle name="Normal 4 6 3 4 4" xfId="9818" xr:uid="{61CF24FA-BE63-43B3-A6FA-896313AA8910}"/>
    <cellStyle name="Normal 4 6 3 5" xfId="1706" xr:uid="{00000000-0005-0000-0000-000070160000}"/>
    <cellStyle name="Normal 4 6 3 5 2" xfId="3936" xr:uid="{00000000-0005-0000-0000-000071160000}"/>
    <cellStyle name="Normal 4 6 3 5 2 2" xfId="8159" xr:uid="{00000000-0005-0000-0000-000072160000}"/>
    <cellStyle name="Normal 4 6 3 5 2 2 2" xfId="16594" xr:uid="{D15AB006-9796-41D3-9F02-59802752C9F2}"/>
    <cellStyle name="Normal 4 6 3 5 2 3" xfId="12376" xr:uid="{2AE6D18B-C0A2-4B73-B696-5A7B14B31B54}"/>
    <cellStyle name="Normal 4 6 3 5 3" xfId="6014" xr:uid="{00000000-0005-0000-0000-000073160000}"/>
    <cellStyle name="Normal 4 6 3 5 3 2" xfId="14449" xr:uid="{86B55371-96D6-4D97-A6E6-9247ED0C6EB7}"/>
    <cellStyle name="Normal 4 6 3 5 4" xfId="10231" xr:uid="{FF3AEC22-BEE6-4D60-BC0B-4A22AF1DC807}"/>
    <cellStyle name="Normal 4 6 3 6" xfId="2120" xr:uid="{00000000-0005-0000-0000-000074160000}"/>
    <cellStyle name="Normal 4 6 3 6 2" xfId="4349" xr:uid="{00000000-0005-0000-0000-000075160000}"/>
    <cellStyle name="Normal 4 6 3 6 2 2" xfId="8572" xr:uid="{00000000-0005-0000-0000-000076160000}"/>
    <cellStyle name="Normal 4 6 3 6 2 2 2" xfId="17007" xr:uid="{D3822BC7-6816-4D40-A5C7-15D51F262D2E}"/>
    <cellStyle name="Normal 4 6 3 6 2 3" xfId="12789" xr:uid="{BFE56E70-73CC-4D64-A8C6-6D0F36FB6FAB}"/>
    <cellStyle name="Normal 4 6 3 6 3" xfId="6427" xr:uid="{00000000-0005-0000-0000-000077160000}"/>
    <cellStyle name="Normal 4 6 3 6 3 2" xfId="14862" xr:uid="{E482643D-1965-404E-8ECB-0FDF24875F7F}"/>
    <cellStyle name="Normal 4 6 3 6 4" xfId="10644" xr:uid="{723726DD-3CDA-40F5-AE26-5702304B3D17}"/>
    <cellStyle name="Normal 4 6 3 7" xfId="2556" xr:uid="{00000000-0005-0000-0000-000078160000}"/>
    <cellStyle name="Normal 4 6 3 7 2" xfId="6840" xr:uid="{00000000-0005-0000-0000-000079160000}"/>
    <cellStyle name="Normal 4 6 3 7 2 2" xfId="15275" xr:uid="{35E1AB00-17DD-4E06-A03B-2B908ACE99E5}"/>
    <cellStyle name="Normal 4 6 3 7 3" xfId="11057" xr:uid="{70241DBC-F06B-4BD6-8F01-A33D315377D0}"/>
    <cellStyle name="Normal 4 6 3 8" xfId="4775" xr:uid="{00000000-0005-0000-0000-00007A160000}"/>
    <cellStyle name="Normal 4 6 3 8 2" xfId="13210" xr:uid="{2B92F014-3D2B-4FCD-9FF9-64BFD8D24C6F}"/>
    <cellStyle name="Normal 4 6 3 9" xfId="8992" xr:uid="{7F3A586E-EF0C-49D2-BE9F-1D1DBB535945}"/>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2 2 2" xfId="15770" xr:uid="{6D1D2C9F-945D-4E86-842E-C2FE526D06F1}"/>
    <cellStyle name="Normal 4 6 4 2 2 3" xfId="11552" xr:uid="{06CAE24E-B929-4D87-B8EA-FF4DE5851752}"/>
    <cellStyle name="Normal 4 6 4 2 3" xfId="5190" xr:uid="{00000000-0005-0000-0000-00007F160000}"/>
    <cellStyle name="Normal 4 6 4 2 3 2" xfId="13625" xr:uid="{BFBCBBFB-E9ED-443E-9330-C26958C89626}"/>
    <cellStyle name="Normal 4 6 4 2 4" xfId="9407" xr:uid="{19D85B25-7F15-47C1-A4C1-F8EFA559383E}"/>
    <cellStyle name="Normal 4 6 4 3" xfId="1295" xr:uid="{00000000-0005-0000-0000-000080160000}"/>
    <cellStyle name="Normal 4 6 4 3 2" xfId="3525" xr:uid="{00000000-0005-0000-0000-000081160000}"/>
    <cellStyle name="Normal 4 6 4 3 2 2" xfId="7748" xr:uid="{00000000-0005-0000-0000-000082160000}"/>
    <cellStyle name="Normal 4 6 4 3 2 2 2" xfId="16183" xr:uid="{79654AD5-8A21-442C-8AE4-15ED63706232}"/>
    <cellStyle name="Normal 4 6 4 3 2 3" xfId="11965" xr:uid="{D3AF8468-5A06-44A7-B02C-54CA38825866}"/>
    <cellStyle name="Normal 4 6 4 3 3" xfId="5603" xr:uid="{00000000-0005-0000-0000-000083160000}"/>
    <cellStyle name="Normal 4 6 4 3 3 2" xfId="14038" xr:uid="{67C50DF1-6F72-40DA-A729-EC960F3BCB19}"/>
    <cellStyle name="Normal 4 6 4 3 4" xfId="9820" xr:uid="{3371BFF6-DA92-44AA-937E-0356C187F2C1}"/>
    <cellStyle name="Normal 4 6 4 4" xfId="1708" xr:uid="{00000000-0005-0000-0000-000084160000}"/>
    <cellStyle name="Normal 4 6 4 4 2" xfId="3938" xr:uid="{00000000-0005-0000-0000-000085160000}"/>
    <cellStyle name="Normal 4 6 4 4 2 2" xfId="8161" xr:uid="{00000000-0005-0000-0000-000086160000}"/>
    <cellStyle name="Normal 4 6 4 4 2 2 2" xfId="16596" xr:uid="{4E924FF8-E762-4AEF-8DD7-B78100B9C007}"/>
    <cellStyle name="Normal 4 6 4 4 2 3" xfId="12378" xr:uid="{102266CD-F588-4B5A-8912-7FACB2F4A289}"/>
    <cellStyle name="Normal 4 6 4 4 3" xfId="6016" xr:uid="{00000000-0005-0000-0000-000087160000}"/>
    <cellStyle name="Normal 4 6 4 4 3 2" xfId="14451" xr:uid="{D5FCD903-41A1-4568-9DEA-254101D7317D}"/>
    <cellStyle name="Normal 4 6 4 4 4" xfId="10233" xr:uid="{A0BCADB6-8C12-405E-9729-0347405F108D}"/>
    <cellStyle name="Normal 4 6 4 5" xfId="2122" xr:uid="{00000000-0005-0000-0000-000088160000}"/>
    <cellStyle name="Normal 4 6 4 5 2" xfId="4351" xr:uid="{00000000-0005-0000-0000-000089160000}"/>
    <cellStyle name="Normal 4 6 4 5 2 2" xfId="8574" xr:uid="{00000000-0005-0000-0000-00008A160000}"/>
    <cellStyle name="Normal 4 6 4 5 2 2 2" xfId="17009" xr:uid="{6101F33B-BE07-47E5-9F8F-DE6CE96B7EF3}"/>
    <cellStyle name="Normal 4 6 4 5 2 3" xfId="12791" xr:uid="{4CCE4029-3DD7-485B-8A08-660DCBA55F39}"/>
    <cellStyle name="Normal 4 6 4 5 3" xfId="6429" xr:uid="{00000000-0005-0000-0000-00008B160000}"/>
    <cellStyle name="Normal 4 6 4 5 3 2" xfId="14864" xr:uid="{9E540146-07BB-4D09-82F3-91F404B08067}"/>
    <cellStyle name="Normal 4 6 4 5 4" xfId="10646" xr:uid="{ACE5C9B7-A0A4-4985-8417-AEB616220B59}"/>
    <cellStyle name="Normal 4 6 4 6" xfId="2558" xr:uid="{00000000-0005-0000-0000-00008C160000}"/>
    <cellStyle name="Normal 4 6 4 6 2" xfId="6842" xr:uid="{00000000-0005-0000-0000-00008D160000}"/>
    <cellStyle name="Normal 4 6 4 6 2 2" xfId="15277" xr:uid="{36481135-A77A-4F7B-9FF9-9E5499443AFC}"/>
    <cellStyle name="Normal 4 6 4 6 3" xfId="11059" xr:uid="{C3C4EA22-8711-479C-85F4-3FB0DB19DF09}"/>
    <cellStyle name="Normal 4 6 4 7" xfId="4777" xr:uid="{00000000-0005-0000-0000-00008E160000}"/>
    <cellStyle name="Normal 4 6 4 7 2" xfId="13212" xr:uid="{963619AE-2060-45AD-8CCA-455C5A20F415}"/>
    <cellStyle name="Normal 4 6 4 8" xfId="8994" xr:uid="{FFDF662A-CBF2-4119-9CB8-E203054739CE}"/>
    <cellStyle name="Normal 4 6 5" xfId="870" xr:uid="{00000000-0005-0000-0000-00008F160000}"/>
    <cellStyle name="Normal 4 6 5 2" xfId="3105" xr:uid="{00000000-0005-0000-0000-000090160000}"/>
    <cellStyle name="Normal 4 6 5 2 2" xfId="7328" xr:uid="{00000000-0005-0000-0000-000091160000}"/>
    <cellStyle name="Normal 4 6 5 2 2 2" xfId="15763" xr:uid="{E0BA6E5B-11BD-498C-92CC-192D90F1B399}"/>
    <cellStyle name="Normal 4 6 5 2 3" xfId="11545" xr:uid="{6FEB075C-D55D-4A0F-8892-23BC065F3106}"/>
    <cellStyle name="Normal 4 6 5 3" xfId="5183" xr:uid="{00000000-0005-0000-0000-000092160000}"/>
    <cellStyle name="Normal 4 6 5 3 2" xfId="13618" xr:uid="{AF2E5065-447B-4AD1-B4CC-D89FDAE1AED4}"/>
    <cellStyle name="Normal 4 6 5 4" xfId="9400" xr:uid="{228EE7CD-D86E-4B8C-8BA3-3681C758447A}"/>
    <cellStyle name="Normal 4 6 6" xfId="1288" xr:uid="{00000000-0005-0000-0000-000093160000}"/>
    <cellStyle name="Normal 4 6 6 2" xfId="3518" xr:uid="{00000000-0005-0000-0000-000094160000}"/>
    <cellStyle name="Normal 4 6 6 2 2" xfId="7741" xr:uid="{00000000-0005-0000-0000-000095160000}"/>
    <cellStyle name="Normal 4 6 6 2 2 2" xfId="16176" xr:uid="{E0539364-3AA6-40E7-AF10-5251716A18A1}"/>
    <cellStyle name="Normal 4 6 6 2 3" xfId="11958" xr:uid="{2378243A-4CA4-4254-8906-EBCE19E9E5B8}"/>
    <cellStyle name="Normal 4 6 6 3" xfId="5596" xr:uid="{00000000-0005-0000-0000-000096160000}"/>
    <cellStyle name="Normal 4 6 6 3 2" xfId="14031" xr:uid="{DD6BFDDB-B95C-4412-9228-0135B24C8C69}"/>
    <cellStyle name="Normal 4 6 6 4" xfId="9813" xr:uid="{ED27E99A-2D5E-4D45-8CB7-011A1098C282}"/>
    <cellStyle name="Normal 4 6 7" xfId="1701" xr:uid="{00000000-0005-0000-0000-000097160000}"/>
    <cellStyle name="Normal 4 6 7 2" xfId="3931" xr:uid="{00000000-0005-0000-0000-000098160000}"/>
    <cellStyle name="Normal 4 6 7 2 2" xfId="8154" xr:uid="{00000000-0005-0000-0000-000099160000}"/>
    <cellStyle name="Normal 4 6 7 2 2 2" xfId="16589" xr:uid="{A74207EE-A264-4F53-BA94-908AF6BA691E}"/>
    <cellStyle name="Normal 4 6 7 2 3" xfId="12371" xr:uid="{07C1A837-1927-4E0B-8783-5D10BF644B2A}"/>
    <cellStyle name="Normal 4 6 7 3" xfId="6009" xr:uid="{00000000-0005-0000-0000-00009A160000}"/>
    <cellStyle name="Normal 4 6 7 3 2" xfId="14444" xr:uid="{D21B1B0A-BB2E-44BE-88D4-1A3036B4FB15}"/>
    <cellStyle name="Normal 4 6 7 4" xfId="10226" xr:uid="{1ECB4567-243B-4D61-A995-661D0C3A6CAD}"/>
    <cellStyle name="Normal 4 6 8" xfId="2115" xr:uid="{00000000-0005-0000-0000-00009B160000}"/>
    <cellStyle name="Normal 4 6 8 2" xfId="4344" xr:uid="{00000000-0005-0000-0000-00009C160000}"/>
    <cellStyle name="Normal 4 6 8 2 2" xfId="8567" xr:uid="{00000000-0005-0000-0000-00009D160000}"/>
    <cellStyle name="Normal 4 6 8 2 2 2" xfId="17002" xr:uid="{75032F9A-212B-421C-8903-BA3BD196EB72}"/>
    <cellStyle name="Normal 4 6 8 2 3" xfId="12784" xr:uid="{53741CE8-4D1B-4DA5-BE1A-427A255E3B03}"/>
    <cellStyle name="Normal 4 6 8 3" xfId="6422" xr:uid="{00000000-0005-0000-0000-00009E160000}"/>
    <cellStyle name="Normal 4 6 8 3 2" xfId="14857" xr:uid="{60F1A83C-9163-4820-B26D-A7DF973FCEB2}"/>
    <cellStyle name="Normal 4 6 8 4" xfId="10639" xr:uid="{0BFDF9E3-2BA8-4B1D-B7DB-DA8F2813E9E8}"/>
    <cellStyle name="Normal 4 6 9" xfId="2551" xr:uid="{00000000-0005-0000-0000-00009F160000}"/>
    <cellStyle name="Normal 4 6 9 2" xfId="6835" xr:uid="{00000000-0005-0000-0000-0000A0160000}"/>
    <cellStyle name="Normal 4 6 9 2 2" xfId="15270" xr:uid="{41112FD5-DC61-4ADD-B634-641B182F48EF}"/>
    <cellStyle name="Normal 4 6 9 3" xfId="11052" xr:uid="{D664FA26-692F-451B-877F-6DBAA2416DEC}"/>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2 2 2" xfId="15772" xr:uid="{8C5F3D79-B8D2-4D64-A1C9-12DCE852FBB7}"/>
    <cellStyle name="Normal 4 7 2 2 2 3" xfId="11554" xr:uid="{9A541EE0-3DBD-439A-9613-DDE7DD83DD70}"/>
    <cellStyle name="Normal 4 7 2 2 3" xfId="5192" xr:uid="{00000000-0005-0000-0000-0000A6160000}"/>
    <cellStyle name="Normal 4 7 2 2 3 2" xfId="13627" xr:uid="{76BC54F0-8213-4360-AB14-675935602125}"/>
    <cellStyle name="Normal 4 7 2 2 4" xfId="9409" xr:uid="{BFC8A21F-C57D-4C2B-A5FD-D5638BAFB9C8}"/>
    <cellStyle name="Normal 4 7 2 3" xfId="1297" xr:uid="{00000000-0005-0000-0000-0000A7160000}"/>
    <cellStyle name="Normal 4 7 2 3 2" xfId="3527" xr:uid="{00000000-0005-0000-0000-0000A8160000}"/>
    <cellStyle name="Normal 4 7 2 3 2 2" xfId="7750" xr:uid="{00000000-0005-0000-0000-0000A9160000}"/>
    <cellStyle name="Normal 4 7 2 3 2 2 2" xfId="16185" xr:uid="{972EE969-3B23-4366-A367-46493329492C}"/>
    <cellStyle name="Normal 4 7 2 3 2 3" xfId="11967" xr:uid="{0C8553E7-E5F7-4AD7-9B70-C4B2CED7E55C}"/>
    <cellStyle name="Normal 4 7 2 3 3" xfId="5605" xr:uid="{00000000-0005-0000-0000-0000AA160000}"/>
    <cellStyle name="Normal 4 7 2 3 3 2" xfId="14040" xr:uid="{341E8A8E-7502-4A9D-AE4E-A4B90623C876}"/>
    <cellStyle name="Normal 4 7 2 3 4" xfId="9822" xr:uid="{18EED81D-5E83-438B-91AF-E3C21F1F0E17}"/>
    <cellStyle name="Normal 4 7 2 4" xfId="1710" xr:uid="{00000000-0005-0000-0000-0000AB160000}"/>
    <cellStyle name="Normal 4 7 2 4 2" xfId="3940" xr:uid="{00000000-0005-0000-0000-0000AC160000}"/>
    <cellStyle name="Normal 4 7 2 4 2 2" xfId="8163" xr:uid="{00000000-0005-0000-0000-0000AD160000}"/>
    <cellStyle name="Normal 4 7 2 4 2 2 2" xfId="16598" xr:uid="{B5EBAB83-0A65-4369-80A9-A3EBDD74862D}"/>
    <cellStyle name="Normal 4 7 2 4 2 3" xfId="12380" xr:uid="{972869B0-9C3A-4549-90BD-8D220176E8A4}"/>
    <cellStyle name="Normal 4 7 2 4 3" xfId="6018" xr:uid="{00000000-0005-0000-0000-0000AE160000}"/>
    <cellStyle name="Normal 4 7 2 4 3 2" xfId="14453" xr:uid="{2D03F521-A260-4DC4-AF70-7286E2B994C8}"/>
    <cellStyle name="Normal 4 7 2 4 4" xfId="10235" xr:uid="{BAF01896-4A72-41A0-AE8C-F6C77FD93A92}"/>
    <cellStyle name="Normal 4 7 2 5" xfId="2124" xr:uid="{00000000-0005-0000-0000-0000AF160000}"/>
    <cellStyle name="Normal 4 7 2 5 2" xfId="4353" xr:uid="{00000000-0005-0000-0000-0000B0160000}"/>
    <cellStyle name="Normal 4 7 2 5 2 2" xfId="8576" xr:uid="{00000000-0005-0000-0000-0000B1160000}"/>
    <cellStyle name="Normal 4 7 2 5 2 2 2" xfId="17011" xr:uid="{D74953D9-B6CC-49BD-B4B2-8DB37C572F54}"/>
    <cellStyle name="Normal 4 7 2 5 2 3" xfId="12793" xr:uid="{5AFA2A69-2DC6-4283-8DD9-7A51AA831972}"/>
    <cellStyle name="Normal 4 7 2 5 3" xfId="6431" xr:uid="{00000000-0005-0000-0000-0000B2160000}"/>
    <cellStyle name="Normal 4 7 2 5 3 2" xfId="14866" xr:uid="{A6F957F9-37F6-4643-AA29-00E7D585D41A}"/>
    <cellStyle name="Normal 4 7 2 5 4" xfId="10648" xr:uid="{78489257-35C9-4BEB-87CF-B88DB3B5FF46}"/>
    <cellStyle name="Normal 4 7 2 6" xfId="2560" xr:uid="{00000000-0005-0000-0000-0000B3160000}"/>
    <cellStyle name="Normal 4 7 2 6 2" xfId="6844" xr:uid="{00000000-0005-0000-0000-0000B4160000}"/>
    <cellStyle name="Normal 4 7 2 6 2 2" xfId="15279" xr:uid="{8CB6FCF9-AB91-467F-B2B9-AD4A731ED965}"/>
    <cellStyle name="Normal 4 7 2 6 3" xfId="11061" xr:uid="{03E0A6E8-9EC2-418E-B4A6-DB3C8F12313F}"/>
    <cellStyle name="Normal 4 7 2 7" xfId="4779" xr:uid="{00000000-0005-0000-0000-0000B5160000}"/>
    <cellStyle name="Normal 4 7 2 7 2" xfId="13214" xr:uid="{48D1C5BB-2D0B-4EEF-9854-9196D8CF070A}"/>
    <cellStyle name="Normal 4 7 2 8" xfId="8996" xr:uid="{CE547021-D78E-47C2-9A7E-CBF87CAB77E2}"/>
    <cellStyle name="Normal 4 7 3" xfId="878" xr:uid="{00000000-0005-0000-0000-0000B6160000}"/>
    <cellStyle name="Normal 4 7 3 2" xfId="3113" xr:uid="{00000000-0005-0000-0000-0000B7160000}"/>
    <cellStyle name="Normal 4 7 3 2 2" xfId="7336" xr:uid="{00000000-0005-0000-0000-0000B8160000}"/>
    <cellStyle name="Normal 4 7 3 2 2 2" xfId="15771" xr:uid="{2B8C8C60-D3CB-4BB5-AAB7-C05FA42A8F9D}"/>
    <cellStyle name="Normal 4 7 3 2 3" xfId="11553" xr:uid="{7F99D1F4-7F04-4BED-9DF9-B49DDAD452E2}"/>
    <cellStyle name="Normal 4 7 3 3" xfId="5191" xr:uid="{00000000-0005-0000-0000-0000B9160000}"/>
    <cellStyle name="Normal 4 7 3 3 2" xfId="13626" xr:uid="{7B8FF6B7-EF1E-456B-B07F-AFCE4C89B913}"/>
    <cellStyle name="Normal 4 7 3 4" xfId="9408" xr:uid="{6428E57A-D559-4980-A77A-ADFB5A6E714D}"/>
    <cellStyle name="Normal 4 7 4" xfId="1296" xr:uid="{00000000-0005-0000-0000-0000BA160000}"/>
    <cellStyle name="Normal 4 7 4 2" xfId="3526" xr:uid="{00000000-0005-0000-0000-0000BB160000}"/>
    <cellStyle name="Normal 4 7 4 2 2" xfId="7749" xr:uid="{00000000-0005-0000-0000-0000BC160000}"/>
    <cellStyle name="Normal 4 7 4 2 2 2" xfId="16184" xr:uid="{30C37911-3856-484F-AE52-028E40E3974A}"/>
    <cellStyle name="Normal 4 7 4 2 3" xfId="11966" xr:uid="{DFD29B66-03EF-45E1-A40C-ADAF9CDECE54}"/>
    <cellStyle name="Normal 4 7 4 3" xfId="5604" xr:uid="{00000000-0005-0000-0000-0000BD160000}"/>
    <cellStyle name="Normal 4 7 4 3 2" xfId="14039" xr:uid="{100D2346-35AF-4470-9C1D-8BB2CB9042F4}"/>
    <cellStyle name="Normal 4 7 4 4" xfId="9821" xr:uid="{EACD23AA-FB2A-407F-94DF-9012BF9BF80E}"/>
    <cellStyle name="Normal 4 7 5" xfId="1709" xr:uid="{00000000-0005-0000-0000-0000BE160000}"/>
    <cellStyle name="Normal 4 7 5 2" xfId="3939" xr:uid="{00000000-0005-0000-0000-0000BF160000}"/>
    <cellStyle name="Normal 4 7 5 2 2" xfId="8162" xr:uid="{00000000-0005-0000-0000-0000C0160000}"/>
    <cellStyle name="Normal 4 7 5 2 2 2" xfId="16597" xr:uid="{6B00409B-DC09-4762-9B81-FBFBDE2F261D}"/>
    <cellStyle name="Normal 4 7 5 2 3" xfId="12379" xr:uid="{4D925DC2-C4E5-4B27-A5B3-F31A4368AD04}"/>
    <cellStyle name="Normal 4 7 5 3" xfId="6017" xr:uid="{00000000-0005-0000-0000-0000C1160000}"/>
    <cellStyle name="Normal 4 7 5 3 2" xfId="14452" xr:uid="{8CB3F9E3-DE9A-4C05-8532-17654E06CC9E}"/>
    <cellStyle name="Normal 4 7 5 4" xfId="10234" xr:uid="{8BC41407-4401-44A4-93E4-8C8DBCCF3A6D}"/>
    <cellStyle name="Normal 4 7 6" xfId="2123" xr:uid="{00000000-0005-0000-0000-0000C2160000}"/>
    <cellStyle name="Normal 4 7 6 2" xfId="4352" xr:uid="{00000000-0005-0000-0000-0000C3160000}"/>
    <cellStyle name="Normal 4 7 6 2 2" xfId="8575" xr:uid="{00000000-0005-0000-0000-0000C4160000}"/>
    <cellStyle name="Normal 4 7 6 2 2 2" xfId="17010" xr:uid="{23FD9421-D669-4210-B0A7-C10E294E63BA}"/>
    <cellStyle name="Normal 4 7 6 2 3" xfId="12792" xr:uid="{738F7249-968F-4154-A2A7-5C4B41A9CFC2}"/>
    <cellStyle name="Normal 4 7 6 3" xfId="6430" xr:uid="{00000000-0005-0000-0000-0000C5160000}"/>
    <cellStyle name="Normal 4 7 6 3 2" xfId="14865" xr:uid="{008B5E8D-6577-466D-A8F4-2F6CB01E95E3}"/>
    <cellStyle name="Normal 4 7 6 4" xfId="10647" xr:uid="{B042B882-A46D-415D-84CA-EE3744486B4A}"/>
    <cellStyle name="Normal 4 7 7" xfId="2559" xr:uid="{00000000-0005-0000-0000-0000C6160000}"/>
    <cellStyle name="Normal 4 7 7 2" xfId="6843" xr:uid="{00000000-0005-0000-0000-0000C7160000}"/>
    <cellStyle name="Normal 4 7 7 2 2" xfId="15278" xr:uid="{1F9E9586-57E7-4072-BDE7-FD54CEC42F8D}"/>
    <cellStyle name="Normal 4 7 7 3" xfId="11060" xr:uid="{A076170C-2408-4A91-9BE6-69064B19A278}"/>
    <cellStyle name="Normal 4 7 8" xfId="4778" xr:uid="{00000000-0005-0000-0000-0000C8160000}"/>
    <cellStyle name="Normal 4 7 8 2" xfId="13213" xr:uid="{E4D446CA-CD70-44BC-AF2A-F4A875D9B561}"/>
    <cellStyle name="Normal 4 7 9" xfId="8995" xr:uid="{62E30B92-8FA8-47FA-9E19-A30D55200B28}"/>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2 2 2" xfId="15773" xr:uid="{33F4606C-01F9-4C32-87D0-0DE6E4837D60}"/>
    <cellStyle name="Normal 4 8 2 2 3" xfId="11555" xr:uid="{EACBEE63-E612-4579-BE8D-7474566A892E}"/>
    <cellStyle name="Normal 4 8 2 3" xfId="5193" xr:uid="{00000000-0005-0000-0000-0000CD160000}"/>
    <cellStyle name="Normal 4 8 2 3 2" xfId="13628" xr:uid="{153ACCD6-C881-47D9-8BAE-9146C38C81EF}"/>
    <cellStyle name="Normal 4 8 2 4" xfId="9410" xr:uid="{D14EFDAC-94DF-431E-8715-F1EA050ADAEE}"/>
    <cellStyle name="Normal 4 8 3" xfId="1298" xr:uid="{00000000-0005-0000-0000-0000CE160000}"/>
    <cellStyle name="Normal 4 8 3 2" xfId="3528" xr:uid="{00000000-0005-0000-0000-0000CF160000}"/>
    <cellStyle name="Normal 4 8 3 2 2" xfId="7751" xr:uid="{00000000-0005-0000-0000-0000D0160000}"/>
    <cellStyle name="Normal 4 8 3 2 2 2" xfId="16186" xr:uid="{E644453A-368D-4842-A590-D492C7A3C466}"/>
    <cellStyle name="Normal 4 8 3 2 3" xfId="11968" xr:uid="{B8C76C84-2B12-4030-A249-23E2ECA981BD}"/>
    <cellStyle name="Normal 4 8 3 3" xfId="5606" xr:uid="{00000000-0005-0000-0000-0000D1160000}"/>
    <cellStyle name="Normal 4 8 3 3 2" xfId="14041" xr:uid="{30CF26EF-8F77-48B1-9C5E-68305314FAFE}"/>
    <cellStyle name="Normal 4 8 3 4" xfId="9823" xr:uid="{FC874CD7-A5F4-4BB5-B838-9EE0B9759666}"/>
    <cellStyle name="Normal 4 8 4" xfId="1711" xr:uid="{00000000-0005-0000-0000-0000D2160000}"/>
    <cellStyle name="Normal 4 8 4 2" xfId="3941" xr:uid="{00000000-0005-0000-0000-0000D3160000}"/>
    <cellStyle name="Normal 4 8 4 2 2" xfId="8164" xr:uid="{00000000-0005-0000-0000-0000D4160000}"/>
    <cellStyle name="Normal 4 8 4 2 2 2" xfId="16599" xr:uid="{D0930B55-DD25-43AE-B801-48A296915BAA}"/>
    <cellStyle name="Normal 4 8 4 2 3" xfId="12381" xr:uid="{684A374D-046C-4BF8-902D-75EECBDD40CB}"/>
    <cellStyle name="Normal 4 8 4 3" xfId="6019" xr:uid="{00000000-0005-0000-0000-0000D5160000}"/>
    <cellStyle name="Normal 4 8 4 3 2" xfId="14454" xr:uid="{4ECB4C71-EED0-4045-95D8-EA7E60146731}"/>
    <cellStyle name="Normal 4 8 4 4" xfId="10236" xr:uid="{9C430307-5AF5-4B45-BCF7-D5EB6EC20D07}"/>
    <cellStyle name="Normal 4 8 5" xfId="2125" xr:uid="{00000000-0005-0000-0000-0000D6160000}"/>
    <cellStyle name="Normal 4 8 5 2" xfId="4354" xr:uid="{00000000-0005-0000-0000-0000D7160000}"/>
    <cellStyle name="Normal 4 8 5 2 2" xfId="8577" xr:uid="{00000000-0005-0000-0000-0000D8160000}"/>
    <cellStyle name="Normal 4 8 5 2 2 2" xfId="17012" xr:uid="{27FA321C-D314-4ACD-9FF2-90F748425361}"/>
    <cellStyle name="Normal 4 8 5 2 3" xfId="12794" xr:uid="{0CDD263F-73E8-431B-A365-80005D1D50A3}"/>
    <cellStyle name="Normal 4 8 5 3" xfId="6432" xr:uid="{00000000-0005-0000-0000-0000D9160000}"/>
    <cellStyle name="Normal 4 8 5 3 2" xfId="14867" xr:uid="{F8279953-3431-4B32-A915-F1C24C2C59ED}"/>
    <cellStyle name="Normal 4 8 5 4" xfId="10649" xr:uid="{2C39E026-6198-450B-8822-25BFFCB5B8C2}"/>
    <cellStyle name="Normal 4 8 6" xfId="2561" xr:uid="{00000000-0005-0000-0000-0000DA160000}"/>
    <cellStyle name="Normal 4 8 6 2" xfId="6845" xr:uid="{00000000-0005-0000-0000-0000DB160000}"/>
    <cellStyle name="Normal 4 8 6 2 2" xfId="15280" xr:uid="{633DFB15-37DF-4AAB-8FA5-BBD6AED10546}"/>
    <cellStyle name="Normal 4 8 6 3" xfId="11062" xr:uid="{0AF761C9-98A6-4BD1-BFE6-F3A35499874A}"/>
    <cellStyle name="Normal 4 8 7" xfId="4780" xr:uid="{00000000-0005-0000-0000-0000DC160000}"/>
    <cellStyle name="Normal 4 8 7 2" xfId="13215" xr:uid="{611D5002-D4FC-43B0-A85C-1AC3C65D15CA}"/>
    <cellStyle name="Normal 4 8 8" xfId="8997" xr:uid="{73614236-2626-4748-AF6B-196F3097259C}"/>
    <cellStyle name="Normal 4 9" xfId="4717" xr:uid="{00000000-0005-0000-0000-0000DD160000}"/>
    <cellStyle name="Normal 4 9 2" xfId="13152" xr:uid="{11BA5DF4-C9E7-4DAA-A968-E013D38907D4}"/>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2 2 2" xfId="16600" xr:uid="{F91538DB-F290-414A-8105-165B1E8EF034}"/>
    <cellStyle name="Normal 5 10 2 3" xfId="12382" xr:uid="{2B095285-1000-4554-B6EE-2755F6861118}"/>
    <cellStyle name="Normal 5 10 3" xfId="6020" xr:uid="{00000000-0005-0000-0000-0000E2160000}"/>
    <cellStyle name="Normal 5 10 3 2" xfId="14455" xr:uid="{8606780C-DF6A-4A27-B6FD-208683871B69}"/>
    <cellStyle name="Normal 5 10 4" xfId="10237" xr:uid="{8DEB9E0A-8596-408C-9C6D-43EA4A15029D}"/>
    <cellStyle name="Normal 5 11" xfId="2126" xr:uid="{00000000-0005-0000-0000-0000E3160000}"/>
    <cellStyle name="Normal 5 11 2" xfId="4355" xr:uid="{00000000-0005-0000-0000-0000E4160000}"/>
    <cellStyle name="Normal 5 11 2 2" xfId="8578" xr:uid="{00000000-0005-0000-0000-0000E5160000}"/>
    <cellStyle name="Normal 5 11 2 2 2" xfId="17013" xr:uid="{4CE90164-9435-4D6F-B523-81C7D4E618F0}"/>
    <cellStyle name="Normal 5 11 2 3" xfId="12795" xr:uid="{5C2786DD-4E97-476B-91EA-13966BE71A4F}"/>
    <cellStyle name="Normal 5 11 3" xfId="6433" xr:uid="{00000000-0005-0000-0000-0000E6160000}"/>
    <cellStyle name="Normal 5 11 3 2" xfId="14868" xr:uid="{74CC1074-B237-4BA3-A34B-819FFA591637}"/>
    <cellStyle name="Normal 5 11 4" xfId="10650" xr:uid="{20E11112-A00E-4FE3-8B89-42AF48ED2B9E}"/>
    <cellStyle name="Normal 5 12" xfId="2562" xr:uid="{00000000-0005-0000-0000-0000E7160000}"/>
    <cellStyle name="Normal 5 12 2" xfId="6846" xr:uid="{00000000-0005-0000-0000-0000E8160000}"/>
    <cellStyle name="Normal 5 12 2 2" xfId="15281" xr:uid="{EEAB7C3C-3EA5-476A-9E49-9CF7B827E9AE}"/>
    <cellStyle name="Normal 5 12 3" xfId="11063" xr:uid="{02D5509A-CE9C-4F6D-9B95-E7CBCBBD2774}"/>
    <cellStyle name="Normal 5 13" xfId="4781" xr:uid="{00000000-0005-0000-0000-0000E9160000}"/>
    <cellStyle name="Normal 5 13 2" xfId="13216" xr:uid="{B6B39203-AD27-425F-9154-083CE7B99284}"/>
    <cellStyle name="Normal 5 14" xfId="8998" xr:uid="{C9F7BB29-0B61-4A4F-BBC1-B45F12CD1B9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2 2 2" xfId="17014" xr:uid="{EBFA3A88-5995-4F53-942C-007EEA3236B1}"/>
    <cellStyle name="Normal 5 2 10 2 3" xfId="12796" xr:uid="{A83A645D-849A-4CB7-A3F7-FDC6548F1CF9}"/>
    <cellStyle name="Normal 5 2 10 3" xfId="6434" xr:uid="{00000000-0005-0000-0000-0000EE160000}"/>
    <cellStyle name="Normal 5 2 10 3 2" xfId="14869" xr:uid="{696D446F-46B8-490C-9E67-AF2B67FBBB04}"/>
    <cellStyle name="Normal 5 2 10 4" xfId="10651" xr:uid="{1CAA1F77-8418-4BA3-810E-AA20290E945B}"/>
    <cellStyle name="Normal 5 2 11" xfId="2563" xr:uid="{00000000-0005-0000-0000-0000EF160000}"/>
    <cellStyle name="Normal 5 2 11 2" xfId="6847" xr:uid="{00000000-0005-0000-0000-0000F0160000}"/>
    <cellStyle name="Normal 5 2 11 2 2" xfId="15282" xr:uid="{0E781C3E-85CC-4028-BD6E-503D131D7A3C}"/>
    <cellStyle name="Normal 5 2 11 3" xfId="11064" xr:uid="{8B0B7158-F982-4405-801F-D1ADC7777AF0}"/>
    <cellStyle name="Normal 5 2 12" xfId="4782" xr:uid="{00000000-0005-0000-0000-0000F1160000}"/>
    <cellStyle name="Normal 5 2 12 2" xfId="13217" xr:uid="{8DF4FD72-E7E8-4100-B2D8-697E69B4716E}"/>
    <cellStyle name="Normal 5 2 13" xfId="8999" xr:uid="{1668EB16-E387-44F3-8DA4-57167FD1DFF9}"/>
    <cellStyle name="Normal 5 2 2" xfId="408" xr:uid="{00000000-0005-0000-0000-0000F2160000}"/>
    <cellStyle name="Normal 5 2 2 10" xfId="2564" xr:uid="{00000000-0005-0000-0000-0000F3160000}"/>
    <cellStyle name="Normal 5 2 2 10 2" xfId="6848" xr:uid="{00000000-0005-0000-0000-0000F4160000}"/>
    <cellStyle name="Normal 5 2 2 10 2 2" xfId="15283" xr:uid="{F312D2BE-F348-4998-B63E-02A9CBFA728E}"/>
    <cellStyle name="Normal 5 2 2 10 3" xfId="11065" xr:uid="{460FCFC7-5545-42CB-A77B-AB7B5EEB5D55}"/>
    <cellStyle name="Normal 5 2 2 11" xfId="4783" xr:uid="{00000000-0005-0000-0000-0000F5160000}"/>
    <cellStyle name="Normal 5 2 2 11 2" xfId="13218" xr:uid="{4516FE01-AE12-40A7-99B0-34D201956F7F}"/>
    <cellStyle name="Normal 5 2 2 12" xfId="9000" xr:uid="{326C1814-2ABC-4B80-8643-D4B94998CA8F}"/>
    <cellStyle name="Normal 5 2 2 2" xfId="409" xr:uid="{00000000-0005-0000-0000-0000F6160000}"/>
    <cellStyle name="Normal 5 2 2 2 10" xfId="4784" xr:uid="{00000000-0005-0000-0000-0000F7160000}"/>
    <cellStyle name="Normal 5 2 2 2 10 2" xfId="13219" xr:uid="{19444538-F817-4DA9-9AC4-DBA01D53FC5C}"/>
    <cellStyle name="Normal 5 2 2 2 11" xfId="9001" xr:uid="{894C26CD-879D-411F-B455-C566FF85A7F2}"/>
    <cellStyle name="Normal 5 2 2 2 2" xfId="410" xr:uid="{00000000-0005-0000-0000-0000F8160000}"/>
    <cellStyle name="Normal 5 2 2 2 2 10" xfId="9002" xr:uid="{80C8A461-E7C2-4DA3-9F27-465F20A3C009}"/>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2 2 2" xfId="15780" xr:uid="{FBD7BEF6-152D-469B-A390-AB8FBA2B3799}"/>
    <cellStyle name="Normal 5 2 2 2 2 2 2 2 2 3" xfId="11562" xr:uid="{21E77C3B-1A77-4149-8BF0-84579CC42189}"/>
    <cellStyle name="Normal 5 2 2 2 2 2 2 2 3" xfId="5200" xr:uid="{00000000-0005-0000-0000-0000FE160000}"/>
    <cellStyle name="Normal 5 2 2 2 2 2 2 2 3 2" xfId="13635" xr:uid="{1496CA36-121E-4F04-A91D-6F27F5B6B6E9}"/>
    <cellStyle name="Normal 5 2 2 2 2 2 2 2 4" xfId="9417" xr:uid="{85D220A2-5481-4568-B11C-515D25B0CEC1}"/>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2 2 2" xfId="16193" xr:uid="{527C4208-DADB-4805-8974-76CCC3331D8D}"/>
    <cellStyle name="Normal 5 2 2 2 2 2 2 3 2 3" xfId="11975" xr:uid="{8AE59DA9-962E-4805-A946-BE27876A6655}"/>
    <cellStyle name="Normal 5 2 2 2 2 2 2 3 3" xfId="5613" xr:uid="{00000000-0005-0000-0000-000002170000}"/>
    <cellStyle name="Normal 5 2 2 2 2 2 2 3 3 2" xfId="14048" xr:uid="{EF320994-8658-484C-96E6-8B3FA3981F0E}"/>
    <cellStyle name="Normal 5 2 2 2 2 2 2 3 4" xfId="9830" xr:uid="{7B33A7A0-4281-4644-BC8B-D61C02773B62}"/>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2 2 2" xfId="16606" xr:uid="{34F219C0-FD06-43C0-A2C0-6CEFB3F23B89}"/>
    <cellStyle name="Normal 5 2 2 2 2 2 2 4 2 3" xfId="12388" xr:uid="{355FDA06-6D13-415B-894D-B5814019B683}"/>
    <cellStyle name="Normal 5 2 2 2 2 2 2 4 3" xfId="6026" xr:uid="{00000000-0005-0000-0000-000006170000}"/>
    <cellStyle name="Normal 5 2 2 2 2 2 2 4 3 2" xfId="14461" xr:uid="{C81947B2-318F-4A77-8D2F-54FCD6275B96}"/>
    <cellStyle name="Normal 5 2 2 2 2 2 2 4 4" xfId="10243" xr:uid="{6421A900-24BD-41FD-BCF4-2119B232E389}"/>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2 2 2" xfId="17019" xr:uid="{570876C8-C71C-4724-9ED9-4E77294D39F1}"/>
    <cellStyle name="Normal 5 2 2 2 2 2 2 5 2 3" xfId="12801" xr:uid="{D8A4AFD6-ACB9-436D-989C-CE1B0C11E303}"/>
    <cellStyle name="Normal 5 2 2 2 2 2 2 5 3" xfId="6439" xr:uid="{00000000-0005-0000-0000-00000A170000}"/>
    <cellStyle name="Normal 5 2 2 2 2 2 2 5 3 2" xfId="14874" xr:uid="{09E3865C-72F1-4086-829F-0B7B06710027}"/>
    <cellStyle name="Normal 5 2 2 2 2 2 2 5 4" xfId="10656" xr:uid="{96F06F16-F091-40BF-9465-BEC568502E17}"/>
    <cellStyle name="Normal 5 2 2 2 2 2 2 6" xfId="2568" xr:uid="{00000000-0005-0000-0000-00000B170000}"/>
    <cellStyle name="Normal 5 2 2 2 2 2 2 6 2" xfId="6852" xr:uid="{00000000-0005-0000-0000-00000C170000}"/>
    <cellStyle name="Normal 5 2 2 2 2 2 2 6 2 2" xfId="15287" xr:uid="{0F1E9884-DA97-4E0B-9C23-44DC6194F6A7}"/>
    <cellStyle name="Normal 5 2 2 2 2 2 2 6 3" xfId="11069" xr:uid="{2A47BC05-A8F2-4F4B-A570-85916A60C6F0}"/>
    <cellStyle name="Normal 5 2 2 2 2 2 2 7" xfId="4787" xr:uid="{00000000-0005-0000-0000-00000D170000}"/>
    <cellStyle name="Normal 5 2 2 2 2 2 2 7 2" xfId="13222" xr:uid="{CCFB2CA5-995B-4975-91BA-744675F6A2D2}"/>
    <cellStyle name="Normal 5 2 2 2 2 2 2 8" xfId="9004" xr:uid="{C21569E3-651D-4275-BF59-F03F95D65375}"/>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2 2 2" xfId="15779" xr:uid="{370E2804-1420-4FF9-8696-83EA26648561}"/>
    <cellStyle name="Normal 5 2 2 2 2 2 3 2 3" xfId="11561" xr:uid="{2B7D92FB-B346-48F2-8203-C0BD9A87228B}"/>
    <cellStyle name="Normal 5 2 2 2 2 2 3 3" xfId="5199" xr:uid="{00000000-0005-0000-0000-000011170000}"/>
    <cellStyle name="Normal 5 2 2 2 2 2 3 3 2" xfId="13634" xr:uid="{D32C51EB-923F-44AB-9670-0B5DCFF1D4A2}"/>
    <cellStyle name="Normal 5 2 2 2 2 2 3 4" xfId="9416" xr:uid="{E1DA1093-7EC0-432C-B475-44E9A8EB5F52}"/>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2 2 2" xfId="16192" xr:uid="{A6165C32-071C-4D2E-8363-DD0BC9C94E3A}"/>
    <cellStyle name="Normal 5 2 2 2 2 2 4 2 3" xfId="11974" xr:uid="{107CB28F-D130-4F14-B52C-A03655F1E3F7}"/>
    <cellStyle name="Normal 5 2 2 2 2 2 4 3" xfId="5612" xr:uid="{00000000-0005-0000-0000-000015170000}"/>
    <cellStyle name="Normal 5 2 2 2 2 2 4 3 2" xfId="14047" xr:uid="{42E6FB01-C00E-41B4-BC29-06DD6D63CCD6}"/>
    <cellStyle name="Normal 5 2 2 2 2 2 4 4" xfId="9829" xr:uid="{878BD3CD-9946-4829-9FF8-6DC93627BA0E}"/>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2 2 2" xfId="16605" xr:uid="{DC423A60-43F5-4EE4-BFF3-179679048465}"/>
    <cellStyle name="Normal 5 2 2 2 2 2 5 2 3" xfId="12387" xr:uid="{AF336A70-A722-480F-B31C-D136A3BF5387}"/>
    <cellStyle name="Normal 5 2 2 2 2 2 5 3" xfId="6025" xr:uid="{00000000-0005-0000-0000-000019170000}"/>
    <cellStyle name="Normal 5 2 2 2 2 2 5 3 2" xfId="14460" xr:uid="{E42EB5AB-9697-4E44-A796-6C3B39C99981}"/>
    <cellStyle name="Normal 5 2 2 2 2 2 5 4" xfId="10242" xr:uid="{06792276-B923-4FFE-B05A-73BCC22C1397}"/>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2 2 2" xfId="17018" xr:uid="{828F5973-767D-4563-BECE-43C9D9396518}"/>
    <cellStyle name="Normal 5 2 2 2 2 2 6 2 3" xfId="12800" xr:uid="{F5282B09-9127-47F3-8AA5-2F3C93D039FA}"/>
    <cellStyle name="Normal 5 2 2 2 2 2 6 3" xfId="6438" xr:uid="{00000000-0005-0000-0000-00001D170000}"/>
    <cellStyle name="Normal 5 2 2 2 2 2 6 3 2" xfId="14873" xr:uid="{4C38A790-511A-47A4-98AA-EAD126258BDA}"/>
    <cellStyle name="Normal 5 2 2 2 2 2 6 4" xfId="10655" xr:uid="{50113C7B-4B01-41B8-ACAE-504D0C6E7F25}"/>
    <cellStyle name="Normal 5 2 2 2 2 2 7" xfId="2567" xr:uid="{00000000-0005-0000-0000-00001E170000}"/>
    <cellStyle name="Normal 5 2 2 2 2 2 7 2" xfId="6851" xr:uid="{00000000-0005-0000-0000-00001F170000}"/>
    <cellStyle name="Normal 5 2 2 2 2 2 7 2 2" xfId="15286" xr:uid="{8D898F57-BE19-41D4-BB14-C75F4DD45AB5}"/>
    <cellStyle name="Normal 5 2 2 2 2 2 7 3" xfId="11068" xr:uid="{73380FF4-B63A-456C-9EC1-44DCE1312AF4}"/>
    <cellStyle name="Normal 5 2 2 2 2 2 8" xfId="4786" xr:uid="{00000000-0005-0000-0000-000020170000}"/>
    <cellStyle name="Normal 5 2 2 2 2 2 8 2" xfId="13221" xr:uid="{DEB103B0-3EC3-4EDB-9987-9FC78F7F4795}"/>
    <cellStyle name="Normal 5 2 2 2 2 2 9" xfId="9003" xr:uid="{F16781E5-656E-44E6-8D11-791B9FF4C425}"/>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2 2 2" xfId="15781" xr:uid="{6919AFE8-2F79-4FA2-923E-BE4B9A359C33}"/>
    <cellStyle name="Normal 5 2 2 2 2 3 2 2 3" xfId="11563" xr:uid="{633AD8D0-82F6-4A73-8535-9FD28477EA37}"/>
    <cellStyle name="Normal 5 2 2 2 2 3 2 3" xfId="5201" xr:uid="{00000000-0005-0000-0000-000025170000}"/>
    <cellStyle name="Normal 5 2 2 2 2 3 2 3 2" xfId="13636" xr:uid="{48B42625-3F54-4474-9989-4DCFDA908241}"/>
    <cellStyle name="Normal 5 2 2 2 2 3 2 4" xfId="9418" xr:uid="{FDEEB47F-D53F-4184-8353-3B03CC9B1DF3}"/>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2 2 2" xfId="16194" xr:uid="{D87404B1-5868-4861-975F-C69E26804124}"/>
    <cellStyle name="Normal 5 2 2 2 2 3 3 2 3" xfId="11976" xr:uid="{E5CF63B9-0DB8-4D66-B3B6-4453C17F7E16}"/>
    <cellStyle name="Normal 5 2 2 2 2 3 3 3" xfId="5614" xr:uid="{00000000-0005-0000-0000-000029170000}"/>
    <cellStyle name="Normal 5 2 2 2 2 3 3 3 2" xfId="14049" xr:uid="{A5A733E5-4626-46FF-9AE6-860B8418354A}"/>
    <cellStyle name="Normal 5 2 2 2 2 3 3 4" xfId="9831" xr:uid="{523DC9F5-3550-4D7B-9986-C91DDC50BF1D}"/>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2 2 2" xfId="16607" xr:uid="{977162EB-5B45-40A9-A10F-8360F2938FBA}"/>
    <cellStyle name="Normal 5 2 2 2 2 3 4 2 3" xfId="12389" xr:uid="{E2576F3B-9033-4009-A1BA-34CA1B662FD4}"/>
    <cellStyle name="Normal 5 2 2 2 2 3 4 3" xfId="6027" xr:uid="{00000000-0005-0000-0000-00002D170000}"/>
    <cellStyle name="Normal 5 2 2 2 2 3 4 3 2" xfId="14462" xr:uid="{B16059DE-58CB-4E66-9398-0FB58B0821AD}"/>
    <cellStyle name="Normal 5 2 2 2 2 3 4 4" xfId="10244" xr:uid="{E36F0AA5-FF52-4225-BFEC-4E20E49F12CF}"/>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2 2 2" xfId="17020" xr:uid="{7EF50FF8-F663-46CF-BC3E-BFF8DF183DF0}"/>
    <cellStyle name="Normal 5 2 2 2 2 3 5 2 3" xfId="12802" xr:uid="{06CF5C46-8536-47D0-976E-4FB7253B57AB}"/>
    <cellStyle name="Normal 5 2 2 2 2 3 5 3" xfId="6440" xr:uid="{00000000-0005-0000-0000-000031170000}"/>
    <cellStyle name="Normal 5 2 2 2 2 3 5 3 2" xfId="14875" xr:uid="{E09827C1-9D12-4C2E-8A13-58CEA8D795CC}"/>
    <cellStyle name="Normal 5 2 2 2 2 3 5 4" xfId="10657" xr:uid="{E603F6CD-EAEF-45F2-93D1-80C190620417}"/>
    <cellStyle name="Normal 5 2 2 2 2 3 6" xfId="2569" xr:uid="{00000000-0005-0000-0000-000032170000}"/>
    <cellStyle name="Normal 5 2 2 2 2 3 6 2" xfId="6853" xr:uid="{00000000-0005-0000-0000-000033170000}"/>
    <cellStyle name="Normal 5 2 2 2 2 3 6 2 2" xfId="15288" xr:uid="{2CCB0C02-A167-478A-9D36-5B55E589D9A9}"/>
    <cellStyle name="Normal 5 2 2 2 2 3 6 3" xfId="11070" xr:uid="{EB5B7442-46FF-4D6C-9A9F-69EF04E01F3B}"/>
    <cellStyle name="Normal 5 2 2 2 2 3 7" xfId="4788" xr:uid="{00000000-0005-0000-0000-000034170000}"/>
    <cellStyle name="Normal 5 2 2 2 2 3 7 2" xfId="13223" xr:uid="{32F5D66B-1F65-4B9F-BBC0-D5BE9A283BEA}"/>
    <cellStyle name="Normal 5 2 2 2 2 3 8" xfId="9005" xr:uid="{8F5EA8F6-54A5-48E8-BADE-EFA6929AB984}"/>
    <cellStyle name="Normal 5 2 2 2 2 4" xfId="885" xr:uid="{00000000-0005-0000-0000-000035170000}"/>
    <cellStyle name="Normal 5 2 2 2 2 4 2" xfId="3120" xr:uid="{00000000-0005-0000-0000-000036170000}"/>
    <cellStyle name="Normal 5 2 2 2 2 4 2 2" xfId="7343" xr:uid="{00000000-0005-0000-0000-000037170000}"/>
    <cellStyle name="Normal 5 2 2 2 2 4 2 2 2" xfId="15778" xr:uid="{E94DE520-2803-4CD1-906F-9387DCD469CF}"/>
    <cellStyle name="Normal 5 2 2 2 2 4 2 3" xfId="11560" xr:uid="{12273E01-B421-431F-8896-EB747A20DEDB}"/>
    <cellStyle name="Normal 5 2 2 2 2 4 3" xfId="5198" xr:uid="{00000000-0005-0000-0000-000038170000}"/>
    <cellStyle name="Normal 5 2 2 2 2 4 3 2" xfId="13633" xr:uid="{D67867EF-1928-4943-A689-DB3B5CF255BE}"/>
    <cellStyle name="Normal 5 2 2 2 2 4 4" xfId="9415" xr:uid="{F2394D2C-D9EA-4368-A238-FA1429683C5F}"/>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2 2 2" xfId="16191" xr:uid="{94635C80-6B40-4A58-A3D9-0B514E48A9F8}"/>
    <cellStyle name="Normal 5 2 2 2 2 5 2 3" xfId="11973" xr:uid="{BEC1F9DD-96C3-4C14-8F93-5237F079C920}"/>
    <cellStyle name="Normal 5 2 2 2 2 5 3" xfId="5611" xr:uid="{00000000-0005-0000-0000-00003C170000}"/>
    <cellStyle name="Normal 5 2 2 2 2 5 3 2" xfId="14046" xr:uid="{67D3D934-4ECF-47A0-B415-1762B1502F0D}"/>
    <cellStyle name="Normal 5 2 2 2 2 5 4" xfId="9828" xr:uid="{5C77932E-C108-4F96-89F0-F40D10D6E4A3}"/>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2 2 2" xfId="16604" xr:uid="{84543227-2045-4109-9629-CFB73DA58D0D}"/>
    <cellStyle name="Normal 5 2 2 2 2 6 2 3" xfId="12386" xr:uid="{6338424E-16F0-4618-89B7-12EE14EEE388}"/>
    <cellStyle name="Normal 5 2 2 2 2 6 3" xfId="6024" xr:uid="{00000000-0005-0000-0000-000040170000}"/>
    <cellStyle name="Normal 5 2 2 2 2 6 3 2" xfId="14459" xr:uid="{364A7752-50AA-494E-BEDC-9EF7D970EBBA}"/>
    <cellStyle name="Normal 5 2 2 2 2 6 4" xfId="10241" xr:uid="{41861A54-8AF7-49BE-8C77-09B27D110768}"/>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2 2 2" xfId="17017" xr:uid="{D9EB5040-53D8-42B4-BEEB-42A8FA6EF603}"/>
    <cellStyle name="Normal 5 2 2 2 2 7 2 3" xfId="12799" xr:uid="{EF9F65F3-6DE3-41ED-8F6B-BE6CDF2EA24A}"/>
    <cellStyle name="Normal 5 2 2 2 2 7 3" xfId="6437" xr:uid="{00000000-0005-0000-0000-000044170000}"/>
    <cellStyle name="Normal 5 2 2 2 2 7 3 2" xfId="14872" xr:uid="{9734F30C-C02D-43E4-AD3D-5C8E07AAA3DE}"/>
    <cellStyle name="Normal 5 2 2 2 2 7 4" xfId="10654" xr:uid="{9851FCE0-35A1-4C5E-968B-524E906330D6}"/>
    <cellStyle name="Normal 5 2 2 2 2 8" xfId="2566" xr:uid="{00000000-0005-0000-0000-000045170000}"/>
    <cellStyle name="Normal 5 2 2 2 2 8 2" xfId="6850" xr:uid="{00000000-0005-0000-0000-000046170000}"/>
    <cellStyle name="Normal 5 2 2 2 2 8 2 2" xfId="15285" xr:uid="{175479E0-4CC2-4CD5-B80C-418117EFE307}"/>
    <cellStyle name="Normal 5 2 2 2 2 8 3" xfId="11067" xr:uid="{7F94C055-EFB4-4040-84EF-D5435BC5D1AD}"/>
    <cellStyle name="Normal 5 2 2 2 2 9" xfId="4785" xr:uid="{00000000-0005-0000-0000-000047170000}"/>
    <cellStyle name="Normal 5 2 2 2 2 9 2" xfId="13220" xr:uid="{E38F8362-3B5E-4846-8231-0DCD365E7A28}"/>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2 2 2" xfId="15783" xr:uid="{C3DE4644-10F2-49D4-8672-1355060AF99D}"/>
    <cellStyle name="Normal 5 2 2 2 3 2 2 2 3" xfId="11565" xr:uid="{C95C7F2B-7EC4-4931-9098-11FC44AD5D46}"/>
    <cellStyle name="Normal 5 2 2 2 3 2 2 3" xfId="5203" xr:uid="{00000000-0005-0000-0000-00004D170000}"/>
    <cellStyle name="Normal 5 2 2 2 3 2 2 3 2" xfId="13638" xr:uid="{FF15F477-0D81-4B56-A0BA-2CAFDC5D30B3}"/>
    <cellStyle name="Normal 5 2 2 2 3 2 2 4" xfId="9420" xr:uid="{71FCB6D3-9389-4197-A471-04419A2D637B}"/>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2 2 2" xfId="16196" xr:uid="{FE4AF437-9EB9-4D81-AD0A-19000A73F969}"/>
    <cellStyle name="Normal 5 2 2 2 3 2 3 2 3" xfId="11978" xr:uid="{5A02F413-3798-4A93-B8CF-5919D3190659}"/>
    <cellStyle name="Normal 5 2 2 2 3 2 3 3" xfId="5616" xr:uid="{00000000-0005-0000-0000-000051170000}"/>
    <cellStyle name="Normal 5 2 2 2 3 2 3 3 2" xfId="14051" xr:uid="{4D1047EF-7F58-4CE8-B2BD-6B6E7016D262}"/>
    <cellStyle name="Normal 5 2 2 2 3 2 3 4" xfId="9833" xr:uid="{2E14B96A-AB5A-43B8-AD42-FE8EB3948A6D}"/>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2 2 2" xfId="16609" xr:uid="{F4D6E776-9FCB-4571-A2C2-A23356A22821}"/>
    <cellStyle name="Normal 5 2 2 2 3 2 4 2 3" xfId="12391" xr:uid="{7D9E43B6-99C7-4D84-93A1-FD35217B2490}"/>
    <cellStyle name="Normal 5 2 2 2 3 2 4 3" xfId="6029" xr:uid="{00000000-0005-0000-0000-000055170000}"/>
    <cellStyle name="Normal 5 2 2 2 3 2 4 3 2" xfId="14464" xr:uid="{62064CBB-357A-433E-BCBD-C7BF0DCFA895}"/>
    <cellStyle name="Normal 5 2 2 2 3 2 4 4" xfId="10246" xr:uid="{436ECA3B-1986-4D24-BBE1-817576D41013}"/>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2 2 2" xfId="17022" xr:uid="{6F43B414-0434-4BD1-9DB6-A50F9A04B59A}"/>
    <cellStyle name="Normal 5 2 2 2 3 2 5 2 3" xfId="12804" xr:uid="{04627B9C-FEBF-4330-8BFE-F0A0FBE061B6}"/>
    <cellStyle name="Normal 5 2 2 2 3 2 5 3" xfId="6442" xr:uid="{00000000-0005-0000-0000-000059170000}"/>
    <cellStyle name="Normal 5 2 2 2 3 2 5 3 2" xfId="14877" xr:uid="{C19334C3-1F2D-4F13-A1DA-2E61439425D6}"/>
    <cellStyle name="Normal 5 2 2 2 3 2 5 4" xfId="10659" xr:uid="{A67B78B3-27A7-47ED-BDA7-CBAAE55BD9BA}"/>
    <cellStyle name="Normal 5 2 2 2 3 2 6" xfId="2571" xr:uid="{00000000-0005-0000-0000-00005A170000}"/>
    <cellStyle name="Normal 5 2 2 2 3 2 6 2" xfId="6855" xr:uid="{00000000-0005-0000-0000-00005B170000}"/>
    <cellStyle name="Normal 5 2 2 2 3 2 6 2 2" xfId="15290" xr:uid="{381EA85A-56CE-41DA-A0E1-ADC0C28E8AFD}"/>
    <cellStyle name="Normal 5 2 2 2 3 2 6 3" xfId="11072" xr:uid="{F9080CBA-0339-4193-A5D0-93F3BFDCE34A}"/>
    <cellStyle name="Normal 5 2 2 2 3 2 7" xfId="4790" xr:uid="{00000000-0005-0000-0000-00005C170000}"/>
    <cellStyle name="Normal 5 2 2 2 3 2 7 2" xfId="13225" xr:uid="{AD60CE19-2825-4E1E-83D6-DDBB476995F2}"/>
    <cellStyle name="Normal 5 2 2 2 3 2 8" xfId="9007" xr:uid="{8409814C-F770-4B5D-9C69-2495F1852BB6}"/>
    <cellStyle name="Normal 5 2 2 2 3 3" xfId="889" xr:uid="{00000000-0005-0000-0000-00005D170000}"/>
    <cellStyle name="Normal 5 2 2 2 3 3 2" xfId="3124" xr:uid="{00000000-0005-0000-0000-00005E170000}"/>
    <cellStyle name="Normal 5 2 2 2 3 3 2 2" xfId="7347" xr:uid="{00000000-0005-0000-0000-00005F170000}"/>
    <cellStyle name="Normal 5 2 2 2 3 3 2 2 2" xfId="15782" xr:uid="{47F66187-1966-46B3-A5AD-FDBDFEB5F3D6}"/>
    <cellStyle name="Normal 5 2 2 2 3 3 2 3" xfId="11564" xr:uid="{EB6703C7-ED8B-4172-956B-650FCA30F974}"/>
    <cellStyle name="Normal 5 2 2 2 3 3 3" xfId="5202" xr:uid="{00000000-0005-0000-0000-000060170000}"/>
    <cellStyle name="Normal 5 2 2 2 3 3 3 2" xfId="13637" xr:uid="{BB4F4396-D3FF-47EF-A57B-4B245522D95F}"/>
    <cellStyle name="Normal 5 2 2 2 3 3 4" xfId="9419" xr:uid="{17A099FA-F6CD-4F76-8FCC-F940DEB9A2E7}"/>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2 2 2" xfId="16195" xr:uid="{31F877F2-E9C1-4FE7-A261-C6E12E87F50E}"/>
    <cellStyle name="Normal 5 2 2 2 3 4 2 3" xfId="11977" xr:uid="{4F713848-4FC4-46A1-8D87-A0839E126B6D}"/>
    <cellStyle name="Normal 5 2 2 2 3 4 3" xfId="5615" xr:uid="{00000000-0005-0000-0000-000064170000}"/>
    <cellStyle name="Normal 5 2 2 2 3 4 3 2" xfId="14050" xr:uid="{B7A92730-AE38-403B-BF75-B365CD7C6BDE}"/>
    <cellStyle name="Normal 5 2 2 2 3 4 4" xfId="9832" xr:uid="{E2BC02FB-0EBB-4F31-999C-C8D62B711C05}"/>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2 2 2" xfId="16608" xr:uid="{AF175AB3-E611-4F61-A178-698CB5E581E8}"/>
    <cellStyle name="Normal 5 2 2 2 3 5 2 3" xfId="12390" xr:uid="{E4C5484E-41AF-4DD7-AF08-77E9CDDEC697}"/>
    <cellStyle name="Normal 5 2 2 2 3 5 3" xfId="6028" xr:uid="{00000000-0005-0000-0000-000068170000}"/>
    <cellStyle name="Normal 5 2 2 2 3 5 3 2" xfId="14463" xr:uid="{A232AF5D-127D-43CA-82E6-CFA7E3DDB065}"/>
    <cellStyle name="Normal 5 2 2 2 3 5 4" xfId="10245" xr:uid="{E5CE1844-1F22-4776-A32A-1440FB14F505}"/>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2 2 2" xfId="17021" xr:uid="{B8D97809-6938-4922-AAB3-DB55B286E4BA}"/>
    <cellStyle name="Normal 5 2 2 2 3 6 2 3" xfId="12803" xr:uid="{E319470C-FCB5-4215-9DC2-A717FC11D8E4}"/>
    <cellStyle name="Normal 5 2 2 2 3 6 3" xfId="6441" xr:uid="{00000000-0005-0000-0000-00006C170000}"/>
    <cellStyle name="Normal 5 2 2 2 3 6 3 2" xfId="14876" xr:uid="{F0BD5BD6-C438-4709-9F7D-F5780279256C}"/>
    <cellStyle name="Normal 5 2 2 2 3 6 4" xfId="10658" xr:uid="{3AB7F26A-29FF-44CD-93DD-397CBF5554C3}"/>
    <cellStyle name="Normal 5 2 2 2 3 7" xfId="2570" xr:uid="{00000000-0005-0000-0000-00006D170000}"/>
    <cellStyle name="Normal 5 2 2 2 3 7 2" xfId="6854" xr:uid="{00000000-0005-0000-0000-00006E170000}"/>
    <cellStyle name="Normal 5 2 2 2 3 7 2 2" xfId="15289" xr:uid="{5D79C266-29CF-4129-AC40-DA95455BE72D}"/>
    <cellStyle name="Normal 5 2 2 2 3 7 3" xfId="11071" xr:uid="{82D9A288-E9F3-4C6D-9C22-600F8E7E73EA}"/>
    <cellStyle name="Normal 5 2 2 2 3 8" xfId="4789" xr:uid="{00000000-0005-0000-0000-00006F170000}"/>
    <cellStyle name="Normal 5 2 2 2 3 8 2" xfId="13224" xr:uid="{2769B5B8-9A23-43DF-AD3B-BDD268F4FB5A}"/>
    <cellStyle name="Normal 5 2 2 2 3 9" xfId="9006" xr:uid="{D999C643-8C04-4C1D-B436-35CA874C2BBB}"/>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2 2 2" xfId="15784" xr:uid="{BD87DC28-CA24-44CE-9FA0-46EB46B9016F}"/>
    <cellStyle name="Normal 5 2 2 2 4 2 2 3" xfId="11566" xr:uid="{C250D42B-F906-4D96-94E4-F459F1F913E5}"/>
    <cellStyle name="Normal 5 2 2 2 4 2 3" xfId="5204" xr:uid="{00000000-0005-0000-0000-000074170000}"/>
    <cellStyle name="Normal 5 2 2 2 4 2 3 2" xfId="13639" xr:uid="{801A11C9-E271-441E-9C72-7B8A84264903}"/>
    <cellStyle name="Normal 5 2 2 2 4 2 4" xfId="9421" xr:uid="{99BD36C3-F606-4F57-9E23-440DBC43AD4B}"/>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2 2 2" xfId="16197" xr:uid="{A514157B-48F9-407E-8D4B-3D550837F989}"/>
    <cellStyle name="Normal 5 2 2 2 4 3 2 3" xfId="11979" xr:uid="{165EA1B6-FC34-4953-891B-294695C74CE1}"/>
    <cellStyle name="Normal 5 2 2 2 4 3 3" xfId="5617" xr:uid="{00000000-0005-0000-0000-000078170000}"/>
    <cellStyle name="Normal 5 2 2 2 4 3 3 2" xfId="14052" xr:uid="{70DF31C3-B7DD-4507-AA16-2B639B1544FE}"/>
    <cellStyle name="Normal 5 2 2 2 4 3 4" xfId="9834" xr:uid="{1EFB9906-ADE0-4623-8CC2-93DCE79E0C26}"/>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2 2 2" xfId="16610" xr:uid="{2FF4478E-A552-4E87-AFA0-45E076AE89C4}"/>
    <cellStyle name="Normal 5 2 2 2 4 4 2 3" xfId="12392" xr:uid="{3A1F6A6C-2D56-4605-BF21-4767DD1E09D3}"/>
    <cellStyle name="Normal 5 2 2 2 4 4 3" xfId="6030" xr:uid="{00000000-0005-0000-0000-00007C170000}"/>
    <cellStyle name="Normal 5 2 2 2 4 4 3 2" xfId="14465" xr:uid="{48667913-C0F3-4124-966E-4C2350D03E2D}"/>
    <cellStyle name="Normal 5 2 2 2 4 4 4" xfId="10247" xr:uid="{DFC34BAC-7AA8-4EBC-9FF7-77FB653B5AC1}"/>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2 2 2" xfId="17023" xr:uid="{3F87E5CB-B372-4994-92BA-F799A271F77C}"/>
    <cellStyle name="Normal 5 2 2 2 4 5 2 3" xfId="12805" xr:uid="{A41CFADA-BF40-452A-86A6-EDFA62558598}"/>
    <cellStyle name="Normal 5 2 2 2 4 5 3" xfId="6443" xr:uid="{00000000-0005-0000-0000-000080170000}"/>
    <cellStyle name="Normal 5 2 2 2 4 5 3 2" xfId="14878" xr:uid="{687ECB20-A176-428C-8A55-4604C2C1F30B}"/>
    <cellStyle name="Normal 5 2 2 2 4 5 4" xfId="10660" xr:uid="{BDC09E46-980F-4765-B8F9-777D490E5681}"/>
    <cellStyle name="Normal 5 2 2 2 4 6" xfId="2572" xr:uid="{00000000-0005-0000-0000-000081170000}"/>
    <cellStyle name="Normal 5 2 2 2 4 6 2" xfId="6856" xr:uid="{00000000-0005-0000-0000-000082170000}"/>
    <cellStyle name="Normal 5 2 2 2 4 6 2 2" xfId="15291" xr:uid="{E9C87007-8DB8-4CF8-8DE7-A0BD349662D3}"/>
    <cellStyle name="Normal 5 2 2 2 4 6 3" xfId="11073" xr:uid="{0461E693-2248-42B9-B7B5-68049FEA08E2}"/>
    <cellStyle name="Normal 5 2 2 2 4 7" xfId="4791" xr:uid="{00000000-0005-0000-0000-000083170000}"/>
    <cellStyle name="Normal 5 2 2 2 4 7 2" xfId="13226" xr:uid="{2CAD3DF4-A63C-4443-9FD9-180B6EC8464D}"/>
    <cellStyle name="Normal 5 2 2 2 4 8" xfId="9008" xr:uid="{E195B49F-8AEF-4DF4-80CD-44E2D7974F25}"/>
    <cellStyle name="Normal 5 2 2 2 5" xfId="884" xr:uid="{00000000-0005-0000-0000-000084170000}"/>
    <cellStyle name="Normal 5 2 2 2 5 2" xfId="3119" xr:uid="{00000000-0005-0000-0000-000085170000}"/>
    <cellStyle name="Normal 5 2 2 2 5 2 2" xfId="7342" xr:uid="{00000000-0005-0000-0000-000086170000}"/>
    <cellStyle name="Normal 5 2 2 2 5 2 2 2" xfId="15777" xr:uid="{B6086CB4-6ED5-4DA7-8F6B-4D3BA7E269A9}"/>
    <cellStyle name="Normal 5 2 2 2 5 2 3" xfId="11559" xr:uid="{38BD5483-B7BB-45C8-B0A8-31AF7259554F}"/>
    <cellStyle name="Normal 5 2 2 2 5 3" xfId="5197" xr:uid="{00000000-0005-0000-0000-000087170000}"/>
    <cellStyle name="Normal 5 2 2 2 5 3 2" xfId="13632" xr:uid="{E748C958-1526-4403-989C-EE68C2FD5916}"/>
    <cellStyle name="Normal 5 2 2 2 5 4" xfId="9414" xr:uid="{31489F24-F78C-4B2E-97F4-CFA160624A81}"/>
    <cellStyle name="Normal 5 2 2 2 6" xfId="1302" xr:uid="{00000000-0005-0000-0000-000088170000}"/>
    <cellStyle name="Normal 5 2 2 2 6 2" xfId="3532" xr:uid="{00000000-0005-0000-0000-000089170000}"/>
    <cellStyle name="Normal 5 2 2 2 6 2 2" xfId="7755" xr:uid="{00000000-0005-0000-0000-00008A170000}"/>
    <cellStyle name="Normal 5 2 2 2 6 2 2 2" xfId="16190" xr:uid="{BDB8B06B-589C-46EA-B029-9BCFF0228C98}"/>
    <cellStyle name="Normal 5 2 2 2 6 2 3" xfId="11972" xr:uid="{461C8ED7-0A33-458B-8227-1F2206DFADAC}"/>
    <cellStyle name="Normal 5 2 2 2 6 3" xfId="5610" xr:uid="{00000000-0005-0000-0000-00008B170000}"/>
    <cellStyle name="Normal 5 2 2 2 6 3 2" xfId="14045" xr:uid="{969E8DF3-1F75-4833-81F9-CC84F46DE3E7}"/>
    <cellStyle name="Normal 5 2 2 2 6 4" xfId="9827" xr:uid="{5A74C901-F58F-46AC-AD2A-8399A3163A93}"/>
    <cellStyle name="Normal 5 2 2 2 7" xfId="1715" xr:uid="{00000000-0005-0000-0000-00008C170000}"/>
    <cellStyle name="Normal 5 2 2 2 7 2" xfId="3945" xr:uid="{00000000-0005-0000-0000-00008D170000}"/>
    <cellStyle name="Normal 5 2 2 2 7 2 2" xfId="8168" xr:uid="{00000000-0005-0000-0000-00008E170000}"/>
    <cellStyle name="Normal 5 2 2 2 7 2 2 2" xfId="16603" xr:uid="{D9C4ED81-2F16-4270-9905-CB98E07CC1E4}"/>
    <cellStyle name="Normal 5 2 2 2 7 2 3" xfId="12385" xr:uid="{293B12E9-8915-4915-B64A-302336552661}"/>
    <cellStyle name="Normal 5 2 2 2 7 3" xfId="6023" xr:uid="{00000000-0005-0000-0000-00008F170000}"/>
    <cellStyle name="Normal 5 2 2 2 7 3 2" xfId="14458" xr:uid="{A9A477E5-2CA3-4CFD-928C-E21E0DB4735A}"/>
    <cellStyle name="Normal 5 2 2 2 7 4" xfId="10240" xr:uid="{0A910567-6721-45A9-B0CE-0146F24F6D60}"/>
    <cellStyle name="Normal 5 2 2 2 8" xfId="2129" xr:uid="{00000000-0005-0000-0000-000090170000}"/>
    <cellStyle name="Normal 5 2 2 2 8 2" xfId="4358" xr:uid="{00000000-0005-0000-0000-000091170000}"/>
    <cellStyle name="Normal 5 2 2 2 8 2 2" xfId="8581" xr:uid="{00000000-0005-0000-0000-000092170000}"/>
    <cellStyle name="Normal 5 2 2 2 8 2 2 2" xfId="17016" xr:uid="{B55026AA-C920-4751-83ED-EF65885A0E26}"/>
    <cellStyle name="Normal 5 2 2 2 8 2 3" xfId="12798" xr:uid="{EBF4E1A5-04AB-44CD-8272-38B2F9145B68}"/>
    <cellStyle name="Normal 5 2 2 2 8 3" xfId="6436" xr:uid="{00000000-0005-0000-0000-000093170000}"/>
    <cellStyle name="Normal 5 2 2 2 8 3 2" xfId="14871" xr:uid="{BA28718A-61DE-471D-9705-F5A6A6717AC3}"/>
    <cellStyle name="Normal 5 2 2 2 8 4" xfId="10653" xr:uid="{E97C0CA5-1E33-4546-8823-7DD42E515859}"/>
    <cellStyle name="Normal 5 2 2 2 9" xfId="2565" xr:uid="{00000000-0005-0000-0000-000094170000}"/>
    <cellStyle name="Normal 5 2 2 2 9 2" xfId="6849" xr:uid="{00000000-0005-0000-0000-000095170000}"/>
    <cellStyle name="Normal 5 2 2 2 9 2 2" xfId="15284" xr:uid="{92208F63-BB93-4E03-BB48-8F58FF965055}"/>
    <cellStyle name="Normal 5 2 2 2 9 3" xfId="11066" xr:uid="{1D3CF343-B9F5-4E81-AA29-1949C0DB54AE}"/>
    <cellStyle name="Normal 5 2 2 3" xfId="417" xr:uid="{00000000-0005-0000-0000-000096170000}"/>
    <cellStyle name="Normal 5 2 2 3 10" xfId="9009" xr:uid="{F14606DF-44D4-47FF-9E64-E437EE6A754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2 2 2" xfId="15787" xr:uid="{B4E8D382-0B91-4715-9736-810E3F8E3C92}"/>
    <cellStyle name="Normal 5 2 2 3 2 2 2 2 3" xfId="11569" xr:uid="{1BB8D43B-EF25-4959-A7E3-4D02788B8650}"/>
    <cellStyle name="Normal 5 2 2 3 2 2 2 3" xfId="5207" xr:uid="{00000000-0005-0000-0000-00009C170000}"/>
    <cellStyle name="Normal 5 2 2 3 2 2 2 3 2" xfId="13642" xr:uid="{331521D8-10F3-458F-8626-BFFF8511F76C}"/>
    <cellStyle name="Normal 5 2 2 3 2 2 2 4" xfId="9424" xr:uid="{0F007F8B-4089-4BE2-B212-035801CF5CF8}"/>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2 2 2" xfId="16200" xr:uid="{1AA487F3-8E5E-42B1-9E27-896557D9BA5C}"/>
    <cellStyle name="Normal 5 2 2 3 2 2 3 2 3" xfId="11982" xr:uid="{2A4F2DA5-8E10-4A9A-8AA4-B3E6D381B1CB}"/>
    <cellStyle name="Normal 5 2 2 3 2 2 3 3" xfId="5620" xr:uid="{00000000-0005-0000-0000-0000A0170000}"/>
    <cellStyle name="Normal 5 2 2 3 2 2 3 3 2" xfId="14055" xr:uid="{FBA4AAAB-9EC7-4934-A123-6914BF43DC88}"/>
    <cellStyle name="Normal 5 2 2 3 2 2 3 4" xfId="9837" xr:uid="{CF0220B9-4040-4FA7-9748-E5D45F0CCEC1}"/>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2 2 2" xfId="16613" xr:uid="{98B509FF-FE39-4B51-9A2B-25FDC2B75D10}"/>
    <cellStyle name="Normal 5 2 2 3 2 2 4 2 3" xfId="12395" xr:uid="{27A2EDEA-44E3-4633-8D87-472C8D243D3A}"/>
    <cellStyle name="Normal 5 2 2 3 2 2 4 3" xfId="6033" xr:uid="{00000000-0005-0000-0000-0000A4170000}"/>
    <cellStyle name="Normal 5 2 2 3 2 2 4 3 2" xfId="14468" xr:uid="{0A9ED83D-14C2-419F-87C9-EC3910DC6717}"/>
    <cellStyle name="Normal 5 2 2 3 2 2 4 4" xfId="10250" xr:uid="{4845D9DB-230A-4C49-A04B-3F0EB9282F6A}"/>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2 2 2" xfId="17026" xr:uid="{67F4AAF4-2EFF-4724-88E8-F71B3E6952BB}"/>
    <cellStyle name="Normal 5 2 2 3 2 2 5 2 3" xfId="12808" xr:uid="{3277E748-D232-45E0-8A25-71FEDF12E82A}"/>
    <cellStyle name="Normal 5 2 2 3 2 2 5 3" xfId="6446" xr:uid="{00000000-0005-0000-0000-0000A8170000}"/>
    <cellStyle name="Normal 5 2 2 3 2 2 5 3 2" xfId="14881" xr:uid="{49D6D210-5D87-4452-A576-1542241B862B}"/>
    <cellStyle name="Normal 5 2 2 3 2 2 5 4" xfId="10663" xr:uid="{89C3F7EC-9A09-455B-A0C0-2DD234899354}"/>
    <cellStyle name="Normal 5 2 2 3 2 2 6" xfId="2575" xr:uid="{00000000-0005-0000-0000-0000A9170000}"/>
    <cellStyle name="Normal 5 2 2 3 2 2 6 2" xfId="6859" xr:uid="{00000000-0005-0000-0000-0000AA170000}"/>
    <cellStyle name="Normal 5 2 2 3 2 2 6 2 2" xfId="15294" xr:uid="{D315FF2C-9119-40AF-8178-F24A0979B356}"/>
    <cellStyle name="Normal 5 2 2 3 2 2 6 3" xfId="11076" xr:uid="{F0D5FE35-DE80-460E-8E0A-0700B52C8526}"/>
    <cellStyle name="Normal 5 2 2 3 2 2 7" xfId="4794" xr:uid="{00000000-0005-0000-0000-0000AB170000}"/>
    <cellStyle name="Normal 5 2 2 3 2 2 7 2" xfId="13229" xr:uid="{F29A3012-5DDD-4A2C-BE84-1C86FF6258B1}"/>
    <cellStyle name="Normal 5 2 2 3 2 2 8" xfId="9011" xr:uid="{B236854A-796C-486B-B0B8-5BD6DC4BD24F}"/>
    <cellStyle name="Normal 5 2 2 3 2 3" xfId="893" xr:uid="{00000000-0005-0000-0000-0000AC170000}"/>
    <cellStyle name="Normal 5 2 2 3 2 3 2" xfId="3128" xr:uid="{00000000-0005-0000-0000-0000AD170000}"/>
    <cellStyle name="Normal 5 2 2 3 2 3 2 2" xfId="7351" xr:uid="{00000000-0005-0000-0000-0000AE170000}"/>
    <cellStyle name="Normal 5 2 2 3 2 3 2 2 2" xfId="15786" xr:uid="{84C45A1C-DE83-4326-BDB4-D33E4C7505D2}"/>
    <cellStyle name="Normal 5 2 2 3 2 3 2 3" xfId="11568" xr:uid="{69A53762-7477-46E3-A62B-FFDE303C30DC}"/>
    <cellStyle name="Normal 5 2 2 3 2 3 3" xfId="5206" xr:uid="{00000000-0005-0000-0000-0000AF170000}"/>
    <cellStyle name="Normal 5 2 2 3 2 3 3 2" xfId="13641" xr:uid="{C3C9C2E0-8E4A-4BAA-9DBE-8B053B297587}"/>
    <cellStyle name="Normal 5 2 2 3 2 3 4" xfId="9423" xr:uid="{3B66F918-6336-46C1-883D-E269CBED9961}"/>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2 2 2" xfId="16199" xr:uid="{1F07B25F-C959-4DA7-AB78-DBFCD871961B}"/>
    <cellStyle name="Normal 5 2 2 3 2 4 2 3" xfId="11981" xr:uid="{90CA0C78-834E-430E-B318-F62B12F9074B}"/>
    <cellStyle name="Normal 5 2 2 3 2 4 3" xfId="5619" xr:uid="{00000000-0005-0000-0000-0000B3170000}"/>
    <cellStyle name="Normal 5 2 2 3 2 4 3 2" xfId="14054" xr:uid="{96747C8B-8579-4CFC-BA88-F14FFE5A2E06}"/>
    <cellStyle name="Normal 5 2 2 3 2 4 4" xfId="9836" xr:uid="{2610D320-35A9-40AC-8E7A-84F93A4BF748}"/>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2 2 2" xfId="16612" xr:uid="{2994644D-23BF-4978-93F3-3AE63C947F94}"/>
    <cellStyle name="Normal 5 2 2 3 2 5 2 3" xfId="12394" xr:uid="{C52BE8D9-D686-4AD4-9EFF-465AD69BF268}"/>
    <cellStyle name="Normal 5 2 2 3 2 5 3" xfId="6032" xr:uid="{00000000-0005-0000-0000-0000B7170000}"/>
    <cellStyle name="Normal 5 2 2 3 2 5 3 2" xfId="14467" xr:uid="{F2E5B98C-A2FA-4865-AB0A-533B6606E254}"/>
    <cellStyle name="Normal 5 2 2 3 2 5 4" xfId="10249" xr:uid="{5CCAF723-3D78-4E01-9987-6496A610F383}"/>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2 2 2" xfId="17025" xr:uid="{14F792CD-8572-4378-B167-5B3FC81879F4}"/>
    <cellStyle name="Normal 5 2 2 3 2 6 2 3" xfId="12807" xr:uid="{2D9287FB-8815-4D2B-8EF4-26CDD7498077}"/>
    <cellStyle name="Normal 5 2 2 3 2 6 3" xfId="6445" xr:uid="{00000000-0005-0000-0000-0000BB170000}"/>
    <cellStyle name="Normal 5 2 2 3 2 6 3 2" xfId="14880" xr:uid="{ECF93A74-7432-4E81-B35D-7A6F2A3C9C14}"/>
    <cellStyle name="Normal 5 2 2 3 2 6 4" xfId="10662" xr:uid="{2A10E659-6B78-48EC-8D3B-F06F0ABCA304}"/>
    <cellStyle name="Normal 5 2 2 3 2 7" xfId="2574" xr:uid="{00000000-0005-0000-0000-0000BC170000}"/>
    <cellStyle name="Normal 5 2 2 3 2 7 2" xfId="6858" xr:uid="{00000000-0005-0000-0000-0000BD170000}"/>
    <cellStyle name="Normal 5 2 2 3 2 7 2 2" xfId="15293" xr:uid="{48A36FD1-25CB-4699-BE13-D6B9BE241EE3}"/>
    <cellStyle name="Normal 5 2 2 3 2 7 3" xfId="11075" xr:uid="{E1CF4704-1C82-45D5-A180-81B468B5AD6B}"/>
    <cellStyle name="Normal 5 2 2 3 2 8" xfId="4793" xr:uid="{00000000-0005-0000-0000-0000BE170000}"/>
    <cellStyle name="Normal 5 2 2 3 2 8 2" xfId="13228" xr:uid="{614592E2-7D51-457B-9C62-EC563A6DD2E9}"/>
    <cellStyle name="Normal 5 2 2 3 2 9" xfId="9010" xr:uid="{E658841C-9490-46AB-8E8C-76C9C435F293}"/>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2 2 2" xfId="15788" xr:uid="{E473A928-7CD7-442D-BA29-7D0F4D6E6955}"/>
    <cellStyle name="Normal 5 2 2 3 3 2 2 3" xfId="11570" xr:uid="{FE16FD1C-5422-49CE-8C9E-3D96BFAB8957}"/>
    <cellStyle name="Normal 5 2 2 3 3 2 3" xfId="5208" xr:uid="{00000000-0005-0000-0000-0000C3170000}"/>
    <cellStyle name="Normal 5 2 2 3 3 2 3 2" xfId="13643" xr:uid="{0DE5F432-A539-4C03-A0A4-4946D2DA7DA0}"/>
    <cellStyle name="Normal 5 2 2 3 3 2 4" xfId="9425" xr:uid="{66C2EC56-2968-4656-89FA-5C51BED49C6E}"/>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2 2 2" xfId="16201" xr:uid="{642333CE-405D-4770-BFB2-D98B1FAD26CE}"/>
    <cellStyle name="Normal 5 2 2 3 3 3 2 3" xfId="11983" xr:uid="{DF4B50F0-F646-4C3D-915E-9B0D005946BA}"/>
    <cellStyle name="Normal 5 2 2 3 3 3 3" xfId="5621" xr:uid="{00000000-0005-0000-0000-0000C7170000}"/>
    <cellStyle name="Normal 5 2 2 3 3 3 3 2" xfId="14056" xr:uid="{CA2A49F8-095F-4434-81B6-41E3CD28BA9B}"/>
    <cellStyle name="Normal 5 2 2 3 3 3 4" xfId="9838" xr:uid="{4C36110D-6D1E-451A-881B-0EFDA77D8FA6}"/>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2 2 2" xfId="16614" xr:uid="{F79FFC02-11C2-4BDC-B7AA-0B5150441A14}"/>
    <cellStyle name="Normal 5 2 2 3 3 4 2 3" xfId="12396" xr:uid="{B0F4154B-0086-4DF0-84FA-23E77222B772}"/>
    <cellStyle name="Normal 5 2 2 3 3 4 3" xfId="6034" xr:uid="{00000000-0005-0000-0000-0000CB170000}"/>
    <cellStyle name="Normal 5 2 2 3 3 4 3 2" xfId="14469" xr:uid="{9C2F5B50-C65B-4911-B354-8A28E9D63EE2}"/>
    <cellStyle name="Normal 5 2 2 3 3 4 4" xfId="10251" xr:uid="{DDC9386A-61EF-4244-B858-51A2C9421456}"/>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2 2 2" xfId="17027" xr:uid="{2A27D1CD-26CD-41DC-9430-B59F689B5C2F}"/>
    <cellStyle name="Normal 5 2 2 3 3 5 2 3" xfId="12809" xr:uid="{815FFF8A-29ED-41D6-AB88-2D6D4764DD2E}"/>
    <cellStyle name="Normal 5 2 2 3 3 5 3" xfId="6447" xr:uid="{00000000-0005-0000-0000-0000CF170000}"/>
    <cellStyle name="Normal 5 2 2 3 3 5 3 2" xfId="14882" xr:uid="{6780550F-4F85-4944-8943-11BCAE6E22C3}"/>
    <cellStyle name="Normal 5 2 2 3 3 5 4" xfId="10664" xr:uid="{AD146AB7-2387-4DE4-ADFD-726FC144739E}"/>
    <cellStyle name="Normal 5 2 2 3 3 6" xfId="2576" xr:uid="{00000000-0005-0000-0000-0000D0170000}"/>
    <cellStyle name="Normal 5 2 2 3 3 6 2" xfId="6860" xr:uid="{00000000-0005-0000-0000-0000D1170000}"/>
    <cellStyle name="Normal 5 2 2 3 3 6 2 2" xfId="15295" xr:uid="{8593D6B7-CC8A-4CBD-88D5-D5374BA0AFC9}"/>
    <cellStyle name="Normal 5 2 2 3 3 6 3" xfId="11077" xr:uid="{E21F9036-1301-48BF-B9F3-516303C2CD38}"/>
    <cellStyle name="Normal 5 2 2 3 3 7" xfId="4795" xr:uid="{00000000-0005-0000-0000-0000D2170000}"/>
    <cellStyle name="Normal 5 2 2 3 3 7 2" xfId="13230" xr:uid="{58835CB8-EC42-4896-8C29-989B4CE5F43B}"/>
    <cellStyle name="Normal 5 2 2 3 3 8" xfId="9012" xr:uid="{85A99819-57EB-4A26-BB93-128A39D27157}"/>
    <cellStyle name="Normal 5 2 2 3 4" xfId="892" xr:uid="{00000000-0005-0000-0000-0000D3170000}"/>
    <cellStyle name="Normal 5 2 2 3 4 2" xfId="3127" xr:uid="{00000000-0005-0000-0000-0000D4170000}"/>
    <cellStyle name="Normal 5 2 2 3 4 2 2" xfId="7350" xr:uid="{00000000-0005-0000-0000-0000D5170000}"/>
    <cellStyle name="Normal 5 2 2 3 4 2 2 2" xfId="15785" xr:uid="{AEB97FA8-7B63-46B0-A8EA-504232619841}"/>
    <cellStyle name="Normal 5 2 2 3 4 2 3" xfId="11567" xr:uid="{5BA9393C-08D1-43B2-8729-279EEC533B3F}"/>
    <cellStyle name="Normal 5 2 2 3 4 3" xfId="5205" xr:uid="{00000000-0005-0000-0000-0000D6170000}"/>
    <cellStyle name="Normal 5 2 2 3 4 3 2" xfId="13640" xr:uid="{6FE6CC0A-1C2F-44BA-9DA2-14640173F565}"/>
    <cellStyle name="Normal 5 2 2 3 4 4" xfId="9422" xr:uid="{C8D2543E-53AC-442E-B517-DB6435934CC3}"/>
    <cellStyle name="Normal 5 2 2 3 5" xfId="1310" xr:uid="{00000000-0005-0000-0000-0000D7170000}"/>
    <cellStyle name="Normal 5 2 2 3 5 2" xfId="3540" xr:uid="{00000000-0005-0000-0000-0000D8170000}"/>
    <cellStyle name="Normal 5 2 2 3 5 2 2" xfId="7763" xr:uid="{00000000-0005-0000-0000-0000D9170000}"/>
    <cellStyle name="Normal 5 2 2 3 5 2 2 2" xfId="16198" xr:uid="{79C17BBC-F4D8-4DE1-A116-6DD5FDB2A5A6}"/>
    <cellStyle name="Normal 5 2 2 3 5 2 3" xfId="11980" xr:uid="{CB0B79A1-77FD-4D0B-9CB7-1709076604BD}"/>
    <cellStyle name="Normal 5 2 2 3 5 3" xfId="5618" xr:uid="{00000000-0005-0000-0000-0000DA170000}"/>
    <cellStyle name="Normal 5 2 2 3 5 3 2" xfId="14053" xr:uid="{DEE8CDB6-363F-4652-8E17-F697AE3EB8D9}"/>
    <cellStyle name="Normal 5 2 2 3 5 4" xfId="9835" xr:uid="{7D0DBACF-9F4B-460D-B37D-C641A03B0A70}"/>
    <cellStyle name="Normal 5 2 2 3 6" xfId="1723" xr:uid="{00000000-0005-0000-0000-0000DB170000}"/>
    <cellStyle name="Normal 5 2 2 3 6 2" xfId="3953" xr:uid="{00000000-0005-0000-0000-0000DC170000}"/>
    <cellStyle name="Normal 5 2 2 3 6 2 2" xfId="8176" xr:uid="{00000000-0005-0000-0000-0000DD170000}"/>
    <cellStyle name="Normal 5 2 2 3 6 2 2 2" xfId="16611" xr:uid="{9A54B8CE-530E-4858-B90E-1FBDA92F5E35}"/>
    <cellStyle name="Normal 5 2 2 3 6 2 3" xfId="12393" xr:uid="{95D9F58C-F7C4-43EF-850B-6E3C647C41E8}"/>
    <cellStyle name="Normal 5 2 2 3 6 3" xfId="6031" xr:uid="{00000000-0005-0000-0000-0000DE170000}"/>
    <cellStyle name="Normal 5 2 2 3 6 3 2" xfId="14466" xr:uid="{FC6D2170-4B4F-48EA-B2FF-3B491C812C39}"/>
    <cellStyle name="Normal 5 2 2 3 6 4" xfId="10248" xr:uid="{65890C3D-D51A-4B13-8F72-70AC6C4E96BF}"/>
    <cellStyle name="Normal 5 2 2 3 7" xfId="2137" xr:uid="{00000000-0005-0000-0000-0000DF170000}"/>
    <cellStyle name="Normal 5 2 2 3 7 2" xfId="4366" xr:uid="{00000000-0005-0000-0000-0000E0170000}"/>
    <cellStyle name="Normal 5 2 2 3 7 2 2" xfId="8589" xr:uid="{00000000-0005-0000-0000-0000E1170000}"/>
    <cellStyle name="Normal 5 2 2 3 7 2 2 2" xfId="17024" xr:uid="{1C31823C-EF56-42B7-9FB4-817AA8D9F533}"/>
    <cellStyle name="Normal 5 2 2 3 7 2 3" xfId="12806" xr:uid="{3375D9DB-1F25-4CA8-9332-23E6BE20656C}"/>
    <cellStyle name="Normal 5 2 2 3 7 3" xfId="6444" xr:uid="{00000000-0005-0000-0000-0000E2170000}"/>
    <cellStyle name="Normal 5 2 2 3 7 3 2" xfId="14879" xr:uid="{DD6AF3EC-CDFF-4981-88BC-1F004F918F99}"/>
    <cellStyle name="Normal 5 2 2 3 7 4" xfId="10661" xr:uid="{4B8BA6E7-383A-4866-98AC-7C3CBCAE310B}"/>
    <cellStyle name="Normal 5 2 2 3 8" xfId="2573" xr:uid="{00000000-0005-0000-0000-0000E3170000}"/>
    <cellStyle name="Normal 5 2 2 3 8 2" xfId="6857" xr:uid="{00000000-0005-0000-0000-0000E4170000}"/>
    <cellStyle name="Normal 5 2 2 3 8 2 2" xfId="15292" xr:uid="{3DA0E028-3748-4771-9ECD-A38E91B3B3A2}"/>
    <cellStyle name="Normal 5 2 2 3 8 3" xfId="11074" xr:uid="{8BABEA40-9097-4D30-B6EA-91F5BAF7B228}"/>
    <cellStyle name="Normal 5 2 2 3 9" xfId="4792" xr:uid="{00000000-0005-0000-0000-0000E5170000}"/>
    <cellStyle name="Normal 5 2 2 3 9 2" xfId="13227" xr:uid="{1F59F1EC-F973-4D24-B030-1C62686DBC9B}"/>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2 2 2" xfId="15790" xr:uid="{4E4F8CF3-7470-4713-9073-3477559E7D01}"/>
    <cellStyle name="Normal 5 2 2 4 2 2 2 3" xfId="11572" xr:uid="{A4360E83-E079-4A11-B2C3-5D4354CE47EA}"/>
    <cellStyle name="Normal 5 2 2 4 2 2 3" xfId="5210" xr:uid="{00000000-0005-0000-0000-0000EB170000}"/>
    <cellStyle name="Normal 5 2 2 4 2 2 3 2" xfId="13645" xr:uid="{6A6A81C3-2C7E-4B47-8C67-134525F037EE}"/>
    <cellStyle name="Normal 5 2 2 4 2 2 4" xfId="9427" xr:uid="{8D2F16B3-22D7-4093-B244-D19E3366B645}"/>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2 2 2" xfId="16203" xr:uid="{748CCF29-AEE8-4883-ABBB-97BAB87BF1AC}"/>
    <cellStyle name="Normal 5 2 2 4 2 3 2 3" xfId="11985" xr:uid="{976CD6D2-BFF3-484F-B93B-71984C8CDB9C}"/>
    <cellStyle name="Normal 5 2 2 4 2 3 3" xfId="5623" xr:uid="{00000000-0005-0000-0000-0000EF170000}"/>
    <cellStyle name="Normal 5 2 2 4 2 3 3 2" xfId="14058" xr:uid="{255456C7-A7E7-4FAF-93BC-75F3C9AEA371}"/>
    <cellStyle name="Normal 5 2 2 4 2 3 4" xfId="9840" xr:uid="{058B86DB-7AE6-43A0-9CF6-706AD33BA03C}"/>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2 2 2" xfId="16616" xr:uid="{F128DC41-A3AA-4D50-9E01-15369F008FCA}"/>
    <cellStyle name="Normal 5 2 2 4 2 4 2 3" xfId="12398" xr:uid="{D49717DE-2C7B-4391-BAA5-30EF907B5CEB}"/>
    <cellStyle name="Normal 5 2 2 4 2 4 3" xfId="6036" xr:uid="{00000000-0005-0000-0000-0000F3170000}"/>
    <cellStyle name="Normal 5 2 2 4 2 4 3 2" xfId="14471" xr:uid="{F6B9F59D-FA48-49C6-B64F-BD52D48D71A3}"/>
    <cellStyle name="Normal 5 2 2 4 2 4 4" xfId="10253" xr:uid="{582CEAE0-BE4A-4E0F-9AFB-23FF0F62D909}"/>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2 2 2" xfId="17029" xr:uid="{86721383-9EB3-45B9-83F4-E0DEB4AC1DB2}"/>
    <cellStyle name="Normal 5 2 2 4 2 5 2 3" xfId="12811" xr:uid="{3A0861FA-AB7B-4195-806A-BB9CB322BE58}"/>
    <cellStyle name="Normal 5 2 2 4 2 5 3" xfId="6449" xr:uid="{00000000-0005-0000-0000-0000F7170000}"/>
    <cellStyle name="Normal 5 2 2 4 2 5 3 2" xfId="14884" xr:uid="{5B55D854-EC06-47ED-99E2-A4337A476287}"/>
    <cellStyle name="Normal 5 2 2 4 2 5 4" xfId="10666" xr:uid="{2003AE99-D8CF-414A-B836-DBEB5C38F3A7}"/>
    <cellStyle name="Normal 5 2 2 4 2 6" xfId="2578" xr:uid="{00000000-0005-0000-0000-0000F8170000}"/>
    <cellStyle name="Normal 5 2 2 4 2 6 2" xfId="6862" xr:uid="{00000000-0005-0000-0000-0000F9170000}"/>
    <cellStyle name="Normal 5 2 2 4 2 6 2 2" xfId="15297" xr:uid="{F2EF8F96-BE90-4DA8-841C-4AADE2C7243E}"/>
    <cellStyle name="Normal 5 2 2 4 2 6 3" xfId="11079" xr:uid="{97A4AB73-DF65-4CAC-94D4-896BCA763213}"/>
    <cellStyle name="Normal 5 2 2 4 2 7" xfId="4797" xr:uid="{00000000-0005-0000-0000-0000FA170000}"/>
    <cellStyle name="Normal 5 2 2 4 2 7 2" xfId="13232" xr:uid="{6D38CB38-BA2B-460A-9BB6-F6A2A81A05BA}"/>
    <cellStyle name="Normal 5 2 2 4 2 8" xfId="9014" xr:uid="{0D8DBB7C-70D3-40B8-8792-E3BB37CC31B0}"/>
    <cellStyle name="Normal 5 2 2 4 3" xfId="896" xr:uid="{00000000-0005-0000-0000-0000FB170000}"/>
    <cellStyle name="Normal 5 2 2 4 3 2" xfId="3131" xr:uid="{00000000-0005-0000-0000-0000FC170000}"/>
    <cellStyle name="Normal 5 2 2 4 3 2 2" xfId="7354" xr:uid="{00000000-0005-0000-0000-0000FD170000}"/>
    <cellStyle name="Normal 5 2 2 4 3 2 2 2" xfId="15789" xr:uid="{E0AC8BB5-02EF-416C-AB5A-5D45F21E1FEC}"/>
    <cellStyle name="Normal 5 2 2 4 3 2 3" xfId="11571" xr:uid="{0A9A662E-93DA-4F3C-A645-3F8649020964}"/>
    <cellStyle name="Normal 5 2 2 4 3 3" xfId="5209" xr:uid="{00000000-0005-0000-0000-0000FE170000}"/>
    <cellStyle name="Normal 5 2 2 4 3 3 2" xfId="13644" xr:uid="{31F25145-EF3A-4F04-B98E-84D55867C659}"/>
    <cellStyle name="Normal 5 2 2 4 3 4" xfId="9426" xr:uid="{49AB21E4-37AA-4F74-92EA-DB82BA4FFD6B}"/>
    <cellStyle name="Normal 5 2 2 4 4" xfId="1314" xr:uid="{00000000-0005-0000-0000-0000FF170000}"/>
    <cellStyle name="Normal 5 2 2 4 4 2" xfId="3544" xr:uid="{00000000-0005-0000-0000-000000180000}"/>
    <cellStyle name="Normal 5 2 2 4 4 2 2" xfId="7767" xr:uid="{00000000-0005-0000-0000-000001180000}"/>
    <cellStyle name="Normal 5 2 2 4 4 2 2 2" xfId="16202" xr:uid="{655F5367-16ED-49BD-A582-04D7134A842A}"/>
    <cellStyle name="Normal 5 2 2 4 4 2 3" xfId="11984" xr:uid="{9DE06958-CE1C-404C-8763-97C42AA3431F}"/>
    <cellStyle name="Normal 5 2 2 4 4 3" xfId="5622" xr:uid="{00000000-0005-0000-0000-000002180000}"/>
    <cellStyle name="Normal 5 2 2 4 4 3 2" xfId="14057" xr:uid="{43338AC8-96B9-4751-B8F1-E6CF76359297}"/>
    <cellStyle name="Normal 5 2 2 4 4 4" xfId="9839" xr:uid="{2AAED377-22F7-4062-B818-BA61FB35B9B8}"/>
    <cellStyle name="Normal 5 2 2 4 5" xfId="1727" xr:uid="{00000000-0005-0000-0000-000003180000}"/>
    <cellStyle name="Normal 5 2 2 4 5 2" xfId="3957" xr:uid="{00000000-0005-0000-0000-000004180000}"/>
    <cellStyle name="Normal 5 2 2 4 5 2 2" xfId="8180" xr:uid="{00000000-0005-0000-0000-000005180000}"/>
    <cellStyle name="Normal 5 2 2 4 5 2 2 2" xfId="16615" xr:uid="{761441EA-C604-4BF1-AA84-C770092ABB15}"/>
    <cellStyle name="Normal 5 2 2 4 5 2 3" xfId="12397" xr:uid="{1CAB9055-7FD7-4C8A-B437-1C5500212887}"/>
    <cellStyle name="Normal 5 2 2 4 5 3" xfId="6035" xr:uid="{00000000-0005-0000-0000-000006180000}"/>
    <cellStyle name="Normal 5 2 2 4 5 3 2" xfId="14470" xr:uid="{9C17EC5B-B28C-4C6F-9BAA-3401EFD59690}"/>
    <cellStyle name="Normal 5 2 2 4 5 4" xfId="10252" xr:uid="{610E3C54-BC82-4D7D-AE9E-52338402D861}"/>
    <cellStyle name="Normal 5 2 2 4 6" xfId="2141" xr:uid="{00000000-0005-0000-0000-000007180000}"/>
    <cellStyle name="Normal 5 2 2 4 6 2" xfId="4370" xr:uid="{00000000-0005-0000-0000-000008180000}"/>
    <cellStyle name="Normal 5 2 2 4 6 2 2" xfId="8593" xr:uid="{00000000-0005-0000-0000-000009180000}"/>
    <cellStyle name="Normal 5 2 2 4 6 2 2 2" xfId="17028" xr:uid="{4CC6E583-3596-45BD-8C84-BD0B105DA23A}"/>
    <cellStyle name="Normal 5 2 2 4 6 2 3" xfId="12810" xr:uid="{DF0B7FF9-2B31-46E5-9D94-F8AD56222607}"/>
    <cellStyle name="Normal 5 2 2 4 6 3" xfId="6448" xr:uid="{00000000-0005-0000-0000-00000A180000}"/>
    <cellStyle name="Normal 5 2 2 4 6 3 2" xfId="14883" xr:uid="{FCD429A6-0538-4B5B-A07D-81ED3C1DBD01}"/>
    <cellStyle name="Normal 5 2 2 4 6 4" xfId="10665" xr:uid="{5E38A649-B6F9-4DE5-B2AD-D25E6D999B01}"/>
    <cellStyle name="Normal 5 2 2 4 7" xfId="2577" xr:uid="{00000000-0005-0000-0000-00000B180000}"/>
    <cellStyle name="Normal 5 2 2 4 7 2" xfId="6861" xr:uid="{00000000-0005-0000-0000-00000C180000}"/>
    <cellStyle name="Normal 5 2 2 4 7 2 2" xfId="15296" xr:uid="{C6BDFFA3-5164-4EBE-B79F-1F3E1ACF7AD3}"/>
    <cellStyle name="Normal 5 2 2 4 7 3" xfId="11078" xr:uid="{F41E9F18-7C5F-4AE8-93AE-09FA137633BF}"/>
    <cellStyle name="Normal 5 2 2 4 8" xfId="4796" xr:uid="{00000000-0005-0000-0000-00000D180000}"/>
    <cellStyle name="Normal 5 2 2 4 8 2" xfId="13231" xr:uid="{93FF69B7-F04D-4008-8D9B-890B98224845}"/>
    <cellStyle name="Normal 5 2 2 4 9" xfId="9013" xr:uid="{9BC0AC91-3B3F-495A-B4E8-7FEBDF7955D6}"/>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2 2 2" xfId="15791" xr:uid="{47D8EFA5-1D36-488D-9A80-6B9A03781F21}"/>
    <cellStyle name="Normal 5 2 2 5 2 2 3" xfId="11573" xr:uid="{2FF11B10-1F9D-4F57-92F4-DAAD3C0DA03B}"/>
    <cellStyle name="Normal 5 2 2 5 2 3" xfId="5211" xr:uid="{00000000-0005-0000-0000-000012180000}"/>
    <cellStyle name="Normal 5 2 2 5 2 3 2" xfId="13646" xr:uid="{2DDB7407-5FC0-4B3B-B283-4831E0602DD9}"/>
    <cellStyle name="Normal 5 2 2 5 2 4" xfId="9428" xr:uid="{F22145DD-FFB2-4A14-8FBE-F9742CF9C4FF}"/>
    <cellStyle name="Normal 5 2 2 5 3" xfId="1316" xr:uid="{00000000-0005-0000-0000-000013180000}"/>
    <cellStyle name="Normal 5 2 2 5 3 2" xfId="3546" xr:uid="{00000000-0005-0000-0000-000014180000}"/>
    <cellStyle name="Normal 5 2 2 5 3 2 2" xfId="7769" xr:uid="{00000000-0005-0000-0000-000015180000}"/>
    <cellStyle name="Normal 5 2 2 5 3 2 2 2" xfId="16204" xr:uid="{55260029-B630-4EE7-8B26-C42B70E41975}"/>
    <cellStyle name="Normal 5 2 2 5 3 2 3" xfId="11986" xr:uid="{904B93EF-18C1-4AA9-BB2D-CBE279CB4256}"/>
    <cellStyle name="Normal 5 2 2 5 3 3" xfId="5624" xr:uid="{00000000-0005-0000-0000-000016180000}"/>
    <cellStyle name="Normal 5 2 2 5 3 3 2" xfId="14059" xr:uid="{93EABAF0-CFDA-4556-B088-86D8F6573446}"/>
    <cellStyle name="Normal 5 2 2 5 3 4" xfId="9841" xr:uid="{8A1CCB50-592C-4C76-9654-BE1CB1C122A0}"/>
    <cellStyle name="Normal 5 2 2 5 4" xfId="1729" xr:uid="{00000000-0005-0000-0000-000017180000}"/>
    <cellStyle name="Normal 5 2 2 5 4 2" xfId="3959" xr:uid="{00000000-0005-0000-0000-000018180000}"/>
    <cellStyle name="Normal 5 2 2 5 4 2 2" xfId="8182" xr:uid="{00000000-0005-0000-0000-000019180000}"/>
    <cellStyle name="Normal 5 2 2 5 4 2 2 2" xfId="16617" xr:uid="{9C2FCE44-D8F6-4A78-9D65-B5C0ECB454EC}"/>
    <cellStyle name="Normal 5 2 2 5 4 2 3" xfId="12399" xr:uid="{6B2BDDC2-BE63-4505-8E3F-FE47990DDA92}"/>
    <cellStyle name="Normal 5 2 2 5 4 3" xfId="6037" xr:uid="{00000000-0005-0000-0000-00001A180000}"/>
    <cellStyle name="Normal 5 2 2 5 4 3 2" xfId="14472" xr:uid="{9BB79C5B-BC39-49A3-BC8C-6303086183B4}"/>
    <cellStyle name="Normal 5 2 2 5 4 4" xfId="10254" xr:uid="{9FE612AF-8153-4372-BB0B-9711CF52FEBD}"/>
    <cellStyle name="Normal 5 2 2 5 5" xfId="2143" xr:uid="{00000000-0005-0000-0000-00001B180000}"/>
    <cellStyle name="Normal 5 2 2 5 5 2" xfId="4372" xr:uid="{00000000-0005-0000-0000-00001C180000}"/>
    <cellStyle name="Normal 5 2 2 5 5 2 2" xfId="8595" xr:uid="{00000000-0005-0000-0000-00001D180000}"/>
    <cellStyle name="Normal 5 2 2 5 5 2 2 2" xfId="17030" xr:uid="{60E9F74E-938D-4D57-AA86-CC10E63FD6EE}"/>
    <cellStyle name="Normal 5 2 2 5 5 2 3" xfId="12812" xr:uid="{6404A3EE-0301-4B5A-BF75-54FCE2762ED8}"/>
    <cellStyle name="Normal 5 2 2 5 5 3" xfId="6450" xr:uid="{00000000-0005-0000-0000-00001E180000}"/>
    <cellStyle name="Normal 5 2 2 5 5 3 2" xfId="14885" xr:uid="{3BD98437-B215-41A3-8BC2-76B1BA665684}"/>
    <cellStyle name="Normal 5 2 2 5 5 4" xfId="10667" xr:uid="{6C314375-364C-49CD-8234-C8D023736F61}"/>
    <cellStyle name="Normal 5 2 2 5 6" xfId="2579" xr:uid="{00000000-0005-0000-0000-00001F180000}"/>
    <cellStyle name="Normal 5 2 2 5 6 2" xfId="6863" xr:uid="{00000000-0005-0000-0000-000020180000}"/>
    <cellStyle name="Normal 5 2 2 5 6 2 2" xfId="15298" xr:uid="{D4F79180-3220-486A-880F-5DA7981F4BC6}"/>
    <cellStyle name="Normal 5 2 2 5 6 3" xfId="11080" xr:uid="{75387776-A496-421B-9AE6-8D706CF4AB05}"/>
    <cellStyle name="Normal 5 2 2 5 7" xfId="4798" xr:uid="{00000000-0005-0000-0000-000021180000}"/>
    <cellStyle name="Normal 5 2 2 5 7 2" xfId="13233" xr:uid="{2F5FF230-8F2A-426D-AB0F-DC0B266D71AD}"/>
    <cellStyle name="Normal 5 2 2 5 8" xfId="9015" xr:uid="{A7AB09F9-0A70-4573-95A7-54AE6D4803F3}"/>
    <cellStyle name="Normal 5 2 2 6" xfId="883" xr:uid="{00000000-0005-0000-0000-000022180000}"/>
    <cellStyle name="Normal 5 2 2 6 2" xfId="3118" xr:uid="{00000000-0005-0000-0000-000023180000}"/>
    <cellStyle name="Normal 5 2 2 6 2 2" xfId="7341" xr:uid="{00000000-0005-0000-0000-000024180000}"/>
    <cellStyle name="Normal 5 2 2 6 2 2 2" xfId="15776" xr:uid="{B64EA1F8-758D-4C86-91EC-E2B0B2EA24AD}"/>
    <cellStyle name="Normal 5 2 2 6 2 3" xfId="11558" xr:uid="{23DF0381-7891-4F89-B958-A829841BDB4C}"/>
    <cellStyle name="Normal 5 2 2 6 3" xfId="5196" xr:uid="{00000000-0005-0000-0000-000025180000}"/>
    <cellStyle name="Normal 5 2 2 6 3 2" xfId="13631" xr:uid="{1CB0B620-772F-411E-9D3D-82632A62BC05}"/>
    <cellStyle name="Normal 5 2 2 6 4" xfId="9413" xr:uid="{0C2BEF9F-DC82-4F38-98F9-59EC7050AFD0}"/>
    <cellStyle name="Normal 5 2 2 7" xfId="1301" xr:uid="{00000000-0005-0000-0000-000026180000}"/>
    <cellStyle name="Normal 5 2 2 7 2" xfId="3531" xr:uid="{00000000-0005-0000-0000-000027180000}"/>
    <cellStyle name="Normal 5 2 2 7 2 2" xfId="7754" xr:uid="{00000000-0005-0000-0000-000028180000}"/>
    <cellStyle name="Normal 5 2 2 7 2 2 2" xfId="16189" xr:uid="{FE32482D-5811-4207-A345-3E413314681D}"/>
    <cellStyle name="Normal 5 2 2 7 2 3" xfId="11971" xr:uid="{0702CBDC-CDEC-46B2-8A1C-C0EFD431CE2C}"/>
    <cellStyle name="Normal 5 2 2 7 3" xfId="5609" xr:uid="{00000000-0005-0000-0000-000029180000}"/>
    <cellStyle name="Normal 5 2 2 7 3 2" xfId="14044" xr:uid="{9555D2AB-B3FF-43CD-A2C6-D10F3AFEE348}"/>
    <cellStyle name="Normal 5 2 2 7 4" xfId="9826" xr:uid="{1C05AE53-6CDD-4F6D-8DC4-011AF020845C}"/>
    <cellStyle name="Normal 5 2 2 8" xfId="1714" xr:uid="{00000000-0005-0000-0000-00002A180000}"/>
    <cellStyle name="Normal 5 2 2 8 2" xfId="3944" xr:uid="{00000000-0005-0000-0000-00002B180000}"/>
    <cellStyle name="Normal 5 2 2 8 2 2" xfId="8167" xr:uid="{00000000-0005-0000-0000-00002C180000}"/>
    <cellStyle name="Normal 5 2 2 8 2 2 2" xfId="16602" xr:uid="{BF26C3DF-17A2-462B-944B-A916C680C714}"/>
    <cellStyle name="Normal 5 2 2 8 2 3" xfId="12384" xr:uid="{0A527F06-331C-43D8-919A-0D159FF7495F}"/>
    <cellStyle name="Normal 5 2 2 8 3" xfId="6022" xr:uid="{00000000-0005-0000-0000-00002D180000}"/>
    <cellStyle name="Normal 5 2 2 8 3 2" xfId="14457" xr:uid="{33F7092E-8740-4E24-B1C8-C11E35C05165}"/>
    <cellStyle name="Normal 5 2 2 8 4" xfId="10239" xr:uid="{4B7647B2-8FBB-467C-B0D4-F5697D9C0DDD}"/>
    <cellStyle name="Normal 5 2 2 9" xfId="2128" xr:uid="{00000000-0005-0000-0000-00002E180000}"/>
    <cellStyle name="Normal 5 2 2 9 2" xfId="4357" xr:uid="{00000000-0005-0000-0000-00002F180000}"/>
    <cellStyle name="Normal 5 2 2 9 2 2" xfId="8580" xr:uid="{00000000-0005-0000-0000-000030180000}"/>
    <cellStyle name="Normal 5 2 2 9 2 2 2" xfId="17015" xr:uid="{34ABCE47-74E3-4988-B1A1-ACC1DCF8D466}"/>
    <cellStyle name="Normal 5 2 2 9 2 3" xfId="12797" xr:uid="{576A4B9B-035E-4546-ABE1-139C9A100328}"/>
    <cellStyle name="Normal 5 2 2 9 3" xfId="6435" xr:uid="{00000000-0005-0000-0000-000031180000}"/>
    <cellStyle name="Normal 5 2 2 9 3 2" xfId="14870" xr:uid="{0713B000-6246-448D-82AC-425E137D04FA}"/>
    <cellStyle name="Normal 5 2 2 9 4" xfId="10652" xr:uid="{DD7D14AD-38A3-4C1A-92E1-8D28767927C9}"/>
    <cellStyle name="Normal 5 2 3" xfId="424" xr:uid="{00000000-0005-0000-0000-000032180000}"/>
    <cellStyle name="Normal 5 2 3 10" xfId="4799" xr:uid="{00000000-0005-0000-0000-000033180000}"/>
    <cellStyle name="Normal 5 2 3 10 2" xfId="13234" xr:uid="{BA2A9A0D-24DD-460A-8C23-730439EA23F2}"/>
    <cellStyle name="Normal 5 2 3 11" xfId="9016" xr:uid="{FC57C24D-5E94-49EB-A683-8A19EC8959C3}"/>
    <cellStyle name="Normal 5 2 3 2" xfId="425" xr:uid="{00000000-0005-0000-0000-000034180000}"/>
    <cellStyle name="Normal 5 2 3 2 10" xfId="9017" xr:uid="{50F6649C-4DAB-4CAB-8310-51A1166EC764}"/>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2 2 2" xfId="15795" xr:uid="{2947F146-3B9E-4DC4-843A-C4F730F84FDC}"/>
    <cellStyle name="Normal 5 2 3 2 2 2 2 2 3" xfId="11577" xr:uid="{41E6ED29-7E72-45DC-8188-D329AD49C63C}"/>
    <cellStyle name="Normal 5 2 3 2 2 2 2 3" xfId="5215" xr:uid="{00000000-0005-0000-0000-00003A180000}"/>
    <cellStyle name="Normal 5 2 3 2 2 2 2 3 2" xfId="13650" xr:uid="{D8BD9085-0B43-4229-82B9-4D62CE729A4A}"/>
    <cellStyle name="Normal 5 2 3 2 2 2 2 4" xfId="9432" xr:uid="{F3155ADA-1448-4224-A905-212C88E51E5C}"/>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2 2 2" xfId="16208" xr:uid="{FC27D382-0449-418E-9CEC-C63339567DE8}"/>
    <cellStyle name="Normal 5 2 3 2 2 2 3 2 3" xfId="11990" xr:uid="{28301C54-7BF8-4215-9306-A64FF5831586}"/>
    <cellStyle name="Normal 5 2 3 2 2 2 3 3" xfId="5628" xr:uid="{00000000-0005-0000-0000-00003E180000}"/>
    <cellStyle name="Normal 5 2 3 2 2 2 3 3 2" xfId="14063" xr:uid="{CE37E4C1-6B46-4357-95B7-E4DDF3DEE275}"/>
    <cellStyle name="Normal 5 2 3 2 2 2 3 4" xfId="9845" xr:uid="{542BD373-F8CC-411C-A9C3-A6B42146D1B8}"/>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2 2 2" xfId="16621" xr:uid="{5ABC3D54-ACFB-466B-B7D6-DF9B799CF61F}"/>
    <cellStyle name="Normal 5 2 3 2 2 2 4 2 3" xfId="12403" xr:uid="{D9509545-AB49-4C5E-B759-AD9DE3B070A1}"/>
    <cellStyle name="Normal 5 2 3 2 2 2 4 3" xfId="6041" xr:uid="{00000000-0005-0000-0000-000042180000}"/>
    <cellStyle name="Normal 5 2 3 2 2 2 4 3 2" xfId="14476" xr:uid="{DE85A658-9EAB-4E6E-8552-9EBAB5ED50D9}"/>
    <cellStyle name="Normal 5 2 3 2 2 2 4 4" xfId="10258" xr:uid="{FE183550-51D3-49F0-81FB-BB4C6225BF79}"/>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2 2 2" xfId="17034" xr:uid="{BA7E874E-E24A-47E0-B2E7-04D95C392B08}"/>
    <cellStyle name="Normal 5 2 3 2 2 2 5 2 3" xfId="12816" xr:uid="{6895BB92-E90A-4EDB-8BC0-BE8C022E0C6F}"/>
    <cellStyle name="Normal 5 2 3 2 2 2 5 3" xfId="6454" xr:uid="{00000000-0005-0000-0000-000046180000}"/>
    <cellStyle name="Normal 5 2 3 2 2 2 5 3 2" xfId="14889" xr:uid="{1585A6F5-3C93-4E01-8118-A4E1BDEBAC92}"/>
    <cellStyle name="Normal 5 2 3 2 2 2 5 4" xfId="10671" xr:uid="{7491F714-E3F5-4599-BA2F-9EBF63D4C227}"/>
    <cellStyle name="Normal 5 2 3 2 2 2 6" xfId="2583" xr:uid="{00000000-0005-0000-0000-000047180000}"/>
    <cellStyle name="Normal 5 2 3 2 2 2 6 2" xfId="6867" xr:uid="{00000000-0005-0000-0000-000048180000}"/>
    <cellStyle name="Normal 5 2 3 2 2 2 6 2 2" xfId="15302" xr:uid="{387349BB-3E37-4F02-B12D-3BABCA5E74C7}"/>
    <cellStyle name="Normal 5 2 3 2 2 2 6 3" xfId="11084" xr:uid="{E6E7BFB1-2B71-4FA9-B95F-436C56FC42F2}"/>
    <cellStyle name="Normal 5 2 3 2 2 2 7" xfId="4802" xr:uid="{00000000-0005-0000-0000-000049180000}"/>
    <cellStyle name="Normal 5 2 3 2 2 2 7 2" xfId="13237" xr:uid="{81B80CCE-B655-459C-A28A-C9B4B592F235}"/>
    <cellStyle name="Normal 5 2 3 2 2 2 8" xfId="9019" xr:uid="{EAEEB5BA-F15D-44A4-B577-5ED99473041B}"/>
    <cellStyle name="Normal 5 2 3 2 2 3" xfId="901" xr:uid="{00000000-0005-0000-0000-00004A180000}"/>
    <cellStyle name="Normal 5 2 3 2 2 3 2" xfId="3136" xr:uid="{00000000-0005-0000-0000-00004B180000}"/>
    <cellStyle name="Normal 5 2 3 2 2 3 2 2" xfId="7359" xr:uid="{00000000-0005-0000-0000-00004C180000}"/>
    <cellStyle name="Normal 5 2 3 2 2 3 2 2 2" xfId="15794" xr:uid="{C124C6CE-5EEA-4B72-95FB-9497FA5ADF43}"/>
    <cellStyle name="Normal 5 2 3 2 2 3 2 3" xfId="11576" xr:uid="{0C4865CF-6E72-4E83-B8B9-6911D94B7A67}"/>
    <cellStyle name="Normal 5 2 3 2 2 3 3" xfId="5214" xr:uid="{00000000-0005-0000-0000-00004D180000}"/>
    <cellStyle name="Normal 5 2 3 2 2 3 3 2" xfId="13649" xr:uid="{68700332-809A-4C17-9C09-653D393089F3}"/>
    <cellStyle name="Normal 5 2 3 2 2 3 4" xfId="9431" xr:uid="{CEB4BB35-D057-4469-B6EE-1EFAF2374957}"/>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2 2 2" xfId="16207" xr:uid="{811B4667-F9D5-4221-AD4D-74F3373659AE}"/>
    <cellStyle name="Normal 5 2 3 2 2 4 2 3" xfId="11989" xr:uid="{5A1D192C-E968-4E6C-82CA-F17141FC9825}"/>
    <cellStyle name="Normal 5 2 3 2 2 4 3" xfId="5627" xr:uid="{00000000-0005-0000-0000-000051180000}"/>
    <cellStyle name="Normal 5 2 3 2 2 4 3 2" xfId="14062" xr:uid="{07BDB165-58FA-4BFA-ABCA-2D79CC6C3D66}"/>
    <cellStyle name="Normal 5 2 3 2 2 4 4" xfId="9844" xr:uid="{009714FE-B069-44B6-A54D-EC18FBAB3FAE}"/>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2 2 2" xfId="16620" xr:uid="{6D9D440F-7EF8-4D1B-922C-473996ECD44F}"/>
    <cellStyle name="Normal 5 2 3 2 2 5 2 3" xfId="12402" xr:uid="{BAA24A61-3618-4238-B8C6-6A9BC5A3CDA8}"/>
    <cellStyle name="Normal 5 2 3 2 2 5 3" xfId="6040" xr:uid="{00000000-0005-0000-0000-000055180000}"/>
    <cellStyle name="Normal 5 2 3 2 2 5 3 2" xfId="14475" xr:uid="{AD7197E4-93D8-431E-B141-2BC1D451F7F9}"/>
    <cellStyle name="Normal 5 2 3 2 2 5 4" xfId="10257" xr:uid="{5361B8E9-301E-4F0F-89C0-B9DCE2C5CD97}"/>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2 2 2" xfId="17033" xr:uid="{27C46F5B-2A8D-4412-97BF-BCC9B8839BC7}"/>
    <cellStyle name="Normal 5 2 3 2 2 6 2 3" xfId="12815" xr:uid="{A7EDA219-0D85-4DA6-8CF9-0F713029C7CE}"/>
    <cellStyle name="Normal 5 2 3 2 2 6 3" xfId="6453" xr:uid="{00000000-0005-0000-0000-000059180000}"/>
    <cellStyle name="Normal 5 2 3 2 2 6 3 2" xfId="14888" xr:uid="{BDB62996-6422-493C-981A-48860BE839DA}"/>
    <cellStyle name="Normal 5 2 3 2 2 6 4" xfId="10670" xr:uid="{2B9198E5-22D6-4534-868F-09935CAF2392}"/>
    <cellStyle name="Normal 5 2 3 2 2 7" xfId="2582" xr:uid="{00000000-0005-0000-0000-00005A180000}"/>
    <cellStyle name="Normal 5 2 3 2 2 7 2" xfId="6866" xr:uid="{00000000-0005-0000-0000-00005B180000}"/>
    <cellStyle name="Normal 5 2 3 2 2 7 2 2" xfId="15301" xr:uid="{DD6CD790-3AD5-4083-B81D-C58F4F3E4BEC}"/>
    <cellStyle name="Normal 5 2 3 2 2 7 3" xfId="11083" xr:uid="{192DD42F-02BB-4BF3-A861-34DAE71530BA}"/>
    <cellStyle name="Normal 5 2 3 2 2 8" xfId="4801" xr:uid="{00000000-0005-0000-0000-00005C180000}"/>
    <cellStyle name="Normal 5 2 3 2 2 8 2" xfId="13236" xr:uid="{CE5DE4D0-A5A9-4ED0-8A2E-EEF819BFB1A3}"/>
    <cellStyle name="Normal 5 2 3 2 2 9" xfId="9018" xr:uid="{C747923C-7E85-4D60-8E66-A3DBA6E43B01}"/>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2 2 2" xfId="15796" xr:uid="{D0643745-A298-46A2-8BD7-0504A24DC33C}"/>
    <cellStyle name="Normal 5 2 3 2 3 2 2 3" xfId="11578" xr:uid="{8F2A8D6A-BC99-4F47-BD0E-0DC32DC59513}"/>
    <cellStyle name="Normal 5 2 3 2 3 2 3" xfId="5216" xr:uid="{00000000-0005-0000-0000-000061180000}"/>
    <cellStyle name="Normal 5 2 3 2 3 2 3 2" xfId="13651" xr:uid="{965B2379-E7E9-4F7A-BB1C-AF0FA6F550E6}"/>
    <cellStyle name="Normal 5 2 3 2 3 2 4" xfId="9433" xr:uid="{5698BBBE-629C-47AE-961D-4EC0BD1F199B}"/>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2 2 2" xfId="16209" xr:uid="{EAC028F6-479E-42B4-A227-68184DD8DEE6}"/>
    <cellStyle name="Normal 5 2 3 2 3 3 2 3" xfId="11991" xr:uid="{B49D8BF4-AF37-40D0-8A22-D954C319AEC8}"/>
    <cellStyle name="Normal 5 2 3 2 3 3 3" xfId="5629" xr:uid="{00000000-0005-0000-0000-000065180000}"/>
    <cellStyle name="Normal 5 2 3 2 3 3 3 2" xfId="14064" xr:uid="{8EA90573-78ED-448E-8298-59DECA382D1C}"/>
    <cellStyle name="Normal 5 2 3 2 3 3 4" xfId="9846" xr:uid="{03EE5817-4995-4390-9B70-FF546F2AC48D}"/>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2 2 2" xfId="16622" xr:uid="{9601741A-369B-4AFD-9778-0DDF6055F90E}"/>
    <cellStyle name="Normal 5 2 3 2 3 4 2 3" xfId="12404" xr:uid="{FDD67519-229F-4D78-BC5C-32F9EFC973A7}"/>
    <cellStyle name="Normal 5 2 3 2 3 4 3" xfId="6042" xr:uid="{00000000-0005-0000-0000-000069180000}"/>
    <cellStyle name="Normal 5 2 3 2 3 4 3 2" xfId="14477" xr:uid="{EE45CE13-86C2-400E-B4B9-E1B0A834CDB3}"/>
    <cellStyle name="Normal 5 2 3 2 3 4 4" xfId="10259" xr:uid="{32FBEFE4-83AD-4732-BABD-63F787946A96}"/>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2 2 2" xfId="17035" xr:uid="{6C54D6B5-C3E4-4046-927B-796EFFCA8037}"/>
    <cellStyle name="Normal 5 2 3 2 3 5 2 3" xfId="12817" xr:uid="{7C705786-6CFF-4A73-AB9E-DCC03288A323}"/>
    <cellStyle name="Normal 5 2 3 2 3 5 3" xfId="6455" xr:uid="{00000000-0005-0000-0000-00006D180000}"/>
    <cellStyle name="Normal 5 2 3 2 3 5 3 2" xfId="14890" xr:uid="{AF3E0D25-035B-4CE4-8727-D074DC3CABFC}"/>
    <cellStyle name="Normal 5 2 3 2 3 5 4" xfId="10672" xr:uid="{EC4C4B9B-5AA1-474B-A90E-2F5B2A2A4FFA}"/>
    <cellStyle name="Normal 5 2 3 2 3 6" xfId="2584" xr:uid="{00000000-0005-0000-0000-00006E180000}"/>
    <cellStyle name="Normal 5 2 3 2 3 6 2" xfId="6868" xr:uid="{00000000-0005-0000-0000-00006F180000}"/>
    <cellStyle name="Normal 5 2 3 2 3 6 2 2" xfId="15303" xr:uid="{0CC869DE-5D44-4566-BFF0-0836D7FB7C5A}"/>
    <cellStyle name="Normal 5 2 3 2 3 6 3" xfId="11085" xr:uid="{B8AFBC8E-68DD-4287-A7A7-6B337199D52C}"/>
    <cellStyle name="Normal 5 2 3 2 3 7" xfId="4803" xr:uid="{00000000-0005-0000-0000-000070180000}"/>
    <cellStyle name="Normal 5 2 3 2 3 7 2" xfId="13238" xr:uid="{F3102D13-5E70-4179-B41E-D31CBBF84BCA}"/>
    <cellStyle name="Normal 5 2 3 2 3 8" xfId="9020" xr:uid="{3CD73072-D2A3-4898-B729-96FC1526BDB4}"/>
    <cellStyle name="Normal 5 2 3 2 4" xfId="900" xr:uid="{00000000-0005-0000-0000-000071180000}"/>
    <cellStyle name="Normal 5 2 3 2 4 2" xfId="3135" xr:uid="{00000000-0005-0000-0000-000072180000}"/>
    <cellStyle name="Normal 5 2 3 2 4 2 2" xfId="7358" xr:uid="{00000000-0005-0000-0000-000073180000}"/>
    <cellStyle name="Normal 5 2 3 2 4 2 2 2" xfId="15793" xr:uid="{7F2E26B5-6B22-4795-B1B5-A19F00AC6937}"/>
    <cellStyle name="Normal 5 2 3 2 4 2 3" xfId="11575" xr:uid="{3119F881-5A29-4BC9-A168-AE556243AC69}"/>
    <cellStyle name="Normal 5 2 3 2 4 3" xfId="5213" xr:uid="{00000000-0005-0000-0000-000074180000}"/>
    <cellStyle name="Normal 5 2 3 2 4 3 2" xfId="13648" xr:uid="{1D3D1927-9627-4CB0-9E50-D495C11670CF}"/>
    <cellStyle name="Normal 5 2 3 2 4 4" xfId="9430" xr:uid="{D2D3AB34-6022-4173-8B99-813DCA091253}"/>
    <cellStyle name="Normal 5 2 3 2 5" xfId="1318" xr:uid="{00000000-0005-0000-0000-000075180000}"/>
    <cellStyle name="Normal 5 2 3 2 5 2" xfId="3548" xr:uid="{00000000-0005-0000-0000-000076180000}"/>
    <cellStyle name="Normal 5 2 3 2 5 2 2" xfId="7771" xr:uid="{00000000-0005-0000-0000-000077180000}"/>
    <cellStyle name="Normal 5 2 3 2 5 2 2 2" xfId="16206" xr:uid="{1AC5E2CC-1422-465A-8B7A-3C7725344D90}"/>
    <cellStyle name="Normal 5 2 3 2 5 2 3" xfId="11988" xr:uid="{0CFB0125-D35C-43A5-B04F-186A4F11A343}"/>
    <cellStyle name="Normal 5 2 3 2 5 3" xfId="5626" xr:uid="{00000000-0005-0000-0000-000078180000}"/>
    <cellStyle name="Normal 5 2 3 2 5 3 2" xfId="14061" xr:uid="{4FF574B2-5951-49D1-850C-AFA6DD96207F}"/>
    <cellStyle name="Normal 5 2 3 2 5 4" xfId="9843" xr:uid="{6448EE89-96C3-458D-9A30-4BF27867575B}"/>
    <cellStyle name="Normal 5 2 3 2 6" xfId="1731" xr:uid="{00000000-0005-0000-0000-000079180000}"/>
    <cellStyle name="Normal 5 2 3 2 6 2" xfId="3961" xr:uid="{00000000-0005-0000-0000-00007A180000}"/>
    <cellStyle name="Normal 5 2 3 2 6 2 2" xfId="8184" xr:uid="{00000000-0005-0000-0000-00007B180000}"/>
    <cellStyle name="Normal 5 2 3 2 6 2 2 2" xfId="16619" xr:uid="{7B9B9D88-A865-44FA-BFA7-2C41AE910B55}"/>
    <cellStyle name="Normal 5 2 3 2 6 2 3" xfId="12401" xr:uid="{95F8D811-B37D-4A36-B90E-C129628EB07B}"/>
    <cellStyle name="Normal 5 2 3 2 6 3" xfId="6039" xr:uid="{00000000-0005-0000-0000-00007C180000}"/>
    <cellStyle name="Normal 5 2 3 2 6 3 2" xfId="14474" xr:uid="{45F6AEDC-5565-48CF-B198-2B7065FDB6CD}"/>
    <cellStyle name="Normal 5 2 3 2 6 4" xfId="10256" xr:uid="{41712E78-B0B3-44A6-86D1-B369C167C6D5}"/>
    <cellStyle name="Normal 5 2 3 2 7" xfId="2145" xr:uid="{00000000-0005-0000-0000-00007D180000}"/>
    <cellStyle name="Normal 5 2 3 2 7 2" xfId="4374" xr:uid="{00000000-0005-0000-0000-00007E180000}"/>
    <cellStyle name="Normal 5 2 3 2 7 2 2" xfId="8597" xr:uid="{00000000-0005-0000-0000-00007F180000}"/>
    <cellStyle name="Normal 5 2 3 2 7 2 2 2" xfId="17032" xr:uid="{CF553BDF-208B-4D9C-AC94-96E928F32A99}"/>
    <cellStyle name="Normal 5 2 3 2 7 2 3" xfId="12814" xr:uid="{A20AC6A4-E31E-4E89-B1BE-AFBD9B9099C5}"/>
    <cellStyle name="Normal 5 2 3 2 7 3" xfId="6452" xr:uid="{00000000-0005-0000-0000-000080180000}"/>
    <cellStyle name="Normal 5 2 3 2 7 3 2" xfId="14887" xr:uid="{261B648B-9A38-496E-8411-D09274463450}"/>
    <cellStyle name="Normal 5 2 3 2 7 4" xfId="10669" xr:uid="{EDCDD041-6DF8-45AB-A7BB-764F64D804B1}"/>
    <cellStyle name="Normal 5 2 3 2 8" xfId="2581" xr:uid="{00000000-0005-0000-0000-000081180000}"/>
    <cellStyle name="Normal 5 2 3 2 8 2" xfId="6865" xr:uid="{00000000-0005-0000-0000-000082180000}"/>
    <cellStyle name="Normal 5 2 3 2 8 2 2" xfId="15300" xr:uid="{809493B7-1C86-42F3-A520-03B6ED05B503}"/>
    <cellStyle name="Normal 5 2 3 2 8 3" xfId="11082" xr:uid="{304B018C-F208-4336-A592-536372AB6526}"/>
    <cellStyle name="Normal 5 2 3 2 9" xfId="4800" xr:uid="{00000000-0005-0000-0000-000083180000}"/>
    <cellStyle name="Normal 5 2 3 2 9 2" xfId="13235" xr:uid="{41E7C6C0-55EB-40BD-9E53-69EFE686A6C9}"/>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2 2 2" xfId="15798" xr:uid="{0F6BB1E3-7637-4F15-92C4-10F73858F591}"/>
    <cellStyle name="Normal 5 2 3 3 2 2 2 3" xfId="11580" xr:uid="{E3BBA19C-25A6-401E-847B-5AC3D003C7E9}"/>
    <cellStyle name="Normal 5 2 3 3 2 2 3" xfId="5218" xr:uid="{00000000-0005-0000-0000-000089180000}"/>
    <cellStyle name="Normal 5 2 3 3 2 2 3 2" xfId="13653" xr:uid="{8575FD28-80DE-4DA5-99F2-A9CCB1348619}"/>
    <cellStyle name="Normal 5 2 3 3 2 2 4" xfId="9435" xr:uid="{BD630019-0038-4DC9-87F8-2D87FDFA4435}"/>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2 2 2" xfId="16211" xr:uid="{82D0E629-48F1-4030-9BA7-1B98DF71F577}"/>
    <cellStyle name="Normal 5 2 3 3 2 3 2 3" xfId="11993" xr:uid="{1D6CA68B-AC28-4E9F-8A77-7459C769CA74}"/>
    <cellStyle name="Normal 5 2 3 3 2 3 3" xfId="5631" xr:uid="{00000000-0005-0000-0000-00008D180000}"/>
    <cellStyle name="Normal 5 2 3 3 2 3 3 2" xfId="14066" xr:uid="{6D1663D2-EE67-4BE4-A417-8757482E77E2}"/>
    <cellStyle name="Normal 5 2 3 3 2 3 4" xfId="9848" xr:uid="{286593EF-7B43-41F4-BCB3-ADB1521D6F36}"/>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2 2 2" xfId="16624" xr:uid="{CA26DDE2-C3C5-46EC-87C8-A0B4ED2F6134}"/>
    <cellStyle name="Normal 5 2 3 3 2 4 2 3" xfId="12406" xr:uid="{2EC03B66-EDAF-422C-9603-B05BB36C018C}"/>
    <cellStyle name="Normal 5 2 3 3 2 4 3" xfId="6044" xr:uid="{00000000-0005-0000-0000-000091180000}"/>
    <cellStyle name="Normal 5 2 3 3 2 4 3 2" xfId="14479" xr:uid="{2A00D257-A83D-4E60-A835-34B85C75A8DD}"/>
    <cellStyle name="Normal 5 2 3 3 2 4 4" xfId="10261" xr:uid="{7C899E1F-7F13-4B67-B90A-9B8A929E8163}"/>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2 2 2" xfId="17037" xr:uid="{D3D51307-B9FD-4864-B0BA-9712C9E98867}"/>
    <cellStyle name="Normal 5 2 3 3 2 5 2 3" xfId="12819" xr:uid="{9C46B7EE-BA67-4181-8C7D-E77C68A16A40}"/>
    <cellStyle name="Normal 5 2 3 3 2 5 3" xfId="6457" xr:uid="{00000000-0005-0000-0000-000095180000}"/>
    <cellStyle name="Normal 5 2 3 3 2 5 3 2" xfId="14892" xr:uid="{F0046610-42BC-41ED-9A6A-2C0018099295}"/>
    <cellStyle name="Normal 5 2 3 3 2 5 4" xfId="10674" xr:uid="{C1AE0E42-A680-4BFE-A31D-06E2DC4EA77D}"/>
    <cellStyle name="Normal 5 2 3 3 2 6" xfId="2586" xr:uid="{00000000-0005-0000-0000-000096180000}"/>
    <cellStyle name="Normal 5 2 3 3 2 6 2" xfId="6870" xr:uid="{00000000-0005-0000-0000-000097180000}"/>
    <cellStyle name="Normal 5 2 3 3 2 6 2 2" xfId="15305" xr:uid="{8999FE58-71DA-4455-9A14-5CE8CA5C6410}"/>
    <cellStyle name="Normal 5 2 3 3 2 6 3" xfId="11087" xr:uid="{FF7E6365-83D9-4D4B-B27F-B9CF6AA8F384}"/>
    <cellStyle name="Normal 5 2 3 3 2 7" xfId="4805" xr:uid="{00000000-0005-0000-0000-000098180000}"/>
    <cellStyle name="Normal 5 2 3 3 2 7 2" xfId="13240" xr:uid="{C6CEB905-BA9D-4202-B618-002CCC84D515}"/>
    <cellStyle name="Normal 5 2 3 3 2 8" xfId="9022" xr:uid="{ECB8D31F-278E-4437-B3F9-305C27129696}"/>
    <cellStyle name="Normal 5 2 3 3 3" xfId="904" xr:uid="{00000000-0005-0000-0000-000099180000}"/>
    <cellStyle name="Normal 5 2 3 3 3 2" xfId="3139" xr:uid="{00000000-0005-0000-0000-00009A180000}"/>
    <cellStyle name="Normal 5 2 3 3 3 2 2" xfId="7362" xr:uid="{00000000-0005-0000-0000-00009B180000}"/>
    <cellStyle name="Normal 5 2 3 3 3 2 2 2" xfId="15797" xr:uid="{CE8B4AC5-82D6-4DEE-B2CF-908A1AADB40C}"/>
    <cellStyle name="Normal 5 2 3 3 3 2 3" xfId="11579" xr:uid="{46B06A1A-58CC-48CA-9A04-E60C4777986D}"/>
    <cellStyle name="Normal 5 2 3 3 3 3" xfId="5217" xr:uid="{00000000-0005-0000-0000-00009C180000}"/>
    <cellStyle name="Normal 5 2 3 3 3 3 2" xfId="13652" xr:uid="{A9AD7DDA-5661-44E9-9E84-A7709E318611}"/>
    <cellStyle name="Normal 5 2 3 3 3 4" xfId="9434" xr:uid="{CB226DB2-6BE7-4024-9070-854FFD72FEEC}"/>
    <cellStyle name="Normal 5 2 3 3 4" xfId="1322" xr:uid="{00000000-0005-0000-0000-00009D180000}"/>
    <cellStyle name="Normal 5 2 3 3 4 2" xfId="3552" xr:uid="{00000000-0005-0000-0000-00009E180000}"/>
    <cellStyle name="Normal 5 2 3 3 4 2 2" xfId="7775" xr:uid="{00000000-0005-0000-0000-00009F180000}"/>
    <cellStyle name="Normal 5 2 3 3 4 2 2 2" xfId="16210" xr:uid="{EFA310AF-854C-4125-9FA6-D1C4ACFF4D5D}"/>
    <cellStyle name="Normal 5 2 3 3 4 2 3" xfId="11992" xr:uid="{FAE34A95-0A99-4B1F-BAC6-4030D185D07D}"/>
    <cellStyle name="Normal 5 2 3 3 4 3" xfId="5630" xr:uid="{00000000-0005-0000-0000-0000A0180000}"/>
    <cellStyle name="Normal 5 2 3 3 4 3 2" xfId="14065" xr:uid="{D7F3BBF9-86C8-446B-A88F-8B5A482F1B3C}"/>
    <cellStyle name="Normal 5 2 3 3 4 4" xfId="9847" xr:uid="{EB19AB0D-BCEC-44F8-8C83-7F840C06D934}"/>
    <cellStyle name="Normal 5 2 3 3 5" xfId="1735" xr:uid="{00000000-0005-0000-0000-0000A1180000}"/>
    <cellStyle name="Normal 5 2 3 3 5 2" xfId="3965" xr:uid="{00000000-0005-0000-0000-0000A2180000}"/>
    <cellStyle name="Normal 5 2 3 3 5 2 2" xfId="8188" xr:uid="{00000000-0005-0000-0000-0000A3180000}"/>
    <cellStyle name="Normal 5 2 3 3 5 2 2 2" xfId="16623" xr:uid="{EC17ABBE-5FFD-4DE9-ADCC-FE48F8E71F51}"/>
    <cellStyle name="Normal 5 2 3 3 5 2 3" xfId="12405" xr:uid="{60ED163B-97AE-4192-92C6-FD9C02F401B8}"/>
    <cellStyle name="Normal 5 2 3 3 5 3" xfId="6043" xr:uid="{00000000-0005-0000-0000-0000A4180000}"/>
    <cellStyle name="Normal 5 2 3 3 5 3 2" xfId="14478" xr:uid="{150B3CA9-FB17-4FD1-9B84-CF8E24844508}"/>
    <cellStyle name="Normal 5 2 3 3 5 4" xfId="10260" xr:uid="{B6EEA3AE-3795-49DC-99EE-702396A02FC5}"/>
    <cellStyle name="Normal 5 2 3 3 6" xfId="2149" xr:uid="{00000000-0005-0000-0000-0000A5180000}"/>
    <cellStyle name="Normal 5 2 3 3 6 2" xfId="4378" xr:uid="{00000000-0005-0000-0000-0000A6180000}"/>
    <cellStyle name="Normal 5 2 3 3 6 2 2" xfId="8601" xr:uid="{00000000-0005-0000-0000-0000A7180000}"/>
    <cellStyle name="Normal 5 2 3 3 6 2 2 2" xfId="17036" xr:uid="{3A153682-E2B5-4B3E-82CC-A6734D0BA259}"/>
    <cellStyle name="Normal 5 2 3 3 6 2 3" xfId="12818" xr:uid="{63389C86-7053-47B8-BC9A-5263EFD6B816}"/>
    <cellStyle name="Normal 5 2 3 3 6 3" xfId="6456" xr:uid="{00000000-0005-0000-0000-0000A8180000}"/>
    <cellStyle name="Normal 5 2 3 3 6 3 2" xfId="14891" xr:uid="{431651B4-9792-42C5-971C-2964045C9BC0}"/>
    <cellStyle name="Normal 5 2 3 3 6 4" xfId="10673" xr:uid="{86FEDD0B-7F81-4275-B337-98C79E927259}"/>
    <cellStyle name="Normal 5 2 3 3 7" xfId="2585" xr:uid="{00000000-0005-0000-0000-0000A9180000}"/>
    <cellStyle name="Normal 5 2 3 3 7 2" xfId="6869" xr:uid="{00000000-0005-0000-0000-0000AA180000}"/>
    <cellStyle name="Normal 5 2 3 3 7 2 2" xfId="15304" xr:uid="{6F1F77D8-AC8B-4FE3-AC0B-8DBA37508CEA}"/>
    <cellStyle name="Normal 5 2 3 3 7 3" xfId="11086" xr:uid="{F7110EF0-CE1B-4EEA-818E-1EC6DE5DD318}"/>
    <cellStyle name="Normal 5 2 3 3 8" xfId="4804" xr:uid="{00000000-0005-0000-0000-0000AB180000}"/>
    <cellStyle name="Normal 5 2 3 3 8 2" xfId="13239" xr:uid="{CED10341-7B8F-4101-BF23-A5EFCA7A2EFF}"/>
    <cellStyle name="Normal 5 2 3 3 9" xfId="9021" xr:uid="{B8726EF0-6EFF-4036-8319-E4443C3E3A7F}"/>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2 2 2" xfId="15799" xr:uid="{5A934828-8F38-4BE6-AAED-D7A0C0E7DC05}"/>
    <cellStyle name="Normal 5 2 3 4 2 2 3" xfId="11581" xr:uid="{468174CF-6E37-40F7-830E-E1CF7EB7D329}"/>
    <cellStyle name="Normal 5 2 3 4 2 3" xfId="5219" xr:uid="{00000000-0005-0000-0000-0000B0180000}"/>
    <cellStyle name="Normal 5 2 3 4 2 3 2" xfId="13654" xr:uid="{B1A03F11-A0AA-4547-B09C-652258343C05}"/>
    <cellStyle name="Normal 5 2 3 4 2 4" xfId="9436" xr:uid="{36291228-3848-4DD1-9DCD-CEEFFB0380E1}"/>
    <cellStyle name="Normal 5 2 3 4 3" xfId="1324" xr:uid="{00000000-0005-0000-0000-0000B1180000}"/>
    <cellStyle name="Normal 5 2 3 4 3 2" xfId="3554" xr:uid="{00000000-0005-0000-0000-0000B2180000}"/>
    <cellStyle name="Normal 5 2 3 4 3 2 2" xfId="7777" xr:uid="{00000000-0005-0000-0000-0000B3180000}"/>
    <cellStyle name="Normal 5 2 3 4 3 2 2 2" xfId="16212" xr:uid="{AE3AA2E4-61EB-4EA7-9726-CDF1C4928934}"/>
    <cellStyle name="Normal 5 2 3 4 3 2 3" xfId="11994" xr:uid="{4D04AEE6-A695-4E4F-A960-F8AC9E1BF2EE}"/>
    <cellStyle name="Normal 5 2 3 4 3 3" xfId="5632" xr:uid="{00000000-0005-0000-0000-0000B4180000}"/>
    <cellStyle name="Normal 5 2 3 4 3 3 2" xfId="14067" xr:uid="{61BA480E-55A3-4E42-9F0C-59D15250A8CE}"/>
    <cellStyle name="Normal 5 2 3 4 3 4" xfId="9849" xr:uid="{23C87EFE-21DB-4FFB-A346-F10BEAC82567}"/>
    <cellStyle name="Normal 5 2 3 4 4" xfId="1737" xr:uid="{00000000-0005-0000-0000-0000B5180000}"/>
    <cellStyle name="Normal 5 2 3 4 4 2" xfId="3967" xr:uid="{00000000-0005-0000-0000-0000B6180000}"/>
    <cellStyle name="Normal 5 2 3 4 4 2 2" xfId="8190" xr:uid="{00000000-0005-0000-0000-0000B7180000}"/>
    <cellStyle name="Normal 5 2 3 4 4 2 2 2" xfId="16625" xr:uid="{1E3DE85D-8ABD-45F4-A98E-91EBB4989ECD}"/>
    <cellStyle name="Normal 5 2 3 4 4 2 3" xfId="12407" xr:uid="{64DBF000-050E-4D4F-986A-F493F463EF3D}"/>
    <cellStyle name="Normal 5 2 3 4 4 3" xfId="6045" xr:uid="{00000000-0005-0000-0000-0000B8180000}"/>
    <cellStyle name="Normal 5 2 3 4 4 3 2" xfId="14480" xr:uid="{649A547E-F641-4449-8454-29DFDEE9F200}"/>
    <cellStyle name="Normal 5 2 3 4 4 4" xfId="10262" xr:uid="{35044943-E2BB-47AA-94CA-24AB945BFD36}"/>
    <cellStyle name="Normal 5 2 3 4 5" xfId="2151" xr:uid="{00000000-0005-0000-0000-0000B9180000}"/>
    <cellStyle name="Normal 5 2 3 4 5 2" xfId="4380" xr:uid="{00000000-0005-0000-0000-0000BA180000}"/>
    <cellStyle name="Normal 5 2 3 4 5 2 2" xfId="8603" xr:uid="{00000000-0005-0000-0000-0000BB180000}"/>
    <cellStyle name="Normal 5 2 3 4 5 2 2 2" xfId="17038" xr:uid="{86F63B29-D92A-4029-B065-F21D8C2C8152}"/>
    <cellStyle name="Normal 5 2 3 4 5 2 3" xfId="12820" xr:uid="{C58EFDB9-1E20-47FE-936F-371D1E98BAF4}"/>
    <cellStyle name="Normal 5 2 3 4 5 3" xfId="6458" xr:uid="{00000000-0005-0000-0000-0000BC180000}"/>
    <cellStyle name="Normal 5 2 3 4 5 3 2" xfId="14893" xr:uid="{539EA3EE-79A8-410D-B863-579563F20E02}"/>
    <cellStyle name="Normal 5 2 3 4 5 4" xfId="10675" xr:uid="{00EFAF60-8AE9-483C-B73E-E60BCA4E3E96}"/>
    <cellStyle name="Normal 5 2 3 4 6" xfId="2587" xr:uid="{00000000-0005-0000-0000-0000BD180000}"/>
    <cellStyle name="Normal 5 2 3 4 6 2" xfId="6871" xr:uid="{00000000-0005-0000-0000-0000BE180000}"/>
    <cellStyle name="Normal 5 2 3 4 6 2 2" xfId="15306" xr:uid="{07FCF55E-DAD1-4E78-83D0-88E072B93791}"/>
    <cellStyle name="Normal 5 2 3 4 6 3" xfId="11088" xr:uid="{E7F9F8EF-A372-4DAE-8857-37E9C2267265}"/>
    <cellStyle name="Normal 5 2 3 4 7" xfId="4806" xr:uid="{00000000-0005-0000-0000-0000BF180000}"/>
    <cellStyle name="Normal 5 2 3 4 7 2" xfId="13241" xr:uid="{D7CCCE65-1F9A-42B0-AA60-5D8362469903}"/>
    <cellStyle name="Normal 5 2 3 4 8" xfId="9023" xr:uid="{03A002B6-45C7-4D2A-8F51-451E89990CCB}"/>
    <cellStyle name="Normal 5 2 3 5" xfId="899" xr:uid="{00000000-0005-0000-0000-0000C0180000}"/>
    <cellStyle name="Normal 5 2 3 5 2" xfId="3134" xr:uid="{00000000-0005-0000-0000-0000C1180000}"/>
    <cellStyle name="Normal 5 2 3 5 2 2" xfId="7357" xr:uid="{00000000-0005-0000-0000-0000C2180000}"/>
    <cellStyle name="Normal 5 2 3 5 2 2 2" xfId="15792" xr:uid="{643C453F-96E7-4012-AC3B-D5239F20F2A3}"/>
    <cellStyle name="Normal 5 2 3 5 2 3" xfId="11574" xr:uid="{CCF998D2-15E1-4D1A-9394-EB31E54A2AA9}"/>
    <cellStyle name="Normal 5 2 3 5 3" xfId="5212" xr:uid="{00000000-0005-0000-0000-0000C3180000}"/>
    <cellStyle name="Normal 5 2 3 5 3 2" xfId="13647" xr:uid="{D3CD54E6-5BC3-49D8-B430-F8BC2C3EE979}"/>
    <cellStyle name="Normal 5 2 3 5 4" xfId="9429" xr:uid="{837AF7D1-E30D-49FF-AFEC-EAD9C8A8FF03}"/>
    <cellStyle name="Normal 5 2 3 6" xfId="1317" xr:uid="{00000000-0005-0000-0000-0000C4180000}"/>
    <cellStyle name="Normal 5 2 3 6 2" xfId="3547" xr:uid="{00000000-0005-0000-0000-0000C5180000}"/>
    <cellStyle name="Normal 5 2 3 6 2 2" xfId="7770" xr:uid="{00000000-0005-0000-0000-0000C6180000}"/>
    <cellStyle name="Normal 5 2 3 6 2 2 2" xfId="16205" xr:uid="{5B208474-9136-402D-A8E2-2522D56A4B8F}"/>
    <cellStyle name="Normal 5 2 3 6 2 3" xfId="11987" xr:uid="{B04DC3BC-9B21-4615-A8CB-760982AB3177}"/>
    <cellStyle name="Normal 5 2 3 6 3" xfId="5625" xr:uid="{00000000-0005-0000-0000-0000C7180000}"/>
    <cellStyle name="Normal 5 2 3 6 3 2" xfId="14060" xr:uid="{8DEA2CFD-4C24-42DE-B2A7-C3D00A1FCAE8}"/>
    <cellStyle name="Normal 5 2 3 6 4" xfId="9842" xr:uid="{4235BF86-1894-4288-88DC-054C8013EADF}"/>
    <cellStyle name="Normal 5 2 3 7" xfId="1730" xr:uid="{00000000-0005-0000-0000-0000C8180000}"/>
    <cellStyle name="Normal 5 2 3 7 2" xfId="3960" xr:uid="{00000000-0005-0000-0000-0000C9180000}"/>
    <cellStyle name="Normal 5 2 3 7 2 2" xfId="8183" xr:uid="{00000000-0005-0000-0000-0000CA180000}"/>
    <cellStyle name="Normal 5 2 3 7 2 2 2" xfId="16618" xr:uid="{A0567D6F-9B9F-4D19-9E6D-6DE5E52C98F1}"/>
    <cellStyle name="Normal 5 2 3 7 2 3" xfId="12400" xr:uid="{770FCF4A-3C08-436B-9338-ED748885C328}"/>
    <cellStyle name="Normal 5 2 3 7 3" xfId="6038" xr:uid="{00000000-0005-0000-0000-0000CB180000}"/>
    <cellStyle name="Normal 5 2 3 7 3 2" xfId="14473" xr:uid="{A65D376D-A581-44E2-9F65-B6829131F155}"/>
    <cellStyle name="Normal 5 2 3 7 4" xfId="10255" xr:uid="{7E49BE1E-38E6-4B4F-BAE2-D4DE7A10F1DC}"/>
    <cellStyle name="Normal 5 2 3 8" xfId="2144" xr:uid="{00000000-0005-0000-0000-0000CC180000}"/>
    <cellStyle name="Normal 5 2 3 8 2" xfId="4373" xr:uid="{00000000-0005-0000-0000-0000CD180000}"/>
    <cellStyle name="Normal 5 2 3 8 2 2" xfId="8596" xr:uid="{00000000-0005-0000-0000-0000CE180000}"/>
    <cellStyle name="Normal 5 2 3 8 2 2 2" xfId="17031" xr:uid="{39AE60EC-F129-4B1E-8B1E-D36C0375A5C5}"/>
    <cellStyle name="Normal 5 2 3 8 2 3" xfId="12813" xr:uid="{9ACC197E-BF07-4977-A78C-ABF3C9965E04}"/>
    <cellStyle name="Normal 5 2 3 8 3" xfId="6451" xr:uid="{00000000-0005-0000-0000-0000CF180000}"/>
    <cellStyle name="Normal 5 2 3 8 3 2" xfId="14886" xr:uid="{CAEB8E2F-C131-44EE-BE6E-52D71866259E}"/>
    <cellStyle name="Normal 5 2 3 8 4" xfId="10668" xr:uid="{13D05BCE-4C9E-498F-A087-27C20A1D691E}"/>
    <cellStyle name="Normal 5 2 3 9" xfId="2580" xr:uid="{00000000-0005-0000-0000-0000D0180000}"/>
    <cellStyle name="Normal 5 2 3 9 2" xfId="6864" xr:uid="{00000000-0005-0000-0000-0000D1180000}"/>
    <cellStyle name="Normal 5 2 3 9 2 2" xfId="15299" xr:uid="{1BF22561-1BB9-4AAB-98B9-0C26B9B6705D}"/>
    <cellStyle name="Normal 5 2 3 9 3" xfId="11081" xr:uid="{98348632-8E20-47CC-8930-906D4C29E60B}"/>
    <cellStyle name="Normal 5 2 4" xfId="432" xr:uid="{00000000-0005-0000-0000-0000D2180000}"/>
    <cellStyle name="Normal 5 2 4 10" xfId="9024" xr:uid="{1AF23FE8-BEBB-4FAD-9D23-DF0A81E0F2B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2 2 2" xfId="15802" xr:uid="{AE588205-E48E-41F0-B7E1-1F0EC7300283}"/>
    <cellStyle name="Normal 5 2 4 2 2 2 2 3" xfId="11584" xr:uid="{9D6F3B70-EA3C-472F-BB70-00A9E7DE8DB9}"/>
    <cellStyle name="Normal 5 2 4 2 2 2 3" xfId="5222" xr:uid="{00000000-0005-0000-0000-0000D8180000}"/>
    <cellStyle name="Normal 5 2 4 2 2 2 3 2" xfId="13657" xr:uid="{F47D19FC-AB02-47FB-B7F3-E5F051C9D939}"/>
    <cellStyle name="Normal 5 2 4 2 2 2 4" xfId="9439" xr:uid="{5CDA0976-1C54-48BE-ACAD-C63B0A5798D6}"/>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2 2 2" xfId="16215" xr:uid="{A313B98A-C076-4ECC-A2C1-352213BB3A20}"/>
    <cellStyle name="Normal 5 2 4 2 2 3 2 3" xfId="11997" xr:uid="{76610959-C125-4973-B0CF-458DE8ED4EE5}"/>
    <cellStyle name="Normal 5 2 4 2 2 3 3" xfId="5635" xr:uid="{00000000-0005-0000-0000-0000DC180000}"/>
    <cellStyle name="Normal 5 2 4 2 2 3 3 2" xfId="14070" xr:uid="{BB721110-8481-43A9-A5EC-7A4DF584BB7C}"/>
    <cellStyle name="Normal 5 2 4 2 2 3 4" xfId="9852" xr:uid="{55EC57F7-7149-4AC2-93DF-4233BFEEEEA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2 2 2" xfId="16628" xr:uid="{18507F92-DC69-4235-835C-BD51EC1E2DF9}"/>
    <cellStyle name="Normal 5 2 4 2 2 4 2 3" xfId="12410" xr:uid="{6729E085-7220-4D5B-B851-E7911DCCD2B9}"/>
    <cellStyle name="Normal 5 2 4 2 2 4 3" xfId="6048" xr:uid="{00000000-0005-0000-0000-0000E0180000}"/>
    <cellStyle name="Normal 5 2 4 2 2 4 3 2" xfId="14483" xr:uid="{8A9D7FC3-A6D6-4BDF-A852-8ECF02C7DFE8}"/>
    <cellStyle name="Normal 5 2 4 2 2 4 4" xfId="10265" xr:uid="{F8D111F9-8212-493F-BF4A-B1A9A4149DCB}"/>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2 2 2" xfId="17041" xr:uid="{45B0B07D-4CA7-4314-BF1F-7071C7E217B0}"/>
    <cellStyle name="Normal 5 2 4 2 2 5 2 3" xfId="12823" xr:uid="{07ED3E34-F901-4772-BD7F-AEB69BFF0074}"/>
    <cellStyle name="Normal 5 2 4 2 2 5 3" xfId="6461" xr:uid="{00000000-0005-0000-0000-0000E4180000}"/>
    <cellStyle name="Normal 5 2 4 2 2 5 3 2" xfId="14896" xr:uid="{2B56CE98-999C-4A61-9DC2-95BBC9D1BCF8}"/>
    <cellStyle name="Normal 5 2 4 2 2 5 4" xfId="10678" xr:uid="{E9EB52EB-F5B0-42B2-A6E1-2FEC898399BB}"/>
    <cellStyle name="Normal 5 2 4 2 2 6" xfId="2590" xr:uid="{00000000-0005-0000-0000-0000E5180000}"/>
    <cellStyle name="Normal 5 2 4 2 2 6 2" xfId="6874" xr:uid="{00000000-0005-0000-0000-0000E6180000}"/>
    <cellStyle name="Normal 5 2 4 2 2 6 2 2" xfId="15309" xr:uid="{A745ED7B-6784-4550-92D6-D12915FB9D36}"/>
    <cellStyle name="Normal 5 2 4 2 2 6 3" xfId="11091" xr:uid="{29C37917-83E7-45F2-B96D-9730966BE89E}"/>
    <cellStyle name="Normal 5 2 4 2 2 7" xfId="4809" xr:uid="{00000000-0005-0000-0000-0000E7180000}"/>
    <cellStyle name="Normal 5 2 4 2 2 7 2" xfId="13244" xr:uid="{D94B249D-86D5-4FFE-80A7-EC9E581A3382}"/>
    <cellStyle name="Normal 5 2 4 2 2 8" xfId="9026" xr:uid="{4EE9341D-A054-4976-BC04-3900750167A7}"/>
    <cellStyle name="Normal 5 2 4 2 3" xfId="908" xr:uid="{00000000-0005-0000-0000-0000E8180000}"/>
    <cellStyle name="Normal 5 2 4 2 3 2" xfId="3143" xr:uid="{00000000-0005-0000-0000-0000E9180000}"/>
    <cellStyle name="Normal 5 2 4 2 3 2 2" xfId="7366" xr:uid="{00000000-0005-0000-0000-0000EA180000}"/>
    <cellStyle name="Normal 5 2 4 2 3 2 2 2" xfId="15801" xr:uid="{082F2DB5-9F0F-4E12-AAC8-7BA67115773B}"/>
    <cellStyle name="Normal 5 2 4 2 3 2 3" xfId="11583" xr:uid="{8C2E4F47-333F-4479-AA1A-A7244831DA1A}"/>
    <cellStyle name="Normal 5 2 4 2 3 3" xfId="5221" xr:uid="{00000000-0005-0000-0000-0000EB180000}"/>
    <cellStyle name="Normal 5 2 4 2 3 3 2" xfId="13656" xr:uid="{AE43DE09-1617-4CE4-9E4D-9F985DDB6399}"/>
    <cellStyle name="Normal 5 2 4 2 3 4" xfId="9438" xr:uid="{104CAF40-87E8-47FA-AFD5-B77E1ED6779B}"/>
    <cellStyle name="Normal 5 2 4 2 4" xfId="1326" xr:uid="{00000000-0005-0000-0000-0000EC180000}"/>
    <cellStyle name="Normal 5 2 4 2 4 2" xfId="3556" xr:uid="{00000000-0005-0000-0000-0000ED180000}"/>
    <cellStyle name="Normal 5 2 4 2 4 2 2" xfId="7779" xr:uid="{00000000-0005-0000-0000-0000EE180000}"/>
    <cellStyle name="Normal 5 2 4 2 4 2 2 2" xfId="16214" xr:uid="{F64F100E-A7F5-4D76-BE5D-02B190C3074B}"/>
    <cellStyle name="Normal 5 2 4 2 4 2 3" xfId="11996" xr:uid="{AC888C4B-C50B-4E6F-BBA6-F2ED1F06A377}"/>
    <cellStyle name="Normal 5 2 4 2 4 3" xfId="5634" xr:uid="{00000000-0005-0000-0000-0000EF180000}"/>
    <cellStyle name="Normal 5 2 4 2 4 3 2" xfId="14069" xr:uid="{712ED349-0379-40BB-9927-8ED41EDE6A1F}"/>
    <cellStyle name="Normal 5 2 4 2 4 4" xfId="9851" xr:uid="{CC5BB625-F05E-4AFD-B1DD-D07F1A49641A}"/>
    <cellStyle name="Normal 5 2 4 2 5" xfId="1739" xr:uid="{00000000-0005-0000-0000-0000F0180000}"/>
    <cellStyle name="Normal 5 2 4 2 5 2" xfId="3969" xr:uid="{00000000-0005-0000-0000-0000F1180000}"/>
    <cellStyle name="Normal 5 2 4 2 5 2 2" xfId="8192" xr:uid="{00000000-0005-0000-0000-0000F2180000}"/>
    <cellStyle name="Normal 5 2 4 2 5 2 2 2" xfId="16627" xr:uid="{6E9D5C71-A4EE-4899-B74A-D82800DE0D04}"/>
    <cellStyle name="Normal 5 2 4 2 5 2 3" xfId="12409" xr:uid="{12BFF83E-E391-4231-AFE2-337BE04DDA5D}"/>
    <cellStyle name="Normal 5 2 4 2 5 3" xfId="6047" xr:uid="{00000000-0005-0000-0000-0000F3180000}"/>
    <cellStyle name="Normal 5 2 4 2 5 3 2" xfId="14482" xr:uid="{F1096FBA-E38F-4BDE-9C31-8FC6393EEB81}"/>
    <cellStyle name="Normal 5 2 4 2 5 4" xfId="10264" xr:uid="{4CA520F3-9743-45D8-86CA-14CAE87E24F9}"/>
    <cellStyle name="Normal 5 2 4 2 6" xfId="2153" xr:uid="{00000000-0005-0000-0000-0000F4180000}"/>
    <cellStyle name="Normal 5 2 4 2 6 2" xfId="4382" xr:uid="{00000000-0005-0000-0000-0000F5180000}"/>
    <cellStyle name="Normal 5 2 4 2 6 2 2" xfId="8605" xr:uid="{00000000-0005-0000-0000-0000F6180000}"/>
    <cellStyle name="Normal 5 2 4 2 6 2 2 2" xfId="17040" xr:uid="{C9F5B01E-A327-4700-B5C7-C471A9B2D749}"/>
    <cellStyle name="Normal 5 2 4 2 6 2 3" xfId="12822" xr:uid="{884B15B5-71D1-4852-9000-7638C1B9D297}"/>
    <cellStyle name="Normal 5 2 4 2 6 3" xfId="6460" xr:uid="{00000000-0005-0000-0000-0000F7180000}"/>
    <cellStyle name="Normal 5 2 4 2 6 3 2" xfId="14895" xr:uid="{BA81F535-E3F0-404E-ADE6-EBE18EABFB2D}"/>
    <cellStyle name="Normal 5 2 4 2 6 4" xfId="10677" xr:uid="{2B9E7057-ECB0-4FF0-9406-093B6D9A1759}"/>
    <cellStyle name="Normal 5 2 4 2 7" xfId="2589" xr:uid="{00000000-0005-0000-0000-0000F8180000}"/>
    <cellStyle name="Normal 5 2 4 2 7 2" xfId="6873" xr:uid="{00000000-0005-0000-0000-0000F9180000}"/>
    <cellStyle name="Normal 5 2 4 2 7 2 2" xfId="15308" xr:uid="{D129E71B-87D4-42A5-B3BE-17D1F553E609}"/>
    <cellStyle name="Normal 5 2 4 2 7 3" xfId="11090" xr:uid="{818C2130-02C2-43BA-BB85-7E7A6FA120E7}"/>
    <cellStyle name="Normal 5 2 4 2 8" xfId="4808" xr:uid="{00000000-0005-0000-0000-0000FA180000}"/>
    <cellStyle name="Normal 5 2 4 2 8 2" xfId="13243" xr:uid="{15409734-96B7-4DBF-8A8A-57DAB191F57F}"/>
    <cellStyle name="Normal 5 2 4 2 9" xfId="9025" xr:uid="{F8C6DB9C-F06B-4F99-B8BA-D02E5567586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2 2 2" xfId="15803" xr:uid="{BD1E58D5-0C5D-4F8A-BABC-DCE9C2C4EC11}"/>
    <cellStyle name="Normal 5 2 4 3 2 2 3" xfId="11585" xr:uid="{50AAC16B-971A-4C80-8E1F-ABB2D2BF4B20}"/>
    <cellStyle name="Normal 5 2 4 3 2 3" xfId="5223" xr:uid="{00000000-0005-0000-0000-0000FF180000}"/>
    <cellStyle name="Normal 5 2 4 3 2 3 2" xfId="13658" xr:uid="{3359BE51-C181-4D36-A419-963CBA540287}"/>
    <cellStyle name="Normal 5 2 4 3 2 4" xfId="9440" xr:uid="{8877C32C-6F54-421C-A704-ADD9B883CA74}"/>
    <cellStyle name="Normal 5 2 4 3 3" xfId="1328" xr:uid="{00000000-0005-0000-0000-000000190000}"/>
    <cellStyle name="Normal 5 2 4 3 3 2" xfId="3558" xr:uid="{00000000-0005-0000-0000-000001190000}"/>
    <cellStyle name="Normal 5 2 4 3 3 2 2" xfId="7781" xr:uid="{00000000-0005-0000-0000-000002190000}"/>
    <cellStyle name="Normal 5 2 4 3 3 2 2 2" xfId="16216" xr:uid="{6617303D-6336-4947-99AB-973AEF0D9984}"/>
    <cellStyle name="Normal 5 2 4 3 3 2 3" xfId="11998" xr:uid="{DCAE9274-FD08-4253-9D7F-9DC989BDAD93}"/>
    <cellStyle name="Normal 5 2 4 3 3 3" xfId="5636" xr:uid="{00000000-0005-0000-0000-000003190000}"/>
    <cellStyle name="Normal 5 2 4 3 3 3 2" xfId="14071" xr:uid="{0CE982A9-C72D-43AA-AFBF-342F32F09CDC}"/>
    <cellStyle name="Normal 5 2 4 3 3 4" xfId="9853" xr:uid="{E00BE5EB-3CFB-4B14-8DEB-A8934AF66A73}"/>
    <cellStyle name="Normal 5 2 4 3 4" xfId="1741" xr:uid="{00000000-0005-0000-0000-000004190000}"/>
    <cellStyle name="Normal 5 2 4 3 4 2" xfId="3971" xr:uid="{00000000-0005-0000-0000-000005190000}"/>
    <cellStyle name="Normal 5 2 4 3 4 2 2" xfId="8194" xr:uid="{00000000-0005-0000-0000-000006190000}"/>
    <cellStyle name="Normal 5 2 4 3 4 2 2 2" xfId="16629" xr:uid="{A6246073-58B6-4BC1-8690-9B901CE5B6F0}"/>
    <cellStyle name="Normal 5 2 4 3 4 2 3" xfId="12411" xr:uid="{7BB656A4-900E-4B43-8E11-4B354AAB4720}"/>
    <cellStyle name="Normal 5 2 4 3 4 3" xfId="6049" xr:uid="{00000000-0005-0000-0000-000007190000}"/>
    <cellStyle name="Normal 5 2 4 3 4 3 2" xfId="14484" xr:uid="{3AB4D3BF-66B4-43E6-8623-21C246C059CC}"/>
    <cellStyle name="Normal 5 2 4 3 4 4" xfId="10266" xr:uid="{690E9F48-233A-43CD-AEF8-284D75627F33}"/>
    <cellStyle name="Normal 5 2 4 3 5" xfId="2155" xr:uid="{00000000-0005-0000-0000-000008190000}"/>
    <cellStyle name="Normal 5 2 4 3 5 2" xfId="4384" xr:uid="{00000000-0005-0000-0000-000009190000}"/>
    <cellStyle name="Normal 5 2 4 3 5 2 2" xfId="8607" xr:uid="{00000000-0005-0000-0000-00000A190000}"/>
    <cellStyle name="Normal 5 2 4 3 5 2 2 2" xfId="17042" xr:uid="{E2403E78-206C-4442-92B3-283E8CC8E756}"/>
    <cellStyle name="Normal 5 2 4 3 5 2 3" xfId="12824" xr:uid="{8882C461-DE43-4D89-81BB-3A5747B7E7CC}"/>
    <cellStyle name="Normal 5 2 4 3 5 3" xfId="6462" xr:uid="{00000000-0005-0000-0000-00000B190000}"/>
    <cellStyle name="Normal 5 2 4 3 5 3 2" xfId="14897" xr:uid="{FF7C7EBA-B589-4B48-8686-0E25644AC563}"/>
    <cellStyle name="Normal 5 2 4 3 5 4" xfId="10679" xr:uid="{4CF4C4D8-AD38-4CB2-8F34-618D104347EF}"/>
    <cellStyle name="Normal 5 2 4 3 6" xfId="2591" xr:uid="{00000000-0005-0000-0000-00000C190000}"/>
    <cellStyle name="Normal 5 2 4 3 6 2" xfId="6875" xr:uid="{00000000-0005-0000-0000-00000D190000}"/>
    <cellStyle name="Normal 5 2 4 3 6 2 2" xfId="15310" xr:uid="{1173E4B6-7B56-4123-B83B-E4B9E7BB4645}"/>
    <cellStyle name="Normal 5 2 4 3 6 3" xfId="11092" xr:uid="{AB0019C3-3363-4ADC-BDE6-3BBE87F2B41C}"/>
    <cellStyle name="Normal 5 2 4 3 7" xfId="4810" xr:uid="{00000000-0005-0000-0000-00000E190000}"/>
    <cellStyle name="Normal 5 2 4 3 7 2" xfId="13245" xr:uid="{CB3503D4-D851-40DB-8883-30E9F40FEEE2}"/>
    <cellStyle name="Normal 5 2 4 3 8" xfId="9027" xr:uid="{C83575B1-7C74-476C-86BC-A5F1ABD5F8BD}"/>
    <cellStyle name="Normal 5 2 4 4" xfId="907" xr:uid="{00000000-0005-0000-0000-00000F190000}"/>
    <cellStyle name="Normal 5 2 4 4 2" xfId="3142" xr:uid="{00000000-0005-0000-0000-000010190000}"/>
    <cellStyle name="Normal 5 2 4 4 2 2" xfId="7365" xr:uid="{00000000-0005-0000-0000-000011190000}"/>
    <cellStyle name="Normal 5 2 4 4 2 2 2" xfId="15800" xr:uid="{3A165B3A-F5AC-4CE1-B666-28483B8EEDF2}"/>
    <cellStyle name="Normal 5 2 4 4 2 3" xfId="11582" xr:uid="{1DB0BEBD-E141-47A4-866D-A38908C38277}"/>
    <cellStyle name="Normal 5 2 4 4 3" xfId="5220" xr:uid="{00000000-0005-0000-0000-000012190000}"/>
    <cellStyle name="Normal 5 2 4 4 3 2" xfId="13655" xr:uid="{6EECED01-315F-4327-8498-4FC1DF927039}"/>
    <cellStyle name="Normal 5 2 4 4 4" xfId="9437" xr:uid="{F6A28A79-6915-4477-B9DA-604159C67E5B}"/>
    <cellStyle name="Normal 5 2 4 5" xfId="1325" xr:uid="{00000000-0005-0000-0000-000013190000}"/>
    <cellStyle name="Normal 5 2 4 5 2" xfId="3555" xr:uid="{00000000-0005-0000-0000-000014190000}"/>
    <cellStyle name="Normal 5 2 4 5 2 2" xfId="7778" xr:uid="{00000000-0005-0000-0000-000015190000}"/>
    <cellStyle name="Normal 5 2 4 5 2 2 2" xfId="16213" xr:uid="{B869A0C3-BF34-439E-8DBA-B3C98FBD323C}"/>
    <cellStyle name="Normal 5 2 4 5 2 3" xfId="11995" xr:uid="{6FA6790B-E609-40B6-8BBC-F8789DB5A98F}"/>
    <cellStyle name="Normal 5 2 4 5 3" xfId="5633" xr:uid="{00000000-0005-0000-0000-000016190000}"/>
    <cellStyle name="Normal 5 2 4 5 3 2" xfId="14068" xr:uid="{3219488E-8AC4-4533-BCCB-084FCFB4DF4B}"/>
    <cellStyle name="Normal 5 2 4 5 4" xfId="9850" xr:uid="{920BDDA0-BEFF-49A9-B298-9576A2309B64}"/>
    <cellStyle name="Normal 5 2 4 6" xfId="1738" xr:uid="{00000000-0005-0000-0000-000017190000}"/>
    <cellStyle name="Normal 5 2 4 6 2" xfId="3968" xr:uid="{00000000-0005-0000-0000-000018190000}"/>
    <cellStyle name="Normal 5 2 4 6 2 2" xfId="8191" xr:uid="{00000000-0005-0000-0000-000019190000}"/>
    <cellStyle name="Normal 5 2 4 6 2 2 2" xfId="16626" xr:uid="{4C1D56D6-8A03-409E-AD70-3EA6D6CC5D1A}"/>
    <cellStyle name="Normal 5 2 4 6 2 3" xfId="12408" xr:uid="{E13D1572-9CEF-4829-B7D2-2944DBE5B011}"/>
    <cellStyle name="Normal 5 2 4 6 3" xfId="6046" xr:uid="{00000000-0005-0000-0000-00001A190000}"/>
    <cellStyle name="Normal 5 2 4 6 3 2" xfId="14481" xr:uid="{B0B1ED84-31CC-403B-B5C5-758978421007}"/>
    <cellStyle name="Normal 5 2 4 6 4" xfId="10263" xr:uid="{C2B7AE64-C2D1-40F7-999B-2F91B6A3F4A0}"/>
    <cellStyle name="Normal 5 2 4 7" xfId="2152" xr:uid="{00000000-0005-0000-0000-00001B190000}"/>
    <cellStyle name="Normal 5 2 4 7 2" xfId="4381" xr:uid="{00000000-0005-0000-0000-00001C190000}"/>
    <cellStyle name="Normal 5 2 4 7 2 2" xfId="8604" xr:uid="{00000000-0005-0000-0000-00001D190000}"/>
    <cellStyle name="Normal 5 2 4 7 2 2 2" xfId="17039" xr:uid="{B3D07A26-8872-481E-8ACC-AF5C3F2F4C2B}"/>
    <cellStyle name="Normal 5 2 4 7 2 3" xfId="12821" xr:uid="{A602E5B0-761A-4CBF-B0C6-5BA626B01DB4}"/>
    <cellStyle name="Normal 5 2 4 7 3" xfId="6459" xr:uid="{00000000-0005-0000-0000-00001E190000}"/>
    <cellStyle name="Normal 5 2 4 7 3 2" xfId="14894" xr:uid="{C2C920CE-BB45-4760-BD80-63A3489F925D}"/>
    <cellStyle name="Normal 5 2 4 7 4" xfId="10676" xr:uid="{E7650F36-4A61-4880-8126-CFD9DE0317A6}"/>
    <cellStyle name="Normal 5 2 4 8" xfId="2588" xr:uid="{00000000-0005-0000-0000-00001F190000}"/>
    <cellStyle name="Normal 5 2 4 8 2" xfId="6872" xr:uid="{00000000-0005-0000-0000-000020190000}"/>
    <cellStyle name="Normal 5 2 4 8 2 2" xfId="15307" xr:uid="{02258E75-ADF8-44F9-9646-0626496BAF4E}"/>
    <cellStyle name="Normal 5 2 4 8 3" xfId="11089" xr:uid="{F1E1CA45-937D-4781-8B02-4FCD101B28EE}"/>
    <cellStyle name="Normal 5 2 4 9" xfId="4807" xr:uid="{00000000-0005-0000-0000-000021190000}"/>
    <cellStyle name="Normal 5 2 4 9 2" xfId="13242" xr:uid="{72B17162-AE1E-4D1D-A5D4-E3C61F43B343}"/>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2 2 2" xfId="15805" xr:uid="{1DD28530-83B5-4C0F-91A9-1D4C3126B673}"/>
    <cellStyle name="Normal 5 2 5 2 2 2 3" xfId="11587" xr:uid="{5EF50BC5-0680-4991-A969-578214288AEE}"/>
    <cellStyle name="Normal 5 2 5 2 2 3" xfId="5225" xr:uid="{00000000-0005-0000-0000-000027190000}"/>
    <cellStyle name="Normal 5 2 5 2 2 3 2" xfId="13660" xr:uid="{C1A189C9-2369-405D-9165-F47CADD68B78}"/>
    <cellStyle name="Normal 5 2 5 2 2 4" xfId="9442" xr:uid="{EF882A60-64B1-4C57-AD83-49BB682B09D7}"/>
    <cellStyle name="Normal 5 2 5 2 3" xfId="1330" xr:uid="{00000000-0005-0000-0000-000028190000}"/>
    <cellStyle name="Normal 5 2 5 2 3 2" xfId="3560" xr:uid="{00000000-0005-0000-0000-000029190000}"/>
    <cellStyle name="Normal 5 2 5 2 3 2 2" xfId="7783" xr:uid="{00000000-0005-0000-0000-00002A190000}"/>
    <cellStyle name="Normal 5 2 5 2 3 2 2 2" xfId="16218" xr:uid="{C4E4A725-77EB-4BA8-ADD9-4BD7E0938B18}"/>
    <cellStyle name="Normal 5 2 5 2 3 2 3" xfId="12000" xr:uid="{21652BDE-A15F-4E08-BBE7-5AD711B39A45}"/>
    <cellStyle name="Normal 5 2 5 2 3 3" xfId="5638" xr:uid="{00000000-0005-0000-0000-00002B190000}"/>
    <cellStyle name="Normal 5 2 5 2 3 3 2" xfId="14073" xr:uid="{F39C252D-7F19-4F1B-A375-EEAF1D25A26F}"/>
    <cellStyle name="Normal 5 2 5 2 3 4" xfId="9855" xr:uid="{35F1C053-B2D7-408B-950D-EEC7A1C77474}"/>
    <cellStyle name="Normal 5 2 5 2 4" xfId="1743" xr:uid="{00000000-0005-0000-0000-00002C190000}"/>
    <cellStyle name="Normal 5 2 5 2 4 2" xfId="3973" xr:uid="{00000000-0005-0000-0000-00002D190000}"/>
    <cellStyle name="Normal 5 2 5 2 4 2 2" xfId="8196" xr:uid="{00000000-0005-0000-0000-00002E190000}"/>
    <cellStyle name="Normal 5 2 5 2 4 2 2 2" xfId="16631" xr:uid="{09D09C7F-FCD3-4265-A539-6CBBF9D9F145}"/>
    <cellStyle name="Normal 5 2 5 2 4 2 3" xfId="12413" xr:uid="{51017E16-2A79-4097-8465-993ADAE18E4B}"/>
    <cellStyle name="Normal 5 2 5 2 4 3" xfId="6051" xr:uid="{00000000-0005-0000-0000-00002F190000}"/>
    <cellStyle name="Normal 5 2 5 2 4 3 2" xfId="14486" xr:uid="{A43B25B2-F402-4BCA-B64B-BCE0DC0D92D3}"/>
    <cellStyle name="Normal 5 2 5 2 4 4" xfId="10268" xr:uid="{02305BBE-BA3E-476C-8224-8917760098B6}"/>
    <cellStyle name="Normal 5 2 5 2 5" xfId="2157" xr:uid="{00000000-0005-0000-0000-000030190000}"/>
    <cellStyle name="Normal 5 2 5 2 5 2" xfId="4386" xr:uid="{00000000-0005-0000-0000-000031190000}"/>
    <cellStyle name="Normal 5 2 5 2 5 2 2" xfId="8609" xr:uid="{00000000-0005-0000-0000-000032190000}"/>
    <cellStyle name="Normal 5 2 5 2 5 2 2 2" xfId="17044" xr:uid="{90B72123-1504-41E4-B303-3DC4C9FB21D4}"/>
    <cellStyle name="Normal 5 2 5 2 5 2 3" xfId="12826" xr:uid="{3D9864C6-F267-4940-8677-90F7D0E61047}"/>
    <cellStyle name="Normal 5 2 5 2 5 3" xfId="6464" xr:uid="{00000000-0005-0000-0000-000033190000}"/>
    <cellStyle name="Normal 5 2 5 2 5 3 2" xfId="14899" xr:uid="{BA5CA191-52B7-4B5C-B20D-AF29459D8A31}"/>
    <cellStyle name="Normal 5 2 5 2 5 4" xfId="10681" xr:uid="{03B327C9-BF25-4F47-97C2-A6525307B55E}"/>
    <cellStyle name="Normal 5 2 5 2 6" xfId="2593" xr:uid="{00000000-0005-0000-0000-000034190000}"/>
    <cellStyle name="Normal 5 2 5 2 6 2" xfId="6877" xr:uid="{00000000-0005-0000-0000-000035190000}"/>
    <cellStyle name="Normal 5 2 5 2 6 2 2" xfId="15312" xr:uid="{E8A98D3F-E900-477D-87C6-44854767A7B3}"/>
    <cellStyle name="Normal 5 2 5 2 6 3" xfId="11094" xr:uid="{88E26164-E7D7-4583-9F5B-56CF5C18F8BF}"/>
    <cellStyle name="Normal 5 2 5 2 7" xfId="4812" xr:uid="{00000000-0005-0000-0000-000036190000}"/>
    <cellStyle name="Normal 5 2 5 2 7 2" xfId="13247" xr:uid="{C7DD33A8-B9EE-41B1-984D-072376DDCEB9}"/>
    <cellStyle name="Normal 5 2 5 2 8" xfId="9029" xr:uid="{A2CB448F-2FB4-44FC-8850-D7BBAAB0E440}"/>
    <cellStyle name="Normal 5 2 5 3" xfId="911" xr:uid="{00000000-0005-0000-0000-000037190000}"/>
    <cellStyle name="Normal 5 2 5 3 2" xfId="3146" xr:uid="{00000000-0005-0000-0000-000038190000}"/>
    <cellStyle name="Normal 5 2 5 3 2 2" xfId="7369" xr:uid="{00000000-0005-0000-0000-000039190000}"/>
    <cellStyle name="Normal 5 2 5 3 2 2 2" xfId="15804" xr:uid="{1B9597A4-8A02-4554-8FE2-41F80453A4EE}"/>
    <cellStyle name="Normal 5 2 5 3 2 3" xfId="11586" xr:uid="{B3C9BEBD-C89F-4569-BED4-3BAEA52F16A7}"/>
    <cellStyle name="Normal 5 2 5 3 3" xfId="5224" xr:uid="{00000000-0005-0000-0000-00003A190000}"/>
    <cellStyle name="Normal 5 2 5 3 3 2" xfId="13659" xr:uid="{BCCD2BCB-29BB-4941-B099-5FF98A5CE063}"/>
    <cellStyle name="Normal 5 2 5 3 4" xfId="9441" xr:uid="{B665B983-78BE-4397-8C6E-25198150D270}"/>
    <cellStyle name="Normal 5 2 5 4" xfId="1329" xr:uid="{00000000-0005-0000-0000-00003B190000}"/>
    <cellStyle name="Normal 5 2 5 4 2" xfId="3559" xr:uid="{00000000-0005-0000-0000-00003C190000}"/>
    <cellStyle name="Normal 5 2 5 4 2 2" xfId="7782" xr:uid="{00000000-0005-0000-0000-00003D190000}"/>
    <cellStyle name="Normal 5 2 5 4 2 2 2" xfId="16217" xr:uid="{1CDCDF6E-A1BC-441D-904E-19343B3D3727}"/>
    <cellStyle name="Normal 5 2 5 4 2 3" xfId="11999" xr:uid="{ED42BE96-1BB8-4359-8365-0E3714668430}"/>
    <cellStyle name="Normal 5 2 5 4 3" xfId="5637" xr:uid="{00000000-0005-0000-0000-00003E190000}"/>
    <cellStyle name="Normal 5 2 5 4 3 2" xfId="14072" xr:uid="{5730FCE9-CB1A-4019-8A34-248F6AB2E884}"/>
    <cellStyle name="Normal 5 2 5 4 4" xfId="9854" xr:uid="{E46835B5-65D2-4BA8-AA47-423420820F55}"/>
    <cellStyle name="Normal 5 2 5 5" xfId="1742" xr:uid="{00000000-0005-0000-0000-00003F190000}"/>
    <cellStyle name="Normal 5 2 5 5 2" xfId="3972" xr:uid="{00000000-0005-0000-0000-000040190000}"/>
    <cellStyle name="Normal 5 2 5 5 2 2" xfId="8195" xr:uid="{00000000-0005-0000-0000-000041190000}"/>
    <cellStyle name="Normal 5 2 5 5 2 2 2" xfId="16630" xr:uid="{63426C11-5668-4DEC-B9BC-9C52C223E6B9}"/>
    <cellStyle name="Normal 5 2 5 5 2 3" xfId="12412" xr:uid="{7115D740-C4B9-4146-A1C1-CA62CE3CC393}"/>
    <cellStyle name="Normal 5 2 5 5 3" xfId="6050" xr:uid="{00000000-0005-0000-0000-000042190000}"/>
    <cellStyle name="Normal 5 2 5 5 3 2" xfId="14485" xr:uid="{0F2252AD-EB8D-465B-A7AE-0FC1BCA27985}"/>
    <cellStyle name="Normal 5 2 5 5 4" xfId="10267" xr:uid="{5E089E83-83AE-48F7-A868-F93491CEDA76}"/>
    <cellStyle name="Normal 5 2 5 6" xfId="2156" xr:uid="{00000000-0005-0000-0000-000043190000}"/>
    <cellStyle name="Normal 5 2 5 6 2" xfId="4385" xr:uid="{00000000-0005-0000-0000-000044190000}"/>
    <cellStyle name="Normal 5 2 5 6 2 2" xfId="8608" xr:uid="{00000000-0005-0000-0000-000045190000}"/>
    <cellStyle name="Normal 5 2 5 6 2 2 2" xfId="17043" xr:uid="{99D7F810-EE54-407D-895C-060DA767BCDB}"/>
    <cellStyle name="Normal 5 2 5 6 2 3" xfId="12825" xr:uid="{DFD085F3-A7AD-448B-B6D1-540268713CCB}"/>
    <cellStyle name="Normal 5 2 5 6 3" xfId="6463" xr:uid="{00000000-0005-0000-0000-000046190000}"/>
    <cellStyle name="Normal 5 2 5 6 3 2" xfId="14898" xr:uid="{7DE6483E-BC76-44A2-8F1D-E2E9D0C66D4E}"/>
    <cellStyle name="Normal 5 2 5 6 4" xfId="10680" xr:uid="{C1CE1A24-2079-40BD-A875-D7C100EA3EC0}"/>
    <cellStyle name="Normal 5 2 5 7" xfId="2592" xr:uid="{00000000-0005-0000-0000-000047190000}"/>
    <cellStyle name="Normal 5 2 5 7 2" xfId="6876" xr:uid="{00000000-0005-0000-0000-000048190000}"/>
    <cellStyle name="Normal 5 2 5 7 2 2" xfId="15311" xr:uid="{0761E0D6-696E-4FA5-9311-2AA962E8AAD2}"/>
    <cellStyle name="Normal 5 2 5 7 3" xfId="11093" xr:uid="{E573FDBA-52D1-4C89-A645-425084BB6E08}"/>
    <cellStyle name="Normal 5 2 5 8" xfId="4811" xr:uid="{00000000-0005-0000-0000-000049190000}"/>
    <cellStyle name="Normal 5 2 5 8 2" xfId="13246" xr:uid="{A4548E95-4373-4888-A36C-AFE0B5A6CE17}"/>
    <cellStyle name="Normal 5 2 5 9" xfId="9028" xr:uid="{0CCF4BF4-BE85-482C-B2DA-BEEAE63FF7B3}"/>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2 2 2" xfId="15806" xr:uid="{AD408794-DE72-4E1E-A769-21E63FBB3B2A}"/>
    <cellStyle name="Normal 5 2 6 2 2 3" xfId="11588" xr:uid="{BC07E658-3AF1-49A7-BECE-D1F68349CECB}"/>
    <cellStyle name="Normal 5 2 6 2 3" xfId="5226" xr:uid="{00000000-0005-0000-0000-00004E190000}"/>
    <cellStyle name="Normal 5 2 6 2 3 2" xfId="13661" xr:uid="{CC9A6C00-EDC6-465C-A033-6432CD903BB3}"/>
    <cellStyle name="Normal 5 2 6 2 4" xfId="9443" xr:uid="{C9775EF9-D8CD-47FD-BCC8-4E0A4A82F16F}"/>
    <cellStyle name="Normal 5 2 6 3" xfId="1331" xr:uid="{00000000-0005-0000-0000-00004F190000}"/>
    <cellStyle name="Normal 5 2 6 3 2" xfId="3561" xr:uid="{00000000-0005-0000-0000-000050190000}"/>
    <cellStyle name="Normal 5 2 6 3 2 2" xfId="7784" xr:uid="{00000000-0005-0000-0000-000051190000}"/>
    <cellStyle name="Normal 5 2 6 3 2 2 2" xfId="16219" xr:uid="{5F706644-08AA-423B-AF45-8B706E229884}"/>
    <cellStyle name="Normal 5 2 6 3 2 3" xfId="12001" xr:uid="{789C5B44-323F-49B2-AF9F-2D60D98869A8}"/>
    <cellStyle name="Normal 5 2 6 3 3" xfId="5639" xr:uid="{00000000-0005-0000-0000-000052190000}"/>
    <cellStyle name="Normal 5 2 6 3 3 2" xfId="14074" xr:uid="{DA8801F6-1213-4EC7-BD0C-63F718846668}"/>
    <cellStyle name="Normal 5 2 6 3 4" xfId="9856" xr:uid="{C044BE7D-17D5-4F1D-BDB3-91B0A6DC8D13}"/>
    <cellStyle name="Normal 5 2 6 4" xfId="1744" xr:uid="{00000000-0005-0000-0000-000053190000}"/>
    <cellStyle name="Normal 5 2 6 4 2" xfId="3974" xr:uid="{00000000-0005-0000-0000-000054190000}"/>
    <cellStyle name="Normal 5 2 6 4 2 2" xfId="8197" xr:uid="{00000000-0005-0000-0000-000055190000}"/>
    <cellStyle name="Normal 5 2 6 4 2 2 2" xfId="16632" xr:uid="{A4AE3BEA-9D0C-46DC-8AE0-D28D10046116}"/>
    <cellStyle name="Normal 5 2 6 4 2 3" xfId="12414" xr:uid="{6B0D9BF4-A456-45DF-A28D-0EB1FA278263}"/>
    <cellStyle name="Normal 5 2 6 4 3" xfId="6052" xr:uid="{00000000-0005-0000-0000-000056190000}"/>
    <cellStyle name="Normal 5 2 6 4 3 2" xfId="14487" xr:uid="{0F3496AD-6D2C-4A91-9B6D-950C7445F97D}"/>
    <cellStyle name="Normal 5 2 6 4 4" xfId="10269" xr:uid="{E08DB4D8-49CA-4113-87E7-67B295CFE69C}"/>
    <cellStyle name="Normal 5 2 6 5" xfId="2158" xr:uid="{00000000-0005-0000-0000-000057190000}"/>
    <cellStyle name="Normal 5 2 6 5 2" xfId="4387" xr:uid="{00000000-0005-0000-0000-000058190000}"/>
    <cellStyle name="Normal 5 2 6 5 2 2" xfId="8610" xr:uid="{00000000-0005-0000-0000-000059190000}"/>
    <cellStyle name="Normal 5 2 6 5 2 2 2" xfId="17045" xr:uid="{0C54A084-E7CC-4B30-8799-7563E4B3704E}"/>
    <cellStyle name="Normal 5 2 6 5 2 3" xfId="12827" xr:uid="{6E2C4FEE-9D59-4D76-B716-560069021FE8}"/>
    <cellStyle name="Normal 5 2 6 5 3" xfId="6465" xr:uid="{00000000-0005-0000-0000-00005A190000}"/>
    <cellStyle name="Normal 5 2 6 5 3 2" xfId="14900" xr:uid="{654E5A9E-E2FB-4E66-80CD-0FFB067D6230}"/>
    <cellStyle name="Normal 5 2 6 5 4" xfId="10682" xr:uid="{88819F25-8C6A-44E7-A7F2-BD33795CDBC3}"/>
    <cellStyle name="Normal 5 2 6 6" xfId="2594" xr:uid="{00000000-0005-0000-0000-00005B190000}"/>
    <cellStyle name="Normal 5 2 6 6 2" xfId="6878" xr:uid="{00000000-0005-0000-0000-00005C190000}"/>
    <cellStyle name="Normal 5 2 6 6 2 2" xfId="15313" xr:uid="{7806C689-E4CE-4C09-85F2-A06020961E4B}"/>
    <cellStyle name="Normal 5 2 6 6 3" xfId="11095" xr:uid="{E3A68B47-BB77-4AC0-933C-95CA2D9C9423}"/>
    <cellStyle name="Normal 5 2 6 7" xfId="4813" xr:uid="{00000000-0005-0000-0000-00005D190000}"/>
    <cellStyle name="Normal 5 2 6 7 2" xfId="13248" xr:uid="{05995D10-F7B0-46B2-B545-82F86AB979B7}"/>
    <cellStyle name="Normal 5 2 6 8" xfId="9030" xr:uid="{A1AA73D0-9603-47EF-8841-E403D6310C8A}"/>
    <cellStyle name="Normal 5 2 7" xfId="882" xr:uid="{00000000-0005-0000-0000-00005E190000}"/>
    <cellStyle name="Normal 5 2 7 2" xfId="3117" xr:uid="{00000000-0005-0000-0000-00005F190000}"/>
    <cellStyle name="Normal 5 2 7 2 2" xfId="7340" xr:uid="{00000000-0005-0000-0000-000060190000}"/>
    <cellStyle name="Normal 5 2 7 2 2 2" xfId="15775" xr:uid="{25BA1E1D-4C6D-4C97-A706-DD21AD9E83DE}"/>
    <cellStyle name="Normal 5 2 7 2 3" xfId="11557" xr:uid="{B3834A4D-DDE5-410D-B41F-1435240AFC1B}"/>
    <cellStyle name="Normal 5 2 7 3" xfId="5195" xr:uid="{00000000-0005-0000-0000-000061190000}"/>
    <cellStyle name="Normal 5 2 7 3 2" xfId="13630" xr:uid="{E7DB84BC-A758-45BF-B07F-ECFE74A9C430}"/>
    <cellStyle name="Normal 5 2 7 4" xfId="9412" xr:uid="{71C860B4-2363-4CAF-B415-0A890EAA0116}"/>
    <cellStyle name="Normal 5 2 8" xfId="1300" xr:uid="{00000000-0005-0000-0000-000062190000}"/>
    <cellStyle name="Normal 5 2 8 2" xfId="3530" xr:uid="{00000000-0005-0000-0000-000063190000}"/>
    <cellStyle name="Normal 5 2 8 2 2" xfId="7753" xr:uid="{00000000-0005-0000-0000-000064190000}"/>
    <cellStyle name="Normal 5 2 8 2 2 2" xfId="16188" xr:uid="{4921259E-117C-409F-8D79-259BC8CE1C6D}"/>
    <cellStyle name="Normal 5 2 8 2 3" xfId="11970" xr:uid="{EFBBF5AA-D774-473E-A8E9-BF9ECB9C9295}"/>
    <cellStyle name="Normal 5 2 8 3" xfId="5608" xr:uid="{00000000-0005-0000-0000-000065190000}"/>
    <cellStyle name="Normal 5 2 8 3 2" xfId="14043" xr:uid="{5920AA82-9E8F-4E84-A883-F662006E1F4D}"/>
    <cellStyle name="Normal 5 2 8 4" xfId="9825" xr:uid="{3F6C3E99-99F1-4085-8E18-39F68600E22F}"/>
    <cellStyle name="Normal 5 2 9" xfId="1713" xr:uid="{00000000-0005-0000-0000-000066190000}"/>
    <cellStyle name="Normal 5 2 9 2" xfId="3943" xr:uid="{00000000-0005-0000-0000-000067190000}"/>
    <cellStyle name="Normal 5 2 9 2 2" xfId="8166" xr:uid="{00000000-0005-0000-0000-000068190000}"/>
    <cellStyle name="Normal 5 2 9 2 2 2" xfId="16601" xr:uid="{2A429DDD-2D40-4132-955D-33549663B05F}"/>
    <cellStyle name="Normal 5 2 9 2 3" xfId="12383" xr:uid="{984D57DD-B7D1-473D-B485-835B6B1DA918}"/>
    <cellStyle name="Normal 5 2 9 3" xfId="6021" xr:uid="{00000000-0005-0000-0000-000069190000}"/>
    <cellStyle name="Normal 5 2 9 3 2" xfId="14456" xr:uid="{5A0E8290-A485-4BDD-A6E8-88FE3DCA2FE2}"/>
    <cellStyle name="Normal 5 2 9 4" xfId="10238" xr:uid="{37447F6C-1B0F-404B-B5AE-7C3AC867F569}"/>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2 2 2" xfId="17046" xr:uid="{DEA6B253-2D45-4DF9-85B2-5AE33E7C1F95}"/>
    <cellStyle name="Normal 5 3 10 2 3" xfId="12828" xr:uid="{A4911B92-28BA-4185-AED9-9C4DE5B9C79C}"/>
    <cellStyle name="Normal 5 3 10 3" xfId="6466" xr:uid="{00000000-0005-0000-0000-00006E190000}"/>
    <cellStyle name="Normal 5 3 10 3 2" xfId="14901" xr:uid="{0B202E69-CB5E-4155-A440-E224306BECAD}"/>
    <cellStyle name="Normal 5 3 10 4" xfId="10683" xr:uid="{A5F7E1E1-C188-4662-ABBB-F241D90972C7}"/>
    <cellStyle name="Normal 5 3 11" xfId="2595" xr:uid="{00000000-0005-0000-0000-00006F190000}"/>
    <cellStyle name="Normal 5 3 11 2" xfId="6879" xr:uid="{00000000-0005-0000-0000-000070190000}"/>
    <cellStyle name="Normal 5 3 11 2 2" xfId="15314" xr:uid="{334064DD-67A4-478B-8660-9BA76A37742A}"/>
    <cellStyle name="Normal 5 3 11 3" xfId="11096" xr:uid="{AB8A5037-5474-4EDC-856A-F85953B808AD}"/>
    <cellStyle name="Normal 5 3 12" xfId="4814" xr:uid="{00000000-0005-0000-0000-000071190000}"/>
    <cellStyle name="Normal 5 3 12 2" xfId="13249" xr:uid="{6531B899-5EBF-4160-90DE-36B821802589}"/>
    <cellStyle name="Normal 5 3 13" xfId="9031" xr:uid="{8FB560A2-EA95-4E98-BCF1-299C8E961F7D}"/>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10 2" xfId="13250" xr:uid="{FD9E9D8D-2F99-43B7-AA2C-1FC3FE47EDC2}"/>
    <cellStyle name="Normal 5 3 3 11" xfId="9032" xr:uid="{672AAEAF-9AC8-463D-9CE1-174130FF42C4}"/>
    <cellStyle name="Normal 5 3 3 2" xfId="442" xr:uid="{00000000-0005-0000-0000-000076190000}"/>
    <cellStyle name="Normal 5 3 3 2 10" xfId="9033" xr:uid="{11B5D86E-5C8F-4FFB-899E-694D4A81C373}"/>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2 2 2" xfId="15811" xr:uid="{416E9C28-34DE-4A74-8719-6EB47A9598B9}"/>
    <cellStyle name="Normal 5 3 3 2 2 2 2 2 3" xfId="11593" xr:uid="{43C18637-47C6-4FC5-971D-1EAD0CE0F195}"/>
    <cellStyle name="Normal 5 3 3 2 2 2 2 3" xfId="5231" xr:uid="{00000000-0005-0000-0000-00007C190000}"/>
    <cellStyle name="Normal 5 3 3 2 2 2 2 3 2" xfId="13666" xr:uid="{03691D9D-DFFE-4382-BF29-A2A5A46C2709}"/>
    <cellStyle name="Normal 5 3 3 2 2 2 2 4" xfId="9448" xr:uid="{F5392B58-137E-4540-81A7-7E94C1926891}"/>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2 2 2" xfId="16224" xr:uid="{9E4336A7-D99B-4F13-901E-A88394785FDB}"/>
    <cellStyle name="Normal 5 3 3 2 2 2 3 2 3" xfId="12006" xr:uid="{7ECBD543-3ED3-4F66-94AE-0F13F3E3D664}"/>
    <cellStyle name="Normal 5 3 3 2 2 2 3 3" xfId="5644" xr:uid="{00000000-0005-0000-0000-000080190000}"/>
    <cellStyle name="Normal 5 3 3 2 2 2 3 3 2" xfId="14079" xr:uid="{B3ABFEFD-AF13-4A79-B253-687D1D3DAAFA}"/>
    <cellStyle name="Normal 5 3 3 2 2 2 3 4" xfId="9861" xr:uid="{E93F2B74-16C7-4F04-B910-023410278276}"/>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2 2 2" xfId="16637" xr:uid="{72673D04-8283-440C-8E5F-4BA7A7C6C420}"/>
    <cellStyle name="Normal 5 3 3 2 2 2 4 2 3" xfId="12419" xr:uid="{80133220-EF17-4660-B778-79A5B9F0B1AD}"/>
    <cellStyle name="Normal 5 3 3 2 2 2 4 3" xfId="6057" xr:uid="{00000000-0005-0000-0000-000084190000}"/>
    <cellStyle name="Normal 5 3 3 2 2 2 4 3 2" xfId="14492" xr:uid="{788BC5CF-BF16-4A93-AC84-FBBE3A294012}"/>
    <cellStyle name="Normal 5 3 3 2 2 2 4 4" xfId="10274" xr:uid="{7924C700-03E6-4568-8BAE-AD8C2DA2E0E3}"/>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2 2 2" xfId="17050" xr:uid="{98031A7A-57CF-4EB7-B412-FC2A6FADB42E}"/>
    <cellStyle name="Normal 5 3 3 2 2 2 5 2 3" xfId="12832" xr:uid="{C002AEFC-EA39-42D5-99D3-A12FA8ACD2AD}"/>
    <cellStyle name="Normal 5 3 3 2 2 2 5 3" xfId="6470" xr:uid="{00000000-0005-0000-0000-000088190000}"/>
    <cellStyle name="Normal 5 3 3 2 2 2 5 3 2" xfId="14905" xr:uid="{6696532F-571C-4119-B97E-6ED80791F079}"/>
    <cellStyle name="Normal 5 3 3 2 2 2 5 4" xfId="10687" xr:uid="{0D2936B3-D94A-49BF-A431-7B1041C9BC5F}"/>
    <cellStyle name="Normal 5 3 3 2 2 2 6" xfId="2599" xr:uid="{00000000-0005-0000-0000-000089190000}"/>
    <cellStyle name="Normal 5 3 3 2 2 2 6 2" xfId="6883" xr:uid="{00000000-0005-0000-0000-00008A190000}"/>
    <cellStyle name="Normal 5 3 3 2 2 2 6 2 2" xfId="15318" xr:uid="{AB0B41A9-A773-4738-9D37-403445F0EF39}"/>
    <cellStyle name="Normal 5 3 3 2 2 2 6 3" xfId="11100" xr:uid="{DB74A08D-8555-4EA6-B15E-0BDBBEA867DB}"/>
    <cellStyle name="Normal 5 3 3 2 2 2 7" xfId="4818" xr:uid="{00000000-0005-0000-0000-00008B190000}"/>
    <cellStyle name="Normal 5 3 3 2 2 2 7 2" xfId="13253" xr:uid="{9215DACA-A59D-4A52-BB74-2D2CF6279FFC}"/>
    <cellStyle name="Normal 5 3 3 2 2 2 8" xfId="9035" xr:uid="{49595FD6-50B0-46C7-A599-17CBF7C15ACF}"/>
    <cellStyle name="Normal 5 3 3 2 2 3" xfId="918" xr:uid="{00000000-0005-0000-0000-00008C190000}"/>
    <cellStyle name="Normal 5 3 3 2 2 3 2" xfId="3152" xr:uid="{00000000-0005-0000-0000-00008D190000}"/>
    <cellStyle name="Normal 5 3 3 2 2 3 2 2" xfId="7375" xr:uid="{00000000-0005-0000-0000-00008E190000}"/>
    <cellStyle name="Normal 5 3 3 2 2 3 2 2 2" xfId="15810" xr:uid="{DD813777-013B-4875-BF18-EDBAA8FF55A5}"/>
    <cellStyle name="Normal 5 3 3 2 2 3 2 3" xfId="11592" xr:uid="{8E38CF46-6411-4E45-957E-F292C853EB38}"/>
    <cellStyle name="Normal 5 3 3 2 2 3 3" xfId="5230" xr:uid="{00000000-0005-0000-0000-00008F190000}"/>
    <cellStyle name="Normal 5 3 3 2 2 3 3 2" xfId="13665" xr:uid="{62B87F94-A77E-43DD-9784-034137BC353B}"/>
    <cellStyle name="Normal 5 3 3 2 2 3 4" xfId="9447" xr:uid="{9481B984-7FE6-4B1A-8861-C32DBB71C97D}"/>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2 2 2" xfId="16223" xr:uid="{2E518948-AD08-457A-9487-228F5B481C87}"/>
    <cellStyle name="Normal 5 3 3 2 2 4 2 3" xfId="12005" xr:uid="{CB05FD25-2A96-4E38-9364-18BC2AB6D3EB}"/>
    <cellStyle name="Normal 5 3 3 2 2 4 3" xfId="5643" xr:uid="{00000000-0005-0000-0000-000093190000}"/>
    <cellStyle name="Normal 5 3 3 2 2 4 3 2" xfId="14078" xr:uid="{1F189585-A4BC-4C15-8A87-6F92D06353B8}"/>
    <cellStyle name="Normal 5 3 3 2 2 4 4" xfId="9860" xr:uid="{F9A957D8-6B45-4687-ABA0-5D8C205E25A2}"/>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2 2 2" xfId="16636" xr:uid="{01248441-0F78-4A90-BFF8-1C0C467C2329}"/>
    <cellStyle name="Normal 5 3 3 2 2 5 2 3" xfId="12418" xr:uid="{4027968B-7EAF-4DBC-8170-C897CA8104E6}"/>
    <cellStyle name="Normal 5 3 3 2 2 5 3" xfId="6056" xr:uid="{00000000-0005-0000-0000-000097190000}"/>
    <cellStyle name="Normal 5 3 3 2 2 5 3 2" xfId="14491" xr:uid="{2F966A56-980D-4FC5-AF53-477AB3DFC40F}"/>
    <cellStyle name="Normal 5 3 3 2 2 5 4" xfId="10273" xr:uid="{8B6E1EC7-54F9-43E5-9DDE-8653CE59F6BB}"/>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2 2 2" xfId="17049" xr:uid="{CC5B88CD-B9DF-43A4-882C-BE7564B00DDE}"/>
    <cellStyle name="Normal 5 3 3 2 2 6 2 3" xfId="12831" xr:uid="{4C9CFFB8-372B-4C1E-BCCC-1E29909C3083}"/>
    <cellStyle name="Normal 5 3 3 2 2 6 3" xfId="6469" xr:uid="{00000000-0005-0000-0000-00009B190000}"/>
    <cellStyle name="Normal 5 3 3 2 2 6 3 2" xfId="14904" xr:uid="{B5BDC9D4-4D4D-4FAC-9737-F5FB5B7434B4}"/>
    <cellStyle name="Normal 5 3 3 2 2 6 4" xfId="10686" xr:uid="{17AB1089-C010-497A-96BA-6CB678901BE8}"/>
    <cellStyle name="Normal 5 3 3 2 2 7" xfId="2598" xr:uid="{00000000-0005-0000-0000-00009C190000}"/>
    <cellStyle name="Normal 5 3 3 2 2 7 2" xfId="6882" xr:uid="{00000000-0005-0000-0000-00009D190000}"/>
    <cellStyle name="Normal 5 3 3 2 2 7 2 2" xfId="15317" xr:uid="{0DFC13B8-1660-4E4B-8FF2-845A792EE05E}"/>
    <cellStyle name="Normal 5 3 3 2 2 7 3" xfId="11099" xr:uid="{2EEFDDA5-88CC-4D9B-8840-5B1DD305D77F}"/>
    <cellStyle name="Normal 5 3 3 2 2 8" xfId="4817" xr:uid="{00000000-0005-0000-0000-00009E190000}"/>
    <cellStyle name="Normal 5 3 3 2 2 8 2" xfId="13252" xr:uid="{13029E13-E2E1-4D8E-AC06-9C495278AC4F}"/>
    <cellStyle name="Normal 5 3 3 2 2 9" xfId="9034" xr:uid="{D3D10348-83F7-426A-8AB7-44CF62A996C1}"/>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2 2 2" xfId="15812" xr:uid="{77292530-0014-4D07-BC26-EA25966371D0}"/>
    <cellStyle name="Normal 5 3 3 2 3 2 2 3" xfId="11594" xr:uid="{A35D6EC7-4FE0-4F0C-B60C-2E66E6F06AD3}"/>
    <cellStyle name="Normal 5 3 3 2 3 2 3" xfId="5232" xr:uid="{00000000-0005-0000-0000-0000A3190000}"/>
    <cellStyle name="Normal 5 3 3 2 3 2 3 2" xfId="13667" xr:uid="{01DB0833-4E8E-47DC-B9EA-4E78C4C48806}"/>
    <cellStyle name="Normal 5 3 3 2 3 2 4" xfId="9449" xr:uid="{8B6A5F6C-0872-4F5B-8202-03920A5C1C5B}"/>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2 2 2" xfId="16225" xr:uid="{08123739-E9F0-42E1-AFB3-ACF4D5BC1246}"/>
    <cellStyle name="Normal 5 3 3 2 3 3 2 3" xfId="12007" xr:uid="{2573CE39-8720-427A-A434-3C726F46FE3A}"/>
    <cellStyle name="Normal 5 3 3 2 3 3 3" xfId="5645" xr:uid="{00000000-0005-0000-0000-0000A7190000}"/>
    <cellStyle name="Normal 5 3 3 2 3 3 3 2" xfId="14080" xr:uid="{C0146A31-7934-4580-AF24-0B55FCAD13F9}"/>
    <cellStyle name="Normal 5 3 3 2 3 3 4" xfId="9862" xr:uid="{699E3B1C-F9CF-4098-907B-90B195FAA6AD}"/>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2 2 2" xfId="16638" xr:uid="{FB1A81C8-E66A-4E39-9176-8B9202265A11}"/>
    <cellStyle name="Normal 5 3 3 2 3 4 2 3" xfId="12420" xr:uid="{EBE3A05E-1981-44E1-BF51-7D19E4FC8C4B}"/>
    <cellStyle name="Normal 5 3 3 2 3 4 3" xfId="6058" xr:uid="{00000000-0005-0000-0000-0000AB190000}"/>
    <cellStyle name="Normal 5 3 3 2 3 4 3 2" xfId="14493" xr:uid="{FD78ADE2-CBEF-4FFF-9BCB-1D4BD34B964A}"/>
    <cellStyle name="Normal 5 3 3 2 3 4 4" xfId="10275" xr:uid="{00B11DCA-48ED-4F4A-BDFA-5A85500A91C8}"/>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2 2 2" xfId="17051" xr:uid="{CA449871-72F1-4FF6-98D3-CCE256A0C6CD}"/>
    <cellStyle name="Normal 5 3 3 2 3 5 2 3" xfId="12833" xr:uid="{44C210CF-E8A9-4D33-B1C6-AFB2232C2812}"/>
    <cellStyle name="Normal 5 3 3 2 3 5 3" xfId="6471" xr:uid="{00000000-0005-0000-0000-0000AF190000}"/>
    <cellStyle name="Normal 5 3 3 2 3 5 3 2" xfId="14906" xr:uid="{572AB34C-A748-4EC9-AB08-F8DE515C257B}"/>
    <cellStyle name="Normal 5 3 3 2 3 5 4" xfId="10688" xr:uid="{59F9C915-9396-42A7-BD2B-315596F0AC86}"/>
    <cellStyle name="Normal 5 3 3 2 3 6" xfId="2600" xr:uid="{00000000-0005-0000-0000-0000B0190000}"/>
    <cellStyle name="Normal 5 3 3 2 3 6 2" xfId="6884" xr:uid="{00000000-0005-0000-0000-0000B1190000}"/>
    <cellStyle name="Normal 5 3 3 2 3 6 2 2" xfId="15319" xr:uid="{BF6641B0-F34B-4FFD-8A27-8413AB69B2B9}"/>
    <cellStyle name="Normal 5 3 3 2 3 6 3" xfId="11101" xr:uid="{45A9EA98-890F-41E4-A36D-A6A2686FABC8}"/>
    <cellStyle name="Normal 5 3 3 2 3 7" xfId="4819" xr:uid="{00000000-0005-0000-0000-0000B2190000}"/>
    <cellStyle name="Normal 5 3 3 2 3 7 2" xfId="13254" xr:uid="{DFD11321-86CB-4C71-89E4-4994B5125486}"/>
    <cellStyle name="Normal 5 3 3 2 3 8" xfId="9036" xr:uid="{A6420E15-98D7-47CF-BC3B-082D88459CD3}"/>
    <cellStyle name="Normal 5 3 3 2 4" xfId="917" xr:uid="{00000000-0005-0000-0000-0000B3190000}"/>
    <cellStyle name="Normal 5 3 3 2 4 2" xfId="3151" xr:uid="{00000000-0005-0000-0000-0000B4190000}"/>
    <cellStyle name="Normal 5 3 3 2 4 2 2" xfId="7374" xr:uid="{00000000-0005-0000-0000-0000B5190000}"/>
    <cellStyle name="Normal 5 3 3 2 4 2 2 2" xfId="15809" xr:uid="{E6236A80-6EFC-45AC-AEA1-08BB187BA95D}"/>
    <cellStyle name="Normal 5 3 3 2 4 2 3" xfId="11591" xr:uid="{1829EDF2-C3F0-42C2-AC17-C2B3DF31E537}"/>
    <cellStyle name="Normal 5 3 3 2 4 3" xfId="5229" xr:uid="{00000000-0005-0000-0000-0000B6190000}"/>
    <cellStyle name="Normal 5 3 3 2 4 3 2" xfId="13664" xr:uid="{5C5372F6-0A02-4F4F-899C-3EB081766CA8}"/>
    <cellStyle name="Normal 5 3 3 2 4 4" xfId="9446" xr:uid="{9F490B89-5609-406D-8648-770071969CFA}"/>
    <cellStyle name="Normal 5 3 3 2 5" xfId="1334" xr:uid="{00000000-0005-0000-0000-0000B7190000}"/>
    <cellStyle name="Normal 5 3 3 2 5 2" xfId="3564" xr:uid="{00000000-0005-0000-0000-0000B8190000}"/>
    <cellStyle name="Normal 5 3 3 2 5 2 2" xfId="7787" xr:uid="{00000000-0005-0000-0000-0000B9190000}"/>
    <cellStyle name="Normal 5 3 3 2 5 2 2 2" xfId="16222" xr:uid="{ABDCCEB4-10F2-4E8A-81DE-834F389D87E5}"/>
    <cellStyle name="Normal 5 3 3 2 5 2 3" xfId="12004" xr:uid="{16C51199-5A25-4480-B6F0-2C619505771C}"/>
    <cellStyle name="Normal 5 3 3 2 5 3" xfId="5642" xr:uid="{00000000-0005-0000-0000-0000BA190000}"/>
    <cellStyle name="Normal 5 3 3 2 5 3 2" xfId="14077" xr:uid="{F9B9A257-D0CF-4B29-9C7E-17E197A4E719}"/>
    <cellStyle name="Normal 5 3 3 2 5 4" xfId="9859" xr:uid="{7BCE1976-2CD3-42EF-A5A4-3A8A3AA7215D}"/>
    <cellStyle name="Normal 5 3 3 2 6" xfId="1747" xr:uid="{00000000-0005-0000-0000-0000BB190000}"/>
    <cellStyle name="Normal 5 3 3 2 6 2" xfId="3977" xr:uid="{00000000-0005-0000-0000-0000BC190000}"/>
    <cellStyle name="Normal 5 3 3 2 6 2 2" xfId="8200" xr:uid="{00000000-0005-0000-0000-0000BD190000}"/>
    <cellStyle name="Normal 5 3 3 2 6 2 2 2" xfId="16635" xr:uid="{EDAE66E0-2810-4DC2-BC80-0D6FA449BF60}"/>
    <cellStyle name="Normal 5 3 3 2 6 2 3" xfId="12417" xr:uid="{9A907161-5D02-440F-AA41-2AAF4FC5720C}"/>
    <cellStyle name="Normal 5 3 3 2 6 3" xfId="6055" xr:uid="{00000000-0005-0000-0000-0000BE190000}"/>
    <cellStyle name="Normal 5 3 3 2 6 3 2" xfId="14490" xr:uid="{13F10392-9C61-46C5-9BD9-024137A2B789}"/>
    <cellStyle name="Normal 5 3 3 2 6 4" xfId="10272" xr:uid="{5B4AF49C-CD24-4C07-8307-D0475676601F}"/>
    <cellStyle name="Normal 5 3 3 2 7" xfId="2161" xr:uid="{00000000-0005-0000-0000-0000BF190000}"/>
    <cellStyle name="Normal 5 3 3 2 7 2" xfId="4390" xr:uid="{00000000-0005-0000-0000-0000C0190000}"/>
    <cellStyle name="Normal 5 3 3 2 7 2 2" xfId="8613" xr:uid="{00000000-0005-0000-0000-0000C1190000}"/>
    <cellStyle name="Normal 5 3 3 2 7 2 2 2" xfId="17048" xr:uid="{C96CAC09-E061-4360-B083-7962571555F2}"/>
    <cellStyle name="Normal 5 3 3 2 7 2 3" xfId="12830" xr:uid="{B8CC7143-B303-4F9E-91A5-82382BB629F6}"/>
    <cellStyle name="Normal 5 3 3 2 7 3" xfId="6468" xr:uid="{00000000-0005-0000-0000-0000C2190000}"/>
    <cellStyle name="Normal 5 3 3 2 7 3 2" xfId="14903" xr:uid="{39196AFD-CB0B-4ABB-8048-BBEDEB4CDEB1}"/>
    <cellStyle name="Normal 5 3 3 2 7 4" xfId="10685" xr:uid="{A6F59E22-D00B-4672-A37C-64219072932B}"/>
    <cellStyle name="Normal 5 3 3 2 8" xfId="2597" xr:uid="{00000000-0005-0000-0000-0000C3190000}"/>
    <cellStyle name="Normal 5 3 3 2 8 2" xfId="6881" xr:uid="{00000000-0005-0000-0000-0000C4190000}"/>
    <cellStyle name="Normal 5 3 3 2 8 2 2" xfId="15316" xr:uid="{44555B0D-3D4A-4B3A-B4C5-0333B1B23AF3}"/>
    <cellStyle name="Normal 5 3 3 2 8 3" xfId="11098" xr:uid="{885A800E-7D81-4351-9EC1-1D253F0E2B77}"/>
    <cellStyle name="Normal 5 3 3 2 9" xfId="4816" xr:uid="{00000000-0005-0000-0000-0000C5190000}"/>
    <cellStyle name="Normal 5 3 3 2 9 2" xfId="13251" xr:uid="{951256BD-CCC9-46D2-9B33-1CFE5FED7B25}"/>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2 2 2" xfId="15814" xr:uid="{59D15386-8E78-4F1F-8E8F-B745DC87EAC0}"/>
    <cellStyle name="Normal 5 3 3 3 2 2 2 3" xfId="11596" xr:uid="{8AF7D501-FF98-4906-B05B-7B42C11521C8}"/>
    <cellStyle name="Normal 5 3 3 3 2 2 3" xfId="5234" xr:uid="{00000000-0005-0000-0000-0000CB190000}"/>
    <cellStyle name="Normal 5 3 3 3 2 2 3 2" xfId="13669" xr:uid="{27FEB764-FBA6-4DB4-8A8B-075C00E22886}"/>
    <cellStyle name="Normal 5 3 3 3 2 2 4" xfId="9451" xr:uid="{7DDC4785-5849-4756-BD81-243B21FD7B13}"/>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2 2 2" xfId="16227" xr:uid="{F59E2C22-5824-4C8B-9BDF-0169BA68DDBF}"/>
    <cellStyle name="Normal 5 3 3 3 2 3 2 3" xfId="12009" xr:uid="{DF95F048-1099-40C1-ABED-5839A0511BAD}"/>
    <cellStyle name="Normal 5 3 3 3 2 3 3" xfId="5647" xr:uid="{00000000-0005-0000-0000-0000CF190000}"/>
    <cellStyle name="Normal 5 3 3 3 2 3 3 2" xfId="14082" xr:uid="{17CECD4A-FC0A-4AF1-BBD7-F6A7F1604E02}"/>
    <cellStyle name="Normal 5 3 3 3 2 3 4" xfId="9864" xr:uid="{9B33E976-5813-464B-B7B5-602B6F8FC3B7}"/>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2 2 2" xfId="16640" xr:uid="{74D19BEB-5581-4B17-9158-59596C76995B}"/>
    <cellStyle name="Normal 5 3 3 3 2 4 2 3" xfId="12422" xr:uid="{3D771449-57FA-4E3E-AC03-AC2D52DDBD35}"/>
    <cellStyle name="Normal 5 3 3 3 2 4 3" xfId="6060" xr:uid="{00000000-0005-0000-0000-0000D3190000}"/>
    <cellStyle name="Normal 5 3 3 3 2 4 3 2" xfId="14495" xr:uid="{A5643803-A5AB-4966-9206-6CD33B8A6657}"/>
    <cellStyle name="Normal 5 3 3 3 2 4 4" xfId="10277" xr:uid="{402A55CC-EDA0-42EE-B7B7-0F422EB48316}"/>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2 2 2" xfId="17053" xr:uid="{5B0DB431-E9AA-410F-85DD-00D9BA06D063}"/>
    <cellStyle name="Normal 5 3 3 3 2 5 2 3" xfId="12835" xr:uid="{3905F1B3-4D62-472F-B75C-0DBDAA874730}"/>
    <cellStyle name="Normal 5 3 3 3 2 5 3" xfId="6473" xr:uid="{00000000-0005-0000-0000-0000D7190000}"/>
    <cellStyle name="Normal 5 3 3 3 2 5 3 2" xfId="14908" xr:uid="{A329BA54-837F-4F81-910D-B94A66A8603C}"/>
    <cellStyle name="Normal 5 3 3 3 2 5 4" xfId="10690" xr:uid="{1E9301EE-0A9B-4AF8-BEAC-C51620FA8D15}"/>
    <cellStyle name="Normal 5 3 3 3 2 6" xfId="2602" xr:uid="{00000000-0005-0000-0000-0000D8190000}"/>
    <cellStyle name="Normal 5 3 3 3 2 6 2" xfId="6886" xr:uid="{00000000-0005-0000-0000-0000D9190000}"/>
    <cellStyle name="Normal 5 3 3 3 2 6 2 2" xfId="15321" xr:uid="{2417AC77-2173-4949-AF94-50FC2F3D9AC1}"/>
    <cellStyle name="Normal 5 3 3 3 2 6 3" xfId="11103" xr:uid="{96F30FD1-1090-420D-B4D2-F5ABCEDFAC9D}"/>
    <cellStyle name="Normal 5 3 3 3 2 7" xfId="4821" xr:uid="{00000000-0005-0000-0000-0000DA190000}"/>
    <cellStyle name="Normal 5 3 3 3 2 7 2" xfId="13256" xr:uid="{DE048626-B2EF-4AE6-A0DC-C311F5ED0DD0}"/>
    <cellStyle name="Normal 5 3 3 3 2 8" xfId="9038" xr:uid="{1DB09FA9-FCC3-4F5C-B6A5-64963B308785}"/>
    <cellStyle name="Normal 5 3 3 3 3" xfId="921" xr:uid="{00000000-0005-0000-0000-0000DB190000}"/>
    <cellStyle name="Normal 5 3 3 3 3 2" xfId="3155" xr:uid="{00000000-0005-0000-0000-0000DC190000}"/>
    <cellStyle name="Normal 5 3 3 3 3 2 2" xfId="7378" xr:uid="{00000000-0005-0000-0000-0000DD190000}"/>
    <cellStyle name="Normal 5 3 3 3 3 2 2 2" xfId="15813" xr:uid="{FB80C7B9-AE9A-4DB4-99D7-76A98685EDE6}"/>
    <cellStyle name="Normal 5 3 3 3 3 2 3" xfId="11595" xr:uid="{27E5BE8A-DF8E-4B09-B251-425586EBA3B2}"/>
    <cellStyle name="Normal 5 3 3 3 3 3" xfId="5233" xr:uid="{00000000-0005-0000-0000-0000DE190000}"/>
    <cellStyle name="Normal 5 3 3 3 3 3 2" xfId="13668" xr:uid="{59D5587D-3D5C-417F-87BB-B27B14107374}"/>
    <cellStyle name="Normal 5 3 3 3 3 4" xfId="9450" xr:uid="{50B142DC-4B40-42BF-ACD9-A54D414D3237}"/>
    <cellStyle name="Normal 5 3 3 3 4" xfId="1338" xr:uid="{00000000-0005-0000-0000-0000DF190000}"/>
    <cellStyle name="Normal 5 3 3 3 4 2" xfId="3568" xr:uid="{00000000-0005-0000-0000-0000E0190000}"/>
    <cellStyle name="Normal 5 3 3 3 4 2 2" xfId="7791" xr:uid="{00000000-0005-0000-0000-0000E1190000}"/>
    <cellStyle name="Normal 5 3 3 3 4 2 2 2" xfId="16226" xr:uid="{6610A3B8-F435-4FA5-ACCA-0680D34AF363}"/>
    <cellStyle name="Normal 5 3 3 3 4 2 3" xfId="12008" xr:uid="{988BDF99-C51E-4B94-87D7-7BA429B23630}"/>
    <cellStyle name="Normal 5 3 3 3 4 3" xfId="5646" xr:uid="{00000000-0005-0000-0000-0000E2190000}"/>
    <cellStyle name="Normal 5 3 3 3 4 3 2" xfId="14081" xr:uid="{AA705CE0-1B65-474B-9F82-AD902769EFC9}"/>
    <cellStyle name="Normal 5 3 3 3 4 4" xfId="9863" xr:uid="{299406CA-6BEA-4024-B5D4-8CCEC1A2265E}"/>
    <cellStyle name="Normal 5 3 3 3 5" xfId="1751" xr:uid="{00000000-0005-0000-0000-0000E3190000}"/>
    <cellStyle name="Normal 5 3 3 3 5 2" xfId="3981" xr:uid="{00000000-0005-0000-0000-0000E4190000}"/>
    <cellStyle name="Normal 5 3 3 3 5 2 2" xfId="8204" xr:uid="{00000000-0005-0000-0000-0000E5190000}"/>
    <cellStyle name="Normal 5 3 3 3 5 2 2 2" xfId="16639" xr:uid="{8A294514-CA7E-4E62-86F2-106376FFC090}"/>
    <cellStyle name="Normal 5 3 3 3 5 2 3" xfId="12421" xr:uid="{4A6C89ED-8AE8-487A-B2B7-A97583A57300}"/>
    <cellStyle name="Normal 5 3 3 3 5 3" xfId="6059" xr:uid="{00000000-0005-0000-0000-0000E6190000}"/>
    <cellStyle name="Normal 5 3 3 3 5 3 2" xfId="14494" xr:uid="{A238CCA5-7398-47C2-A343-376BE5BC0159}"/>
    <cellStyle name="Normal 5 3 3 3 5 4" xfId="10276" xr:uid="{FC28FB63-26E9-410C-8643-AC13AE93495D}"/>
    <cellStyle name="Normal 5 3 3 3 6" xfId="2165" xr:uid="{00000000-0005-0000-0000-0000E7190000}"/>
    <cellStyle name="Normal 5 3 3 3 6 2" xfId="4394" xr:uid="{00000000-0005-0000-0000-0000E8190000}"/>
    <cellStyle name="Normal 5 3 3 3 6 2 2" xfId="8617" xr:uid="{00000000-0005-0000-0000-0000E9190000}"/>
    <cellStyle name="Normal 5 3 3 3 6 2 2 2" xfId="17052" xr:uid="{459D0CF8-A25C-4E4B-9C9F-1EE3855794F6}"/>
    <cellStyle name="Normal 5 3 3 3 6 2 3" xfId="12834" xr:uid="{64B74C08-1B7E-4283-9EB5-F36B26550CFE}"/>
    <cellStyle name="Normal 5 3 3 3 6 3" xfId="6472" xr:uid="{00000000-0005-0000-0000-0000EA190000}"/>
    <cellStyle name="Normal 5 3 3 3 6 3 2" xfId="14907" xr:uid="{E5B3F02F-22B0-42A0-8930-0E309AFBE5CA}"/>
    <cellStyle name="Normal 5 3 3 3 6 4" xfId="10689" xr:uid="{6958F8D4-5383-4FC2-8E0A-637A8DAA96B2}"/>
    <cellStyle name="Normal 5 3 3 3 7" xfId="2601" xr:uid="{00000000-0005-0000-0000-0000EB190000}"/>
    <cellStyle name="Normal 5 3 3 3 7 2" xfId="6885" xr:uid="{00000000-0005-0000-0000-0000EC190000}"/>
    <cellStyle name="Normal 5 3 3 3 7 2 2" xfId="15320" xr:uid="{E0E6536C-8E16-4418-A5F5-E213A5DF88D4}"/>
    <cellStyle name="Normal 5 3 3 3 7 3" xfId="11102" xr:uid="{0A2BD534-8B71-4C3B-A946-502DD8808D25}"/>
    <cellStyle name="Normal 5 3 3 3 8" xfId="4820" xr:uid="{00000000-0005-0000-0000-0000ED190000}"/>
    <cellStyle name="Normal 5 3 3 3 8 2" xfId="13255" xr:uid="{5ADFB035-B048-40B4-ABB8-B9DDAB62FCB9}"/>
    <cellStyle name="Normal 5 3 3 3 9" xfId="9037" xr:uid="{A6719B82-8DEF-495F-B4CF-FD92461E78F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2 2 2" xfId="15815" xr:uid="{11DAEBFC-B18B-45F7-A230-D29169ED4A3D}"/>
    <cellStyle name="Normal 5 3 3 4 2 2 3" xfId="11597" xr:uid="{CAB4FEBE-CA72-4BAD-B1DD-54B2B15AEDD7}"/>
    <cellStyle name="Normal 5 3 3 4 2 3" xfId="5235" xr:uid="{00000000-0005-0000-0000-0000F2190000}"/>
    <cellStyle name="Normal 5 3 3 4 2 3 2" xfId="13670" xr:uid="{573938F5-4A9B-4471-B60A-246FC0254F2F}"/>
    <cellStyle name="Normal 5 3 3 4 2 4" xfId="9452" xr:uid="{87606259-B790-4CD6-BEFD-ED10D58F126C}"/>
    <cellStyle name="Normal 5 3 3 4 3" xfId="1340" xr:uid="{00000000-0005-0000-0000-0000F3190000}"/>
    <cellStyle name="Normal 5 3 3 4 3 2" xfId="3570" xr:uid="{00000000-0005-0000-0000-0000F4190000}"/>
    <cellStyle name="Normal 5 3 3 4 3 2 2" xfId="7793" xr:uid="{00000000-0005-0000-0000-0000F5190000}"/>
    <cellStyle name="Normal 5 3 3 4 3 2 2 2" xfId="16228" xr:uid="{85D439EA-5312-4030-8B51-4BC4471871B2}"/>
    <cellStyle name="Normal 5 3 3 4 3 2 3" xfId="12010" xr:uid="{EDBB6AE8-A90D-414E-A0A8-F9DB8920F7F1}"/>
    <cellStyle name="Normal 5 3 3 4 3 3" xfId="5648" xr:uid="{00000000-0005-0000-0000-0000F6190000}"/>
    <cellStyle name="Normal 5 3 3 4 3 3 2" xfId="14083" xr:uid="{1EA5BF8A-08F3-44F2-9A7B-C21357A440DC}"/>
    <cellStyle name="Normal 5 3 3 4 3 4" xfId="9865" xr:uid="{178C4F1B-62EC-4367-9BA8-E5886D6A40DA}"/>
    <cellStyle name="Normal 5 3 3 4 4" xfId="1753" xr:uid="{00000000-0005-0000-0000-0000F7190000}"/>
    <cellStyle name="Normal 5 3 3 4 4 2" xfId="3983" xr:uid="{00000000-0005-0000-0000-0000F8190000}"/>
    <cellStyle name="Normal 5 3 3 4 4 2 2" xfId="8206" xr:uid="{00000000-0005-0000-0000-0000F9190000}"/>
    <cellStyle name="Normal 5 3 3 4 4 2 2 2" xfId="16641" xr:uid="{951AA5FC-8A58-4A53-ADE0-D2B140B5E0AF}"/>
    <cellStyle name="Normal 5 3 3 4 4 2 3" xfId="12423" xr:uid="{912D2B12-3C87-4B5A-9C1D-FE6F2D4DC920}"/>
    <cellStyle name="Normal 5 3 3 4 4 3" xfId="6061" xr:uid="{00000000-0005-0000-0000-0000FA190000}"/>
    <cellStyle name="Normal 5 3 3 4 4 3 2" xfId="14496" xr:uid="{E0FD18CF-5C0B-492E-B4E9-ECD68834B0AB}"/>
    <cellStyle name="Normal 5 3 3 4 4 4" xfId="10278" xr:uid="{578CD815-554D-4C26-8D6C-5D38EF7DAE97}"/>
    <cellStyle name="Normal 5 3 3 4 5" xfId="2167" xr:uid="{00000000-0005-0000-0000-0000FB190000}"/>
    <cellStyle name="Normal 5 3 3 4 5 2" xfId="4396" xr:uid="{00000000-0005-0000-0000-0000FC190000}"/>
    <cellStyle name="Normal 5 3 3 4 5 2 2" xfId="8619" xr:uid="{00000000-0005-0000-0000-0000FD190000}"/>
    <cellStyle name="Normal 5 3 3 4 5 2 2 2" xfId="17054" xr:uid="{89D33DE4-14BB-49AF-B2CC-AD8B341E5B17}"/>
    <cellStyle name="Normal 5 3 3 4 5 2 3" xfId="12836" xr:uid="{FF88AA9F-A8FD-4844-83D1-3C1E81275066}"/>
    <cellStyle name="Normal 5 3 3 4 5 3" xfId="6474" xr:uid="{00000000-0005-0000-0000-0000FE190000}"/>
    <cellStyle name="Normal 5 3 3 4 5 3 2" xfId="14909" xr:uid="{71033DE5-6C8A-4704-8F11-5724938908EB}"/>
    <cellStyle name="Normal 5 3 3 4 5 4" xfId="10691" xr:uid="{6DAB7C91-AD21-4C48-9D2D-BB9E9008D483}"/>
    <cellStyle name="Normal 5 3 3 4 6" xfId="2603" xr:uid="{00000000-0005-0000-0000-0000FF190000}"/>
    <cellStyle name="Normal 5 3 3 4 6 2" xfId="6887" xr:uid="{00000000-0005-0000-0000-0000001A0000}"/>
    <cellStyle name="Normal 5 3 3 4 6 2 2" xfId="15322" xr:uid="{D00C9769-5ACF-4521-A7E4-C269FA49C8DE}"/>
    <cellStyle name="Normal 5 3 3 4 6 3" xfId="11104" xr:uid="{286C74D5-B760-4A9A-A892-D45B77C77F7D}"/>
    <cellStyle name="Normal 5 3 3 4 7" xfId="4822" xr:uid="{00000000-0005-0000-0000-0000011A0000}"/>
    <cellStyle name="Normal 5 3 3 4 7 2" xfId="13257" xr:uid="{88BCC0B3-6587-4E0F-8548-7CE9D031487F}"/>
    <cellStyle name="Normal 5 3 3 4 8" xfId="9039" xr:uid="{37167148-FD00-4C77-BAC7-577582B29B6F}"/>
    <cellStyle name="Normal 5 3 3 5" xfId="916" xr:uid="{00000000-0005-0000-0000-0000021A0000}"/>
    <cellStyle name="Normal 5 3 3 5 2" xfId="3150" xr:uid="{00000000-0005-0000-0000-0000031A0000}"/>
    <cellStyle name="Normal 5 3 3 5 2 2" xfId="7373" xr:uid="{00000000-0005-0000-0000-0000041A0000}"/>
    <cellStyle name="Normal 5 3 3 5 2 2 2" xfId="15808" xr:uid="{98FB4974-F19E-47A0-9D01-E5BD23A6A12F}"/>
    <cellStyle name="Normal 5 3 3 5 2 3" xfId="11590" xr:uid="{047651C5-7B66-4EFA-A84F-3BCFDB60A484}"/>
    <cellStyle name="Normal 5 3 3 5 3" xfId="5228" xr:uid="{00000000-0005-0000-0000-0000051A0000}"/>
    <cellStyle name="Normal 5 3 3 5 3 2" xfId="13663" xr:uid="{26FFD264-A601-47E9-866C-7A3D80391E12}"/>
    <cellStyle name="Normal 5 3 3 5 4" xfId="9445" xr:uid="{ABD05443-DE61-4162-963B-C07B2CE6B615}"/>
    <cellStyle name="Normal 5 3 3 6" xfId="1333" xr:uid="{00000000-0005-0000-0000-0000061A0000}"/>
    <cellStyle name="Normal 5 3 3 6 2" xfId="3563" xr:uid="{00000000-0005-0000-0000-0000071A0000}"/>
    <cellStyle name="Normal 5 3 3 6 2 2" xfId="7786" xr:uid="{00000000-0005-0000-0000-0000081A0000}"/>
    <cellStyle name="Normal 5 3 3 6 2 2 2" xfId="16221" xr:uid="{9B4F84E9-B5D4-418B-B3F2-C0AD33A89CA5}"/>
    <cellStyle name="Normal 5 3 3 6 2 3" xfId="12003" xr:uid="{64DEE01C-5E55-4F77-A6A6-1D41FC4F6B03}"/>
    <cellStyle name="Normal 5 3 3 6 3" xfId="5641" xr:uid="{00000000-0005-0000-0000-0000091A0000}"/>
    <cellStyle name="Normal 5 3 3 6 3 2" xfId="14076" xr:uid="{EBC3A714-CB1E-4A8C-8153-3C076FDC4916}"/>
    <cellStyle name="Normal 5 3 3 6 4" xfId="9858" xr:uid="{4C515F98-CCC4-4162-9777-1DFA91E9EAE5}"/>
    <cellStyle name="Normal 5 3 3 7" xfId="1746" xr:uid="{00000000-0005-0000-0000-00000A1A0000}"/>
    <cellStyle name="Normal 5 3 3 7 2" xfId="3976" xr:uid="{00000000-0005-0000-0000-00000B1A0000}"/>
    <cellStyle name="Normal 5 3 3 7 2 2" xfId="8199" xr:uid="{00000000-0005-0000-0000-00000C1A0000}"/>
    <cellStyle name="Normal 5 3 3 7 2 2 2" xfId="16634" xr:uid="{1CB6700F-E16C-4E1F-967D-6FA9A1F72B15}"/>
    <cellStyle name="Normal 5 3 3 7 2 3" xfId="12416" xr:uid="{37B42FE1-E896-4131-B223-2B6958DC122E}"/>
    <cellStyle name="Normal 5 3 3 7 3" xfId="6054" xr:uid="{00000000-0005-0000-0000-00000D1A0000}"/>
    <cellStyle name="Normal 5 3 3 7 3 2" xfId="14489" xr:uid="{5D2ABF7D-6FFA-4556-8B1B-1C58390ED8D7}"/>
    <cellStyle name="Normal 5 3 3 7 4" xfId="10271" xr:uid="{9F381E96-0CE9-48A2-B121-7766BF01ED54}"/>
    <cellStyle name="Normal 5 3 3 8" xfId="2160" xr:uid="{00000000-0005-0000-0000-00000E1A0000}"/>
    <cellStyle name="Normal 5 3 3 8 2" xfId="4389" xr:uid="{00000000-0005-0000-0000-00000F1A0000}"/>
    <cellStyle name="Normal 5 3 3 8 2 2" xfId="8612" xr:uid="{00000000-0005-0000-0000-0000101A0000}"/>
    <cellStyle name="Normal 5 3 3 8 2 2 2" xfId="17047" xr:uid="{78526B70-A1B2-4CD9-9A26-4FDAE2316B81}"/>
    <cellStyle name="Normal 5 3 3 8 2 3" xfId="12829" xr:uid="{E80EE17D-BE42-4948-BB47-A82C62C59A6F}"/>
    <cellStyle name="Normal 5 3 3 8 3" xfId="6467" xr:uid="{00000000-0005-0000-0000-0000111A0000}"/>
    <cellStyle name="Normal 5 3 3 8 3 2" xfId="14902" xr:uid="{EFA86E41-FF9F-40B1-92B3-D8017AD447CC}"/>
    <cellStyle name="Normal 5 3 3 8 4" xfId="10684" xr:uid="{18873340-41D9-44D4-850E-CC95DD8F6729}"/>
    <cellStyle name="Normal 5 3 3 9" xfId="2596" xr:uid="{00000000-0005-0000-0000-0000121A0000}"/>
    <cellStyle name="Normal 5 3 3 9 2" xfId="6880" xr:uid="{00000000-0005-0000-0000-0000131A0000}"/>
    <cellStyle name="Normal 5 3 3 9 2 2" xfId="15315" xr:uid="{E453BAA3-4B99-4F07-B60D-981F39D8A657}"/>
    <cellStyle name="Normal 5 3 3 9 3" xfId="11097" xr:uid="{5724D072-8C99-4B48-AB9B-8B1CC658D437}"/>
    <cellStyle name="Normal 5 3 4" xfId="449" xr:uid="{00000000-0005-0000-0000-0000141A0000}"/>
    <cellStyle name="Normal 5 3 4 10" xfId="9040" xr:uid="{54443EBF-FF27-4DE8-A66E-D7F5F89B333C}"/>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2 2 2" xfId="15818" xr:uid="{50FFDBFC-AFD0-4812-B985-1FF4E45FCFA4}"/>
    <cellStyle name="Normal 5 3 4 2 2 2 2 3" xfId="11600" xr:uid="{7835FE19-DAE8-46D4-B57B-FD2439B58DC4}"/>
    <cellStyle name="Normal 5 3 4 2 2 2 3" xfId="5238" xr:uid="{00000000-0005-0000-0000-00001A1A0000}"/>
    <cellStyle name="Normal 5 3 4 2 2 2 3 2" xfId="13673" xr:uid="{02385A8D-5476-4DCA-9C5C-BAF4C933EAC4}"/>
    <cellStyle name="Normal 5 3 4 2 2 2 4" xfId="9455" xr:uid="{FC49498F-3138-45BC-85D9-0A2FA35323F5}"/>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2 2 2" xfId="16231" xr:uid="{515702B7-58CA-42FE-8A20-F4B38E37B671}"/>
    <cellStyle name="Normal 5 3 4 2 2 3 2 3" xfId="12013" xr:uid="{2F0781BC-60C3-4B7D-A590-0D09F1BC27C7}"/>
    <cellStyle name="Normal 5 3 4 2 2 3 3" xfId="5651" xr:uid="{00000000-0005-0000-0000-00001E1A0000}"/>
    <cellStyle name="Normal 5 3 4 2 2 3 3 2" xfId="14086" xr:uid="{0CB39B80-A2B4-4881-A259-9B2F954B6B7A}"/>
    <cellStyle name="Normal 5 3 4 2 2 3 4" xfId="9868" xr:uid="{0E396AE8-9F2C-4873-AE81-E6D91EF25C8E}"/>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2 2 2" xfId="16644" xr:uid="{233B5C3B-2F13-4897-BAC4-9CC10DDDEDA3}"/>
    <cellStyle name="Normal 5 3 4 2 2 4 2 3" xfId="12426" xr:uid="{70F0751B-C714-47DE-B4F9-25BAC375A99B}"/>
    <cellStyle name="Normal 5 3 4 2 2 4 3" xfId="6064" xr:uid="{00000000-0005-0000-0000-0000221A0000}"/>
    <cellStyle name="Normal 5 3 4 2 2 4 3 2" xfId="14499" xr:uid="{B66CF476-00AF-44C9-9617-292A2E88C760}"/>
    <cellStyle name="Normal 5 3 4 2 2 4 4" xfId="10281" xr:uid="{F2F9D57D-CA86-4924-83FA-F4AA06709183}"/>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2 2 2" xfId="17057" xr:uid="{DC7B9C01-6601-459C-9334-C6818D913B7E}"/>
    <cellStyle name="Normal 5 3 4 2 2 5 2 3" xfId="12839" xr:uid="{07A00AD3-F664-4C79-A0CA-B0742AD4A1DD}"/>
    <cellStyle name="Normal 5 3 4 2 2 5 3" xfId="6477" xr:uid="{00000000-0005-0000-0000-0000261A0000}"/>
    <cellStyle name="Normal 5 3 4 2 2 5 3 2" xfId="14912" xr:uid="{15158706-FF1C-4B47-8ADE-86A8EEB01894}"/>
    <cellStyle name="Normal 5 3 4 2 2 5 4" xfId="10694" xr:uid="{0E437DB3-12E0-4958-B66F-E281F33238A1}"/>
    <cellStyle name="Normal 5 3 4 2 2 6" xfId="2606" xr:uid="{00000000-0005-0000-0000-0000271A0000}"/>
    <cellStyle name="Normal 5 3 4 2 2 6 2" xfId="6890" xr:uid="{00000000-0005-0000-0000-0000281A0000}"/>
    <cellStyle name="Normal 5 3 4 2 2 6 2 2" xfId="15325" xr:uid="{01203E28-12FF-405D-8E38-8E508670D459}"/>
    <cellStyle name="Normal 5 3 4 2 2 6 3" xfId="11107" xr:uid="{B8F08DB6-9FD5-4FCF-B492-C7489CD125CD}"/>
    <cellStyle name="Normal 5 3 4 2 2 7" xfId="4825" xr:uid="{00000000-0005-0000-0000-0000291A0000}"/>
    <cellStyle name="Normal 5 3 4 2 2 7 2" xfId="13260" xr:uid="{3F0D2A45-5E5F-44C5-8EC6-E9E2EDB624B3}"/>
    <cellStyle name="Normal 5 3 4 2 2 8" xfId="9042" xr:uid="{D2F1F6F9-2262-430A-92B7-FBAE508B5E27}"/>
    <cellStyle name="Normal 5 3 4 2 3" xfId="925" xr:uid="{00000000-0005-0000-0000-00002A1A0000}"/>
    <cellStyle name="Normal 5 3 4 2 3 2" xfId="3159" xr:uid="{00000000-0005-0000-0000-00002B1A0000}"/>
    <cellStyle name="Normal 5 3 4 2 3 2 2" xfId="7382" xr:uid="{00000000-0005-0000-0000-00002C1A0000}"/>
    <cellStyle name="Normal 5 3 4 2 3 2 2 2" xfId="15817" xr:uid="{E1EC56ED-8010-4CB0-AB46-2D8C9FA3E627}"/>
    <cellStyle name="Normal 5 3 4 2 3 2 3" xfId="11599" xr:uid="{AC1958A3-243C-48B3-B8FF-25D45FA68EA6}"/>
    <cellStyle name="Normal 5 3 4 2 3 3" xfId="5237" xr:uid="{00000000-0005-0000-0000-00002D1A0000}"/>
    <cellStyle name="Normal 5 3 4 2 3 3 2" xfId="13672" xr:uid="{6C6D7638-AF24-478C-92D1-417EBF582D01}"/>
    <cellStyle name="Normal 5 3 4 2 3 4" xfId="9454" xr:uid="{2D209AD1-BD5B-4CB7-AA99-C00F32B93B8E}"/>
    <cellStyle name="Normal 5 3 4 2 4" xfId="1342" xr:uid="{00000000-0005-0000-0000-00002E1A0000}"/>
    <cellStyle name="Normal 5 3 4 2 4 2" xfId="3572" xr:uid="{00000000-0005-0000-0000-00002F1A0000}"/>
    <cellStyle name="Normal 5 3 4 2 4 2 2" xfId="7795" xr:uid="{00000000-0005-0000-0000-0000301A0000}"/>
    <cellStyle name="Normal 5 3 4 2 4 2 2 2" xfId="16230" xr:uid="{82C74F3F-BA8A-457B-9512-52E679A4FCE9}"/>
    <cellStyle name="Normal 5 3 4 2 4 2 3" xfId="12012" xr:uid="{491992C5-046B-4DB5-A480-62A719F18826}"/>
    <cellStyle name="Normal 5 3 4 2 4 3" xfId="5650" xr:uid="{00000000-0005-0000-0000-0000311A0000}"/>
    <cellStyle name="Normal 5 3 4 2 4 3 2" xfId="14085" xr:uid="{2B26BB60-980D-451C-A85D-AB6092BD90E2}"/>
    <cellStyle name="Normal 5 3 4 2 4 4" xfId="9867" xr:uid="{E481CFCD-963F-4CF6-BA51-0710DCE237E5}"/>
    <cellStyle name="Normal 5 3 4 2 5" xfId="1755" xr:uid="{00000000-0005-0000-0000-0000321A0000}"/>
    <cellStyle name="Normal 5 3 4 2 5 2" xfId="3985" xr:uid="{00000000-0005-0000-0000-0000331A0000}"/>
    <cellStyle name="Normal 5 3 4 2 5 2 2" xfId="8208" xr:uid="{00000000-0005-0000-0000-0000341A0000}"/>
    <cellStyle name="Normal 5 3 4 2 5 2 2 2" xfId="16643" xr:uid="{19550C5F-50DA-427E-A8DE-2AD4601C3C59}"/>
    <cellStyle name="Normal 5 3 4 2 5 2 3" xfId="12425" xr:uid="{443045B5-0E33-4646-966A-9C3B09C630EC}"/>
    <cellStyle name="Normal 5 3 4 2 5 3" xfId="6063" xr:uid="{00000000-0005-0000-0000-0000351A0000}"/>
    <cellStyle name="Normal 5 3 4 2 5 3 2" xfId="14498" xr:uid="{9497BFB0-53BF-4138-8385-BA437A8B1A4C}"/>
    <cellStyle name="Normal 5 3 4 2 5 4" xfId="10280" xr:uid="{7B22576B-5E78-496C-87C5-3A0C5DAE4CD0}"/>
    <cellStyle name="Normal 5 3 4 2 6" xfId="2169" xr:uid="{00000000-0005-0000-0000-0000361A0000}"/>
    <cellStyle name="Normal 5 3 4 2 6 2" xfId="4398" xr:uid="{00000000-0005-0000-0000-0000371A0000}"/>
    <cellStyle name="Normal 5 3 4 2 6 2 2" xfId="8621" xr:uid="{00000000-0005-0000-0000-0000381A0000}"/>
    <cellStyle name="Normal 5 3 4 2 6 2 2 2" xfId="17056" xr:uid="{F41D793B-89BF-4E63-83DB-C35DE788C3FA}"/>
    <cellStyle name="Normal 5 3 4 2 6 2 3" xfId="12838" xr:uid="{B3E81A6B-8AE9-461B-AA99-B3CBBD0C4150}"/>
    <cellStyle name="Normal 5 3 4 2 6 3" xfId="6476" xr:uid="{00000000-0005-0000-0000-0000391A0000}"/>
    <cellStyle name="Normal 5 3 4 2 6 3 2" xfId="14911" xr:uid="{49251111-DD67-4DFA-9C2E-760B5720263C}"/>
    <cellStyle name="Normal 5 3 4 2 6 4" xfId="10693" xr:uid="{4CD815D7-1257-4C36-8AB6-0BBA6CE001C3}"/>
    <cellStyle name="Normal 5 3 4 2 7" xfId="2605" xr:uid="{00000000-0005-0000-0000-00003A1A0000}"/>
    <cellStyle name="Normal 5 3 4 2 7 2" xfId="6889" xr:uid="{00000000-0005-0000-0000-00003B1A0000}"/>
    <cellStyle name="Normal 5 3 4 2 7 2 2" xfId="15324" xr:uid="{92F8229B-77D8-4F46-AEA4-B3AA741E78F9}"/>
    <cellStyle name="Normal 5 3 4 2 7 3" xfId="11106" xr:uid="{690D8FAF-8B50-4EBF-B0AB-D10E191CD247}"/>
    <cellStyle name="Normal 5 3 4 2 8" xfId="4824" xr:uid="{00000000-0005-0000-0000-00003C1A0000}"/>
    <cellStyle name="Normal 5 3 4 2 8 2" xfId="13259" xr:uid="{639D3969-ADC9-4FC1-B14D-652BAF55D46D}"/>
    <cellStyle name="Normal 5 3 4 2 9" xfId="9041" xr:uid="{BDFF4946-210E-4776-B308-944A0D204E65}"/>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2 2 2" xfId="15819" xr:uid="{34CABC23-9CC9-4D4D-A57D-5F35DEDD8F44}"/>
    <cellStyle name="Normal 5 3 4 3 2 2 3" xfId="11601" xr:uid="{DD01FC2D-94E7-459D-BD7E-DCC749F1705D}"/>
    <cellStyle name="Normal 5 3 4 3 2 3" xfId="5239" xr:uid="{00000000-0005-0000-0000-0000411A0000}"/>
    <cellStyle name="Normal 5 3 4 3 2 3 2" xfId="13674" xr:uid="{6420D0D4-9C0A-4FB9-8D5A-39C8B21D0F16}"/>
    <cellStyle name="Normal 5 3 4 3 2 4" xfId="9456" xr:uid="{87CFF75A-6B4D-4612-B0D7-A471DE38A870}"/>
    <cellStyle name="Normal 5 3 4 3 3" xfId="1344" xr:uid="{00000000-0005-0000-0000-0000421A0000}"/>
    <cellStyle name="Normal 5 3 4 3 3 2" xfId="3574" xr:uid="{00000000-0005-0000-0000-0000431A0000}"/>
    <cellStyle name="Normal 5 3 4 3 3 2 2" xfId="7797" xr:uid="{00000000-0005-0000-0000-0000441A0000}"/>
    <cellStyle name="Normal 5 3 4 3 3 2 2 2" xfId="16232" xr:uid="{7B3819A5-84E8-48A9-A71D-10C1F4FE23DC}"/>
    <cellStyle name="Normal 5 3 4 3 3 2 3" xfId="12014" xr:uid="{5E4D0C14-3579-42A3-A7E9-0CFF06A0C20F}"/>
    <cellStyle name="Normal 5 3 4 3 3 3" xfId="5652" xr:uid="{00000000-0005-0000-0000-0000451A0000}"/>
    <cellStyle name="Normal 5 3 4 3 3 3 2" xfId="14087" xr:uid="{496CEA2A-6838-42CA-98C6-DDBD58E4295A}"/>
    <cellStyle name="Normal 5 3 4 3 3 4" xfId="9869" xr:uid="{296245BA-9970-4BA9-914F-87B238ECFB17}"/>
    <cellStyle name="Normal 5 3 4 3 4" xfId="1757" xr:uid="{00000000-0005-0000-0000-0000461A0000}"/>
    <cellStyle name="Normal 5 3 4 3 4 2" xfId="3987" xr:uid="{00000000-0005-0000-0000-0000471A0000}"/>
    <cellStyle name="Normal 5 3 4 3 4 2 2" xfId="8210" xr:uid="{00000000-0005-0000-0000-0000481A0000}"/>
    <cellStyle name="Normal 5 3 4 3 4 2 2 2" xfId="16645" xr:uid="{60E5CD6C-25AB-4824-B04D-D980893FD777}"/>
    <cellStyle name="Normal 5 3 4 3 4 2 3" xfId="12427" xr:uid="{98D587C7-190C-4823-BAAD-1A5FD0298C8E}"/>
    <cellStyle name="Normal 5 3 4 3 4 3" xfId="6065" xr:uid="{00000000-0005-0000-0000-0000491A0000}"/>
    <cellStyle name="Normal 5 3 4 3 4 3 2" xfId="14500" xr:uid="{8267D7E6-8DFA-4774-BA94-CC4D97321828}"/>
    <cellStyle name="Normal 5 3 4 3 4 4" xfId="10282" xr:uid="{7AA93F5C-D7F1-4989-B883-A897C314447B}"/>
    <cellStyle name="Normal 5 3 4 3 5" xfId="2171" xr:uid="{00000000-0005-0000-0000-00004A1A0000}"/>
    <cellStyle name="Normal 5 3 4 3 5 2" xfId="4400" xr:uid="{00000000-0005-0000-0000-00004B1A0000}"/>
    <cellStyle name="Normal 5 3 4 3 5 2 2" xfId="8623" xr:uid="{00000000-0005-0000-0000-00004C1A0000}"/>
    <cellStyle name="Normal 5 3 4 3 5 2 2 2" xfId="17058" xr:uid="{3513AE51-2776-4D52-8894-8D8686483D0F}"/>
    <cellStyle name="Normal 5 3 4 3 5 2 3" xfId="12840" xr:uid="{12D6E10C-0E4F-4AD8-8FC6-2D753B25DEE9}"/>
    <cellStyle name="Normal 5 3 4 3 5 3" xfId="6478" xr:uid="{00000000-0005-0000-0000-00004D1A0000}"/>
    <cellStyle name="Normal 5 3 4 3 5 3 2" xfId="14913" xr:uid="{1C86773D-9936-4DB4-8A65-3E794F0A3C83}"/>
    <cellStyle name="Normal 5 3 4 3 5 4" xfId="10695" xr:uid="{50031FB8-D6F9-4078-9EE9-AB280A591F8C}"/>
    <cellStyle name="Normal 5 3 4 3 6" xfId="2607" xr:uid="{00000000-0005-0000-0000-00004E1A0000}"/>
    <cellStyle name="Normal 5 3 4 3 6 2" xfId="6891" xr:uid="{00000000-0005-0000-0000-00004F1A0000}"/>
    <cellStyle name="Normal 5 3 4 3 6 2 2" xfId="15326" xr:uid="{DC4EF27D-274F-429E-A331-EE4D37A88FFD}"/>
    <cellStyle name="Normal 5 3 4 3 6 3" xfId="11108" xr:uid="{5B83B065-9B21-4714-AECB-2048E9D35D6D}"/>
    <cellStyle name="Normal 5 3 4 3 7" xfId="4826" xr:uid="{00000000-0005-0000-0000-0000501A0000}"/>
    <cellStyle name="Normal 5 3 4 3 7 2" xfId="13261" xr:uid="{ED8E8019-3F17-4F44-84BE-A8B9D6A06027}"/>
    <cellStyle name="Normal 5 3 4 3 8" xfId="9043" xr:uid="{681F0FE0-6D5B-48F8-920C-C434246E6520}"/>
    <cellStyle name="Normal 5 3 4 4" xfId="924" xr:uid="{00000000-0005-0000-0000-0000511A0000}"/>
    <cellStyle name="Normal 5 3 4 4 2" xfId="3158" xr:uid="{00000000-0005-0000-0000-0000521A0000}"/>
    <cellStyle name="Normal 5 3 4 4 2 2" xfId="7381" xr:uid="{00000000-0005-0000-0000-0000531A0000}"/>
    <cellStyle name="Normal 5 3 4 4 2 2 2" xfId="15816" xr:uid="{30625E25-8706-47A9-A99F-4FA3167E0BCB}"/>
    <cellStyle name="Normal 5 3 4 4 2 3" xfId="11598" xr:uid="{0EE7E0FF-BA43-4C05-AD5B-72B2D8763CB2}"/>
    <cellStyle name="Normal 5 3 4 4 3" xfId="5236" xr:uid="{00000000-0005-0000-0000-0000541A0000}"/>
    <cellStyle name="Normal 5 3 4 4 3 2" xfId="13671" xr:uid="{711D7851-5A33-407E-AA6D-65589C4F2435}"/>
    <cellStyle name="Normal 5 3 4 4 4" xfId="9453" xr:uid="{3363B26F-F553-4C10-B154-19F9236FF438}"/>
    <cellStyle name="Normal 5 3 4 5" xfId="1341" xr:uid="{00000000-0005-0000-0000-0000551A0000}"/>
    <cellStyle name="Normal 5 3 4 5 2" xfId="3571" xr:uid="{00000000-0005-0000-0000-0000561A0000}"/>
    <cellStyle name="Normal 5 3 4 5 2 2" xfId="7794" xr:uid="{00000000-0005-0000-0000-0000571A0000}"/>
    <cellStyle name="Normal 5 3 4 5 2 2 2" xfId="16229" xr:uid="{84E42B14-F2DD-4F21-8009-96C985A0D2D9}"/>
    <cellStyle name="Normal 5 3 4 5 2 3" xfId="12011" xr:uid="{FE915519-A860-46F4-9CA6-6BF4A2EAD0E4}"/>
    <cellStyle name="Normal 5 3 4 5 3" xfId="5649" xr:uid="{00000000-0005-0000-0000-0000581A0000}"/>
    <cellStyle name="Normal 5 3 4 5 3 2" xfId="14084" xr:uid="{EE9A0FFC-5369-4EFA-A3B5-CABB1D5B6F44}"/>
    <cellStyle name="Normal 5 3 4 5 4" xfId="9866" xr:uid="{865687EE-788D-4A43-90AA-DD218508CC61}"/>
    <cellStyle name="Normal 5 3 4 6" xfId="1754" xr:uid="{00000000-0005-0000-0000-0000591A0000}"/>
    <cellStyle name="Normal 5 3 4 6 2" xfId="3984" xr:uid="{00000000-0005-0000-0000-00005A1A0000}"/>
    <cellStyle name="Normal 5 3 4 6 2 2" xfId="8207" xr:uid="{00000000-0005-0000-0000-00005B1A0000}"/>
    <cellStyle name="Normal 5 3 4 6 2 2 2" xfId="16642" xr:uid="{BA700007-58D1-4B97-98B2-3B9EFA9A1287}"/>
    <cellStyle name="Normal 5 3 4 6 2 3" xfId="12424" xr:uid="{AB55F817-FD4B-4BF5-8280-2132DB4FC3F2}"/>
    <cellStyle name="Normal 5 3 4 6 3" xfId="6062" xr:uid="{00000000-0005-0000-0000-00005C1A0000}"/>
    <cellStyle name="Normal 5 3 4 6 3 2" xfId="14497" xr:uid="{50AA8BE6-A087-48A6-A3BD-857475F28B31}"/>
    <cellStyle name="Normal 5 3 4 6 4" xfId="10279" xr:uid="{EAF30D3B-B21E-4727-867E-E2C50138451A}"/>
    <cellStyle name="Normal 5 3 4 7" xfId="2168" xr:uid="{00000000-0005-0000-0000-00005D1A0000}"/>
    <cellStyle name="Normal 5 3 4 7 2" xfId="4397" xr:uid="{00000000-0005-0000-0000-00005E1A0000}"/>
    <cellStyle name="Normal 5 3 4 7 2 2" xfId="8620" xr:uid="{00000000-0005-0000-0000-00005F1A0000}"/>
    <cellStyle name="Normal 5 3 4 7 2 2 2" xfId="17055" xr:uid="{9FD99C23-7D2D-4B4B-92F4-727BC0F047C0}"/>
    <cellStyle name="Normal 5 3 4 7 2 3" xfId="12837" xr:uid="{DB55C63D-4E4F-48CF-B1BA-838B1EFA2355}"/>
    <cellStyle name="Normal 5 3 4 7 3" xfId="6475" xr:uid="{00000000-0005-0000-0000-0000601A0000}"/>
    <cellStyle name="Normal 5 3 4 7 3 2" xfId="14910" xr:uid="{B8948528-2F34-4A80-9F31-F64CC08E5ECA}"/>
    <cellStyle name="Normal 5 3 4 7 4" xfId="10692" xr:uid="{5361062D-885D-4544-BA23-030445DC1FB1}"/>
    <cellStyle name="Normal 5 3 4 8" xfId="2604" xr:uid="{00000000-0005-0000-0000-0000611A0000}"/>
    <cellStyle name="Normal 5 3 4 8 2" xfId="6888" xr:uid="{00000000-0005-0000-0000-0000621A0000}"/>
    <cellStyle name="Normal 5 3 4 8 2 2" xfId="15323" xr:uid="{9E1D2FE9-F4F9-4F7F-9235-222199B90B5C}"/>
    <cellStyle name="Normal 5 3 4 8 3" xfId="11105" xr:uid="{937CFB65-57F2-4FEF-A935-058347DDB8BD}"/>
    <cellStyle name="Normal 5 3 4 9" xfId="4823" xr:uid="{00000000-0005-0000-0000-0000631A0000}"/>
    <cellStyle name="Normal 5 3 4 9 2" xfId="13258" xr:uid="{C233D029-BF38-4D8A-80E9-A4BE8C74CFE9}"/>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2 2 2" xfId="15821" xr:uid="{A0A5709C-3FB5-430D-A681-E7B19340E20A}"/>
    <cellStyle name="Normal 5 3 5 2 2 2 3" xfId="11603" xr:uid="{19EC4A60-6F93-4D7D-8688-71F365F6F559}"/>
    <cellStyle name="Normal 5 3 5 2 2 3" xfId="5241" xr:uid="{00000000-0005-0000-0000-0000691A0000}"/>
    <cellStyle name="Normal 5 3 5 2 2 3 2" xfId="13676" xr:uid="{A3223303-3932-490D-8C9C-0947C5A1F712}"/>
    <cellStyle name="Normal 5 3 5 2 2 4" xfId="9458" xr:uid="{055069B7-40D0-4BA9-ACDB-DB86D6473E4F}"/>
    <cellStyle name="Normal 5 3 5 2 3" xfId="1346" xr:uid="{00000000-0005-0000-0000-00006A1A0000}"/>
    <cellStyle name="Normal 5 3 5 2 3 2" xfId="3576" xr:uid="{00000000-0005-0000-0000-00006B1A0000}"/>
    <cellStyle name="Normal 5 3 5 2 3 2 2" xfId="7799" xr:uid="{00000000-0005-0000-0000-00006C1A0000}"/>
    <cellStyle name="Normal 5 3 5 2 3 2 2 2" xfId="16234" xr:uid="{7BF8C42A-086C-4D63-93C5-DFC51C119E31}"/>
    <cellStyle name="Normal 5 3 5 2 3 2 3" xfId="12016" xr:uid="{71EA888D-1276-4652-B7E9-4238A535CCE1}"/>
    <cellStyle name="Normal 5 3 5 2 3 3" xfId="5654" xr:uid="{00000000-0005-0000-0000-00006D1A0000}"/>
    <cellStyle name="Normal 5 3 5 2 3 3 2" xfId="14089" xr:uid="{295394FD-CD1A-4130-8395-5D5EB5199BA5}"/>
    <cellStyle name="Normal 5 3 5 2 3 4" xfId="9871" xr:uid="{0EBB8F50-516D-4C06-BF5C-D34F1BAB0D67}"/>
    <cellStyle name="Normal 5 3 5 2 4" xfId="1759" xr:uid="{00000000-0005-0000-0000-00006E1A0000}"/>
    <cellStyle name="Normal 5 3 5 2 4 2" xfId="3989" xr:uid="{00000000-0005-0000-0000-00006F1A0000}"/>
    <cellStyle name="Normal 5 3 5 2 4 2 2" xfId="8212" xr:uid="{00000000-0005-0000-0000-0000701A0000}"/>
    <cellStyle name="Normal 5 3 5 2 4 2 2 2" xfId="16647" xr:uid="{20AD7F71-11DF-4880-AF6E-6828F89363A5}"/>
    <cellStyle name="Normal 5 3 5 2 4 2 3" xfId="12429" xr:uid="{5BE4727C-6845-4138-AF4F-DEC1728AF1C2}"/>
    <cellStyle name="Normal 5 3 5 2 4 3" xfId="6067" xr:uid="{00000000-0005-0000-0000-0000711A0000}"/>
    <cellStyle name="Normal 5 3 5 2 4 3 2" xfId="14502" xr:uid="{F04A7EA9-F83F-468A-B5E3-9A9BBB1AF832}"/>
    <cellStyle name="Normal 5 3 5 2 4 4" xfId="10284" xr:uid="{1011FC51-F3F5-45F8-B470-668349CC0BA1}"/>
    <cellStyle name="Normal 5 3 5 2 5" xfId="2173" xr:uid="{00000000-0005-0000-0000-0000721A0000}"/>
    <cellStyle name="Normal 5 3 5 2 5 2" xfId="4402" xr:uid="{00000000-0005-0000-0000-0000731A0000}"/>
    <cellStyle name="Normal 5 3 5 2 5 2 2" xfId="8625" xr:uid="{00000000-0005-0000-0000-0000741A0000}"/>
    <cellStyle name="Normal 5 3 5 2 5 2 2 2" xfId="17060" xr:uid="{D1ED4CB1-EBAB-497B-85BF-E5091A0ED314}"/>
    <cellStyle name="Normal 5 3 5 2 5 2 3" xfId="12842" xr:uid="{F3CF94DE-6950-4442-BF91-81BDECE5F50C}"/>
    <cellStyle name="Normal 5 3 5 2 5 3" xfId="6480" xr:uid="{00000000-0005-0000-0000-0000751A0000}"/>
    <cellStyle name="Normal 5 3 5 2 5 3 2" xfId="14915" xr:uid="{3C038F4F-AB70-4817-A842-F8650C145823}"/>
    <cellStyle name="Normal 5 3 5 2 5 4" xfId="10697" xr:uid="{6209EE4D-6132-4F32-83CE-C37EFB12C902}"/>
    <cellStyle name="Normal 5 3 5 2 6" xfId="2609" xr:uid="{00000000-0005-0000-0000-0000761A0000}"/>
    <cellStyle name="Normal 5 3 5 2 6 2" xfId="6893" xr:uid="{00000000-0005-0000-0000-0000771A0000}"/>
    <cellStyle name="Normal 5 3 5 2 6 2 2" xfId="15328" xr:uid="{BFB545B5-0AAB-48BF-A47B-BCF02B33F548}"/>
    <cellStyle name="Normal 5 3 5 2 6 3" xfId="11110" xr:uid="{4923B298-2BCF-477B-9448-EB310F703DEA}"/>
    <cellStyle name="Normal 5 3 5 2 7" xfId="4828" xr:uid="{00000000-0005-0000-0000-0000781A0000}"/>
    <cellStyle name="Normal 5 3 5 2 7 2" xfId="13263" xr:uid="{AE0A313B-E4E1-438F-9F4F-E485BE9B308E}"/>
    <cellStyle name="Normal 5 3 5 2 8" xfId="9045" xr:uid="{C1FAEB1D-6AAD-46B0-B0FD-D40697744BCA}"/>
    <cellStyle name="Normal 5 3 5 3" xfId="928" xr:uid="{00000000-0005-0000-0000-0000791A0000}"/>
    <cellStyle name="Normal 5 3 5 3 2" xfId="3162" xr:uid="{00000000-0005-0000-0000-00007A1A0000}"/>
    <cellStyle name="Normal 5 3 5 3 2 2" xfId="7385" xr:uid="{00000000-0005-0000-0000-00007B1A0000}"/>
    <cellStyle name="Normal 5 3 5 3 2 2 2" xfId="15820" xr:uid="{56990E6C-7BDC-435B-B750-B0F89BC8C442}"/>
    <cellStyle name="Normal 5 3 5 3 2 3" xfId="11602" xr:uid="{310B0A79-5F03-4966-AA1C-6CD31EB20242}"/>
    <cellStyle name="Normal 5 3 5 3 3" xfId="5240" xr:uid="{00000000-0005-0000-0000-00007C1A0000}"/>
    <cellStyle name="Normal 5 3 5 3 3 2" xfId="13675" xr:uid="{CC6AB4D5-D356-4AA2-86AA-23566FD91170}"/>
    <cellStyle name="Normal 5 3 5 3 4" xfId="9457" xr:uid="{996F7F91-846A-45E1-9BD2-CD93EB34FE06}"/>
    <cellStyle name="Normal 5 3 5 4" xfId="1345" xr:uid="{00000000-0005-0000-0000-00007D1A0000}"/>
    <cellStyle name="Normal 5 3 5 4 2" xfId="3575" xr:uid="{00000000-0005-0000-0000-00007E1A0000}"/>
    <cellStyle name="Normal 5 3 5 4 2 2" xfId="7798" xr:uid="{00000000-0005-0000-0000-00007F1A0000}"/>
    <cellStyle name="Normal 5 3 5 4 2 2 2" xfId="16233" xr:uid="{ACC49B69-670B-4A08-94B0-7D7FDABE0018}"/>
    <cellStyle name="Normal 5 3 5 4 2 3" xfId="12015" xr:uid="{C0D06C59-99D8-448B-9640-0A54F0CA0AA5}"/>
    <cellStyle name="Normal 5 3 5 4 3" xfId="5653" xr:uid="{00000000-0005-0000-0000-0000801A0000}"/>
    <cellStyle name="Normal 5 3 5 4 3 2" xfId="14088" xr:uid="{286D56F5-C4CD-4AA3-AA7A-69B908E8D2C0}"/>
    <cellStyle name="Normal 5 3 5 4 4" xfId="9870" xr:uid="{DEC63B61-F43A-4625-A9B9-F917750D5807}"/>
    <cellStyle name="Normal 5 3 5 5" xfId="1758" xr:uid="{00000000-0005-0000-0000-0000811A0000}"/>
    <cellStyle name="Normal 5 3 5 5 2" xfId="3988" xr:uid="{00000000-0005-0000-0000-0000821A0000}"/>
    <cellStyle name="Normal 5 3 5 5 2 2" xfId="8211" xr:uid="{00000000-0005-0000-0000-0000831A0000}"/>
    <cellStyle name="Normal 5 3 5 5 2 2 2" xfId="16646" xr:uid="{811484EE-6D65-45A4-A446-0727771F928C}"/>
    <cellStyle name="Normal 5 3 5 5 2 3" xfId="12428" xr:uid="{A2A2ED55-C1B7-4624-BFA1-D7C36BB5B71E}"/>
    <cellStyle name="Normal 5 3 5 5 3" xfId="6066" xr:uid="{00000000-0005-0000-0000-0000841A0000}"/>
    <cellStyle name="Normal 5 3 5 5 3 2" xfId="14501" xr:uid="{EB2973CF-C868-486B-A86D-87AF6C561D73}"/>
    <cellStyle name="Normal 5 3 5 5 4" xfId="10283" xr:uid="{EC8A4592-87A8-4FFD-8910-2C92481EAE9B}"/>
    <cellStyle name="Normal 5 3 5 6" xfId="2172" xr:uid="{00000000-0005-0000-0000-0000851A0000}"/>
    <cellStyle name="Normal 5 3 5 6 2" xfId="4401" xr:uid="{00000000-0005-0000-0000-0000861A0000}"/>
    <cellStyle name="Normal 5 3 5 6 2 2" xfId="8624" xr:uid="{00000000-0005-0000-0000-0000871A0000}"/>
    <cellStyle name="Normal 5 3 5 6 2 2 2" xfId="17059" xr:uid="{8EA57799-2E04-4610-A95E-90F66356097E}"/>
    <cellStyle name="Normal 5 3 5 6 2 3" xfId="12841" xr:uid="{006763B5-DD87-4E0B-A479-16ADFF58BD36}"/>
    <cellStyle name="Normal 5 3 5 6 3" xfId="6479" xr:uid="{00000000-0005-0000-0000-0000881A0000}"/>
    <cellStyle name="Normal 5 3 5 6 3 2" xfId="14914" xr:uid="{1525747C-1894-401F-BF19-376C03992843}"/>
    <cellStyle name="Normal 5 3 5 6 4" xfId="10696" xr:uid="{711E2E59-4DC0-468A-AC57-71806ACD507B}"/>
    <cellStyle name="Normal 5 3 5 7" xfId="2608" xr:uid="{00000000-0005-0000-0000-0000891A0000}"/>
    <cellStyle name="Normal 5 3 5 7 2" xfId="6892" xr:uid="{00000000-0005-0000-0000-00008A1A0000}"/>
    <cellStyle name="Normal 5 3 5 7 2 2" xfId="15327" xr:uid="{88779AA5-C29F-462F-B224-D005049ACD1A}"/>
    <cellStyle name="Normal 5 3 5 7 3" xfId="11109" xr:uid="{C37D853E-A311-4B41-BF12-2B038E39F06E}"/>
    <cellStyle name="Normal 5 3 5 8" xfId="4827" xr:uid="{00000000-0005-0000-0000-00008B1A0000}"/>
    <cellStyle name="Normal 5 3 5 8 2" xfId="13262" xr:uid="{F2CACEBD-B2D9-4272-9A83-DD7628A7B8E7}"/>
    <cellStyle name="Normal 5 3 5 9" xfId="9044" xr:uid="{8E9A415A-2DC9-4BD1-93AA-76C59647AD8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2 2 2" xfId="15822" xr:uid="{41EA1F06-09AE-450B-8BE5-15CAF60CF8C8}"/>
    <cellStyle name="Normal 5 3 6 2 2 3" xfId="11604" xr:uid="{2F5EE0D4-A7D0-4230-BE0C-6E3E748AD5D3}"/>
    <cellStyle name="Normal 5 3 6 2 3" xfId="5242" xr:uid="{00000000-0005-0000-0000-0000901A0000}"/>
    <cellStyle name="Normal 5 3 6 2 3 2" xfId="13677" xr:uid="{0426F02D-CB1F-4E33-8C48-F7D2E9B2DE10}"/>
    <cellStyle name="Normal 5 3 6 2 4" xfId="9459" xr:uid="{B2B41C68-64F4-48CC-9458-40D587DE1E6E}"/>
    <cellStyle name="Normal 5 3 6 3" xfId="1347" xr:uid="{00000000-0005-0000-0000-0000911A0000}"/>
    <cellStyle name="Normal 5 3 6 3 2" xfId="3577" xr:uid="{00000000-0005-0000-0000-0000921A0000}"/>
    <cellStyle name="Normal 5 3 6 3 2 2" xfId="7800" xr:uid="{00000000-0005-0000-0000-0000931A0000}"/>
    <cellStyle name="Normal 5 3 6 3 2 2 2" xfId="16235" xr:uid="{A12AE1FF-EBFF-4BB1-A7AB-4DBD42444AC5}"/>
    <cellStyle name="Normal 5 3 6 3 2 3" xfId="12017" xr:uid="{22223203-27BD-43EE-9768-101894BEA4F5}"/>
    <cellStyle name="Normal 5 3 6 3 3" xfId="5655" xr:uid="{00000000-0005-0000-0000-0000941A0000}"/>
    <cellStyle name="Normal 5 3 6 3 3 2" xfId="14090" xr:uid="{3962A0A9-A8C4-4C7B-8164-57CB9CE8BE90}"/>
    <cellStyle name="Normal 5 3 6 3 4" xfId="9872" xr:uid="{66441A70-6179-4EFD-AC66-F25E32C6DFCE}"/>
    <cellStyle name="Normal 5 3 6 4" xfId="1760" xr:uid="{00000000-0005-0000-0000-0000951A0000}"/>
    <cellStyle name="Normal 5 3 6 4 2" xfId="3990" xr:uid="{00000000-0005-0000-0000-0000961A0000}"/>
    <cellStyle name="Normal 5 3 6 4 2 2" xfId="8213" xr:uid="{00000000-0005-0000-0000-0000971A0000}"/>
    <cellStyle name="Normal 5 3 6 4 2 2 2" xfId="16648" xr:uid="{A777F900-0D61-405C-AD92-5CBF77AAA732}"/>
    <cellStyle name="Normal 5 3 6 4 2 3" xfId="12430" xr:uid="{5CAF1B33-342B-48B3-8464-28E2C33378EE}"/>
    <cellStyle name="Normal 5 3 6 4 3" xfId="6068" xr:uid="{00000000-0005-0000-0000-0000981A0000}"/>
    <cellStyle name="Normal 5 3 6 4 3 2" xfId="14503" xr:uid="{1172065B-A0D1-40C3-81FD-583394AE9E0C}"/>
    <cellStyle name="Normal 5 3 6 4 4" xfId="10285" xr:uid="{48725258-FEEC-4196-8613-EDDAEFF63523}"/>
    <cellStyle name="Normal 5 3 6 5" xfId="2174" xr:uid="{00000000-0005-0000-0000-0000991A0000}"/>
    <cellStyle name="Normal 5 3 6 5 2" xfId="4403" xr:uid="{00000000-0005-0000-0000-00009A1A0000}"/>
    <cellStyle name="Normal 5 3 6 5 2 2" xfId="8626" xr:uid="{00000000-0005-0000-0000-00009B1A0000}"/>
    <cellStyle name="Normal 5 3 6 5 2 2 2" xfId="17061" xr:uid="{1EA56113-8FC1-44A7-90BC-3324CDCABAFC}"/>
    <cellStyle name="Normal 5 3 6 5 2 3" xfId="12843" xr:uid="{371F25F8-BDB6-4EB4-AB89-CF4531A2BB42}"/>
    <cellStyle name="Normal 5 3 6 5 3" xfId="6481" xr:uid="{00000000-0005-0000-0000-00009C1A0000}"/>
    <cellStyle name="Normal 5 3 6 5 3 2" xfId="14916" xr:uid="{4F46D23A-9510-47EE-BD22-AE3F3287601C}"/>
    <cellStyle name="Normal 5 3 6 5 4" xfId="10698" xr:uid="{EE9D2F03-23CE-407C-8CF4-BE007258D587}"/>
    <cellStyle name="Normal 5 3 6 6" xfId="2610" xr:uid="{00000000-0005-0000-0000-00009D1A0000}"/>
    <cellStyle name="Normal 5 3 6 6 2" xfId="6894" xr:uid="{00000000-0005-0000-0000-00009E1A0000}"/>
    <cellStyle name="Normal 5 3 6 6 2 2" xfId="15329" xr:uid="{62A09E7D-ECF6-4FC7-B39D-F43145C2E8D3}"/>
    <cellStyle name="Normal 5 3 6 6 3" xfId="11111" xr:uid="{84A7C255-FD73-43EC-A5F5-1F8D268C29E7}"/>
    <cellStyle name="Normal 5 3 6 7" xfId="4829" xr:uid="{00000000-0005-0000-0000-00009F1A0000}"/>
    <cellStyle name="Normal 5 3 6 7 2" xfId="13264" xr:uid="{7FE7F557-D5D9-4A33-97DE-FF9EDC904E4D}"/>
    <cellStyle name="Normal 5 3 6 8" xfId="9046" xr:uid="{C439C4D7-F21F-4605-86E6-9359BFE84685}"/>
    <cellStyle name="Normal 5 3 7" xfId="914" xr:uid="{00000000-0005-0000-0000-0000A01A0000}"/>
    <cellStyle name="Normal 5 3 7 2" xfId="3149" xr:uid="{00000000-0005-0000-0000-0000A11A0000}"/>
    <cellStyle name="Normal 5 3 7 2 2" xfId="7372" xr:uid="{00000000-0005-0000-0000-0000A21A0000}"/>
    <cellStyle name="Normal 5 3 7 2 2 2" xfId="15807" xr:uid="{33EDAC04-8399-41AE-B4E5-448726265D82}"/>
    <cellStyle name="Normal 5 3 7 2 3" xfId="11589" xr:uid="{3B3531B4-4AA0-41D4-9003-08FD4EE024A9}"/>
    <cellStyle name="Normal 5 3 7 3" xfId="5227" xr:uid="{00000000-0005-0000-0000-0000A31A0000}"/>
    <cellStyle name="Normal 5 3 7 3 2" xfId="13662" xr:uid="{21631C13-1CE8-4E06-AEFC-917DB0F164AB}"/>
    <cellStyle name="Normal 5 3 7 4" xfId="9444" xr:uid="{C65A84ED-48EF-4169-A091-0D8B511F426B}"/>
    <cellStyle name="Normal 5 3 8" xfId="1332" xr:uid="{00000000-0005-0000-0000-0000A41A0000}"/>
    <cellStyle name="Normal 5 3 8 2" xfId="3562" xr:uid="{00000000-0005-0000-0000-0000A51A0000}"/>
    <cellStyle name="Normal 5 3 8 2 2" xfId="7785" xr:uid="{00000000-0005-0000-0000-0000A61A0000}"/>
    <cellStyle name="Normal 5 3 8 2 2 2" xfId="16220" xr:uid="{52B09BA8-5842-49D9-883C-CF95D4363768}"/>
    <cellStyle name="Normal 5 3 8 2 3" xfId="12002" xr:uid="{5A507B67-87F1-4D03-AA54-C192C0462425}"/>
    <cellStyle name="Normal 5 3 8 3" xfId="5640" xr:uid="{00000000-0005-0000-0000-0000A71A0000}"/>
    <cellStyle name="Normal 5 3 8 3 2" xfId="14075" xr:uid="{09381EB7-FF6B-480F-A031-EDE92075F178}"/>
    <cellStyle name="Normal 5 3 8 4" xfId="9857" xr:uid="{25583281-75C1-4A24-AC2C-CBEFF2D58A24}"/>
    <cellStyle name="Normal 5 3 9" xfId="1745" xr:uid="{00000000-0005-0000-0000-0000A81A0000}"/>
    <cellStyle name="Normal 5 3 9 2" xfId="3975" xr:uid="{00000000-0005-0000-0000-0000A91A0000}"/>
    <cellStyle name="Normal 5 3 9 2 2" xfId="8198" xr:uid="{00000000-0005-0000-0000-0000AA1A0000}"/>
    <cellStyle name="Normal 5 3 9 2 2 2" xfId="16633" xr:uid="{4BA12198-F05D-41F2-BA96-844B0DAA1AEC}"/>
    <cellStyle name="Normal 5 3 9 2 3" xfId="12415" xr:uid="{8640FFB2-1128-4AEB-B2D7-F11EFC387844}"/>
    <cellStyle name="Normal 5 3 9 3" xfId="6053" xr:uid="{00000000-0005-0000-0000-0000AB1A0000}"/>
    <cellStyle name="Normal 5 3 9 3 2" xfId="14488" xr:uid="{A4757F5B-29D3-440D-8FE3-78C9F754EF9F}"/>
    <cellStyle name="Normal 5 3 9 4" xfId="10270" xr:uid="{E5CB76C5-0265-4B3E-9067-01DE105963B9}"/>
    <cellStyle name="Normal 5 4" xfId="456" xr:uid="{00000000-0005-0000-0000-0000AC1A0000}"/>
    <cellStyle name="Normal 5 4 10" xfId="4830" xr:uid="{00000000-0005-0000-0000-0000AD1A0000}"/>
    <cellStyle name="Normal 5 4 10 2" xfId="13265" xr:uid="{E44AF4DB-A7EE-43A9-86CA-DAC8110C09FC}"/>
    <cellStyle name="Normal 5 4 11" xfId="9047" xr:uid="{8A22F448-E0DE-4259-BD42-8D6F837130A2}"/>
    <cellStyle name="Normal 5 4 2" xfId="457" xr:uid="{00000000-0005-0000-0000-0000AE1A0000}"/>
    <cellStyle name="Normal 5 4 2 10" xfId="9048" xr:uid="{487B2676-EA8A-4032-BB78-ACFAEEB57C8E}"/>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2 2 2" xfId="15826" xr:uid="{C60A1DF7-A024-4F8A-A4F2-4BE2EA535F80}"/>
    <cellStyle name="Normal 5 4 2 2 2 2 2 3" xfId="11608" xr:uid="{C649F023-DCA5-48A4-8D3C-7BCB463EB9F1}"/>
    <cellStyle name="Normal 5 4 2 2 2 2 3" xfId="5246" xr:uid="{00000000-0005-0000-0000-0000B41A0000}"/>
    <cellStyle name="Normal 5 4 2 2 2 2 3 2" xfId="13681" xr:uid="{1CB92652-7E0A-4F60-AB9C-4DEC3ECDA6B2}"/>
    <cellStyle name="Normal 5 4 2 2 2 2 4" xfId="9463" xr:uid="{5D9C5441-9381-4C4A-B147-1A5732049E0D}"/>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2 2 2" xfId="16239" xr:uid="{57B56882-56C1-4D6F-9734-4AF3FCCD6BFF}"/>
    <cellStyle name="Normal 5 4 2 2 2 3 2 3" xfId="12021" xr:uid="{84868A46-64C7-4EF1-A292-0528A774854B}"/>
    <cellStyle name="Normal 5 4 2 2 2 3 3" xfId="5659" xr:uid="{00000000-0005-0000-0000-0000B81A0000}"/>
    <cellStyle name="Normal 5 4 2 2 2 3 3 2" xfId="14094" xr:uid="{097BCBC0-A3FC-4642-B78E-1DCB235D5740}"/>
    <cellStyle name="Normal 5 4 2 2 2 3 4" xfId="9876" xr:uid="{5EE0B571-6A17-42EA-8482-9C23BC17C17F}"/>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2 2 2" xfId="16652" xr:uid="{405F3243-8B35-41DB-B4B9-8028C8E93534}"/>
    <cellStyle name="Normal 5 4 2 2 2 4 2 3" xfId="12434" xr:uid="{693C0E85-70EF-4ACD-AA5F-58E543DC4C67}"/>
    <cellStyle name="Normal 5 4 2 2 2 4 3" xfId="6072" xr:uid="{00000000-0005-0000-0000-0000BC1A0000}"/>
    <cellStyle name="Normal 5 4 2 2 2 4 3 2" xfId="14507" xr:uid="{654F93D1-5E2B-430E-8A47-0621F5F5D6AE}"/>
    <cellStyle name="Normal 5 4 2 2 2 4 4" xfId="10289" xr:uid="{F13D7B94-6DC7-4716-8543-D74703CD508B}"/>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2 2 2" xfId="17065" xr:uid="{49866C7D-5ACB-4F98-971B-A3E683A5591C}"/>
    <cellStyle name="Normal 5 4 2 2 2 5 2 3" xfId="12847" xr:uid="{5B19897D-658B-4B99-A0C4-AE70617FF997}"/>
    <cellStyle name="Normal 5 4 2 2 2 5 3" xfId="6485" xr:uid="{00000000-0005-0000-0000-0000C01A0000}"/>
    <cellStyle name="Normal 5 4 2 2 2 5 3 2" xfId="14920" xr:uid="{B7FF0288-7793-4283-8757-7377E09C6DB4}"/>
    <cellStyle name="Normal 5 4 2 2 2 5 4" xfId="10702" xr:uid="{353EC6FC-B5F8-4974-9E22-77D38097D86E}"/>
    <cellStyle name="Normal 5 4 2 2 2 6" xfId="2614" xr:uid="{00000000-0005-0000-0000-0000C11A0000}"/>
    <cellStyle name="Normal 5 4 2 2 2 6 2" xfId="6898" xr:uid="{00000000-0005-0000-0000-0000C21A0000}"/>
    <cellStyle name="Normal 5 4 2 2 2 6 2 2" xfId="15333" xr:uid="{DCA90F5E-9C74-4230-A2E6-169A74A31F50}"/>
    <cellStyle name="Normal 5 4 2 2 2 6 3" xfId="11115" xr:uid="{F4D928BC-B243-4EB7-828D-DD8714C2387E}"/>
    <cellStyle name="Normal 5 4 2 2 2 7" xfId="4833" xr:uid="{00000000-0005-0000-0000-0000C31A0000}"/>
    <cellStyle name="Normal 5 4 2 2 2 7 2" xfId="13268" xr:uid="{4B134965-D3FB-4B4C-825D-ECE64E59196D}"/>
    <cellStyle name="Normal 5 4 2 2 2 8" xfId="9050" xr:uid="{B0FE5EBD-5162-4563-9FC3-8435A05E3581}"/>
    <cellStyle name="Normal 5 4 2 2 3" xfId="933" xr:uid="{00000000-0005-0000-0000-0000C41A0000}"/>
    <cellStyle name="Normal 5 4 2 2 3 2" xfId="3167" xr:uid="{00000000-0005-0000-0000-0000C51A0000}"/>
    <cellStyle name="Normal 5 4 2 2 3 2 2" xfId="7390" xr:uid="{00000000-0005-0000-0000-0000C61A0000}"/>
    <cellStyle name="Normal 5 4 2 2 3 2 2 2" xfId="15825" xr:uid="{D4059882-6C8B-4867-ABB5-8390DCCB67A2}"/>
    <cellStyle name="Normal 5 4 2 2 3 2 3" xfId="11607" xr:uid="{277D9332-2E65-4B72-A483-BBADF44F6719}"/>
    <cellStyle name="Normal 5 4 2 2 3 3" xfId="5245" xr:uid="{00000000-0005-0000-0000-0000C71A0000}"/>
    <cellStyle name="Normal 5 4 2 2 3 3 2" xfId="13680" xr:uid="{1E87F381-0FC3-45F8-9723-EF9CA8DC7450}"/>
    <cellStyle name="Normal 5 4 2 2 3 4" xfId="9462" xr:uid="{229289CA-5E71-4307-9DB0-574D6D5A458D}"/>
    <cellStyle name="Normal 5 4 2 2 4" xfId="1350" xr:uid="{00000000-0005-0000-0000-0000C81A0000}"/>
    <cellStyle name="Normal 5 4 2 2 4 2" xfId="3580" xr:uid="{00000000-0005-0000-0000-0000C91A0000}"/>
    <cellStyle name="Normal 5 4 2 2 4 2 2" xfId="7803" xr:uid="{00000000-0005-0000-0000-0000CA1A0000}"/>
    <cellStyle name="Normal 5 4 2 2 4 2 2 2" xfId="16238" xr:uid="{C008BA4A-1B75-494B-9CAB-AA1CFD94E172}"/>
    <cellStyle name="Normal 5 4 2 2 4 2 3" xfId="12020" xr:uid="{C4EDD7FA-144A-4EF1-9B84-81B37A4AD49A}"/>
    <cellStyle name="Normal 5 4 2 2 4 3" xfId="5658" xr:uid="{00000000-0005-0000-0000-0000CB1A0000}"/>
    <cellStyle name="Normal 5 4 2 2 4 3 2" xfId="14093" xr:uid="{8C38EEE0-C7B9-4E78-9A1C-B3FFE14A3FFF}"/>
    <cellStyle name="Normal 5 4 2 2 4 4" xfId="9875" xr:uid="{78D704BF-F199-45FC-8F80-CA4FC8D6DB33}"/>
    <cellStyle name="Normal 5 4 2 2 5" xfId="1763" xr:uid="{00000000-0005-0000-0000-0000CC1A0000}"/>
    <cellStyle name="Normal 5 4 2 2 5 2" xfId="3993" xr:uid="{00000000-0005-0000-0000-0000CD1A0000}"/>
    <cellStyle name="Normal 5 4 2 2 5 2 2" xfId="8216" xr:uid="{00000000-0005-0000-0000-0000CE1A0000}"/>
    <cellStyle name="Normal 5 4 2 2 5 2 2 2" xfId="16651" xr:uid="{48002450-8D3B-4A4B-8051-85256ACF4C66}"/>
    <cellStyle name="Normal 5 4 2 2 5 2 3" xfId="12433" xr:uid="{86555EE3-D1C8-4C2E-9D44-29030ADB5738}"/>
    <cellStyle name="Normal 5 4 2 2 5 3" xfId="6071" xr:uid="{00000000-0005-0000-0000-0000CF1A0000}"/>
    <cellStyle name="Normal 5 4 2 2 5 3 2" xfId="14506" xr:uid="{BAB71F70-9340-493C-8958-465DD970AC2F}"/>
    <cellStyle name="Normal 5 4 2 2 5 4" xfId="10288" xr:uid="{6D1F3863-8666-45CB-B019-6FEA71806D54}"/>
    <cellStyle name="Normal 5 4 2 2 6" xfId="2177" xr:uid="{00000000-0005-0000-0000-0000D01A0000}"/>
    <cellStyle name="Normal 5 4 2 2 6 2" xfId="4406" xr:uid="{00000000-0005-0000-0000-0000D11A0000}"/>
    <cellStyle name="Normal 5 4 2 2 6 2 2" xfId="8629" xr:uid="{00000000-0005-0000-0000-0000D21A0000}"/>
    <cellStyle name="Normal 5 4 2 2 6 2 2 2" xfId="17064" xr:uid="{F433809C-40AF-412F-A392-E1D06BF8C938}"/>
    <cellStyle name="Normal 5 4 2 2 6 2 3" xfId="12846" xr:uid="{A2D46089-6DAD-4E16-8D77-84B39F2950B8}"/>
    <cellStyle name="Normal 5 4 2 2 6 3" xfId="6484" xr:uid="{00000000-0005-0000-0000-0000D31A0000}"/>
    <cellStyle name="Normal 5 4 2 2 6 3 2" xfId="14919" xr:uid="{D16836D2-042E-4850-94A6-9F6CA7ABFA76}"/>
    <cellStyle name="Normal 5 4 2 2 6 4" xfId="10701" xr:uid="{1B61CFD3-4956-4049-8FA6-D448436645D6}"/>
    <cellStyle name="Normal 5 4 2 2 7" xfId="2613" xr:uid="{00000000-0005-0000-0000-0000D41A0000}"/>
    <cellStyle name="Normal 5 4 2 2 7 2" xfId="6897" xr:uid="{00000000-0005-0000-0000-0000D51A0000}"/>
    <cellStyle name="Normal 5 4 2 2 7 2 2" xfId="15332" xr:uid="{FFE09B2F-FE97-488D-9589-953FE2E26631}"/>
    <cellStyle name="Normal 5 4 2 2 7 3" xfId="11114" xr:uid="{BB07CBEA-FA87-42EF-9AA4-7C1A1F2079FF}"/>
    <cellStyle name="Normal 5 4 2 2 8" xfId="4832" xr:uid="{00000000-0005-0000-0000-0000D61A0000}"/>
    <cellStyle name="Normal 5 4 2 2 8 2" xfId="13267" xr:uid="{CE615516-E916-485D-B65F-84283677368D}"/>
    <cellStyle name="Normal 5 4 2 2 9" xfId="9049" xr:uid="{75AA135D-183B-479F-A6D6-DC69697F003A}"/>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2 2 2" xfId="15827" xr:uid="{7A66CF70-A5AE-4BD7-8925-321695ACB499}"/>
    <cellStyle name="Normal 5 4 2 3 2 2 3" xfId="11609" xr:uid="{CB449A43-3253-4A0E-920D-363E5D6E094D}"/>
    <cellStyle name="Normal 5 4 2 3 2 3" xfId="5247" xr:uid="{00000000-0005-0000-0000-0000DB1A0000}"/>
    <cellStyle name="Normal 5 4 2 3 2 3 2" xfId="13682" xr:uid="{8C8FDE99-F876-47B7-8965-58BAA3849C96}"/>
    <cellStyle name="Normal 5 4 2 3 2 4" xfId="9464" xr:uid="{D3227B1C-3B75-4DAA-8C81-2AD23FB5DD51}"/>
    <cellStyle name="Normal 5 4 2 3 3" xfId="1352" xr:uid="{00000000-0005-0000-0000-0000DC1A0000}"/>
    <cellStyle name="Normal 5 4 2 3 3 2" xfId="3582" xr:uid="{00000000-0005-0000-0000-0000DD1A0000}"/>
    <cellStyle name="Normal 5 4 2 3 3 2 2" xfId="7805" xr:uid="{00000000-0005-0000-0000-0000DE1A0000}"/>
    <cellStyle name="Normal 5 4 2 3 3 2 2 2" xfId="16240" xr:uid="{7C9D473B-7A9A-4287-BDAF-FDEBBE3412C4}"/>
    <cellStyle name="Normal 5 4 2 3 3 2 3" xfId="12022" xr:uid="{15D78938-83EB-43E5-B59F-D3C3E914E5D2}"/>
    <cellStyle name="Normal 5 4 2 3 3 3" xfId="5660" xr:uid="{00000000-0005-0000-0000-0000DF1A0000}"/>
    <cellStyle name="Normal 5 4 2 3 3 3 2" xfId="14095" xr:uid="{FFF7DC18-A2B0-48FF-91B0-C025817AB578}"/>
    <cellStyle name="Normal 5 4 2 3 3 4" xfId="9877" xr:uid="{91755376-D47B-492B-AE3B-F295A562845F}"/>
    <cellStyle name="Normal 5 4 2 3 4" xfId="1765" xr:uid="{00000000-0005-0000-0000-0000E01A0000}"/>
    <cellStyle name="Normal 5 4 2 3 4 2" xfId="3995" xr:uid="{00000000-0005-0000-0000-0000E11A0000}"/>
    <cellStyle name="Normal 5 4 2 3 4 2 2" xfId="8218" xr:uid="{00000000-0005-0000-0000-0000E21A0000}"/>
    <cellStyle name="Normal 5 4 2 3 4 2 2 2" xfId="16653" xr:uid="{34B7F9C5-547E-4611-AD0A-F244E7F9E812}"/>
    <cellStyle name="Normal 5 4 2 3 4 2 3" xfId="12435" xr:uid="{08737440-E4A6-407E-94FC-64FE36D212AD}"/>
    <cellStyle name="Normal 5 4 2 3 4 3" xfId="6073" xr:uid="{00000000-0005-0000-0000-0000E31A0000}"/>
    <cellStyle name="Normal 5 4 2 3 4 3 2" xfId="14508" xr:uid="{6828C300-854C-4612-95DE-B66B8B7C8B80}"/>
    <cellStyle name="Normal 5 4 2 3 4 4" xfId="10290" xr:uid="{EAF15B39-EF83-4C3D-AD7C-BC878430A2E5}"/>
    <cellStyle name="Normal 5 4 2 3 5" xfId="2179" xr:uid="{00000000-0005-0000-0000-0000E41A0000}"/>
    <cellStyle name="Normal 5 4 2 3 5 2" xfId="4408" xr:uid="{00000000-0005-0000-0000-0000E51A0000}"/>
    <cellStyle name="Normal 5 4 2 3 5 2 2" xfId="8631" xr:uid="{00000000-0005-0000-0000-0000E61A0000}"/>
    <cellStyle name="Normal 5 4 2 3 5 2 2 2" xfId="17066" xr:uid="{71DA0316-DC6B-4EF8-8784-4A82DC02D038}"/>
    <cellStyle name="Normal 5 4 2 3 5 2 3" xfId="12848" xr:uid="{FE7E6485-7720-4684-9F76-4A8523482681}"/>
    <cellStyle name="Normal 5 4 2 3 5 3" xfId="6486" xr:uid="{00000000-0005-0000-0000-0000E71A0000}"/>
    <cellStyle name="Normal 5 4 2 3 5 3 2" xfId="14921" xr:uid="{251E615F-3F28-4131-9B51-A86CE99000F9}"/>
    <cellStyle name="Normal 5 4 2 3 5 4" xfId="10703" xr:uid="{C9C44C22-FCAE-4128-A298-3DD9038B9951}"/>
    <cellStyle name="Normal 5 4 2 3 6" xfId="2615" xr:uid="{00000000-0005-0000-0000-0000E81A0000}"/>
    <cellStyle name="Normal 5 4 2 3 6 2" xfId="6899" xr:uid="{00000000-0005-0000-0000-0000E91A0000}"/>
    <cellStyle name="Normal 5 4 2 3 6 2 2" xfId="15334" xr:uid="{E6854970-DEEE-401B-A1EA-C448A19B36E0}"/>
    <cellStyle name="Normal 5 4 2 3 6 3" xfId="11116" xr:uid="{902D1271-6F15-495B-8FD0-4B041023056C}"/>
    <cellStyle name="Normal 5 4 2 3 7" xfId="4834" xr:uid="{00000000-0005-0000-0000-0000EA1A0000}"/>
    <cellStyle name="Normal 5 4 2 3 7 2" xfId="13269" xr:uid="{D03C3614-6D36-4388-A012-9C2631749AE4}"/>
    <cellStyle name="Normal 5 4 2 3 8" xfId="9051" xr:uid="{821EB40A-766C-4D0C-A352-E41E6B3BBD45}"/>
    <cellStyle name="Normal 5 4 2 4" xfId="932" xr:uid="{00000000-0005-0000-0000-0000EB1A0000}"/>
    <cellStyle name="Normal 5 4 2 4 2" xfId="3166" xr:uid="{00000000-0005-0000-0000-0000EC1A0000}"/>
    <cellStyle name="Normal 5 4 2 4 2 2" xfId="7389" xr:uid="{00000000-0005-0000-0000-0000ED1A0000}"/>
    <cellStyle name="Normal 5 4 2 4 2 2 2" xfId="15824" xr:uid="{F258E5E8-15F1-44CF-8782-B9B40E8B15F7}"/>
    <cellStyle name="Normal 5 4 2 4 2 3" xfId="11606" xr:uid="{52DC1C2A-5B99-4E2F-90D2-D79294080536}"/>
    <cellStyle name="Normal 5 4 2 4 3" xfId="5244" xr:uid="{00000000-0005-0000-0000-0000EE1A0000}"/>
    <cellStyle name="Normal 5 4 2 4 3 2" xfId="13679" xr:uid="{7FB73488-E0F5-42FB-91FF-E585BE3219F1}"/>
    <cellStyle name="Normal 5 4 2 4 4" xfId="9461" xr:uid="{1D00C015-7263-4A77-9B2E-474E79684134}"/>
    <cellStyle name="Normal 5 4 2 5" xfId="1349" xr:uid="{00000000-0005-0000-0000-0000EF1A0000}"/>
    <cellStyle name="Normal 5 4 2 5 2" xfId="3579" xr:uid="{00000000-0005-0000-0000-0000F01A0000}"/>
    <cellStyle name="Normal 5 4 2 5 2 2" xfId="7802" xr:uid="{00000000-0005-0000-0000-0000F11A0000}"/>
    <cellStyle name="Normal 5 4 2 5 2 2 2" xfId="16237" xr:uid="{C97C27BC-F854-4B43-9321-3E93ADD26449}"/>
    <cellStyle name="Normal 5 4 2 5 2 3" xfId="12019" xr:uid="{AFBAABEA-9543-4D67-B155-31DA3261EAF1}"/>
    <cellStyle name="Normal 5 4 2 5 3" xfId="5657" xr:uid="{00000000-0005-0000-0000-0000F21A0000}"/>
    <cellStyle name="Normal 5 4 2 5 3 2" xfId="14092" xr:uid="{459D00C1-33A8-4A3B-9464-00E7171142FE}"/>
    <cellStyle name="Normal 5 4 2 5 4" xfId="9874" xr:uid="{382FCFF9-CE7E-44AF-B2B9-791830B2ACAD}"/>
    <cellStyle name="Normal 5 4 2 6" xfId="1762" xr:uid="{00000000-0005-0000-0000-0000F31A0000}"/>
    <cellStyle name="Normal 5 4 2 6 2" xfId="3992" xr:uid="{00000000-0005-0000-0000-0000F41A0000}"/>
    <cellStyle name="Normal 5 4 2 6 2 2" xfId="8215" xr:uid="{00000000-0005-0000-0000-0000F51A0000}"/>
    <cellStyle name="Normal 5 4 2 6 2 2 2" xfId="16650" xr:uid="{D03139A9-0688-4540-9B75-5BF1D2428785}"/>
    <cellStyle name="Normal 5 4 2 6 2 3" xfId="12432" xr:uid="{8060FC7F-7174-43B1-A009-45132B00404A}"/>
    <cellStyle name="Normal 5 4 2 6 3" xfId="6070" xr:uid="{00000000-0005-0000-0000-0000F61A0000}"/>
    <cellStyle name="Normal 5 4 2 6 3 2" xfId="14505" xr:uid="{103B4042-2F2C-4DDA-9F65-8D8EDBF8157F}"/>
    <cellStyle name="Normal 5 4 2 6 4" xfId="10287" xr:uid="{DC83AAAF-A89F-4865-94BC-EBEEABA259DC}"/>
    <cellStyle name="Normal 5 4 2 7" xfId="2176" xr:uid="{00000000-0005-0000-0000-0000F71A0000}"/>
    <cellStyle name="Normal 5 4 2 7 2" xfId="4405" xr:uid="{00000000-0005-0000-0000-0000F81A0000}"/>
    <cellStyle name="Normal 5 4 2 7 2 2" xfId="8628" xr:uid="{00000000-0005-0000-0000-0000F91A0000}"/>
    <cellStyle name="Normal 5 4 2 7 2 2 2" xfId="17063" xr:uid="{B03CD7D8-53FD-42C5-A5D3-808894380F26}"/>
    <cellStyle name="Normal 5 4 2 7 2 3" xfId="12845" xr:uid="{D1139201-B4FE-4381-91A6-D18D4077D02D}"/>
    <cellStyle name="Normal 5 4 2 7 3" xfId="6483" xr:uid="{00000000-0005-0000-0000-0000FA1A0000}"/>
    <cellStyle name="Normal 5 4 2 7 3 2" xfId="14918" xr:uid="{0F7CF859-507D-4A52-A6E9-4169AC3ACEC9}"/>
    <cellStyle name="Normal 5 4 2 7 4" xfId="10700" xr:uid="{53FE2000-1929-46A5-9233-E8A1914AE75C}"/>
    <cellStyle name="Normal 5 4 2 8" xfId="2612" xr:uid="{00000000-0005-0000-0000-0000FB1A0000}"/>
    <cellStyle name="Normal 5 4 2 8 2" xfId="6896" xr:uid="{00000000-0005-0000-0000-0000FC1A0000}"/>
    <cellStyle name="Normal 5 4 2 8 2 2" xfId="15331" xr:uid="{15547412-CE17-4284-B933-F6CEA3B57521}"/>
    <cellStyle name="Normal 5 4 2 8 3" xfId="11113" xr:uid="{80286975-2377-4FA3-88AB-9EF642D69016}"/>
    <cellStyle name="Normal 5 4 2 9" xfId="4831" xr:uid="{00000000-0005-0000-0000-0000FD1A0000}"/>
    <cellStyle name="Normal 5 4 2 9 2" xfId="13266" xr:uid="{3DD0A413-F8C2-473E-AEF3-44C2F7BE7E8B}"/>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2 2 2" xfId="15829" xr:uid="{A0148357-7EAD-45DD-A97D-A189267A5F0E}"/>
    <cellStyle name="Normal 5 4 3 2 2 2 3" xfId="11611" xr:uid="{C4E6F90C-B4DA-4779-A786-AA00D952DEA1}"/>
    <cellStyle name="Normal 5 4 3 2 2 3" xfId="5249" xr:uid="{00000000-0005-0000-0000-0000031B0000}"/>
    <cellStyle name="Normal 5 4 3 2 2 3 2" xfId="13684" xr:uid="{AE6CF816-E2A4-469E-AE68-4629A7FB01B8}"/>
    <cellStyle name="Normal 5 4 3 2 2 4" xfId="9466" xr:uid="{995563C8-5A77-4C6B-8A14-1AD006933C60}"/>
    <cellStyle name="Normal 5 4 3 2 3" xfId="1354" xr:uid="{00000000-0005-0000-0000-0000041B0000}"/>
    <cellStyle name="Normal 5 4 3 2 3 2" xfId="3584" xr:uid="{00000000-0005-0000-0000-0000051B0000}"/>
    <cellStyle name="Normal 5 4 3 2 3 2 2" xfId="7807" xr:uid="{00000000-0005-0000-0000-0000061B0000}"/>
    <cellStyle name="Normal 5 4 3 2 3 2 2 2" xfId="16242" xr:uid="{7A031F5A-663E-4223-8413-A298B91B332D}"/>
    <cellStyle name="Normal 5 4 3 2 3 2 3" xfId="12024" xr:uid="{A85460E7-E65F-4048-BDF4-33AE80A85EE7}"/>
    <cellStyle name="Normal 5 4 3 2 3 3" xfId="5662" xr:uid="{00000000-0005-0000-0000-0000071B0000}"/>
    <cellStyle name="Normal 5 4 3 2 3 3 2" xfId="14097" xr:uid="{13F0D01E-492D-44C5-92BB-BC0FDF914624}"/>
    <cellStyle name="Normal 5 4 3 2 3 4" xfId="9879" xr:uid="{59C88B02-F684-4805-BDC6-CD453E11B8B1}"/>
    <cellStyle name="Normal 5 4 3 2 4" xfId="1767" xr:uid="{00000000-0005-0000-0000-0000081B0000}"/>
    <cellStyle name="Normal 5 4 3 2 4 2" xfId="3997" xr:uid="{00000000-0005-0000-0000-0000091B0000}"/>
    <cellStyle name="Normal 5 4 3 2 4 2 2" xfId="8220" xr:uid="{00000000-0005-0000-0000-00000A1B0000}"/>
    <cellStyle name="Normal 5 4 3 2 4 2 2 2" xfId="16655" xr:uid="{3CD102C6-67FD-4390-9AA1-1D9EA3640950}"/>
    <cellStyle name="Normal 5 4 3 2 4 2 3" xfId="12437" xr:uid="{4B65C30A-D8C3-49B4-85E0-648686E9968F}"/>
    <cellStyle name="Normal 5 4 3 2 4 3" xfId="6075" xr:uid="{00000000-0005-0000-0000-00000B1B0000}"/>
    <cellStyle name="Normal 5 4 3 2 4 3 2" xfId="14510" xr:uid="{8783ABCC-C544-4A95-BA05-4BBB21D817F6}"/>
    <cellStyle name="Normal 5 4 3 2 4 4" xfId="10292" xr:uid="{D4541E00-DDB2-4B92-B8C0-7ADE1061F374}"/>
    <cellStyle name="Normal 5 4 3 2 5" xfId="2181" xr:uid="{00000000-0005-0000-0000-00000C1B0000}"/>
    <cellStyle name="Normal 5 4 3 2 5 2" xfId="4410" xr:uid="{00000000-0005-0000-0000-00000D1B0000}"/>
    <cellStyle name="Normal 5 4 3 2 5 2 2" xfId="8633" xr:uid="{00000000-0005-0000-0000-00000E1B0000}"/>
    <cellStyle name="Normal 5 4 3 2 5 2 2 2" xfId="17068" xr:uid="{E44082DA-23F3-4492-B26A-DFFA3167427F}"/>
    <cellStyle name="Normal 5 4 3 2 5 2 3" xfId="12850" xr:uid="{77D1D8CB-1C81-444B-9C9E-E2AE703DC5A6}"/>
    <cellStyle name="Normal 5 4 3 2 5 3" xfId="6488" xr:uid="{00000000-0005-0000-0000-00000F1B0000}"/>
    <cellStyle name="Normal 5 4 3 2 5 3 2" xfId="14923" xr:uid="{3870B5BC-057D-4371-A41D-C562FD307BC0}"/>
    <cellStyle name="Normal 5 4 3 2 5 4" xfId="10705" xr:uid="{CCAE8AB6-17D8-4509-89CF-F8595F5D734F}"/>
    <cellStyle name="Normal 5 4 3 2 6" xfId="2617" xr:uid="{00000000-0005-0000-0000-0000101B0000}"/>
    <cellStyle name="Normal 5 4 3 2 6 2" xfId="6901" xr:uid="{00000000-0005-0000-0000-0000111B0000}"/>
    <cellStyle name="Normal 5 4 3 2 6 2 2" xfId="15336" xr:uid="{A10EBEDC-7CEF-44D6-8474-6A5B60AFD983}"/>
    <cellStyle name="Normal 5 4 3 2 6 3" xfId="11118" xr:uid="{5DCD63AE-87E1-4973-A872-18F21D9B9671}"/>
    <cellStyle name="Normal 5 4 3 2 7" xfId="4836" xr:uid="{00000000-0005-0000-0000-0000121B0000}"/>
    <cellStyle name="Normal 5 4 3 2 7 2" xfId="13271" xr:uid="{F4DEBA83-A110-4E83-B168-1B4F32B0787E}"/>
    <cellStyle name="Normal 5 4 3 2 8" xfId="9053" xr:uid="{1967A658-224A-415B-8289-F3536DF5A574}"/>
    <cellStyle name="Normal 5 4 3 3" xfId="936" xr:uid="{00000000-0005-0000-0000-0000131B0000}"/>
    <cellStyle name="Normal 5 4 3 3 2" xfId="3170" xr:uid="{00000000-0005-0000-0000-0000141B0000}"/>
    <cellStyle name="Normal 5 4 3 3 2 2" xfId="7393" xr:uid="{00000000-0005-0000-0000-0000151B0000}"/>
    <cellStyle name="Normal 5 4 3 3 2 2 2" xfId="15828" xr:uid="{21FB1A65-22F6-4F7B-9C70-84029CF653E4}"/>
    <cellStyle name="Normal 5 4 3 3 2 3" xfId="11610" xr:uid="{B96657BB-6686-43D0-9D26-3A9BE4C627E7}"/>
    <cellStyle name="Normal 5 4 3 3 3" xfId="5248" xr:uid="{00000000-0005-0000-0000-0000161B0000}"/>
    <cellStyle name="Normal 5 4 3 3 3 2" xfId="13683" xr:uid="{385EA2B2-80F4-488D-96BC-69A19FF7ABD0}"/>
    <cellStyle name="Normal 5 4 3 3 4" xfId="9465" xr:uid="{5BAA818A-2CED-431E-8FC6-227CFBB8568C}"/>
    <cellStyle name="Normal 5 4 3 4" xfId="1353" xr:uid="{00000000-0005-0000-0000-0000171B0000}"/>
    <cellStyle name="Normal 5 4 3 4 2" xfId="3583" xr:uid="{00000000-0005-0000-0000-0000181B0000}"/>
    <cellStyle name="Normal 5 4 3 4 2 2" xfId="7806" xr:uid="{00000000-0005-0000-0000-0000191B0000}"/>
    <cellStyle name="Normal 5 4 3 4 2 2 2" xfId="16241" xr:uid="{5E3BDD94-78B5-4AB5-A40D-BF4B82BD1BB6}"/>
    <cellStyle name="Normal 5 4 3 4 2 3" xfId="12023" xr:uid="{98838F57-572A-4BF8-A0C2-B7265BE89326}"/>
    <cellStyle name="Normal 5 4 3 4 3" xfId="5661" xr:uid="{00000000-0005-0000-0000-00001A1B0000}"/>
    <cellStyle name="Normal 5 4 3 4 3 2" xfId="14096" xr:uid="{75EC51A3-DF51-48D3-8E08-06BBDFED9C30}"/>
    <cellStyle name="Normal 5 4 3 4 4" xfId="9878" xr:uid="{13AAB88E-722E-4F7F-86C3-245DF31176E9}"/>
    <cellStyle name="Normal 5 4 3 5" xfId="1766" xr:uid="{00000000-0005-0000-0000-00001B1B0000}"/>
    <cellStyle name="Normal 5 4 3 5 2" xfId="3996" xr:uid="{00000000-0005-0000-0000-00001C1B0000}"/>
    <cellStyle name="Normal 5 4 3 5 2 2" xfId="8219" xr:uid="{00000000-0005-0000-0000-00001D1B0000}"/>
    <cellStyle name="Normal 5 4 3 5 2 2 2" xfId="16654" xr:uid="{360904C8-662A-41E0-B7B5-536A98226486}"/>
    <cellStyle name="Normal 5 4 3 5 2 3" xfId="12436" xr:uid="{1318C895-E7F1-4559-A1BF-74951EEC8B46}"/>
    <cellStyle name="Normal 5 4 3 5 3" xfId="6074" xr:uid="{00000000-0005-0000-0000-00001E1B0000}"/>
    <cellStyle name="Normal 5 4 3 5 3 2" xfId="14509" xr:uid="{72258D24-3983-44C2-B356-03831F5035AB}"/>
    <cellStyle name="Normal 5 4 3 5 4" xfId="10291" xr:uid="{F3F53968-AB01-40FC-A7CE-11EEABE21BFB}"/>
    <cellStyle name="Normal 5 4 3 6" xfId="2180" xr:uid="{00000000-0005-0000-0000-00001F1B0000}"/>
    <cellStyle name="Normal 5 4 3 6 2" xfId="4409" xr:uid="{00000000-0005-0000-0000-0000201B0000}"/>
    <cellStyle name="Normal 5 4 3 6 2 2" xfId="8632" xr:uid="{00000000-0005-0000-0000-0000211B0000}"/>
    <cellStyle name="Normal 5 4 3 6 2 2 2" xfId="17067" xr:uid="{A00ABAD3-B661-4074-A330-B5D596F9AA8D}"/>
    <cellStyle name="Normal 5 4 3 6 2 3" xfId="12849" xr:uid="{107BF29E-4FCB-46C5-ABF8-56B0819AEBFE}"/>
    <cellStyle name="Normal 5 4 3 6 3" xfId="6487" xr:uid="{00000000-0005-0000-0000-0000221B0000}"/>
    <cellStyle name="Normal 5 4 3 6 3 2" xfId="14922" xr:uid="{BC745E9E-D992-47A1-ABE6-5E1A12437BB2}"/>
    <cellStyle name="Normal 5 4 3 6 4" xfId="10704" xr:uid="{09E893A9-4214-45B0-9FD3-B7C25CDA1F46}"/>
    <cellStyle name="Normal 5 4 3 7" xfId="2616" xr:uid="{00000000-0005-0000-0000-0000231B0000}"/>
    <cellStyle name="Normal 5 4 3 7 2" xfId="6900" xr:uid="{00000000-0005-0000-0000-0000241B0000}"/>
    <cellStyle name="Normal 5 4 3 7 2 2" xfId="15335" xr:uid="{5F219B1C-A15A-4694-B1CC-606524B90E9D}"/>
    <cellStyle name="Normal 5 4 3 7 3" xfId="11117" xr:uid="{CCC1954C-1A6B-4066-9F33-DE7AF04F8A71}"/>
    <cellStyle name="Normal 5 4 3 8" xfId="4835" xr:uid="{00000000-0005-0000-0000-0000251B0000}"/>
    <cellStyle name="Normal 5 4 3 8 2" xfId="13270" xr:uid="{A814FFF7-9BC4-4869-8EEB-E30136378DB7}"/>
    <cellStyle name="Normal 5 4 3 9" xfId="9052" xr:uid="{739E30D2-3C14-42FE-9EE1-877CA7B47E5C}"/>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2 2 2" xfId="15830" xr:uid="{128BE320-30E8-4F84-9F42-335DB271EA6C}"/>
    <cellStyle name="Normal 5 4 4 2 2 3" xfId="11612" xr:uid="{F25F21A4-84D1-4B65-A585-525FE32C05AB}"/>
    <cellStyle name="Normal 5 4 4 2 3" xfId="5250" xr:uid="{00000000-0005-0000-0000-00002A1B0000}"/>
    <cellStyle name="Normal 5 4 4 2 3 2" xfId="13685" xr:uid="{97BEB14A-13D3-4FD7-933A-50FF6BF4F252}"/>
    <cellStyle name="Normal 5 4 4 2 4" xfId="9467" xr:uid="{784B2FE8-FEBA-4CB9-B4F8-0F42F49D37A3}"/>
    <cellStyle name="Normal 5 4 4 3" xfId="1355" xr:uid="{00000000-0005-0000-0000-00002B1B0000}"/>
    <cellStyle name="Normal 5 4 4 3 2" xfId="3585" xr:uid="{00000000-0005-0000-0000-00002C1B0000}"/>
    <cellStyle name="Normal 5 4 4 3 2 2" xfId="7808" xr:uid="{00000000-0005-0000-0000-00002D1B0000}"/>
    <cellStyle name="Normal 5 4 4 3 2 2 2" xfId="16243" xr:uid="{2BF59152-4EAF-4301-A7BE-4D2DC3164BFD}"/>
    <cellStyle name="Normal 5 4 4 3 2 3" xfId="12025" xr:uid="{92649BF0-8763-4430-AA95-9AB9F6A1B1FE}"/>
    <cellStyle name="Normal 5 4 4 3 3" xfId="5663" xr:uid="{00000000-0005-0000-0000-00002E1B0000}"/>
    <cellStyle name="Normal 5 4 4 3 3 2" xfId="14098" xr:uid="{58FE259D-4CB3-4AE7-9C58-4CD8E0887875}"/>
    <cellStyle name="Normal 5 4 4 3 4" xfId="9880" xr:uid="{675D814A-B0A7-44E3-9B7B-23FD1E6B67CD}"/>
    <cellStyle name="Normal 5 4 4 4" xfId="1768" xr:uid="{00000000-0005-0000-0000-00002F1B0000}"/>
    <cellStyle name="Normal 5 4 4 4 2" xfId="3998" xr:uid="{00000000-0005-0000-0000-0000301B0000}"/>
    <cellStyle name="Normal 5 4 4 4 2 2" xfId="8221" xr:uid="{00000000-0005-0000-0000-0000311B0000}"/>
    <cellStyle name="Normal 5 4 4 4 2 2 2" xfId="16656" xr:uid="{A9AB4D6F-B096-4D16-862E-268591A553AB}"/>
    <cellStyle name="Normal 5 4 4 4 2 3" xfId="12438" xr:uid="{66735A13-01E4-4A7D-AC5A-9AE14544BEE3}"/>
    <cellStyle name="Normal 5 4 4 4 3" xfId="6076" xr:uid="{00000000-0005-0000-0000-0000321B0000}"/>
    <cellStyle name="Normal 5 4 4 4 3 2" xfId="14511" xr:uid="{00C8D624-EC43-4585-9583-3E5EE5C7C5AD}"/>
    <cellStyle name="Normal 5 4 4 4 4" xfId="10293" xr:uid="{982EB21E-2092-4730-A5AC-3F72C86A741D}"/>
    <cellStyle name="Normal 5 4 4 5" xfId="2182" xr:uid="{00000000-0005-0000-0000-0000331B0000}"/>
    <cellStyle name="Normal 5 4 4 5 2" xfId="4411" xr:uid="{00000000-0005-0000-0000-0000341B0000}"/>
    <cellStyle name="Normal 5 4 4 5 2 2" xfId="8634" xr:uid="{00000000-0005-0000-0000-0000351B0000}"/>
    <cellStyle name="Normal 5 4 4 5 2 2 2" xfId="17069" xr:uid="{3A596145-0C1D-4CFB-8896-D2EF09D5072D}"/>
    <cellStyle name="Normal 5 4 4 5 2 3" xfId="12851" xr:uid="{749DDBFA-CCA4-4781-8F47-D5E2BA6AA6B9}"/>
    <cellStyle name="Normal 5 4 4 5 3" xfId="6489" xr:uid="{00000000-0005-0000-0000-0000361B0000}"/>
    <cellStyle name="Normal 5 4 4 5 3 2" xfId="14924" xr:uid="{490B01BA-96B1-4DD9-BE14-0370F0B18A1A}"/>
    <cellStyle name="Normal 5 4 4 5 4" xfId="10706" xr:uid="{69E64395-B028-435B-BA0B-DAD1913D330F}"/>
    <cellStyle name="Normal 5 4 4 6" xfId="2618" xr:uid="{00000000-0005-0000-0000-0000371B0000}"/>
    <cellStyle name="Normal 5 4 4 6 2" xfId="6902" xr:uid="{00000000-0005-0000-0000-0000381B0000}"/>
    <cellStyle name="Normal 5 4 4 6 2 2" xfId="15337" xr:uid="{72E5200C-BC8B-4F4D-B165-75587AB41657}"/>
    <cellStyle name="Normal 5 4 4 6 3" xfId="11119" xr:uid="{8EA5EF81-36F2-430C-BA44-FC3DE6E9D266}"/>
    <cellStyle name="Normal 5 4 4 7" xfId="4837" xr:uid="{00000000-0005-0000-0000-0000391B0000}"/>
    <cellStyle name="Normal 5 4 4 7 2" xfId="13272" xr:uid="{C43D45AF-71B5-4527-934B-AE8A02A5FA49}"/>
    <cellStyle name="Normal 5 4 4 8" xfId="9054" xr:uid="{DBFFA202-2AB4-4567-A779-F7A95B91D5A2}"/>
    <cellStyle name="Normal 5 4 5" xfId="931" xr:uid="{00000000-0005-0000-0000-00003A1B0000}"/>
    <cellStyle name="Normal 5 4 5 2" xfId="3165" xr:uid="{00000000-0005-0000-0000-00003B1B0000}"/>
    <cellStyle name="Normal 5 4 5 2 2" xfId="7388" xr:uid="{00000000-0005-0000-0000-00003C1B0000}"/>
    <cellStyle name="Normal 5 4 5 2 2 2" xfId="15823" xr:uid="{04C4AADB-8FAD-4C63-AB2D-D884ABA7A48E}"/>
    <cellStyle name="Normal 5 4 5 2 3" xfId="11605" xr:uid="{D94AD10F-1204-4334-BC5B-CC5115AB21D6}"/>
    <cellStyle name="Normal 5 4 5 3" xfId="5243" xr:uid="{00000000-0005-0000-0000-00003D1B0000}"/>
    <cellStyle name="Normal 5 4 5 3 2" xfId="13678" xr:uid="{5B90915D-769B-4221-8E30-7B64A2C46F3B}"/>
    <cellStyle name="Normal 5 4 5 4" xfId="9460" xr:uid="{DD56FA06-34CF-4400-8AEA-A3AA7BF1E2D8}"/>
    <cellStyle name="Normal 5 4 6" xfId="1348" xr:uid="{00000000-0005-0000-0000-00003E1B0000}"/>
    <cellStyle name="Normal 5 4 6 2" xfId="3578" xr:uid="{00000000-0005-0000-0000-00003F1B0000}"/>
    <cellStyle name="Normal 5 4 6 2 2" xfId="7801" xr:uid="{00000000-0005-0000-0000-0000401B0000}"/>
    <cellStyle name="Normal 5 4 6 2 2 2" xfId="16236" xr:uid="{908476D5-E063-4A90-9F33-B2188147CA57}"/>
    <cellStyle name="Normal 5 4 6 2 3" xfId="12018" xr:uid="{15EB874F-C2E9-4481-B5FA-AB214D900CA1}"/>
    <cellStyle name="Normal 5 4 6 3" xfId="5656" xr:uid="{00000000-0005-0000-0000-0000411B0000}"/>
    <cellStyle name="Normal 5 4 6 3 2" xfId="14091" xr:uid="{3D7FD045-5B69-4848-BFA5-F30A13EA2D94}"/>
    <cellStyle name="Normal 5 4 6 4" xfId="9873" xr:uid="{B6354F28-E132-41DD-9C04-9C2538E83C83}"/>
    <cellStyle name="Normal 5 4 7" xfId="1761" xr:uid="{00000000-0005-0000-0000-0000421B0000}"/>
    <cellStyle name="Normal 5 4 7 2" xfId="3991" xr:uid="{00000000-0005-0000-0000-0000431B0000}"/>
    <cellStyle name="Normal 5 4 7 2 2" xfId="8214" xr:uid="{00000000-0005-0000-0000-0000441B0000}"/>
    <cellStyle name="Normal 5 4 7 2 2 2" xfId="16649" xr:uid="{E33E121B-9601-41D2-AFE8-978619DCCAA8}"/>
    <cellStyle name="Normal 5 4 7 2 3" xfId="12431" xr:uid="{68C1040E-4A7D-490F-95E6-A4D41D7398E3}"/>
    <cellStyle name="Normal 5 4 7 3" xfId="6069" xr:uid="{00000000-0005-0000-0000-0000451B0000}"/>
    <cellStyle name="Normal 5 4 7 3 2" xfId="14504" xr:uid="{DE335E65-FE79-4948-B1DD-38673758732F}"/>
    <cellStyle name="Normal 5 4 7 4" xfId="10286" xr:uid="{43C201D6-1C80-4C0E-BE2B-8CDAF448F909}"/>
    <cellStyle name="Normal 5 4 8" xfId="2175" xr:uid="{00000000-0005-0000-0000-0000461B0000}"/>
    <cellStyle name="Normal 5 4 8 2" xfId="4404" xr:uid="{00000000-0005-0000-0000-0000471B0000}"/>
    <cellStyle name="Normal 5 4 8 2 2" xfId="8627" xr:uid="{00000000-0005-0000-0000-0000481B0000}"/>
    <cellStyle name="Normal 5 4 8 2 2 2" xfId="17062" xr:uid="{238297D6-6714-49C3-8FE5-E6B968DEC8DB}"/>
    <cellStyle name="Normal 5 4 8 2 3" xfId="12844" xr:uid="{71969C2B-2864-4EDA-91CD-E203CFC8D749}"/>
    <cellStyle name="Normal 5 4 8 3" xfId="6482" xr:uid="{00000000-0005-0000-0000-0000491B0000}"/>
    <cellStyle name="Normal 5 4 8 3 2" xfId="14917" xr:uid="{B310ED8A-32AA-4980-8476-EEC5E95FE2F7}"/>
    <cellStyle name="Normal 5 4 8 4" xfId="10699" xr:uid="{93D54407-8482-498D-B59F-C689EA5738CA}"/>
    <cellStyle name="Normal 5 4 9" xfId="2611" xr:uid="{00000000-0005-0000-0000-00004A1B0000}"/>
    <cellStyle name="Normal 5 4 9 2" xfId="6895" xr:uid="{00000000-0005-0000-0000-00004B1B0000}"/>
    <cellStyle name="Normal 5 4 9 2 2" xfId="15330" xr:uid="{C0AAE761-03B8-4F97-B60D-F110D950598B}"/>
    <cellStyle name="Normal 5 4 9 3" xfId="11112" xr:uid="{338C8424-779A-41CA-B152-A917FD66CD5C}"/>
    <cellStyle name="Normal 5 5" xfId="464" xr:uid="{00000000-0005-0000-0000-00004C1B0000}"/>
    <cellStyle name="Normal 5 5 10" xfId="9055" xr:uid="{B3CD9092-EC92-4808-8C14-24EA5CB0CAEB}"/>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2 2 2" xfId="15833" xr:uid="{7B32C2B9-37B6-4DA4-9C0D-37B43047B5C3}"/>
    <cellStyle name="Normal 5 5 2 2 2 2 3" xfId="11615" xr:uid="{6211ACEF-EEEE-4642-9B88-FCDAB626363E}"/>
    <cellStyle name="Normal 5 5 2 2 2 3" xfId="5253" xr:uid="{00000000-0005-0000-0000-0000521B0000}"/>
    <cellStyle name="Normal 5 5 2 2 2 3 2" xfId="13688" xr:uid="{AC276D89-D325-4750-8AA2-38EF3C3E2D73}"/>
    <cellStyle name="Normal 5 5 2 2 2 4" xfId="9470" xr:uid="{6262F493-1E40-4005-8FFA-10B1F0EF3CB2}"/>
    <cellStyle name="Normal 5 5 2 2 3" xfId="1358" xr:uid="{00000000-0005-0000-0000-0000531B0000}"/>
    <cellStyle name="Normal 5 5 2 2 3 2" xfId="3588" xr:uid="{00000000-0005-0000-0000-0000541B0000}"/>
    <cellStyle name="Normal 5 5 2 2 3 2 2" xfId="7811" xr:uid="{00000000-0005-0000-0000-0000551B0000}"/>
    <cellStyle name="Normal 5 5 2 2 3 2 2 2" xfId="16246" xr:uid="{147C46D0-C658-486C-ADEF-CD61A06FA4EB}"/>
    <cellStyle name="Normal 5 5 2 2 3 2 3" xfId="12028" xr:uid="{D022FDDD-5644-48B8-93BB-3746F8EB8C43}"/>
    <cellStyle name="Normal 5 5 2 2 3 3" xfId="5666" xr:uid="{00000000-0005-0000-0000-0000561B0000}"/>
    <cellStyle name="Normal 5 5 2 2 3 3 2" xfId="14101" xr:uid="{585F125F-D790-4BFE-A900-532B23DB7C1E}"/>
    <cellStyle name="Normal 5 5 2 2 3 4" xfId="9883" xr:uid="{32BCA7C2-9495-4DFD-8D5F-466F965F6A1F}"/>
    <cellStyle name="Normal 5 5 2 2 4" xfId="1771" xr:uid="{00000000-0005-0000-0000-0000571B0000}"/>
    <cellStyle name="Normal 5 5 2 2 4 2" xfId="4001" xr:uid="{00000000-0005-0000-0000-0000581B0000}"/>
    <cellStyle name="Normal 5 5 2 2 4 2 2" xfId="8224" xr:uid="{00000000-0005-0000-0000-0000591B0000}"/>
    <cellStyle name="Normal 5 5 2 2 4 2 2 2" xfId="16659" xr:uid="{DF3C1402-529A-4BEE-A93C-3C7FCBAAFF4E}"/>
    <cellStyle name="Normal 5 5 2 2 4 2 3" xfId="12441" xr:uid="{0D0C478D-3A3A-4DE8-8CBD-419335D7699C}"/>
    <cellStyle name="Normal 5 5 2 2 4 3" xfId="6079" xr:uid="{00000000-0005-0000-0000-00005A1B0000}"/>
    <cellStyle name="Normal 5 5 2 2 4 3 2" xfId="14514" xr:uid="{29F2BF56-A2EB-4D0F-8F50-1818137F6017}"/>
    <cellStyle name="Normal 5 5 2 2 4 4" xfId="10296" xr:uid="{79ED0D56-6660-419C-BB48-854B537C8DBB}"/>
    <cellStyle name="Normal 5 5 2 2 5" xfId="2185" xr:uid="{00000000-0005-0000-0000-00005B1B0000}"/>
    <cellStyle name="Normal 5 5 2 2 5 2" xfId="4414" xr:uid="{00000000-0005-0000-0000-00005C1B0000}"/>
    <cellStyle name="Normal 5 5 2 2 5 2 2" xfId="8637" xr:uid="{00000000-0005-0000-0000-00005D1B0000}"/>
    <cellStyle name="Normal 5 5 2 2 5 2 2 2" xfId="17072" xr:uid="{0E74BE0D-B832-4BFC-9101-F08F2ABA9B73}"/>
    <cellStyle name="Normal 5 5 2 2 5 2 3" xfId="12854" xr:uid="{F1848AA0-847C-47B1-B051-281A5C83F6BA}"/>
    <cellStyle name="Normal 5 5 2 2 5 3" xfId="6492" xr:uid="{00000000-0005-0000-0000-00005E1B0000}"/>
    <cellStyle name="Normal 5 5 2 2 5 3 2" xfId="14927" xr:uid="{E8EB497F-C2DD-4CF8-8985-E4E1178CD0F4}"/>
    <cellStyle name="Normal 5 5 2 2 5 4" xfId="10709" xr:uid="{4479F58D-7C7C-45D6-8953-92A3356E95B7}"/>
    <cellStyle name="Normal 5 5 2 2 6" xfId="2621" xr:uid="{00000000-0005-0000-0000-00005F1B0000}"/>
    <cellStyle name="Normal 5 5 2 2 6 2" xfId="6905" xr:uid="{00000000-0005-0000-0000-0000601B0000}"/>
    <cellStyle name="Normal 5 5 2 2 6 2 2" xfId="15340" xr:uid="{9440C31F-6DDC-486A-A2A3-8496E1FD9379}"/>
    <cellStyle name="Normal 5 5 2 2 6 3" xfId="11122" xr:uid="{A6B046E1-FD56-4BB1-B38A-8CF75FCC94A6}"/>
    <cellStyle name="Normal 5 5 2 2 7" xfId="4840" xr:uid="{00000000-0005-0000-0000-0000611B0000}"/>
    <cellStyle name="Normal 5 5 2 2 7 2" xfId="13275" xr:uid="{E520D255-B85B-4A6C-8DBE-1561EB033065}"/>
    <cellStyle name="Normal 5 5 2 2 8" xfId="9057" xr:uid="{843A21AF-F8E6-412B-B4C3-DB183C664741}"/>
    <cellStyle name="Normal 5 5 2 3" xfId="940" xr:uid="{00000000-0005-0000-0000-0000621B0000}"/>
    <cellStyle name="Normal 5 5 2 3 2" xfId="3174" xr:uid="{00000000-0005-0000-0000-0000631B0000}"/>
    <cellStyle name="Normal 5 5 2 3 2 2" xfId="7397" xr:uid="{00000000-0005-0000-0000-0000641B0000}"/>
    <cellStyle name="Normal 5 5 2 3 2 2 2" xfId="15832" xr:uid="{7790DDB5-4748-46D3-B9EE-928D0BE1B792}"/>
    <cellStyle name="Normal 5 5 2 3 2 3" xfId="11614" xr:uid="{41AE57E7-9A4A-44B0-A18C-8C59129551EF}"/>
    <cellStyle name="Normal 5 5 2 3 3" xfId="5252" xr:uid="{00000000-0005-0000-0000-0000651B0000}"/>
    <cellStyle name="Normal 5 5 2 3 3 2" xfId="13687" xr:uid="{E821A655-79D0-466B-BEE4-7D8AA68A31CB}"/>
    <cellStyle name="Normal 5 5 2 3 4" xfId="9469" xr:uid="{78296381-12C4-419D-952A-E9F0548E08AA}"/>
    <cellStyle name="Normal 5 5 2 4" xfId="1357" xr:uid="{00000000-0005-0000-0000-0000661B0000}"/>
    <cellStyle name="Normal 5 5 2 4 2" xfId="3587" xr:uid="{00000000-0005-0000-0000-0000671B0000}"/>
    <cellStyle name="Normal 5 5 2 4 2 2" xfId="7810" xr:uid="{00000000-0005-0000-0000-0000681B0000}"/>
    <cellStyle name="Normal 5 5 2 4 2 2 2" xfId="16245" xr:uid="{C99C97A9-F5B5-45D0-A999-23CEF9CDBE32}"/>
    <cellStyle name="Normal 5 5 2 4 2 3" xfId="12027" xr:uid="{EC283F02-7E77-4875-8E56-99E5F83D1206}"/>
    <cellStyle name="Normal 5 5 2 4 3" xfId="5665" xr:uid="{00000000-0005-0000-0000-0000691B0000}"/>
    <cellStyle name="Normal 5 5 2 4 3 2" xfId="14100" xr:uid="{2DBA7F80-C0C6-4A5D-AD63-C6C1104CA357}"/>
    <cellStyle name="Normal 5 5 2 4 4" xfId="9882" xr:uid="{85E305E4-E789-4F80-AED4-756C6D8EC0D7}"/>
    <cellStyle name="Normal 5 5 2 5" xfId="1770" xr:uid="{00000000-0005-0000-0000-00006A1B0000}"/>
    <cellStyle name="Normal 5 5 2 5 2" xfId="4000" xr:uid="{00000000-0005-0000-0000-00006B1B0000}"/>
    <cellStyle name="Normal 5 5 2 5 2 2" xfId="8223" xr:uid="{00000000-0005-0000-0000-00006C1B0000}"/>
    <cellStyle name="Normal 5 5 2 5 2 2 2" xfId="16658" xr:uid="{0CEF6A49-541B-4265-A19D-6E11FD309897}"/>
    <cellStyle name="Normal 5 5 2 5 2 3" xfId="12440" xr:uid="{639B20B5-6B87-41EB-A1D2-73475F8C012D}"/>
    <cellStyle name="Normal 5 5 2 5 3" xfId="6078" xr:uid="{00000000-0005-0000-0000-00006D1B0000}"/>
    <cellStyle name="Normal 5 5 2 5 3 2" xfId="14513" xr:uid="{D82D07F2-4695-4C39-B3C2-190BBA4866D9}"/>
    <cellStyle name="Normal 5 5 2 5 4" xfId="10295" xr:uid="{A73A72F3-1833-4D83-AED2-A46B5CD633A7}"/>
    <cellStyle name="Normal 5 5 2 6" xfId="2184" xr:uid="{00000000-0005-0000-0000-00006E1B0000}"/>
    <cellStyle name="Normal 5 5 2 6 2" xfId="4413" xr:uid="{00000000-0005-0000-0000-00006F1B0000}"/>
    <cellStyle name="Normal 5 5 2 6 2 2" xfId="8636" xr:uid="{00000000-0005-0000-0000-0000701B0000}"/>
    <cellStyle name="Normal 5 5 2 6 2 2 2" xfId="17071" xr:uid="{D4B1ADD9-064E-4A8C-BF32-0600917B61F9}"/>
    <cellStyle name="Normal 5 5 2 6 2 3" xfId="12853" xr:uid="{87ED39DE-8B39-48D2-9878-4C740282A9CD}"/>
    <cellStyle name="Normal 5 5 2 6 3" xfId="6491" xr:uid="{00000000-0005-0000-0000-0000711B0000}"/>
    <cellStyle name="Normal 5 5 2 6 3 2" xfId="14926" xr:uid="{900AE9F2-C6B6-4863-BF03-46C613E51B19}"/>
    <cellStyle name="Normal 5 5 2 6 4" xfId="10708" xr:uid="{125CA445-D2D3-4EF8-B149-6214F89731E8}"/>
    <cellStyle name="Normal 5 5 2 7" xfId="2620" xr:uid="{00000000-0005-0000-0000-0000721B0000}"/>
    <cellStyle name="Normal 5 5 2 7 2" xfId="6904" xr:uid="{00000000-0005-0000-0000-0000731B0000}"/>
    <cellStyle name="Normal 5 5 2 7 2 2" xfId="15339" xr:uid="{E38CBC3C-42EC-4F96-9604-5B8234CC1EA0}"/>
    <cellStyle name="Normal 5 5 2 7 3" xfId="11121" xr:uid="{1B03C331-D4FF-4B2E-BE61-EA6F7C696487}"/>
    <cellStyle name="Normal 5 5 2 8" xfId="4839" xr:uid="{00000000-0005-0000-0000-0000741B0000}"/>
    <cellStyle name="Normal 5 5 2 8 2" xfId="13274" xr:uid="{848F9AC6-0C13-4A96-84BB-9ED36C310736}"/>
    <cellStyle name="Normal 5 5 2 9" xfId="9056" xr:uid="{F7FF1610-3D90-43FD-BDBA-A30DC38212F4}"/>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2 2 2" xfId="15834" xr:uid="{77D0D124-17A4-4302-9A76-D25AD044B4D8}"/>
    <cellStyle name="Normal 5 5 3 2 2 3" xfId="11616" xr:uid="{54EFD841-0201-42B8-8D69-1133F3F9CD2F}"/>
    <cellStyle name="Normal 5 5 3 2 3" xfId="5254" xr:uid="{00000000-0005-0000-0000-0000791B0000}"/>
    <cellStyle name="Normal 5 5 3 2 3 2" xfId="13689" xr:uid="{1F67544E-A4E7-48D0-B38E-FC1F2FEE161E}"/>
    <cellStyle name="Normal 5 5 3 2 4" xfId="9471" xr:uid="{173EAF43-B45C-4D42-807C-F3E781CD3592}"/>
    <cellStyle name="Normal 5 5 3 3" xfId="1359" xr:uid="{00000000-0005-0000-0000-00007A1B0000}"/>
    <cellStyle name="Normal 5 5 3 3 2" xfId="3589" xr:uid="{00000000-0005-0000-0000-00007B1B0000}"/>
    <cellStyle name="Normal 5 5 3 3 2 2" xfId="7812" xr:uid="{00000000-0005-0000-0000-00007C1B0000}"/>
    <cellStyle name="Normal 5 5 3 3 2 2 2" xfId="16247" xr:uid="{FE960C5A-0F23-4FF5-8798-4591F02ED07E}"/>
    <cellStyle name="Normal 5 5 3 3 2 3" xfId="12029" xr:uid="{3A0B901A-BE9F-4F4A-8B33-D6BEF50619C3}"/>
    <cellStyle name="Normal 5 5 3 3 3" xfId="5667" xr:uid="{00000000-0005-0000-0000-00007D1B0000}"/>
    <cellStyle name="Normal 5 5 3 3 3 2" xfId="14102" xr:uid="{80DFBFFD-DB24-4F05-8DDA-8A31A1457AB4}"/>
    <cellStyle name="Normal 5 5 3 3 4" xfId="9884" xr:uid="{54B6E99C-C2DA-4A69-87D0-B13C5E130EBE}"/>
    <cellStyle name="Normal 5 5 3 4" xfId="1772" xr:uid="{00000000-0005-0000-0000-00007E1B0000}"/>
    <cellStyle name="Normal 5 5 3 4 2" xfId="4002" xr:uid="{00000000-0005-0000-0000-00007F1B0000}"/>
    <cellStyle name="Normal 5 5 3 4 2 2" xfId="8225" xr:uid="{00000000-0005-0000-0000-0000801B0000}"/>
    <cellStyle name="Normal 5 5 3 4 2 2 2" xfId="16660" xr:uid="{73F6671E-686E-4111-82FE-35C8CF370F33}"/>
    <cellStyle name="Normal 5 5 3 4 2 3" xfId="12442" xr:uid="{F22BFE4C-6075-427D-B81E-72FCF0E6A434}"/>
    <cellStyle name="Normal 5 5 3 4 3" xfId="6080" xr:uid="{00000000-0005-0000-0000-0000811B0000}"/>
    <cellStyle name="Normal 5 5 3 4 3 2" xfId="14515" xr:uid="{2CA48F0C-B9C4-4649-8EDB-C9CB5CB407EC}"/>
    <cellStyle name="Normal 5 5 3 4 4" xfId="10297" xr:uid="{243AADAE-1A28-4C1B-BAFC-B2E2D5F667BD}"/>
    <cellStyle name="Normal 5 5 3 5" xfId="2186" xr:uid="{00000000-0005-0000-0000-0000821B0000}"/>
    <cellStyle name="Normal 5 5 3 5 2" xfId="4415" xr:uid="{00000000-0005-0000-0000-0000831B0000}"/>
    <cellStyle name="Normal 5 5 3 5 2 2" xfId="8638" xr:uid="{00000000-0005-0000-0000-0000841B0000}"/>
    <cellStyle name="Normal 5 5 3 5 2 2 2" xfId="17073" xr:uid="{6884DA53-3395-43BE-A5AB-1ECD1072B685}"/>
    <cellStyle name="Normal 5 5 3 5 2 3" xfId="12855" xr:uid="{F5AB52CA-9E18-4B1A-8438-1B451468E0FA}"/>
    <cellStyle name="Normal 5 5 3 5 3" xfId="6493" xr:uid="{00000000-0005-0000-0000-0000851B0000}"/>
    <cellStyle name="Normal 5 5 3 5 3 2" xfId="14928" xr:uid="{CA10B196-52FE-48C4-ABD5-B15928C09F11}"/>
    <cellStyle name="Normal 5 5 3 5 4" xfId="10710" xr:uid="{C219C03E-A491-48CC-89B3-3E9637C5B5DC}"/>
    <cellStyle name="Normal 5 5 3 6" xfId="2622" xr:uid="{00000000-0005-0000-0000-0000861B0000}"/>
    <cellStyle name="Normal 5 5 3 6 2" xfId="6906" xr:uid="{00000000-0005-0000-0000-0000871B0000}"/>
    <cellStyle name="Normal 5 5 3 6 2 2" xfId="15341" xr:uid="{3B0F8DAF-15BF-4211-AF0E-318C912BC89D}"/>
    <cellStyle name="Normal 5 5 3 6 3" xfId="11123" xr:uid="{D9251FFB-81ED-49B5-AD6E-126AF32DAE80}"/>
    <cellStyle name="Normal 5 5 3 7" xfId="4841" xr:uid="{00000000-0005-0000-0000-0000881B0000}"/>
    <cellStyle name="Normal 5 5 3 7 2" xfId="13276" xr:uid="{E0EF4D4C-5418-4EFB-8112-68AC809FF7B0}"/>
    <cellStyle name="Normal 5 5 3 8" xfId="9058" xr:uid="{FED2D5CA-38F7-4CA9-AF52-74E8C0E9602E}"/>
    <cellStyle name="Normal 5 5 4" xfId="939" xr:uid="{00000000-0005-0000-0000-0000891B0000}"/>
    <cellStyle name="Normal 5 5 4 2" xfId="3173" xr:uid="{00000000-0005-0000-0000-00008A1B0000}"/>
    <cellStyle name="Normal 5 5 4 2 2" xfId="7396" xr:uid="{00000000-0005-0000-0000-00008B1B0000}"/>
    <cellStyle name="Normal 5 5 4 2 2 2" xfId="15831" xr:uid="{6D1F2392-4863-4E81-97C4-8686AD6B0221}"/>
    <cellStyle name="Normal 5 5 4 2 3" xfId="11613" xr:uid="{782B1C25-054C-448B-9FAF-94EC4F67E662}"/>
    <cellStyle name="Normal 5 5 4 3" xfId="5251" xr:uid="{00000000-0005-0000-0000-00008C1B0000}"/>
    <cellStyle name="Normal 5 5 4 3 2" xfId="13686" xr:uid="{6525A5D0-BB48-4CBB-81D7-372FD1ACAE65}"/>
    <cellStyle name="Normal 5 5 4 4" xfId="9468" xr:uid="{1AA80E4B-6588-4F73-9157-D027A1DE9CAC}"/>
    <cellStyle name="Normal 5 5 5" xfId="1356" xr:uid="{00000000-0005-0000-0000-00008D1B0000}"/>
    <cellStyle name="Normal 5 5 5 2" xfId="3586" xr:uid="{00000000-0005-0000-0000-00008E1B0000}"/>
    <cellStyle name="Normal 5 5 5 2 2" xfId="7809" xr:uid="{00000000-0005-0000-0000-00008F1B0000}"/>
    <cellStyle name="Normal 5 5 5 2 2 2" xfId="16244" xr:uid="{E31F4D4C-EC41-49C0-B631-7577E775611D}"/>
    <cellStyle name="Normal 5 5 5 2 3" xfId="12026" xr:uid="{C2AD59C3-926E-41FF-89CB-5EE7F903AEC1}"/>
    <cellStyle name="Normal 5 5 5 3" xfId="5664" xr:uid="{00000000-0005-0000-0000-0000901B0000}"/>
    <cellStyle name="Normal 5 5 5 3 2" xfId="14099" xr:uid="{D5D555F7-B5E4-4FDC-80A2-1A832B7C6A7A}"/>
    <cellStyle name="Normal 5 5 5 4" xfId="9881" xr:uid="{2BB3F2B3-AE40-463C-A4B9-E08A34AC507F}"/>
    <cellStyle name="Normal 5 5 6" xfId="1769" xr:uid="{00000000-0005-0000-0000-0000911B0000}"/>
    <cellStyle name="Normal 5 5 6 2" xfId="3999" xr:uid="{00000000-0005-0000-0000-0000921B0000}"/>
    <cellStyle name="Normal 5 5 6 2 2" xfId="8222" xr:uid="{00000000-0005-0000-0000-0000931B0000}"/>
    <cellStyle name="Normal 5 5 6 2 2 2" xfId="16657" xr:uid="{730235D7-3FCC-410F-970C-44D1C8C7CDA7}"/>
    <cellStyle name="Normal 5 5 6 2 3" xfId="12439" xr:uid="{EE99311F-1161-4CAA-B860-A2E3FD707DCF}"/>
    <cellStyle name="Normal 5 5 6 3" xfId="6077" xr:uid="{00000000-0005-0000-0000-0000941B0000}"/>
    <cellStyle name="Normal 5 5 6 3 2" xfId="14512" xr:uid="{E0EA9E1A-3EB5-45E1-96B3-581D72EB3D82}"/>
    <cellStyle name="Normal 5 5 6 4" xfId="10294" xr:uid="{9AB590D9-618C-430B-949D-6658CE117E64}"/>
    <cellStyle name="Normal 5 5 7" xfId="2183" xr:uid="{00000000-0005-0000-0000-0000951B0000}"/>
    <cellStyle name="Normal 5 5 7 2" xfId="4412" xr:uid="{00000000-0005-0000-0000-0000961B0000}"/>
    <cellStyle name="Normal 5 5 7 2 2" xfId="8635" xr:uid="{00000000-0005-0000-0000-0000971B0000}"/>
    <cellStyle name="Normal 5 5 7 2 2 2" xfId="17070" xr:uid="{822596FF-4605-4B6B-9568-FD6057EBB33B}"/>
    <cellStyle name="Normal 5 5 7 2 3" xfId="12852" xr:uid="{87058B45-EEF9-4FE1-9E3D-8E1C5B18C4B6}"/>
    <cellStyle name="Normal 5 5 7 3" xfId="6490" xr:uid="{00000000-0005-0000-0000-0000981B0000}"/>
    <cellStyle name="Normal 5 5 7 3 2" xfId="14925" xr:uid="{135E01DA-EB51-4D1C-BAEE-02DBDD38A815}"/>
    <cellStyle name="Normal 5 5 7 4" xfId="10707" xr:uid="{120A21A0-CE0D-464F-B7DE-B6DEBD8EF2D9}"/>
    <cellStyle name="Normal 5 5 8" xfId="2619" xr:uid="{00000000-0005-0000-0000-0000991B0000}"/>
    <cellStyle name="Normal 5 5 8 2" xfId="6903" xr:uid="{00000000-0005-0000-0000-00009A1B0000}"/>
    <cellStyle name="Normal 5 5 8 2 2" xfId="15338" xr:uid="{A46A82ED-F868-4E3F-8703-F9E9BE849EC9}"/>
    <cellStyle name="Normal 5 5 8 3" xfId="11120" xr:uid="{5EE1C448-EB34-42F2-8ACC-1B42B3831948}"/>
    <cellStyle name="Normal 5 5 9" xfId="4838" xr:uid="{00000000-0005-0000-0000-00009B1B0000}"/>
    <cellStyle name="Normal 5 5 9 2" xfId="13273" xr:uid="{D217898B-3B8B-41A7-A77B-25FACCA726E7}"/>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2 2 2" xfId="15836" xr:uid="{57134CED-4EFA-43C8-B243-CE7A995920BD}"/>
    <cellStyle name="Normal 5 6 2 2 2 3" xfId="11618" xr:uid="{E5512C33-C172-47C1-B58A-2050DD6DCB3A}"/>
    <cellStyle name="Normal 5 6 2 2 3" xfId="5256" xr:uid="{00000000-0005-0000-0000-0000A11B0000}"/>
    <cellStyle name="Normal 5 6 2 2 3 2" xfId="13691" xr:uid="{882E7116-29AB-400A-AF88-E0DD4DC8D4F2}"/>
    <cellStyle name="Normal 5 6 2 2 4" xfId="9473" xr:uid="{7BD8F9FD-103F-49A8-A789-F5BBC0B164D4}"/>
    <cellStyle name="Normal 5 6 2 3" xfId="1361" xr:uid="{00000000-0005-0000-0000-0000A21B0000}"/>
    <cellStyle name="Normal 5 6 2 3 2" xfId="3591" xr:uid="{00000000-0005-0000-0000-0000A31B0000}"/>
    <cellStyle name="Normal 5 6 2 3 2 2" xfId="7814" xr:uid="{00000000-0005-0000-0000-0000A41B0000}"/>
    <cellStyle name="Normal 5 6 2 3 2 2 2" xfId="16249" xr:uid="{FB11ABC1-FFEE-4EF8-9DE2-345AFDE2C31E}"/>
    <cellStyle name="Normal 5 6 2 3 2 3" xfId="12031" xr:uid="{264C9575-667E-4955-B76B-FA575EEE130F}"/>
    <cellStyle name="Normal 5 6 2 3 3" xfId="5669" xr:uid="{00000000-0005-0000-0000-0000A51B0000}"/>
    <cellStyle name="Normal 5 6 2 3 3 2" xfId="14104" xr:uid="{3805557C-2EB1-40E9-BFBE-C6DBF776ACC2}"/>
    <cellStyle name="Normal 5 6 2 3 4" xfId="9886" xr:uid="{93441BF3-AB36-4AE1-969F-67BC0E782EB3}"/>
    <cellStyle name="Normal 5 6 2 4" xfId="1774" xr:uid="{00000000-0005-0000-0000-0000A61B0000}"/>
    <cellStyle name="Normal 5 6 2 4 2" xfId="4004" xr:uid="{00000000-0005-0000-0000-0000A71B0000}"/>
    <cellStyle name="Normal 5 6 2 4 2 2" xfId="8227" xr:uid="{00000000-0005-0000-0000-0000A81B0000}"/>
    <cellStyle name="Normal 5 6 2 4 2 2 2" xfId="16662" xr:uid="{0802C827-8FA0-4EE4-8C5B-F2DBAB1E90FD}"/>
    <cellStyle name="Normal 5 6 2 4 2 3" xfId="12444" xr:uid="{CC1446D5-BA79-4F6F-B624-E78445FA9D72}"/>
    <cellStyle name="Normal 5 6 2 4 3" xfId="6082" xr:uid="{00000000-0005-0000-0000-0000A91B0000}"/>
    <cellStyle name="Normal 5 6 2 4 3 2" xfId="14517" xr:uid="{43F10F2B-3264-443C-AF04-498D1F250E84}"/>
    <cellStyle name="Normal 5 6 2 4 4" xfId="10299" xr:uid="{0A34BFE9-5A1A-45CB-AAF7-A55E3FE67D31}"/>
    <cellStyle name="Normal 5 6 2 5" xfId="2188" xr:uid="{00000000-0005-0000-0000-0000AA1B0000}"/>
    <cellStyle name="Normal 5 6 2 5 2" xfId="4417" xr:uid="{00000000-0005-0000-0000-0000AB1B0000}"/>
    <cellStyle name="Normal 5 6 2 5 2 2" xfId="8640" xr:uid="{00000000-0005-0000-0000-0000AC1B0000}"/>
    <cellStyle name="Normal 5 6 2 5 2 2 2" xfId="17075" xr:uid="{620691DC-8C58-47E2-9444-102CD6AD0457}"/>
    <cellStyle name="Normal 5 6 2 5 2 3" xfId="12857" xr:uid="{5E9CB90E-815F-4856-8992-ACD01DEAA793}"/>
    <cellStyle name="Normal 5 6 2 5 3" xfId="6495" xr:uid="{00000000-0005-0000-0000-0000AD1B0000}"/>
    <cellStyle name="Normal 5 6 2 5 3 2" xfId="14930" xr:uid="{4D952B98-5EC6-419B-822D-FAFAE595033B}"/>
    <cellStyle name="Normal 5 6 2 5 4" xfId="10712" xr:uid="{878A30E4-1C4D-4872-9389-08D5CC2025B0}"/>
    <cellStyle name="Normal 5 6 2 6" xfId="2624" xr:uid="{00000000-0005-0000-0000-0000AE1B0000}"/>
    <cellStyle name="Normal 5 6 2 6 2" xfId="6908" xr:uid="{00000000-0005-0000-0000-0000AF1B0000}"/>
    <cellStyle name="Normal 5 6 2 6 2 2" xfId="15343" xr:uid="{3F1487D2-D7FE-491E-8AA3-409AC660173D}"/>
    <cellStyle name="Normal 5 6 2 6 3" xfId="11125" xr:uid="{AE91DCC3-E764-4F91-88C1-CB8FB9EE137B}"/>
    <cellStyle name="Normal 5 6 2 7" xfId="4843" xr:uid="{00000000-0005-0000-0000-0000B01B0000}"/>
    <cellStyle name="Normal 5 6 2 7 2" xfId="13278" xr:uid="{6CF43FFC-456C-4A90-8AE5-A1725CE8B234}"/>
    <cellStyle name="Normal 5 6 2 8" xfId="9060" xr:uid="{5949EB3C-947D-4A8C-B1E2-16AEA9A0567B}"/>
    <cellStyle name="Normal 5 6 3" xfId="943" xr:uid="{00000000-0005-0000-0000-0000B11B0000}"/>
    <cellStyle name="Normal 5 6 3 2" xfId="3177" xr:uid="{00000000-0005-0000-0000-0000B21B0000}"/>
    <cellStyle name="Normal 5 6 3 2 2" xfId="7400" xr:uid="{00000000-0005-0000-0000-0000B31B0000}"/>
    <cellStyle name="Normal 5 6 3 2 2 2" xfId="15835" xr:uid="{8A63DD32-18D2-4C04-879E-36B718AFE9BF}"/>
    <cellStyle name="Normal 5 6 3 2 3" xfId="11617" xr:uid="{0547807E-3E83-4180-B538-2D841F51C1B8}"/>
    <cellStyle name="Normal 5 6 3 3" xfId="5255" xr:uid="{00000000-0005-0000-0000-0000B41B0000}"/>
    <cellStyle name="Normal 5 6 3 3 2" xfId="13690" xr:uid="{C12F9078-528E-40FF-B8B8-461DEE9B2919}"/>
    <cellStyle name="Normal 5 6 3 4" xfId="9472" xr:uid="{E5C02645-662D-41F6-9086-FFE4FB89160E}"/>
    <cellStyle name="Normal 5 6 4" xfId="1360" xr:uid="{00000000-0005-0000-0000-0000B51B0000}"/>
    <cellStyle name="Normal 5 6 4 2" xfId="3590" xr:uid="{00000000-0005-0000-0000-0000B61B0000}"/>
    <cellStyle name="Normal 5 6 4 2 2" xfId="7813" xr:uid="{00000000-0005-0000-0000-0000B71B0000}"/>
    <cellStyle name="Normal 5 6 4 2 2 2" xfId="16248" xr:uid="{B4202400-98F7-4411-8E45-A14414B6D300}"/>
    <cellStyle name="Normal 5 6 4 2 3" xfId="12030" xr:uid="{425072F6-9F7C-4D09-A572-0CB243513CD9}"/>
    <cellStyle name="Normal 5 6 4 3" xfId="5668" xr:uid="{00000000-0005-0000-0000-0000B81B0000}"/>
    <cellStyle name="Normal 5 6 4 3 2" xfId="14103" xr:uid="{8280F654-FA52-4064-9AB4-26A6AAA55D02}"/>
    <cellStyle name="Normal 5 6 4 4" xfId="9885" xr:uid="{75F8B2C2-5E6C-41FC-BD7E-D41B2FB08BA0}"/>
    <cellStyle name="Normal 5 6 5" xfId="1773" xr:uid="{00000000-0005-0000-0000-0000B91B0000}"/>
    <cellStyle name="Normal 5 6 5 2" xfId="4003" xr:uid="{00000000-0005-0000-0000-0000BA1B0000}"/>
    <cellStyle name="Normal 5 6 5 2 2" xfId="8226" xr:uid="{00000000-0005-0000-0000-0000BB1B0000}"/>
    <cellStyle name="Normal 5 6 5 2 2 2" xfId="16661" xr:uid="{7C99512D-2F1E-49F0-9189-2E4BD3158713}"/>
    <cellStyle name="Normal 5 6 5 2 3" xfId="12443" xr:uid="{94416468-44D7-41C4-9FF0-9972F884C069}"/>
    <cellStyle name="Normal 5 6 5 3" xfId="6081" xr:uid="{00000000-0005-0000-0000-0000BC1B0000}"/>
    <cellStyle name="Normal 5 6 5 3 2" xfId="14516" xr:uid="{B01AEA1E-C92A-426C-82FF-F6E7BBAE7F02}"/>
    <cellStyle name="Normal 5 6 5 4" xfId="10298" xr:uid="{9AD45F38-A87C-4C62-9468-3AA410FC3ED2}"/>
    <cellStyle name="Normal 5 6 6" xfId="2187" xr:uid="{00000000-0005-0000-0000-0000BD1B0000}"/>
    <cellStyle name="Normal 5 6 6 2" xfId="4416" xr:uid="{00000000-0005-0000-0000-0000BE1B0000}"/>
    <cellStyle name="Normal 5 6 6 2 2" xfId="8639" xr:uid="{00000000-0005-0000-0000-0000BF1B0000}"/>
    <cellStyle name="Normal 5 6 6 2 2 2" xfId="17074" xr:uid="{59AD240D-BB25-4545-801E-BE6248CF2518}"/>
    <cellStyle name="Normal 5 6 6 2 3" xfId="12856" xr:uid="{43B24A02-526D-4FF4-863C-B958C84EE975}"/>
    <cellStyle name="Normal 5 6 6 3" xfId="6494" xr:uid="{00000000-0005-0000-0000-0000C01B0000}"/>
    <cellStyle name="Normal 5 6 6 3 2" xfId="14929" xr:uid="{CB1FECA7-600B-418E-99C8-5474DCCE8622}"/>
    <cellStyle name="Normal 5 6 6 4" xfId="10711" xr:uid="{5D45FAB0-C5BD-4E8C-A547-E7249BA2E741}"/>
    <cellStyle name="Normal 5 6 7" xfId="2623" xr:uid="{00000000-0005-0000-0000-0000C11B0000}"/>
    <cellStyle name="Normal 5 6 7 2" xfId="6907" xr:uid="{00000000-0005-0000-0000-0000C21B0000}"/>
    <cellStyle name="Normal 5 6 7 2 2" xfId="15342" xr:uid="{21261FB7-C43F-483D-BBF7-85FC6E03B831}"/>
    <cellStyle name="Normal 5 6 7 3" xfId="11124" xr:uid="{B4247940-4D40-47D0-9B34-F5626E412349}"/>
    <cellStyle name="Normal 5 6 8" xfId="4842" xr:uid="{00000000-0005-0000-0000-0000C31B0000}"/>
    <cellStyle name="Normal 5 6 8 2" xfId="13277" xr:uid="{0666CD6A-A6DE-4973-B71C-CAA102CF3273}"/>
    <cellStyle name="Normal 5 6 9" xfId="9059" xr:uid="{01BE3479-E0E4-4351-BDD2-AF0F4FA7D2C6}"/>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2 2 2" xfId="15837" xr:uid="{CB279ECD-FD3C-4B63-BE33-92FBE7700840}"/>
    <cellStyle name="Normal 5 7 2 2 3" xfId="11619" xr:uid="{78D299B0-A110-491D-B0C5-3B071A6CE37F}"/>
    <cellStyle name="Normal 5 7 2 3" xfId="5257" xr:uid="{00000000-0005-0000-0000-0000C81B0000}"/>
    <cellStyle name="Normal 5 7 2 3 2" xfId="13692" xr:uid="{C177B87C-CBEA-462F-B680-49547EEF7F60}"/>
    <cellStyle name="Normal 5 7 2 4" xfId="9474" xr:uid="{E9316893-094E-4DC3-ABAC-44BFE7562AD0}"/>
    <cellStyle name="Normal 5 7 3" xfId="1362" xr:uid="{00000000-0005-0000-0000-0000C91B0000}"/>
    <cellStyle name="Normal 5 7 3 2" xfId="3592" xr:uid="{00000000-0005-0000-0000-0000CA1B0000}"/>
    <cellStyle name="Normal 5 7 3 2 2" xfId="7815" xr:uid="{00000000-0005-0000-0000-0000CB1B0000}"/>
    <cellStyle name="Normal 5 7 3 2 2 2" xfId="16250" xr:uid="{DE768049-BF35-4C1B-BCEC-B09EBEBCF48A}"/>
    <cellStyle name="Normal 5 7 3 2 3" xfId="12032" xr:uid="{6CED325A-C5A8-4467-968C-69448225FE5A}"/>
    <cellStyle name="Normal 5 7 3 3" xfId="5670" xr:uid="{00000000-0005-0000-0000-0000CC1B0000}"/>
    <cellStyle name="Normal 5 7 3 3 2" xfId="14105" xr:uid="{0657153C-B866-43BB-A483-7466684BCB25}"/>
    <cellStyle name="Normal 5 7 3 4" xfId="9887" xr:uid="{132D18E0-CBCE-405E-A329-6016D688F340}"/>
    <cellStyle name="Normal 5 7 4" xfId="1775" xr:uid="{00000000-0005-0000-0000-0000CD1B0000}"/>
    <cellStyle name="Normal 5 7 4 2" xfId="4005" xr:uid="{00000000-0005-0000-0000-0000CE1B0000}"/>
    <cellStyle name="Normal 5 7 4 2 2" xfId="8228" xr:uid="{00000000-0005-0000-0000-0000CF1B0000}"/>
    <cellStyle name="Normal 5 7 4 2 2 2" xfId="16663" xr:uid="{B45CF886-8178-41DD-9D7C-D9064952FF8F}"/>
    <cellStyle name="Normal 5 7 4 2 3" xfId="12445" xr:uid="{2BFC86E5-70BE-4931-A2FA-7EE5DD5155B6}"/>
    <cellStyle name="Normal 5 7 4 3" xfId="6083" xr:uid="{00000000-0005-0000-0000-0000D01B0000}"/>
    <cellStyle name="Normal 5 7 4 3 2" xfId="14518" xr:uid="{7F03191F-DDBB-4C36-A570-3EAEDB7F53D1}"/>
    <cellStyle name="Normal 5 7 4 4" xfId="10300" xr:uid="{9B0CFBB8-CD6F-4078-A3A2-4142F8071046}"/>
    <cellStyle name="Normal 5 7 5" xfId="2189" xr:uid="{00000000-0005-0000-0000-0000D11B0000}"/>
    <cellStyle name="Normal 5 7 5 2" xfId="4418" xr:uid="{00000000-0005-0000-0000-0000D21B0000}"/>
    <cellStyle name="Normal 5 7 5 2 2" xfId="8641" xr:uid="{00000000-0005-0000-0000-0000D31B0000}"/>
    <cellStyle name="Normal 5 7 5 2 2 2" xfId="17076" xr:uid="{5A2118D8-1464-4AD0-9A7D-A5A1237DDA34}"/>
    <cellStyle name="Normal 5 7 5 2 3" xfId="12858" xr:uid="{EB65572A-60B1-4A0A-9C70-5EABE73EB2EE}"/>
    <cellStyle name="Normal 5 7 5 3" xfId="6496" xr:uid="{00000000-0005-0000-0000-0000D41B0000}"/>
    <cellStyle name="Normal 5 7 5 3 2" xfId="14931" xr:uid="{A743255E-4AE7-4631-BE74-CC221EDBF769}"/>
    <cellStyle name="Normal 5 7 5 4" xfId="10713" xr:uid="{200B262B-D43C-4D18-9A29-9242EDF59651}"/>
    <cellStyle name="Normal 5 7 6" xfId="2625" xr:uid="{00000000-0005-0000-0000-0000D51B0000}"/>
    <cellStyle name="Normal 5 7 6 2" xfId="6909" xr:uid="{00000000-0005-0000-0000-0000D61B0000}"/>
    <cellStyle name="Normal 5 7 6 2 2" xfId="15344" xr:uid="{29EB4967-AC14-4F50-8A5D-DCC32BDF4716}"/>
    <cellStyle name="Normal 5 7 6 3" xfId="11126" xr:uid="{A73CE0F4-F094-412B-AA4B-8A01FB4A9F5C}"/>
    <cellStyle name="Normal 5 7 7" xfId="4844" xr:uid="{00000000-0005-0000-0000-0000D71B0000}"/>
    <cellStyle name="Normal 5 7 7 2" xfId="13279" xr:uid="{DE610819-AFAE-4B0D-8CB1-A37CE9F1C800}"/>
    <cellStyle name="Normal 5 7 8" xfId="9061" xr:uid="{23543DCE-445E-48E8-AC6C-FF5319F33B05}"/>
    <cellStyle name="Normal 5 8" xfId="881" xr:uid="{00000000-0005-0000-0000-0000D81B0000}"/>
    <cellStyle name="Normal 5 8 2" xfId="3116" xr:uid="{00000000-0005-0000-0000-0000D91B0000}"/>
    <cellStyle name="Normal 5 8 2 2" xfId="7339" xr:uid="{00000000-0005-0000-0000-0000DA1B0000}"/>
    <cellStyle name="Normal 5 8 2 2 2" xfId="15774" xr:uid="{82E36F95-919F-4D1E-A053-D3E6360E4939}"/>
    <cellStyle name="Normal 5 8 2 3" xfId="11556" xr:uid="{CC2CBF70-7E60-48A8-A8C5-026550157167}"/>
    <cellStyle name="Normal 5 8 3" xfId="5194" xr:uid="{00000000-0005-0000-0000-0000DB1B0000}"/>
    <cellStyle name="Normal 5 8 3 2" xfId="13629" xr:uid="{36C172EA-EDBF-4940-AE9B-E74DBA17A206}"/>
    <cellStyle name="Normal 5 8 4" xfId="9411" xr:uid="{E9DD2AB8-1A6E-4360-9DA2-730A0C629823}"/>
    <cellStyle name="Normal 5 9" xfId="1299" xr:uid="{00000000-0005-0000-0000-0000DC1B0000}"/>
    <cellStyle name="Normal 5 9 2" xfId="3529" xr:uid="{00000000-0005-0000-0000-0000DD1B0000}"/>
    <cellStyle name="Normal 5 9 2 2" xfId="7752" xr:uid="{00000000-0005-0000-0000-0000DE1B0000}"/>
    <cellStyle name="Normal 5 9 2 2 2" xfId="16187" xr:uid="{D4A84748-5356-4A15-8A74-DC102C579A25}"/>
    <cellStyle name="Normal 5 9 2 3" xfId="11969" xr:uid="{CCEFBF21-0A3E-4096-AB2A-3E962CF8FD00}"/>
    <cellStyle name="Normal 5 9 3" xfId="5607" xr:uid="{00000000-0005-0000-0000-0000DF1B0000}"/>
    <cellStyle name="Normal 5 9 3 2" xfId="14042" xr:uid="{06D3F0DE-53A7-4418-B04F-B93C0F38AB27}"/>
    <cellStyle name="Normal 5 9 4" xfId="9824" xr:uid="{97AF359D-9B56-4B9D-BD50-DD5CDFA118BE}"/>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2 2 2" xfId="17077" xr:uid="{B604402E-AC53-450A-B71C-58EE832B9C9A}"/>
    <cellStyle name="Normal 8 10 2 3" xfId="12859" xr:uid="{76D80074-E16E-46EE-B876-4C7640B18698}"/>
    <cellStyle name="Normal 8 10 3" xfId="6497" xr:uid="{00000000-0005-0000-0000-0000EB1B0000}"/>
    <cellStyle name="Normal 8 10 3 2" xfId="14932" xr:uid="{A11C4E74-0C6C-4A2C-A22A-0FC916F64B6D}"/>
    <cellStyle name="Normal 8 10 4" xfId="10714" xr:uid="{8DF248A4-4328-4D3C-B377-04A2EF41EC52}"/>
    <cellStyle name="Normal 8 11" xfId="2626" xr:uid="{00000000-0005-0000-0000-0000EC1B0000}"/>
    <cellStyle name="Normal 8 11 2" xfId="6910" xr:uid="{00000000-0005-0000-0000-0000ED1B0000}"/>
    <cellStyle name="Normal 8 11 2 2" xfId="15345" xr:uid="{313FA6A5-E7DE-473D-BEC8-D998B134061C}"/>
    <cellStyle name="Normal 8 11 3" xfId="11127" xr:uid="{240BF7B5-CF27-4325-9EDF-F2A269DC9D67}"/>
    <cellStyle name="Normal 8 12" xfId="4845" xr:uid="{00000000-0005-0000-0000-0000EE1B0000}"/>
    <cellStyle name="Normal 8 12 2" xfId="13280" xr:uid="{71DF4D60-DF20-4086-A2AF-BD4F1FB02EB2}"/>
    <cellStyle name="Normal 8 13" xfId="9062" xr:uid="{0E2820A9-C279-495A-8A7C-40378DAD0ABE}"/>
    <cellStyle name="Normal 8 2" xfId="479" xr:uid="{00000000-0005-0000-0000-0000EF1B0000}"/>
    <cellStyle name="Normal 8 2 10" xfId="2627" xr:uid="{00000000-0005-0000-0000-0000F01B0000}"/>
    <cellStyle name="Normal 8 2 10 2" xfId="6911" xr:uid="{00000000-0005-0000-0000-0000F11B0000}"/>
    <cellStyle name="Normal 8 2 10 2 2" xfId="15346" xr:uid="{4207588E-D395-4B65-82E2-14B113324DA4}"/>
    <cellStyle name="Normal 8 2 10 3" xfId="11128" xr:uid="{88924794-FC36-480A-B616-B83651F27F14}"/>
    <cellStyle name="Normal 8 2 11" xfId="4846" xr:uid="{00000000-0005-0000-0000-0000F21B0000}"/>
    <cellStyle name="Normal 8 2 11 2" xfId="13281" xr:uid="{9BA21958-B080-4D9A-92DB-713F2154EDB7}"/>
    <cellStyle name="Normal 8 2 12" xfId="9063" xr:uid="{BF90F800-A627-4707-8740-FB283DBC5878}"/>
    <cellStyle name="Normal 8 2 2" xfId="480" xr:uid="{00000000-0005-0000-0000-0000F31B0000}"/>
    <cellStyle name="Normal 8 2 2 10" xfId="4847" xr:uid="{00000000-0005-0000-0000-0000F41B0000}"/>
    <cellStyle name="Normal 8 2 2 10 2" xfId="13282" xr:uid="{CB368851-42EB-4725-9DB8-DB1D33F9C4E1}"/>
    <cellStyle name="Normal 8 2 2 11" xfId="9064" xr:uid="{CC3C22C8-A728-4ED5-9EBC-F34F856911A8}"/>
    <cellStyle name="Normal 8 2 2 2" xfId="481" xr:uid="{00000000-0005-0000-0000-0000F51B0000}"/>
    <cellStyle name="Normal 8 2 2 2 10" xfId="9065" xr:uid="{AEDF56A1-E731-495B-9F6D-0AA4DEB0159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2 2 2" xfId="15843" xr:uid="{5B952B98-7A97-411A-8743-6AD56C56FD7D}"/>
    <cellStyle name="Normal 8 2 2 2 2 2 2 2 3" xfId="11625" xr:uid="{CDDFE222-5030-4694-B701-5CD250FCD75F}"/>
    <cellStyle name="Normal 8 2 2 2 2 2 2 3" xfId="5263" xr:uid="{00000000-0005-0000-0000-0000FB1B0000}"/>
    <cellStyle name="Normal 8 2 2 2 2 2 2 3 2" xfId="13698" xr:uid="{C886C747-6385-4E92-91B4-A98EF575B609}"/>
    <cellStyle name="Normal 8 2 2 2 2 2 2 4" xfId="9480" xr:uid="{EDC5EB1C-ECA0-4382-A427-4FE023250A73}"/>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2 2 2" xfId="16256" xr:uid="{5651013F-8D98-4284-B2D9-515A65B02B96}"/>
    <cellStyle name="Normal 8 2 2 2 2 2 3 2 3" xfId="12038" xr:uid="{6E1653F2-9D5B-42AC-9936-348C34EB1474}"/>
    <cellStyle name="Normal 8 2 2 2 2 2 3 3" xfId="5676" xr:uid="{00000000-0005-0000-0000-0000FF1B0000}"/>
    <cellStyle name="Normal 8 2 2 2 2 2 3 3 2" xfId="14111" xr:uid="{0C67A7B0-3D49-48D0-B9C7-87E24BEDB225}"/>
    <cellStyle name="Normal 8 2 2 2 2 2 3 4" xfId="9893" xr:uid="{DF55B1BA-666D-49E6-A8D4-B31F03089F13}"/>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2 2 2" xfId="16669" xr:uid="{EF2375DB-79DD-434C-9902-0FED1B66D2A5}"/>
    <cellStyle name="Normal 8 2 2 2 2 2 4 2 3" xfId="12451" xr:uid="{09056414-2D16-4D56-9A91-8B0C10E1187A}"/>
    <cellStyle name="Normal 8 2 2 2 2 2 4 3" xfId="6089" xr:uid="{00000000-0005-0000-0000-0000031C0000}"/>
    <cellStyle name="Normal 8 2 2 2 2 2 4 3 2" xfId="14524" xr:uid="{6DF91002-55AF-409C-A6E8-F36D55BFF4AC}"/>
    <cellStyle name="Normal 8 2 2 2 2 2 4 4" xfId="10306" xr:uid="{C6A38C5D-22A4-4FE1-92BB-7E8CF4311C43}"/>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2 2 2" xfId="17082" xr:uid="{2F8D742C-2C49-4695-A31F-7AFAF0009FD5}"/>
    <cellStyle name="Normal 8 2 2 2 2 2 5 2 3" xfId="12864" xr:uid="{6D233797-82AF-4F89-9B39-BA2627AA7169}"/>
    <cellStyle name="Normal 8 2 2 2 2 2 5 3" xfId="6502" xr:uid="{00000000-0005-0000-0000-0000071C0000}"/>
    <cellStyle name="Normal 8 2 2 2 2 2 5 3 2" xfId="14937" xr:uid="{14F467B2-C965-4624-962E-3C05613A8C15}"/>
    <cellStyle name="Normal 8 2 2 2 2 2 5 4" xfId="10719" xr:uid="{8AB4D556-5796-472D-83B3-14A90D88F294}"/>
    <cellStyle name="Normal 8 2 2 2 2 2 6" xfId="2631" xr:uid="{00000000-0005-0000-0000-0000081C0000}"/>
    <cellStyle name="Normal 8 2 2 2 2 2 6 2" xfId="6915" xr:uid="{00000000-0005-0000-0000-0000091C0000}"/>
    <cellStyle name="Normal 8 2 2 2 2 2 6 2 2" xfId="15350" xr:uid="{0CAD4595-2D71-401D-BADA-F668DA80CE90}"/>
    <cellStyle name="Normal 8 2 2 2 2 2 6 3" xfId="11132" xr:uid="{1874423F-17B1-4A6D-8A1C-3B4FA5819064}"/>
    <cellStyle name="Normal 8 2 2 2 2 2 7" xfId="4850" xr:uid="{00000000-0005-0000-0000-00000A1C0000}"/>
    <cellStyle name="Normal 8 2 2 2 2 2 7 2" xfId="13285" xr:uid="{2CB555E7-CA21-4E77-873D-3B750DCFC13C}"/>
    <cellStyle name="Normal 8 2 2 2 2 2 8" xfId="9067" xr:uid="{B625A55C-18C3-4C7D-A6BB-062D04517D65}"/>
    <cellStyle name="Normal 8 2 2 2 2 3" xfId="950" xr:uid="{00000000-0005-0000-0000-00000B1C0000}"/>
    <cellStyle name="Normal 8 2 2 2 2 3 2" xfId="3184" xr:uid="{00000000-0005-0000-0000-00000C1C0000}"/>
    <cellStyle name="Normal 8 2 2 2 2 3 2 2" xfId="7407" xr:uid="{00000000-0005-0000-0000-00000D1C0000}"/>
    <cellStyle name="Normal 8 2 2 2 2 3 2 2 2" xfId="15842" xr:uid="{85432CB7-424A-4911-8FF8-E81AA86A1C67}"/>
    <cellStyle name="Normal 8 2 2 2 2 3 2 3" xfId="11624" xr:uid="{8F67E193-1967-41B0-8DCB-C473A7198451}"/>
    <cellStyle name="Normal 8 2 2 2 2 3 3" xfId="5262" xr:uid="{00000000-0005-0000-0000-00000E1C0000}"/>
    <cellStyle name="Normal 8 2 2 2 2 3 3 2" xfId="13697" xr:uid="{4E419C70-D09E-4A73-8432-5897DBA9CFAA}"/>
    <cellStyle name="Normal 8 2 2 2 2 3 4" xfId="9479" xr:uid="{1FAD487A-ABFC-441C-BD0B-F67EFFF4A932}"/>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2 2 2" xfId="16255" xr:uid="{4EA3A266-2653-41C8-8C3D-4BF7E1D2BA3F}"/>
    <cellStyle name="Normal 8 2 2 2 2 4 2 3" xfId="12037" xr:uid="{A7051950-93E8-449B-8B4A-DCCEE3976F72}"/>
    <cellStyle name="Normal 8 2 2 2 2 4 3" xfId="5675" xr:uid="{00000000-0005-0000-0000-0000121C0000}"/>
    <cellStyle name="Normal 8 2 2 2 2 4 3 2" xfId="14110" xr:uid="{82FD993A-6DC2-431E-B84F-9B39FC48D1B8}"/>
    <cellStyle name="Normal 8 2 2 2 2 4 4" xfId="9892" xr:uid="{BFDA0E29-605D-40ED-887F-FDDA2FA19138}"/>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2 2 2" xfId="16668" xr:uid="{A7915390-AC7C-460C-AEA1-FD918CDBF87F}"/>
    <cellStyle name="Normal 8 2 2 2 2 5 2 3" xfId="12450" xr:uid="{E399050F-EA44-49E7-AC49-2F672FDB55C4}"/>
    <cellStyle name="Normal 8 2 2 2 2 5 3" xfId="6088" xr:uid="{00000000-0005-0000-0000-0000161C0000}"/>
    <cellStyle name="Normal 8 2 2 2 2 5 3 2" xfId="14523" xr:uid="{629FFFAF-D478-4AF5-A85E-1F93C0FFA88D}"/>
    <cellStyle name="Normal 8 2 2 2 2 5 4" xfId="10305" xr:uid="{915DC8ED-94BD-4DE1-BF5D-D6443AB56663}"/>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2 2 2" xfId="17081" xr:uid="{04C2DF15-549C-4C1B-B1E0-D8EA5494FAC1}"/>
    <cellStyle name="Normal 8 2 2 2 2 6 2 3" xfId="12863" xr:uid="{CDC94209-5AAE-4E5F-86BE-E9A3AC1B3A27}"/>
    <cellStyle name="Normal 8 2 2 2 2 6 3" xfId="6501" xr:uid="{00000000-0005-0000-0000-00001A1C0000}"/>
    <cellStyle name="Normal 8 2 2 2 2 6 3 2" xfId="14936" xr:uid="{85D97154-5FF0-44DA-9191-B9AA6314EA2E}"/>
    <cellStyle name="Normal 8 2 2 2 2 6 4" xfId="10718" xr:uid="{2B6E9626-7002-499B-934B-84A3DDAA7E2A}"/>
    <cellStyle name="Normal 8 2 2 2 2 7" xfId="2630" xr:uid="{00000000-0005-0000-0000-00001B1C0000}"/>
    <cellStyle name="Normal 8 2 2 2 2 7 2" xfId="6914" xr:uid="{00000000-0005-0000-0000-00001C1C0000}"/>
    <cellStyle name="Normal 8 2 2 2 2 7 2 2" xfId="15349" xr:uid="{44FEB2AE-AFA7-46C4-A7CE-7D3A08F31A2B}"/>
    <cellStyle name="Normal 8 2 2 2 2 7 3" xfId="11131" xr:uid="{33B57190-5069-4D11-B1B2-EE3B61FDBC97}"/>
    <cellStyle name="Normal 8 2 2 2 2 8" xfId="4849" xr:uid="{00000000-0005-0000-0000-00001D1C0000}"/>
    <cellStyle name="Normal 8 2 2 2 2 8 2" xfId="13284" xr:uid="{40BA0269-2985-4D2B-AF8B-84EA17DF1224}"/>
    <cellStyle name="Normal 8 2 2 2 2 9" xfId="9066" xr:uid="{F350FDCA-98BE-4AF4-A720-A7BDA25F2C2A}"/>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2 2 2" xfId="15844" xr:uid="{90BE8BF4-7A8C-4EFA-892D-546DF2B9BF8A}"/>
    <cellStyle name="Normal 8 2 2 2 3 2 2 3" xfId="11626" xr:uid="{D3CBCFE6-F262-4D67-8367-30A6C05CED8C}"/>
    <cellStyle name="Normal 8 2 2 2 3 2 3" xfId="5264" xr:uid="{00000000-0005-0000-0000-0000221C0000}"/>
    <cellStyle name="Normal 8 2 2 2 3 2 3 2" xfId="13699" xr:uid="{9D79497E-7B29-4456-BAAE-9A0EF8AFBDC2}"/>
    <cellStyle name="Normal 8 2 2 2 3 2 4" xfId="9481" xr:uid="{8CB8D5EC-8CEF-402F-B2D8-C13C736EF22B}"/>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2 2 2" xfId="16257" xr:uid="{82148347-C7E5-4CEF-8B37-8956D19A8CE7}"/>
    <cellStyle name="Normal 8 2 2 2 3 3 2 3" xfId="12039" xr:uid="{D181BD34-5DDD-4DB1-87D7-9F2196CF9AB1}"/>
    <cellStyle name="Normal 8 2 2 2 3 3 3" xfId="5677" xr:uid="{00000000-0005-0000-0000-0000261C0000}"/>
    <cellStyle name="Normal 8 2 2 2 3 3 3 2" xfId="14112" xr:uid="{9982C469-E1E7-4676-AFDF-73F04ED8F81E}"/>
    <cellStyle name="Normal 8 2 2 2 3 3 4" xfId="9894" xr:uid="{ECF20E85-3F68-4252-A1F1-B06EEDAD61E3}"/>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2 2 2" xfId="16670" xr:uid="{5F773593-2B4C-4B13-B7FC-3338FD83C719}"/>
    <cellStyle name="Normal 8 2 2 2 3 4 2 3" xfId="12452" xr:uid="{A347EC92-6956-4B61-A11C-1E7658B21C6E}"/>
    <cellStyle name="Normal 8 2 2 2 3 4 3" xfId="6090" xr:uid="{00000000-0005-0000-0000-00002A1C0000}"/>
    <cellStyle name="Normal 8 2 2 2 3 4 3 2" xfId="14525" xr:uid="{383D8DB4-1D9D-436A-969F-4AA8107E451E}"/>
    <cellStyle name="Normal 8 2 2 2 3 4 4" xfId="10307" xr:uid="{30D759D8-34C3-4F58-8189-5EF5088891EA}"/>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2 2 2" xfId="17083" xr:uid="{6D00D2DF-5AA7-4D0C-937A-1A3608C1E0EA}"/>
    <cellStyle name="Normal 8 2 2 2 3 5 2 3" xfId="12865" xr:uid="{9C16FA2A-47DF-4093-A49E-55DD8515AA43}"/>
    <cellStyle name="Normal 8 2 2 2 3 5 3" xfId="6503" xr:uid="{00000000-0005-0000-0000-00002E1C0000}"/>
    <cellStyle name="Normal 8 2 2 2 3 5 3 2" xfId="14938" xr:uid="{03E8D1C1-A602-4628-B08E-0A7F4C4D4B73}"/>
    <cellStyle name="Normal 8 2 2 2 3 5 4" xfId="10720" xr:uid="{5A170013-2FC4-4426-9BA2-BF9BAADF9DD7}"/>
    <cellStyle name="Normal 8 2 2 2 3 6" xfId="2632" xr:uid="{00000000-0005-0000-0000-00002F1C0000}"/>
    <cellStyle name="Normal 8 2 2 2 3 6 2" xfId="6916" xr:uid="{00000000-0005-0000-0000-0000301C0000}"/>
    <cellStyle name="Normal 8 2 2 2 3 6 2 2" xfId="15351" xr:uid="{15DFAD26-4AF5-49E2-A394-C3F22ECD34B8}"/>
    <cellStyle name="Normal 8 2 2 2 3 6 3" xfId="11133" xr:uid="{970F5255-78FD-47C2-BACA-7AA04A6E27D7}"/>
    <cellStyle name="Normal 8 2 2 2 3 7" xfId="4851" xr:uid="{00000000-0005-0000-0000-0000311C0000}"/>
    <cellStyle name="Normal 8 2 2 2 3 7 2" xfId="13286" xr:uid="{5137F27A-A70E-43BC-B460-ACB439328640}"/>
    <cellStyle name="Normal 8 2 2 2 3 8" xfId="9068" xr:uid="{4E79A3BD-EFD1-488B-8580-012A793FBD6E}"/>
    <cellStyle name="Normal 8 2 2 2 4" xfId="949" xr:uid="{00000000-0005-0000-0000-0000321C0000}"/>
    <cellStyle name="Normal 8 2 2 2 4 2" xfId="3183" xr:uid="{00000000-0005-0000-0000-0000331C0000}"/>
    <cellStyle name="Normal 8 2 2 2 4 2 2" xfId="7406" xr:uid="{00000000-0005-0000-0000-0000341C0000}"/>
    <cellStyle name="Normal 8 2 2 2 4 2 2 2" xfId="15841" xr:uid="{8ECC7F85-4819-403D-88C7-01C5A3C2F2FF}"/>
    <cellStyle name="Normal 8 2 2 2 4 2 3" xfId="11623" xr:uid="{C5D0D949-7618-47A4-AC69-4FF1CFA2A14E}"/>
    <cellStyle name="Normal 8 2 2 2 4 3" xfId="5261" xr:uid="{00000000-0005-0000-0000-0000351C0000}"/>
    <cellStyle name="Normal 8 2 2 2 4 3 2" xfId="13696" xr:uid="{2748D667-43E9-4A10-9B64-08112F934642}"/>
    <cellStyle name="Normal 8 2 2 2 4 4" xfId="9478" xr:uid="{13F41F27-3337-4AB2-926E-E2380FA83274}"/>
    <cellStyle name="Normal 8 2 2 2 5" xfId="1366" xr:uid="{00000000-0005-0000-0000-0000361C0000}"/>
    <cellStyle name="Normal 8 2 2 2 5 2" xfId="3596" xr:uid="{00000000-0005-0000-0000-0000371C0000}"/>
    <cellStyle name="Normal 8 2 2 2 5 2 2" xfId="7819" xr:uid="{00000000-0005-0000-0000-0000381C0000}"/>
    <cellStyle name="Normal 8 2 2 2 5 2 2 2" xfId="16254" xr:uid="{377F8212-39E3-4332-8A09-E5C8BA8BBB23}"/>
    <cellStyle name="Normal 8 2 2 2 5 2 3" xfId="12036" xr:uid="{0ACBEDB7-8F7E-4AE6-9A95-94C42795CE33}"/>
    <cellStyle name="Normal 8 2 2 2 5 3" xfId="5674" xr:uid="{00000000-0005-0000-0000-0000391C0000}"/>
    <cellStyle name="Normal 8 2 2 2 5 3 2" xfId="14109" xr:uid="{244CB231-1253-47E3-9F7C-22C7D50FF283}"/>
    <cellStyle name="Normal 8 2 2 2 5 4" xfId="9891" xr:uid="{264C3155-6FF6-44B4-84C6-56D2404CE3F7}"/>
    <cellStyle name="Normal 8 2 2 2 6" xfId="1779" xr:uid="{00000000-0005-0000-0000-00003A1C0000}"/>
    <cellStyle name="Normal 8 2 2 2 6 2" xfId="4009" xr:uid="{00000000-0005-0000-0000-00003B1C0000}"/>
    <cellStyle name="Normal 8 2 2 2 6 2 2" xfId="8232" xr:uid="{00000000-0005-0000-0000-00003C1C0000}"/>
    <cellStyle name="Normal 8 2 2 2 6 2 2 2" xfId="16667" xr:uid="{CB91FBA3-B710-4088-9DCA-E7F7FEA1980D}"/>
    <cellStyle name="Normal 8 2 2 2 6 2 3" xfId="12449" xr:uid="{679AC3A5-AF6F-438A-A2A5-843AAF9CF3EE}"/>
    <cellStyle name="Normal 8 2 2 2 6 3" xfId="6087" xr:uid="{00000000-0005-0000-0000-00003D1C0000}"/>
    <cellStyle name="Normal 8 2 2 2 6 3 2" xfId="14522" xr:uid="{A95948D1-0D41-40AD-9E69-07882782F8EA}"/>
    <cellStyle name="Normal 8 2 2 2 6 4" xfId="10304" xr:uid="{E32CEA28-D294-4F4D-A523-835E2DF035F6}"/>
    <cellStyle name="Normal 8 2 2 2 7" xfId="2193" xr:uid="{00000000-0005-0000-0000-00003E1C0000}"/>
    <cellStyle name="Normal 8 2 2 2 7 2" xfId="4422" xr:uid="{00000000-0005-0000-0000-00003F1C0000}"/>
    <cellStyle name="Normal 8 2 2 2 7 2 2" xfId="8645" xr:uid="{00000000-0005-0000-0000-0000401C0000}"/>
    <cellStyle name="Normal 8 2 2 2 7 2 2 2" xfId="17080" xr:uid="{730C445E-F971-454A-B042-EA676501665E}"/>
    <cellStyle name="Normal 8 2 2 2 7 2 3" xfId="12862" xr:uid="{87426210-1725-4953-B864-F81D3DE2A838}"/>
    <cellStyle name="Normal 8 2 2 2 7 3" xfId="6500" xr:uid="{00000000-0005-0000-0000-0000411C0000}"/>
    <cellStyle name="Normal 8 2 2 2 7 3 2" xfId="14935" xr:uid="{B667060B-AB95-46DE-B390-F45863D540E2}"/>
    <cellStyle name="Normal 8 2 2 2 7 4" xfId="10717" xr:uid="{7B58E289-4D98-4019-A0A0-D81D5B87BC26}"/>
    <cellStyle name="Normal 8 2 2 2 8" xfId="2629" xr:uid="{00000000-0005-0000-0000-0000421C0000}"/>
    <cellStyle name="Normal 8 2 2 2 8 2" xfId="6913" xr:uid="{00000000-0005-0000-0000-0000431C0000}"/>
    <cellStyle name="Normal 8 2 2 2 8 2 2" xfId="15348" xr:uid="{AFEE01A6-8961-40C4-843B-08AC8EBBF419}"/>
    <cellStyle name="Normal 8 2 2 2 8 3" xfId="11130" xr:uid="{013017E7-9E9C-4A59-BD65-1549DAB0001B}"/>
    <cellStyle name="Normal 8 2 2 2 9" xfId="4848" xr:uid="{00000000-0005-0000-0000-0000441C0000}"/>
    <cellStyle name="Normal 8 2 2 2 9 2" xfId="13283" xr:uid="{DEACD87C-BD10-49B1-BC59-6B28EE7AA60D}"/>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2 2 2" xfId="15846" xr:uid="{0A001914-5ED3-48C7-9BC6-5EB6312F671F}"/>
    <cellStyle name="Normal 8 2 2 3 2 2 2 3" xfId="11628" xr:uid="{8DB8A7B3-930D-4D46-92CB-33FCB1A34550}"/>
    <cellStyle name="Normal 8 2 2 3 2 2 3" xfId="5266" xr:uid="{00000000-0005-0000-0000-00004A1C0000}"/>
    <cellStyle name="Normal 8 2 2 3 2 2 3 2" xfId="13701" xr:uid="{8312109B-034D-4853-B575-97C4B19338A0}"/>
    <cellStyle name="Normal 8 2 2 3 2 2 4" xfId="9483" xr:uid="{E91FB179-2A3D-449C-83D1-70739C2128E4}"/>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2 2 2" xfId="16259" xr:uid="{DC7983DE-5E42-42BB-A737-D7B80549B76F}"/>
    <cellStyle name="Normal 8 2 2 3 2 3 2 3" xfId="12041" xr:uid="{ADFB5DB1-6CBF-4185-BF35-2915DD4020AC}"/>
    <cellStyle name="Normal 8 2 2 3 2 3 3" xfId="5679" xr:uid="{00000000-0005-0000-0000-00004E1C0000}"/>
    <cellStyle name="Normal 8 2 2 3 2 3 3 2" xfId="14114" xr:uid="{EECB469C-8963-41FB-AA98-48B934BE9C8D}"/>
    <cellStyle name="Normal 8 2 2 3 2 3 4" xfId="9896" xr:uid="{3E73D2FB-24E0-40FD-AC37-8E94045B4506}"/>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2 2 2" xfId="16672" xr:uid="{DAD66BE6-A9F2-481B-8F1A-335115600967}"/>
    <cellStyle name="Normal 8 2 2 3 2 4 2 3" xfId="12454" xr:uid="{778418FC-E01B-4AF7-AA99-E11BED7C1F15}"/>
    <cellStyle name="Normal 8 2 2 3 2 4 3" xfId="6092" xr:uid="{00000000-0005-0000-0000-0000521C0000}"/>
    <cellStyle name="Normal 8 2 2 3 2 4 3 2" xfId="14527" xr:uid="{EB8606E7-D787-46D2-AD98-301C37FEBA2B}"/>
    <cellStyle name="Normal 8 2 2 3 2 4 4" xfId="10309" xr:uid="{3A884013-7400-4B81-A8B0-1FABAC369904}"/>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2 2 2" xfId="17085" xr:uid="{BF0A17FF-95B7-4E1F-8ACE-B4C16AEEE328}"/>
    <cellStyle name="Normal 8 2 2 3 2 5 2 3" xfId="12867" xr:uid="{3414322E-1F24-4DA3-BEC5-619B584CF036}"/>
    <cellStyle name="Normal 8 2 2 3 2 5 3" xfId="6505" xr:uid="{00000000-0005-0000-0000-0000561C0000}"/>
    <cellStyle name="Normal 8 2 2 3 2 5 3 2" xfId="14940" xr:uid="{A61D952C-6560-42F5-A5D8-1B39F656FF74}"/>
    <cellStyle name="Normal 8 2 2 3 2 5 4" xfId="10722" xr:uid="{335EDE3E-1F85-439F-AB0E-AF8D49E39FAA}"/>
    <cellStyle name="Normal 8 2 2 3 2 6" xfId="2634" xr:uid="{00000000-0005-0000-0000-0000571C0000}"/>
    <cellStyle name="Normal 8 2 2 3 2 6 2" xfId="6918" xr:uid="{00000000-0005-0000-0000-0000581C0000}"/>
    <cellStyle name="Normal 8 2 2 3 2 6 2 2" xfId="15353" xr:uid="{C67BF847-8B5C-4AE8-9E22-6CDBD74D3426}"/>
    <cellStyle name="Normal 8 2 2 3 2 6 3" xfId="11135" xr:uid="{8A30E0BD-6D10-4792-AADB-AEEDE78E0DD8}"/>
    <cellStyle name="Normal 8 2 2 3 2 7" xfId="4853" xr:uid="{00000000-0005-0000-0000-0000591C0000}"/>
    <cellStyle name="Normal 8 2 2 3 2 7 2" xfId="13288" xr:uid="{15570D86-2B67-4AC2-8891-61028140D49A}"/>
    <cellStyle name="Normal 8 2 2 3 2 8" xfId="9070" xr:uid="{7F635F3E-C5FC-4CAD-A9EF-23C327C6C51C}"/>
    <cellStyle name="Normal 8 2 2 3 3" xfId="953" xr:uid="{00000000-0005-0000-0000-00005A1C0000}"/>
    <cellStyle name="Normal 8 2 2 3 3 2" xfId="3187" xr:uid="{00000000-0005-0000-0000-00005B1C0000}"/>
    <cellStyle name="Normal 8 2 2 3 3 2 2" xfId="7410" xr:uid="{00000000-0005-0000-0000-00005C1C0000}"/>
    <cellStyle name="Normal 8 2 2 3 3 2 2 2" xfId="15845" xr:uid="{32DE5F6F-8111-4581-A95C-D14647BC5704}"/>
    <cellStyle name="Normal 8 2 2 3 3 2 3" xfId="11627" xr:uid="{F56BEFB0-E514-4B61-A085-0673EE225F32}"/>
    <cellStyle name="Normal 8 2 2 3 3 3" xfId="5265" xr:uid="{00000000-0005-0000-0000-00005D1C0000}"/>
    <cellStyle name="Normal 8 2 2 3 3 3 2" xfId="13700" xr:uid="{C09111D9-5518-40D0-A599-9FCD1587973C}"/>
    <cellStyle name="Normal 8 2 2 3 3 4" xfId="9482" xr:uid="{66790A14-CDBF-4832-8C97-18BB1229DC01}"/>
    <cellStyle name="Normal 8 2 2 3 4" xfId="1370" xr:uid="{00000000-0005-0000-0000-00005E1C0000}"/>
    <cellStyle name="Normal 8 2 2 3 4 2" xfId="3600" xr:uid="{00000000-0005-0000-0000-00005F1C0000}"/>
    <cellStyle name="Normal 8 2 2 3 4 2 2" xfId="7823" xr:uid="{00000000-0005-0000-0000-0000601C0000}"/>
    <cellStyle name="Normal 8 2 2 3 4 2 2 2" xfId="16258" xr:uid="{4F7A7C89-461F-4E80-B526-A0F0B91622AC}"/>
    <cellStyle name="Normal 8 2 2 3 4 2 3" xfId="12040" xr:uid="{B49B0C1B-8771-439B-9354-FDCCC259819F}"/>
    <cellStyle name="Normal 8 2 2 3 4 3" xfId="5678" xr:uid="{00000000-0005-0000-0000-0000611C0000}"/>
    <cellStyle name="Normal 8 2 2 3 4 3 2" xfId="14113" xr:uid="{00A6FBF3-D8F7-4F2C-A3FD-8FC47F889C21}"/>
    <cellStyle name="Normal 8 2 2 3 4 4" xfId="9895" xr:uid="{F1203211-CE71-42CD-9730-4D92EAC70319}"/>
    <cellStyle name="Normal 8 2 2 3 5" xfId="1783" xr:uid="{00000000-0005-0000-0000-0000621C0000}"/>
    <cellStyle name="Normal 8 2 2 3 5 2" xfId="4013" xr:uid="{00000000-0005-0000-0000-0000631C0000}"/>
    <cellStyle name="Normal 8 2 2 3 5 2 2" xfId="8236" xr:uid="{00000000-0005-0000-0000-0000641C0000}"/>
    <cellStyle name="Normal 8 2 2 3 5 2 2 2" xfId="16671" xr:uid="{5CCCE5E5-0168-4B6A-AC9E-CDEA53597D97}"/>
    <cellStyle name="Normal 8 2 2 3 5 2 3" xfId="12453" xr:uid="{E9BE6748-74CC-4F77-AE6C-02E031A09CA6}"/>
    <cellStyle name="Normal 8 2 2 3 5 3" xfId="6091" xr:uid="{00000000-0005-0000-0000-0000651C0000}"/>
    <cellStyle name="Normal 8 2 2 3 5 3 2" xfId="14526" xr:uid="{8A7A4180-5822-4492-ACB1-AADD496EC184}"/>
    <cellStyle name="Normal 8 2 2 3 5 4" xfId="10308" xr:uid="{97879AC5-0189-4358-8C4C-FCA3B49286FE}"/>
    <cellStyle name="Normal 8 2 2 3 6" xfId="2197" xr:uid="{00000000-0005-0000-0000-0000661C0000}"/>
    <cellStyle name="Normal 8 2 2 3 6 2" xfId="4426" xr:uid="{00000000-0005-0000-0000-0000671C0000}"/>
    <cellStyle name="Normal 8 2 2 3 6 2 2" xfId="8649" xr:uid="{00000000-0005-0000-0000-0000681C0000}"/>
    <cellStyle name="Normal 8 2 2 3 6 2 2 2" xfId="17084" xr:uid="{D6187CDB-33C0-44BE-8A1F-941F75C62D37}"/>
    <cellStyle name="Normal 8 2 2 3 6 2 3" xfId="12866" xr:uid="{3E202380-935E-43D0-8211-DF143EFF4F4F}"/>
    <cellStyle name="Normal 8 2 2 3 6 3" xfId="6504" xr:uid="{00000000-0005-0000-0000-0000691C0000}"/>
    <cellStyle name="Normal 8 2 2 3 6 3 2" xfId="14939" xr:uid="{2E02AF62-EC9D-4E9E-901F-DE4FD40C7802}"/>
    <cellStyle name="Normal 8 2 2 3 6 4" xfId="10721" xr:uid="{78618A7A-123A-4A6A-ABEB-E8E0D956E879}"/>
    <cellStyle name="Normal 8 2 2 3 7" xfId="2633" xr:uid="{00000000-0005-0000-0000-00006A1C0000}"/>
    <cellStyle name="Normal 8 2 2 3 7 2" xfId="6917" xr:uid="{00000000-0005-0000-0000-00006B1C0000}"/>
    <cellStyle name="Normal 8 2 2 3 7 2 2" xfId="15352" xr:uid="{83780239-AB78-414F-883F-1523FF155B42}"/>
    <cellStyle name="Normal 8 2 2 3 7 3" xfId="11134" xr:uid="{48C46C1C-E4D7-477D-AD42-D3E40F6DCCC9}"/>
    <cellStyle name="Normal 8 2 2 3 8" xfId="4852" xr:uid="{00000000-0005-0000-0000-00006C1C0000}"/>
    <cellStyle name="Normal 8 2 2 3 8 2" xfId="13287" xr:uid="{D37E3C46-933B-4EF8-A5EF-4C06E4A3AA2F}"/>
    <cellStyle name="Normal 8 2 2 3 9" xfId="9069" xr:uid="{F547E960-55C6-49EE-80C6-B13804DEF211}"/>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2 2 2" xfId="15847" xr:uid="{E231FE01-2795-45AB-904D-E365D1F6DE6C}"/>
    <cellStyle name="Normal 8 2 2 4 2 2 3" xfId="11629" xr:uid="{775CD7D6-D62B-4819-91DA-00F90DC92350}"/>
    <cellStyle name="Normal 8 2 2 4 2 3" xfId="5267" xr:uid="{00000000-0005-0000-0000-0000711C0000}"/>
    <cellStyle name="Normal 8 2 2 4 2 3 2" xfId="13702" xr:uid="{208BDAA2-B15E-4CEE-A70B-1379B2860EC8}"/>
    <cellStyle name="Normal 8 2 2 4 2 4" xfId="9484" xr:uid="{765F24E7-77E5-48F6-B63B-BD31DE70BF58}"/>
    <cellStyle name="Normal 8 2 2 4 3" xfId="1372" xr:uid="{00000000-0005-0000-0000-0000721C0000}"/>
    <cellStyle name="Normal 8 2 2 4 3 2" xfId="3602" xr:uid="{00000000-0005-0000-0000-0000731C0000}"/>
    <cellStyle name="Normal 8 2 2 4 3 2 2" xfId="7825" xr:uid="{00000000-0005-0000-0000-0000741C0000}"/>
    <cellStyle name="Normal 8 2 2 4 3 2 2 2" xfId="16260" xr:uid="{50A15234-3A69-4966-83BE-79FE76E7CF9A}"/>
    <cellStyle name="Normal 8 2 2 4 3 2 3" xfId="12042" xr:uid="{73DCFDCF-8F96-4248-8BDC-DECC7F6EC2CE}"/>
    <cellStyle name="Normal 8 2 2 4 3 3" xfId="5680" xr:uid="{00000000-0005-0000-0000-0000751C0000}"/>
    <cellStyle name="Normal 8 2 2 4 3 3 2" xfId="14115" xr:uid="{06681117-55EF-4867-B06F-B53FC04979E4}"/>
    <cellStyle name="Normal 8 2 2 4 3 4" xfId="9897" xr:uid="{CA532251-09A4-4DFA-8FB1-D74731B5A936}"/>
    <cellStyle name="Normal 8 2 2 4 4" xfId="1785" xr:uid="{00000000-0005-0000-0000-0000761C0000}"/>
    <cellStyle name="Normal 8 2 2 4 4 2" xfId="4015" xr:uid="{00000000-0005-0000-0000-0000771C0000}"/>
    <cellStyle name="Normal 8 2 2 4 4 2 2" xfId="8238" xr:uid="{00000000-0005-0000-0000-0000781C0000}"/>
    <cellStyle name="Normal 8 2 2 4 4 2 2 2" xfId="16673" xr:uid="{FE9B11A1-332B-4C2F-BB5F-6BEC9356782F}"/>
    <cellStyle name="Normal 8 2 2 4 4 2 3" xfId="12455" xr:uid="{0B6FAD3D-3D81-4DA8-B8A8-74BD0071A28B}"/>
    <cellStyle name="Normal 8 2 2 4 4 3" xfId="6093" xr:uid="{00000000-0005-0000-0000-0000791C0000}"/>
    <cellStyle name="Normal 8 2 2 4 4 3 2" xfId="14528" xr:uid="{D7FF1FF7-BCCE-4293-BBEA-5437D2AE5D3F}"/>
    <cellStyle name="Normal 8 2 2 4 4 4" xfId="10310" xr:uid="{EB938270-C8AA-4651-B1D5-8236EF11739D}"/>
    <cellStyle name="Normal 8 2 2 4 5" xfId="2199" xr:uid="{00000000-0005-0000-0000-00007A1C0000}"/>
    <cellStyle name="Normal 8 2 2 4 5 2" xfId="4428" xr:uid="{00000000-0005-0000-0000-00007B1C0000}"/>
    <cellStyle name="Normal 8 2 2 4 5 2 2" xfId="8651" xr:uid="{00000000-0005-0000-0000-00007C1C0000}"/>
    <cellStyle name="Normal 8 2 2 4 5 2 2 2" xfId="17086" xr:uid="{AEC45290-D182-4ABF-B567-9C8B958DB823}"/>
    <cellStyle name="Normal 8 2 2 4 5 2 3" xfId="12868" xr:uid="{F470C32E-8E24-4194-8EDD-DE8700B2A5E7}"/>
    <cellStyle name="Normal 8 2 2 4 5 3" xfId="6506" xr:uid="{00000000-0005-0000-0000-00007D1C0000}"/>
    <cellStyle name="Normal 8 2 2 4 5 3 2" xfId="14941" xr:uid="{5D129149-A083-463E-BE17-1979B1A5BE5D}"/>
    <cellStyle name="Normal 8 2 2 4 5 4" xfId="10723" xr:uid="{B7FDB9B8-DAB0-4D1F-B252-9F66190B990F}"/>
    <cellStyle name="Normal 8 2 2 4 6" xfId="2635" xr:uid="{00000000-0005-0000-0000-00007E1C0000}"/>
    <cellStyle name="Normal 8 2 2 4 6 2" xfId="6919" xr:uid="{00000000-0005-0000-0000-00007F1C0000}"/>
    <cellStyle name="Normal 8 2 2 4 6 2 2" xfId="15354" xr:uid="{4C880687-576C-43D8-A6B3-5D80C4778966}"/>
    <cellStyle name="Normal 8 2 2 4 6 3" xfId="11136" xr:uid="{444C9CAF-D3F3-47FC-86F3-CFD653373AA0}"/>
    <cellStyle name="Normal 8 2 2 4 7" xfId="4854" xr:uid="{00000000-0005-0000-0000-0000801C0000}"/>
    <cellStyle name="Normal 8 2 2 4 7 2" xfId="13289" xr:uid="{A2FABF65-6C43-422A-8842-EA31C310818A}"/>
    <cellStyle name="Normal 8 2 2 4 8" xfId="9071" xr:uid="{50D50D11-9853-476B-908B-1C645A8383AF}"/>
    <cellStyle name="Normal 8 2 2 5" xfId="948" xr:uid="{00000000-0005-0000-0000-0000811C0000}"/>
    <cellStyle name="Normal 8 2 2 5 2" xfId="3182" xr:uid="{00000000-0005-0000-0000-0000821C0000}"/>
    <cellStyle name="Normal 8 2 2 5 2 2" xfId="7405" xr:uid="{00000000-0005-0000-0000-0000831C0000}"/>
    <cellStyle name="Normal 8 2 2 5 2 2 2" xfId="15840" xr:uid="{B7C390FE-7CE7-46E3-99A5-6EA942996A06}"/>
    <cellStyle name="Normal 8 2 2 5 2 3" xfId="11622" xr:uid="{5AF50A30-933E-4670-AF80-DD28F6CB55FB}"/>
    <cellStyle name="Normal 8 2 2 5 3" xfId="5260" xr:uid="{00000000-0005-0000-0000-0000841C0000}"/>
    <cellStyle name="Normal 8 2 2 5 3 2" xfId="13695" xr:uid="{248FC886-FA56-4C7A-B00D-4B14429993DA}"/>
    <cellStyle name="Normal 8 2 2 5 4" xfId="9477" xr:uid="{5E1A068C-A6D3-400E-B734-5A5ACF0BAA80}"/>
    <cellStyle name="Normal 8 2 2 6" xfId="1365" xr:uid="{00000000-0005-0000-0000-0000851C0000}"/>
    <cellStyle name="Normal 8 2 2 6 2" xfId="3595" xr:uid="{00000000-0005-0000-0000-0000861C0000}"/>
    <cellStyle name="Normal 8 2 2 6 2 2" xfId="7818" xr:uid="{00000000-0005-0000-0000-0000871C0000}"/>
    <cellStyle name="Normal 8 2 2 6 2 2 2" xfId="16253" xr:uid="{9460F8C6-00D1-4FE7-83B7-F9F205DB3C1D}"/>
    <cellStyle name="Normal 8 2 2 6 2 3" xfId="12035" xr:uid="{205411C8-CE3A-46AE-B236-2E3F55C6D691}"/>
    <cellStyle name="Normal 8 2 2 6 3" xfId="5673" xr:uid="{00000000-0005-0000-0000-0000881C0000}"/>
    <cellStyle name="Normal 8 2 2 6 3 2" xfId="14108" xr:uid="{911B42DB-519F-4B13-B588-B2D1D8C21256}"/>
    <cellStyle name="Normal 8 2 2 6 4" xfId="9890" xr:uid="{28F4E78C-F2DD-4760-877C-2FDCFD56A13E}"/>
    <cellStyle name="Normal 8 2 2 7" xfId="1778" xr:uid="{00000000-0005-0000-0000-0000891C0000}"/>
    <cellStyle name="Normal 8 2 2 7 2" xfId="4008" xr:uid="{00000000-0005-0000-0000-00008A1C0000}"/>
    <cellStyle name="Normal 8 2 2 7 2 2" xfId="8231" xr:uid="{00000000-0005-0000-0000-00008B1C0000}"/>
    <cellStyle name="Normal 8 2 2 7 2 2 2" xfId="16666" xr:uid="{302943E7-031C-4659-9A6A-721507AD0FC1}"/>
    <cellStyle name="Normal 8 2 2 7 2 3" xfId="12448" xr:uid="{673AE7A7-0C60-4F38-86C9-4EC943925411}"/>
    <cellStyle name="Normal 8 2 2 7 3" xfId="6086" xr:uid="{00000000-0005-0000-0000-00008C1C0000}"/>
    <cellStyle name="Normal 8 2 2 7 3 2" xfId="14521" xr:uid="{AB0D2C37-D5ED-41B6-BACC-C13D003E1EBF}"/>
    <cellStyle name="Normal 8 2 2 7 4" xfId="10303" xr:uid="{A2DC67E5-1061-46B9-B547-D93659458B3E}"/>
    <cellStyle name="Normal 8 2 2 8" xfId="2192" xr:uid="{00000000-0005-0000-0000-00008D1C0000}"/>
    <cellStyle name="Normal 8 2 2 8 2" xfId="4421" xr:uid="{00000000-0005-0000-0000-00008E1C0000}"/>
    <cellStyle name="Normal 8 2 2 8 2 2" xfId="8644" xr:uid="{00000000-0005-0000-0000-00008F1C0000}"/>
    <cellStyle name="Normal 8 2 2 8 2 2 2" xfId="17079" xr:uid="{C425E669-7B28-46D1-82FD-0B271BC0D8B6}"/>
    <cellStyle name="Normal 8 2 2 8 2 3" xfId="12861" xr:uid="{66B5B44D-B552-4BA1-AE1C-25CA8BF0AA79}"/>
    <cellStyle name="Normal 8 2 2 8 3" xfId="6499" xr:uid="{00000000-0005-0000-0000-0000901C0000}"/>
    <cellStyle name="Normal 8 2 2 8 3 2" xfId="14934" xr:uid="{96AD1B53-ACA5-4A7E-AD39-72170FA4459E}"/>
    <cellStyle name="Normal 8 2 2 8 4" xfId="10716" xr:uid="{23E431D0-0E04-433E-9222-1CDA78AA5322}"/>
    <cellStyle name="Normal 8 2 2 9" xfId="2628" xr:uid="{00000000-0005-0000-0000-0000911C0000}"/>
    <cellStyle name="Normal 8 2 2 9 2" xfId="6912" xr:uid="{00000000-0005-0000-0000-0000921C0000}"/>
    <cellStyle name="Normal 8 2 2 9 2 2" xfId="15347" xr:uid="{6ACB83A4-0A6B-4F40-9FB0-6BCB33ADF378}"/>
    <cellStyle name="Normal 8 2 2 9 3" xfId="11129" xr:uid="{2AE5F957-B79C-4C53-9229-F8D88FEC7401}"/>
    <cellStyle name="Normal 8 2 3" xfId="488" xr:uid="{00000000-0005-0000-0000-0000931C0000}"/>
    <cellStyle name="Normal 8 2 3 10" xfId="9072" xr:uid="{87E6746D-7BDA-42C9-8616-EF5FCA97F9CB}"/>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2 2 2" xfId="15850" xr:uid="{601EA05D-A103-4245-A0BD-CC520233C738}"/>
    <cellStyle name="Normal 8 2 3 2 2 2 2 3" xfId="11632" xr:uid="{4354A5EF-0C88-4675-947C-23F1E92467CD}"/>
    <cellStyle name="Normal 8 2 3 2 2 2 3" xfId="5270" xr:uid="{00000000-0005-0000-0000-0000991C0000}"/>
    <cellStyle name="Normal 8 2 3 2 2 2 3 2" xfId="13705" xr:uid="{160EAE4A-0892-4E32-AC11-BF9DA74C06D0}"/>
    <cellStyle name="Normal 8 2 3 2 2 2 4" xfId="9487" xr:uid="{A98242AF-42DF-492C-9EFA-CB830F3401D6}"/>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2 2 2" xfId="16263" xr:uid="{36F7E889-89D8-420D-ADE9-C981B908AED8}"/>
    <cellStyle name="Normal 8 2 3 2 2 3 2 3" xfId="12045" xr:uid="{2DEF47AC-8354-4685-B380-E7C113CAA8E3}"/>
    <cellStyle name="Normal 8 2 3 2 2 3 3" xfId="5683" xr:uid="{00000000-0005-0000-0000-00009D1C0000}"/>
    <cellStyle name="Normal 8 2 3 2 2 3 3 2" xfId="14118" xr:uid="{EB7F5EDF-F79A-44FD-B089-DDB43F45EABA}"/>
    <cellStyle name="Normal 8 2 3 2 2 3 4" xfId="9900" xr:uid="{A5C639F7-4AE6-4162-8DEA-F82C4A96D905}"/>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2 2 2" xfId="16676" xr:uid="{B538CB5C-A4B9-4D25-A7D4-44392C8E40BF}"/>
    <cellStyle name="Normal 8 2 3 2 2 4 2 3" xfId="12458" xr:uid="{86721F83-ED43-4FED-90E5-7F0D588C5FF8}"/>
    <cellStyle name="Normal 8 2 3 2 2 4 3" xfId="6096" xr:uid="{00000000-0005-0000-0000-0000A11C0000}"/>
    <cellStyle name="Normal 8 2 3 2 2 4 3 2" xfId="14531" xr:uid="{77ED98DB-A661-4CA5-9CF4-F17C2BD308AA}"/>
    <cellStyle name="Normal 8 2 3 2 2 4 4" xfId="10313" xr:uid="{53825D5A-BB82-404C-ACD2-E9C20ADC6035}"/>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2 2 2" xfId="17089" xr:uid="{6C4D7A1F-70D0-4CE6-8CBD-CF3698211FDC}"/>
    <cellStyle name="Normal 8 2 3 2 2 5 2 3" xfId="12871" xr:uid="{037C6EA7-07EF-449B-B978-CC5D7B0D3C89}"/>
    <cellStyle name="Normal 8 2 3 2 2 5 3" xfId="6509" xr:uid="{00000000-0005-0000-0000-0000A51C0000}"/>
    <cellStyle name="Normal 8 2 3 2 2 5 3 2" xfId="14944" xr:uid="{4D05C318-CD94-482D-84E7-9A17B7713B09}"/>
    <cellStyle name="Normal 8 2 3 2 2 5 4" xfId="10726" xr:uid="{B99C5349-FF27-4F31-969F-61A79220CB92}"/>
    <cellStyle name="Normal 8 2 3 2 2 6" xfId="2638" xr:uid="{00000000-0005-0000-0000-0000A61C0000}"/>
    <cellStyle name="Normal 8 2 3 2 2 6 2" xfId="6922" xr:uid="{00000000-0005-0000-0000-0000A71C0000}"/>
    <cellStyle name="Normal 8 2 3 2 2 6 2 2" xfId="15357" xr:uid="{DD7272F0-DE6F-4D58-9C6D-CD4D1227BB78}"/>
    <cellStyle name="Normal 8 2 3 2 2 6 3" xfId="11139" xr:uid="{3EE77C83-4EE5-435B-A418-2E208469D8E5}"/>
    <cellStyle name="Normal 8 2 3 2 2 7" xfId="4857" xr:uid="{00000000-0005-0000-0000-0000A81C0000}"/>
    <cellStyle name="Normal 8 2 3 2 2 7 2" xfId="13292" xr:uid="{D45483FB-3F9A-42F5-9491-DEC52181F746}"/>
    <cellStyle name="Normal 8 2 3 2 2 8" xfId="9074" xr:uid="{6C776DD0-A2FD-49D5-9ACB-0F0B1CB58EE6}"/>
    <cellStyle name="Normal 8 2 3 2 3" xfId="957" xr:uid="{00000000-0005-0000-0000-0000A91C0000}"/>
    <cellStyle name="Normal 8 2 3 2 3 2" xfId="3191" xr:uid="{00000000-0005-0000-0000-0000AA1C0000}"/>
    <cellStyle name="Normal 8 2 3 2 3 2 2" xfId="7414" xr:uid="{00000000-0005-0000-0000-0000AB1C0000}"/>
    <cellStyle name="Normal 8 2 3 2 3 2 2 2" xfId="15849" xr:uid="{5CCC2ADE-EAF8-46C0-8477-28E2B57E0689}"/>
    <cellStyle name="Normal 8 2 3 2 3 2 3" xfId="11631" xr:uid="{0DEA4961-40D5-4C78-8039-0757B7364DFA}"/>
    <cellStyle name="Normal 8 2 3 2 3 3" xfId="5269" xr:uid="{00000000-0005-0000-0000-0000AC1C0000}"/>
    <cellStyle name="Normal 8 2 3 2 3 3 2" xfId="13704" xr:uid="{B876D979-D75C-4A31-8057-F5FC9C4B2FB9}"/>
    <cellStyle name="Normal 8 2 3 2 3 4" xfId="9486" xr:uid="{9CBC3F5E-D95B-4E28-8A20-684A6A7C501D}"/>
    <cellStyle name="Normal 8 2 3 2 4" xfId="1374" xr:uid="{00000000-0005-0000-0000-0000AD1C0000}"/>
    <cellStyle name="Normal 8 2 3 2 4 2" xfId="3604" xr:uid="{00000000-0005-0000-0000-0000AE1C0000}"/>
    <cellStyle name="Normal 8 2 3 2 4 2 2" xfId="7827" xr:uid="{00000000-0005-0000-0000-0000AF1C0000}"/>
    <cellStyle name="Normal 8 2 3 2 4 2 2 2" xfId="16262" xr:uid="{8C7CF3A8-8961-490F-88EA-74F9C889FD48}"/>
    <cellStyle name="Normal 8 2 3 2 4 2 3" xfId="12044" xr:uid="{35DBAE3F-0E83-47AC-B14F-F47A59CF851A}"/>
    <cellStyle name="Normal 8 2 3 2 4 3" xfId="5682" xr:uid="{00000000-0005-0000-0000-0000B01C0000}"/>
    <cellStyle name="Normal 8 2 3 2 4 3 2" xfId="14117" xr:uid="{71F80AF2-4F69-439F-AA35-8CEEC3E62C5C}"/>
    <cellStyle name="Normal 8 2 3 2 4 4" xfId="9899" xr:uid="{E8B9D2AA-1717-4FAA-A322-301CBC1B9E45}"/>
    <cellStyle name="Normal 8 2 3 2 5" xfId="1787" xr:uid="{00000000-0005-0000-0000-0000B11C0000}"/>
    <cellStyle name="Normal 8 2 3 2 5 2" xfId="4017" xr:uid="{00000000-0005-0000-0000-0000B21C0000}"/>
    <cellStyle name="Normal 8 2 3 2 5 2 2" xfId="8240" xr:uid="{00000000-0005-0000-0000-0000B31C0000}"/>
    <cellStyle name="Normal 8 2 3 2 5 2 2 2" xfId="16675" xr:uid="{9B14C6D1-F512-43E3-A224-C6913934D6F7}"/>
    <cellStyle name="Normal 8 2 3 2 5 2 3" xfId="12457" xr:uid="{277D856F-1DDC-4569-87CD-182C743EB47A}"/>
    <cellStyle name="Normal 8 2 3 2 5 3" xfId="6095" xr:uid="{00000000-0005-0000-0000-0000B41C0000}"/>
    <cellStyle name="Normal 8 2 3 2 5 3 2" xfId="14530" xr:uid="{F82E5BC9-466B-4ED9-9DAD-84005FBC7D0E}"/>
    <cellStyle name="Normal 8 2 3 2 5 4" xfId="10312" xr:uid="{58A3CE2E-820F-4EC1-99DD-4D201929F909}"/>
    <cellStyle name="Normal 8 2 3 2 6" xfId="2201" xr:uid="{00000000-0005-0000-0000-0000B51C0000}"/>
    <cellStyle name="Normal 8 2 3 2 6 2" xfId="4430" xr:uid="{00000000-0005-0000-0000-0000B61C0000}"/>
    <cellStyle name="Normal 8 2 3 2 6 2 2" xfId="8653" xr:uid="{00000000-0005-0000-0000-0000B71C0000}"/>
    <cellStyle name="Normal 8 2 3 2 6 2 2 2" xfId="17088" xr:uid="{0FE554B0-422F-4E91-A20C-26FDD3705C26}"/>
    <cellStyle name="Normal 8 2 3 2 6 2 3" xfId="12870" xr:uid="{0E21B36F-0DAD-4A05-9F20-83286F23D100}"/>
    <cellStyle name="Normal 8 2 3 2 6 3" xfId="6508" xr:uid="{00000000-0005-0000-0000-0000B81C0000}"/>
    <cellStyle name="Normal 8 2 3 2 6 3 2" xfId="14943" xr:uid="{E412FE08-B1AA-40B3-A613-DB106457CFAB}"/>
    <cellStyle name="Normal 8 2 3 2 6 4" xfId="10725" xr:uid="{A8CC6152-07C0-4AF4-9EF4-36D6EBC16537}"/>
    <cellStyle name="Normal 8 2 3 2 7" xfId="2637" xr:uid="{00000000-0005-0000-0000-0000B91C0000}"/>
    <cellStyle name="Normal 8 2 3 2 7 2" xfId="6921" xr:uid="{00000000-0005-0000-0000-0000BA1C0000}"/>
    <cellStyle name="Normal 8 2 3 2 7 2 2" xfId="15356" xr:uid="{463FB4D6-E3F1-4218-A60F-DFE624368DA5}"/>
    <cellStyle name="Normal 8 2 3 2 7 3" xfId="11138" xr:uid="{A23B0E92-0B67-4FD6-9FB8-8B77A1A892C8}"/>
    <cellStyle name="Normal 8 2 3 2 8" xfId="4856" xr:uid="{00000000-0005-0000-0000-0000BB1C0000}"/>
    <cellStyle name="Normal 8 2 3 2 8 2" xfId="13291" xr:uid="{6037E394-7E70-490B-9EC1-D21A47EA5EE0}"/>
    <cellStyle name="Normal 8 2 3 2 9" xfId="9073" xr:uid="{30F72001-4C0D-4463-951F-FFB736E5B408}"/>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2 2 2" xfId="15851" xr:uid="{7CC5B070-2D0A-49E9-85A6-A4010ED6A818}"/>
    <cellStyle name="Normal 8 2 3 3 2 2 3" xfId="11633" xr:uid="{0498CBCF-7CAF-473D-A90E-277B9E0F4590}"/>
    <cellStyle name="Normal 8 2 3 3 2 3" xfId="5271" xr:uid="{00000000-0005-0000-0000-0000C01C0000}"/>
    <cellStyle name="Normal 8 2 3 3 2 3 2" xfId="13706" xr:uid="{1B6CE86F-AF06-4846-BB4E-04A64021B1B8}"/>
    <cellStyle name="Normal 8 2 3 3 2 4" xfId="9488" xr:uid="{93A6DA5A-8A2F-470D-A2BD-1B8EDC2C5859}"/>
    <cellStyle name="Normal 8 2 3 3 3" xfId="1376" xr:uid="{00000000-0005-0000-0000-0000C11C0000}"/>
    <cellStyle name="Normal 8 2 3 3 3 2" xfId="3606" xr:uid="{00000000-0005-0000-0000-0000C21C0000}"/>
    <cellStyle name="Normal 8 2 3 3 3 2 2" xfId="7829" xr:uid="{00000000-0005-0000-0000-0000C31C0000}"/>
    <cellStyle name="Normal 8 2 3 3 3 2 2 2" xfId="16264" xr:uid="{F9ACC1C3-89F2-467F-B50A-331B25E8BB9C}"/>
    <cellStyle name="Normal 8 2 3 3 3 2 3" xfId="12046" xr:uid="{5418C16C-89D5-4790-9A69-B53A15344772}"/>
    <cellStyle name="Normal 8 2 3 3 3 3" xfId="5684" xr:uid="{00000000-0005-0000-0000-0000C41C0000}"/>
    <cellStyle name="Normal 8 2 3 3 3 3 2" xfId="14119" xr:uid="{C31DD66D-219D-4C08-B75F-6B51B4196108}"/>
    <cellStyle name="Normal 8 2 3 3 3 4" xfId="9901" xr:uid="{931D6D67-7886-4AB9-A360-0C67AE3D388C}"/>
    <cellStyle name="Normal 8 2 3 3 4" xfId="1789" xr:uid="{00000000-0005-0000-0000-0000C51C0000}"/>
    <cellStyle name="Normal 8 2 3 3 4 2" xfId="4019" xr:uid="{00000000-0005-0000-0000-0000C61C0000}"/>
    <cellStyle name="Normal 8 2 3 3 4 2 2" xfId="8242" xr:uid="{00000000-0005-0000-0000-0000C71C0000}"/>
    <cellStyle name="Normal 8 2 3 3 4 2 2 2" xfId="16677" xr:uid="{2BEAF3D6-E745-4120-BA7B-1943613F40F3}"/>
    <cellStyle name="Normal 8 2 3 3 4 2 3" xfId="12459" xr:uid="{37BB08FD-28F0-4E64-96E6-B329E54B5870}"/>
    <cellStyle name="Normal 8 2 3 3 4 3" xfId="6097" xr:uid="{00000000-0005-0000-0000-0000C81C0000}"/>
    <cellStyle name="Normal 8 2 3 3 4 3 2" xfId="14532" xr:uid="{97233D48-33B7-4751-9D59-C834422FF083}"/>
    <cellStyle name="Normal 8 2 3 3 4 4" xfId="10314" xr:uid="{8DF4E2E5-DBBA-4A90-9C27-367671BC93F9}"/>
    <cellStyle name="Normal 8 2 3 3 5" xfId="2203" xr:uid="{00000000-0005-0000-0000-0000C91C0000}"/>
    <cellStyle name="Normal 8 2 3 3 5 2" xfId="4432" xr:uid="{00000000-0005-0000-0000-0000CA1C0000}"/>
    <cellStyle name="Normal 8 2 3 3 5 2 2" xfId="8655" xr:uid="{00000000-0005-0000-0000-0000CB1C0000}"/>
    <cellStyle name="Normal 8 2 3 3 5 2 2 2" xfId="17090" xr:uid="{E4A87CCD-4F12-4D96-A215-BB4DFAA3D920}"/>
    <cellStyle name="Normal 8 2 3 3 5 2 3" xfId="12872" xr:uid="{69500DC3-57F9-439B-B9CD-6A3A38D0670F}"/>
    <cellStyle name="Normal 8 2 3 3 5 3" xfId="6510" xr:uid="{00000000-0005-0000-0000-0000CC1C0000}"/>
    <cellStyle name="Normal 8 2 3 3 5 3 2" xfId="14945" xr:uid="{D8EB577C-3283-428D-AC6D-ECFF9AFF276A}"/>
    <cellStyle name="Normal 8 2 3 3 5 4" xfId="10727" xr:uid="{E6E153A1-F8AC-4576-B959-44596A2970A3}"/>
    <cellStyle name="Normal 8 2 3 3 6" xfId="2639" xr:uid="{00000000-0005-0000-0000-0000CD1C0000}"/>
    <cellStyle name="Normal 8 2 3 3 6 2" xfId="6923" xr:uid="{00000000-0005-0000-0000-0000CE1C0000}"/>
    <cellStyle name="Normal 8 2 3 3 6 2 2" xfId="15358" xr:uid="{01A77F83-7E0D-45ED-804B-FFBAD4512363}"/>
    <cellStyle name="Normal 8 2 3 3 6 3" xfId="11140" xr:uid="{44D285FC-48CF-4FD8-A6D6-DF90BD54205D}"/>
    <cellStyle name="Normal 8 2 3 3 7" xfId="4858" xr:uid="{00000000-0005-0000-0000-0000CF1C0000}"/>
    <cellStyle name="Normal 8 2 3 3 7 2" xfId="13293" xr:uid="{4DE94D31-4DA2-4C82-BCA9-2E2EEE39316D}"/>
    <cellStyle name="Normal 8 2 3 3 8" xfId="9075" xr:uid="{88B1F2E5-E5F7-4522-8EC5-9CDE04718E79}"/>
    <cellStyle name="Normal 8 2 3 4" xfId="956" xr:uid="{00000000-0005-0000-0000-0000D01C0000}"/>
    <cellStyle name="Normal 8 2 3 4 2" xfId="3190" xr:uid="{00000000-0005-0000-0000-0000D11C0000}"/>
    <cellStyle name="Normal 8 2 3 4 2 2" xfId="7413" xr:uid="{00000000-0005-0000-0000-0000D21C0000}"/>
    <cellStyle name="Normal 8 2 3 4 2 2 2" xfId="15848" xr:uid="{436BF007-42DF-48BD-8817-7A21F65EC06B}"/>
    <cellStyle name="Normal 8 2 3 4 2 3" xfId="11630" xr:uid="{F5D2237F-8BD0-40E5-A25A-0D0A2506FD68}"/>
    <cellStyle name="Normal 8 2 3 4 3" xfId="5268" xr:uid="{00000000-0005-0000-0000-0000D31C0000}"/>
    <cellStyle name="Normal 8 2 3 4 3 2" xfId="13703" xr:uid="{5BF298DD-0AC2-4A36-ACBF-F6D1B1F615C9}"/>
    <cellStyle name="Normal 8 2 3 4 4" xfId="9485" xr:uid="{7D557785-4149-45B5-8DAB-74CE818820D6}"/>
    <cellStyle name="Normal 8 2 3 5" xfId="1373" xr:uid="{00000000-0005-0000-0000-0000D41C0000}"/>
    <cellStyle name="Normal 8 2 3 5 2" xfId="3603" xr:uid="{00000000-0005-0000-0000-0000D51C0000}"/>
    <cellStyle name="Normal 8 2 3 5 2 2" xfId="7826" xr:uid="{00000000-0005-0000-0000-0000D61C0000}"/>
    <cellStyle name="Normal 8 2 3 5 2 2 2" xfId="16261" xr:uid="{8D429FC2-5CCF-404E-AB81-A3E1513D6F5F}"/>
    <cellStyle name="Normal 8 2 3 5 2 3" xfId="12043" xr:uid="{6FE5E169-7131-4493-9443-B0F0B871AA63}"/>
    <cellStyle name="Normal 8 2 3 5 3" xfId="5681" xr:uid="{00000000-0005-0000-0000-0000D71C0000}"/>
    <cellStyle name="Normal 8 2 3 5 3 2" xfId="14116" xr:uid="{CEA47723-168E-41A8-A0A7-A3A45FC89A09}"/>
    <cellStyle name="Normal 8 2 3 5 4" xfId="9898" xr:uid="{AAB3A913-CAC1-4932-A3E3-0C203A1F02B9}"/>
    <cellStyle name="Normal 8 2 3 6" xfId="1786" xr:uid="{00000000-0005-0000-0000-0000D81C0000}"/>
    <cellStyle name="Normal 8 2 3 6 2" xfId="4016" xr:uid="{00000000-0005-0000-0000-0000D91C0000}"/>
    <cellStyle name="Normal 8 2 3 6 2 2" xfId="8239" xr:uid="{00000000-0005-0000-0000-0000DA1C0000}"/>
    <cellStyle name="Normal 8 2 3 6 2 2 2" xfId="16674" xr:uid="{CCAEDD28-20B2-4BAB-B046-A6FE81A4EE10}"/>
    <cellStyle name="Normal 8 2 3 6 2 3" xfId="12456" xr:uid="{28FB2B1A-06ED-47A9-BC33-3DE5348C4795}"/>
    <cellStyle name="Normal 8 2 3 6 3" xfId="6094" xr:uid="{00000000-0005-0000-0000-0000DB1C0000}"/>
    <cellStyle name="Normal 8 2 3 6 3 2" xfId="14529" xr:uid="{5AC54F7B-4A35-44E8-BAB1-B9A7D26E5C26}"/>
    <cellStyle name="Normal 8 2 3 6 4" xfId="10311" xr:uid="{FCF4A9AC-C947-4485-96FA-712C52713C5F}"/>
    <cellStyle name="Normal 8 2 3 7" xfId="2200" xr:uid="{00000000-0005-0000-0000-0000DC1C0000}"/>
    <cellStyle name="Normal 8 2 3 7 2" xfId="4429" xr:uid="{00000000-0005-0000-0000-0000DD1C0000}"/>
    <cellStyle name="Normal 8 2 3 7 2 2" xfId="8652" xr:uid="{00000000-0005-0000-0000-0000DE1C0000}"/>
    <cellStyle name="Normal 8 2 3 7 2 2 2" xfId="17087" xr:uid="{EF49EB2B-7196-42A4-AA32-C710E47CD79A}"/>
    <cellStyle name="Normal 8 2 3 7 2 3" xfId="12869" xr:uid="{DF7C3AB3-2325-4D64-B233-50B46EE93D10}"/>
    <cellStyle name="Normal 8 2 3 7 3" xfId="6507" xr:uid="{00000000-0005-0000-0000-0000DF1C0000}"/>
    <cellStyle name="Normal 8 2 3 7 3 2" xfId="14942" xr:uid="{7773B7FA-90BE-4AAA-A1BD-BDE13C6B4EEB}"/>
    <cellStyle name="Normal 8 2 3 7 4" xfId="10724" xr:uid="{EBCFC094-4D09-49D5-AD20-F08D96B68EE6}"/>
    <cellStyle name="Normal 8 2 3 8" xfId="2636" xr:uid="{00000000-0005-0000-0000-0000E01C0000}"/>
    <cellStyle name="Normal 8 2 3 8 2" xfId="6920" xr:uid="{00000000-0005-0000-0000-0000E11C0000}"/>
    <cellStyle name="Normal 8 2 3 8 2 2" xfId="15355" xr:uid="{0A1E6FE0-0D2C-46F0-B8B9-E324419BE4EB}"/>
    <cellStyle name="Normal 8 2 3 8 3" xfId="11137" xr:uid="{A9158FBE-E71B-455D-A6FB-AFF5B8F58C48}"/>
    <cellStyle name="Normal 8 2 3 9" xfId="4855" xr:uid="{00000000-0005-0000-0000-0000E21C0000}"/>
    <cellStyle name="Normal 8 2 3 9 2" xfId="13290" xr:uid="{B629E066-5DB8-4420-80F8-00FEB17E6667}"/>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2 2 2" xfId="15853" xr:uid="{018756AB-5701-41F7-A682-9A2087BB326B}"/>
    <cellStyle name="Normal 8 2 4 2 2 2 3" xfId="11635" xr:uid="{AD9102CC-FADA-402B-B0DA-46AAAF8DAA30}"/>
    <cellStyle name="Normal 8 2 4 2 2 3" xfId="5273" xr:uid="{00000000-0005-0000-0000-0000E81C0000}"/>
    <cellStyle name="Normal 8 2 4 2 2 3 2" xfId="13708" xr:uid="{6BEC1A10-BD1A-428B-9E73-D59977B843D7}"/>
    <cellStyle name="Normal 8 2 4 2 2 4" xfId="9490" xr:uid="{BC365A9B-0EF1-43DA-9ADC-48F96372B8F0}"/>
    <cellStyle name="Normal 8 2 4 2 3" xfId="1378" xr:uid="{00000000-0005-0000-0000-0000E91C0000}"/>
    <cellStyle name="Normal 8 2 4 2 3 2" xfId="3608" xr:uid="{00000000-0005-0000-0000-0000EA1C0000}"/>
    <cellStyle name="Normal 8 2 4 2 3 2 2" xfId="7831" xr:uid="{00000000-0005-0000-0000-0000EB1C0000}"/>
    <cellStyle name="Normal 8 2 4 2 3 2 2 2" xfId="16266" xr:uid="{7964ED5E-17BD-40C1-AED7-86EC5F5108B2}"/>
    <cellStyle name="Normal 8 2 4 2 3 2 3" xfId="12048" xr:uid="{423A2FD4-9D9D-4ECA-802D-698AD72F518E}"/>
    <cellStyle name="Normal 8 2 4 2 3 3" xfId="5686" xr:uid="{00000000-0005-0000-0000-0000EC1C0000}"/>
    <cellStyle name="Normal 8 2 4 2 3 3 2" xfId="14121" xr:uid="{1974CC87-40B1-45B9-9714-2C046621C756}"/>
    <cellStyle name="Normal 8 2 4 2 3 4" xfId="9903" xr:uid="{6855013C-8607-47B2-98EA-3DFF32EE4DE5}"/>
    <cellStyle name="Normal 8 2 4 2 4" xfId="1791" xr:uid="{00000000-0005-0000-0000-0000ED1C0000}"/>
    <cellStyle name="Normal 8 2 4 2 4 2" xfId="4021" xr:uid="{00000000-0005-0000-0000-0000EE1C0000}"/>
    <cellStyle name="Normal 8 2 4 2 4 2 2" xfId="8244" xr:uid="{00000000-0005-0000-0000-0000EF1C0000}"/>
    <cellStyle name="Normal 8 2 4 2 4 2 2 2" xfId="16679" xr:uid="{4EA0980E-7D03-44E5-8EFF-2C65C6F11414}"/>
    <cellStyle name="Normal 8 2 4 2 4 2 3" xfId="12461" xr:uid="{6676EE24-1D14-44DD-AC05-C2F2412A880F}"/>
    <cellStyle name="Normal 8 2 4 2 4 3" xfId="6099" xr:uid="{00000000-0005-0000-0000-0000F01C0000}"/>
    <cellStyle name="Normal 8 2 4 2 4 3 2" xfId="14534" xr:uid="{7A45B35C-B139-4D25-B546-1D716666B9A7}"/>
    <cellStyle name="Normal 8 2 4 2 4 4" xfId="10316" xr:uid="{9EB7F0E2-858B-4E38-8198-830F3E322DA4}"/>
    <cellStyle name="Normal 8 2 4 2 5" xfId="2205" xr:uid="{00000000-0005-0000-0000-0000F11C0000}"/>
    <cellStyle name="Normal 8 2 4 2 5 2" xfId="4434" xr:uid="{00000000-0005-0000-0000-0000F21C0000}"/>
    <cellStyle name="Normal 8 2 4 2 5 2 2" xfId="8657" xr:uid="{00000000-0005-0000-0000-0000F31C0000}"/>
    <cellStyle name="Normal 8 2 4 2 5 2 2 2" xfId="17092" xr:uid="{468DD106-F0B3-4D63-94C8-EABC7D4E2279}"/>
    <cellStyle name="Normal 8 2 4 2 5 2 3" xfId="12874" xr:uid="{C41F9C38-4C93-4417-8560-91E6FF74E9B1}"/>
    <cellStyle name="Normal 8 2 4 2 5 3" xfId="6512" xr:uid="{00000000-0005-0000-0000-0000F41C0000}"/>
    <cellStyle name="Normal 8 2 4 2 5 3 2" xfId="14947" xr:uid="{3AEB36D6-FCC7-4D4E-9F5C-3FE1C4F6D804}"/>
    <cellStyle name="Normal 8 2 4 2 5 4" xfId="10729" xr:uid="{123375AD-962E-4DF7-AFCA-E8B31E29AF6A}"/>
    <cellStyle name="Normal 8 2 4 2 6" xfId="2641" xr:uid="{00000000-0005-0000-0000-0000F51C0000}"/>
    <cellStyle name="Normal 8 2 4 2 6 2" xfId="6925" xr:uid="{00000000-0005-0000-0000-0000F61C0000}"/>
    <cellStyle name="Normal 8 2 4 2 6 2 2" xfId="15360" xr:uid="{9CDF7802-727A-42DD-BF07-5FF49B2C9EE6}"/>
    <cellStyle name="Normal 8 2 4 2 6 3" xfId="11142" xr:uid="{8A61B133-AD32-466D-9ACA-362614EA68E7}"/>
    <cellStyle name="Normal 8 2 4 2 7" xfId="4860" xr:uid="{00000000-0005-0000-0000-0000F71C0000}"/>
    <cellStyle name="Normal 8 2 4 2 7 2" xfId="13295" xr:uid="{0D9DAE8E-32F8-4375-8107-312C49F18DC4}"/>
    <cellStyle name="Normal 8 2 4 2 8" xfId="9077" xr:uid="{B7C9C31D-53A1-4ADB-AD2E-2A3B2F577D8C}"/>
    <cellStyle name="Normal 8 2 4 3" xfId="960" xr:uid="{00000000-0005-0000-0000-0000F81C0000}"/>
    <cellStyle name="Normal 8 2 4 3 2" xfId="3194" xr:uid="{00000000-0005-0000-0000-0000F91C0000}"/>
    <cellStyle name="Normal 8 2 4 3 2 2" xfId="7417" xr:uid="{00000000-0005-0000-0000-0000FA1C0000}"/>
    <cellStyle name="Normal 8 2 4 3 2 2 2" xfId="15852" xr:uid="{1E4A4571-FB56-4952-B524-BE47C3EFCA81}"/>
    <cellStyle name="Normal 8 2 4 3 2 3" xfId="11634" xr:uid="{4721420A-B220-47A2-A6A2-12412554A0A1}"/>
    <cellStyle name="Normal 8 2 4 3 3" xfId="5272" xr:uid="{00000000-0005-0000-0000-0000FB1C0000}"/>
    <cellStyle name="Normal 8 2 4 3 3 2" xfId="13707" xr:uid="{D469BDBA-BF44-4131-A3BF-0FAD78E9DA52}"/>
    <cellStyle name="Normal 8 2 4 3 4" xfId="9489" xr:uid="{830415F8-258C-467F-9E85-3B7FE4809ADC}"/>
    <cellStyle name="Normal 8 2 4 4" xfId="1377" xr:uid="{00000000-0005-0000-0000-0000FC1C0000}"/>
    <cellStyle name="Normal 8 2 4 4 2" xfId="3607" xr:uid="{00000000-0005-0000-0000-0000FD1C0000}"/>
    <cellStyle name="Normal 8 2 4 4 2 2" xfId="7830" xr:uid="{00000000-0005-0000-0000-0000FE1C0000}"/>
    <cellStyle name="Normal 8 2 4 4 2 2 2" xfId="16265" xr:uid="{8F6EF345-3062-4FA5-B95C-920E3FD2DC42}"/>
    <cellStyle name="Normal 8 2 4 4 2 3" xfId="12047" xr:uid="{673322D6-16FA-4262-95E0-331265F65134}"/>
    <cellStyle name="Normal 8 2 4 4 3" xfId="5685" xr:uid="{00000000-0005-0000-0000-0000FF1C0000}"/>
    <cellStyle name="Normal 8 2 4 4 3 2" xfId="14120" xr:uid="{2FAE0961-404C-4A45-9AF2-988001FA1EEA}"/>
    <cellStyle name="Normal 8 2 4 4 4" xfId="9902" xr:uid="{C1B20801-8158-4EF8-892C-624A411761CF}"/>
    <cellStyle name="Normal 8 2 4 5" xfId="1790" xr:uid="{00000000-0005-0000-0000-0000001D0000}"/>
    <cellStyle name="Normal 8 2 4 5 2" xfId="4020" xr:uid="{00000000-0005-0000-0000-0000011D0000}"/>
    <cellStyle name="Normal 8 2 4 5 2 2" xfId="8243" xr:uid="{00000000-0005-0000-0000-0000021D0000}"/>
    <cellStyle name="Normal 8 2 4 5 2 2 2" xfId="16678" xr:uid="{90A01839-15F9-4489-8C43-4561C7BA74EE}"/>
    <cellStyle name="Normal 8 2 4 5 2 3" xfId="12460" xr:uid="{E562F8F7-3D53-4C25-99F5-1AFADF70325C}"/>
    <cellStyle name="Normal 8 2 4 5 3" xfId="6098" xr:uid="{00000000-0005-0000-0000-0000031D0000}"/>
    <cellStyle name="Normal 8 2 4 5 3 2" xfId="14533" xr:uid="{4E4569F2-55C4-4077-9D4C-ED67AD053B83}"/>
    <cellStyle name="Normal 8 2 4 5 4" xfId="10315" xr:uid="{1201084E-F853-40B5-A02C-C8E95E0382C8}"/>
    <cellStyle name="Normal 8 2 4 6" xfId="2204" xr:uid="{00000000-0005-0000-0000-0000041D0000}"/>
    <cellStyle name="Normal 8 2 4 6 2" xfId="4433" xr:uid="{00000000-0005-0000-0000-0000051D0000}"/>
    <cellStyle name="Normal 8 2 4 6 2 2" xfId="8656" xr:uid="{00000000-0005-0000-0000-0000061D0000}"/>
    <cellStyle name="Normal 8 2 4 6 2 2 2" xfId="17091" xr:uid="{BBA06239-0C06-429C-B4D6-B343D1C8A8A9}"/>
    <cellStyle name="Normal 8 2 4 6 2 3" xfId="12873" xr:uid="{8BD4F795-334B-4053-A34F-67AA20220549}"/>
    <cellStyle name="Normal 8 2 4 6 3" xfId="6511" xr:uid="{00000000-0005-0000-0000-0000071D0000}"/>
    <cellStyle name="Normal 8 2 4 6 3 2" xfId="14946" xr:uid="{23C9A18C-1813-49D2-AFE1-058AF98B3D7C}"/>
    <cellStyle name="Normal 8 2 4 6 4" xfId="10728" xr:uid="{F5C8F644-2229-4A51-9763-6E951ED4079A}"/>
    <cellStyle name="Normal 8 2 4 7" xfId="2640" xr:uid="{00000000-0005-0000-0000-0000081D0000}"/>
    <cellStyle name="Normal 8 2 4 7 2" xfId="6924" xr:uid="{00000000-0005-0000-0000-0000091D0000}"/>
    <cellStyle name="Normal 8 2 4 7 2 2" xfId="15359" xr:uid="{DC98716F-B225-48CD-8ED8-064DA222C192}"/>
    <cellStyle name="Normal 8 2 4 7 3" xfId="11141" xr:uid="{D809F37A-263F-4908-BCDE-A54F5D90D39E}"/>
    <cellStyle name="Normal 8 2 4 8" xfId="4859" xr:uid="{00000000-0005-0000-0000-00000A1D0000}"/>
    <cellStyle name="Normal 8 2 4 8 2" xfId="13294" xr:uid="{E61DCEB8-E72E-4D02-9026-529CD3EBA3A8}"/>
    <cellStyle name="Normal 8 2 4 9" xfId="9076" xr:uid="{38D86F34-0AEF-4746-BEDE-EF41BA98AF08}"/>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2 2 2" xfId="15854" xr:uid="{2C77D629-6F1B-4D74-B9C3-868075B0C48E}"/>
    <cellStyle name="Normal 8 2 5 2 2 3" xfId="11636" xr:uid="{3B53598A-133B-48BF-AF09-2109F7A38356}"/>
    <cellStyle name="Normal 8 2 5 2 3" xfId="5274" xr:uid="{00000000-0005-0000-0000-00000F1D0000}"/>
    <cellStyle name="Normal 8 2 5 2 3 2" xfId="13709" xr:uid="{43897FC1-890B-46F8-A3CD-FA4010877BE2}"/>
    <cellStyle name="Normal 8 2 5 2 4" xfId="9491" xr:uid="{A4A4A759-C4D6-42F4-8639-F5812E71082B}"/>
    <cellStyle name="Normal 8 2 5 3" xfId="1379" xr:uid="{00000000-0005-0000-0000-0000101D0000}"/>
    <cellStyle name="Normal 8 2 5 3 2" xfId="3609" xr:uid="{00000000-0005-0000-0000-0000111D0000}"/>
    <cellStyle name="Normal 8 2 5 3 2 2" xfId="7832" xr:uid="{00000000-0005-0000-0000-0000121D0000}"/>
    <cellStyle name="Normal 8 2 5 3 2 2 2" xfId="16267" xr:uid="{5BC80499-931E-4BA0-9F2E-ABC74E730B0D}"/>
    <cellStyle name="Normal 8 2 5 3 2 3" xfId="12049" xr:uid="{C8B7BAFE-372E-4203-A79E-CFCD824E16FA}"/>
    <cellStyle name="Normal 8 2 5 3 3" xfId="5687" xr:uid="{00000000-0005-0000-0000-0000131D0000}"/>
    <cellStyle name="Normal 8 2 5 3 3 2" xfId="14122" xr:uid="{1B72F188-1664-49A4-BC1B-8103B920B438}"/>
    <cellStyle name="Normal 8 2 5 3 4" xfId="9904" xr:uid="{30784E55-358D-40D7-897C-6B6CB638EC28}"/>
    <cellStyle name="Normal 8 2 5 4" xfId="1792" xr:uid="{00000000-0005-0000-0000-0000141D0000}"/>
    <cellStyle name="Normal 8 2 5 4 2" xfId="4022" xr:uid="{00000000-0005-0000-0000-0000151D0000}"/>
    <cellStyle name="Normal 8 2 5 4 2 2" xfId="8245" xr:uid="{00000000-0005-0000-0000-0000161D0000}"/>
    <cellStyle name="Normal 8 2 5 4 2 2 2" xfId="16680" xr:uid="{101DDE29-B8A2-418E-B0D2-04054A37135F}"/>
    <cellStyle name="Normal 8 2 5 4 2 3" xfId="12462" xr:uid="{381DAFEF-69E0-4162-AF1A-1FB69885CD21}"/>
    <cellStyle name="Normal 8 2 5 4 3" xfId="6100" xr:uid="{00000000-0005-0000-0000-0000171D0000}"/>
    <cellStyle name="Normal 8 2 5 4 3 2" xfId="14535" xr:uid="{8A9CE7D6-F217-4126-9008-57DE61B0BF56}"/>
    <cellStyle name="Normal 8 2 5 4 4" xfId="10317" xr:uid="{EF7740FE-914D-4129-AB1B-8C1E3D203B8F}"/>
    <cellStyle name="Normal 8 2 5 5" xfId="2206" xr:uid="{00000000-0005-0000-0000-0000181D0000}"/>
    <cellStyle name="Normal 8 2 5 5 2" xfId="4435" xr:uid="{00000000-0005-0000-0000-0000191D0000}"/>
    <cellStyle name="Normal 8 2 5 5 2 2" xfId="8658" xr:uid="{00000000-0005-0000-0000-00001A1D0000}"/>
    <cellStyle name="Normal 8 2 5 5 2 2 2" xfId="17093" xr:uid="{67581821-F7E6-48A2-9544-8B2509D17EFA}"/>
    <cellStyle name="Normal 8 2 5 5 2 3" xfId="12875" xr:uid="{D2B8CA18-FD84-4710-B4CC-7BEA4BB2491E}"/>
    <cellStyle name="Normal 8 2 5 5 3" xfId="6513" xr:uid="{00000000-0005-0000-0000-00001B1D0000}"/>
    <cellStyle name="Normal 8 2 5 5 3 2" xfId="14948" xr:uid="{323000B6-E3ED-45C3-90DA-491DEEE45DAB}"/>
    <cellStyle name="Normal 8 2 5 5 4" xfId="10730" xr:uid="{3EC14F52-1660-4767-9DD1-050E188B8423}"/>
    <cellStyle name="Normal 8 2 5 6" xfId="2642" xr:uid="{00000000-0005-0000-0000-00001C1D0000}"/>
    <cellStyle name="Normal 8 2 5 6 2" xfId="6926" xr:uid="{00000000-0005-0000-0000-00001D1D0000}"/>
    <cellStyle name="Normal 8 2 5 6 2 2" xfId="15361" xr:uid="{7C067550-2A06-4210-8C34-D963C5F206A9}"/>
    <cellStyle name="Normal 8 2 5 6 3" xfId="11143" xr:uid="{0AC5A710-BD08-4302-B55E-5DEE9318061D}"/>
    <cellStyle name="Normal 8 2 5 7" xfId="4861" xr:uid="{00000000-0005-0000-0000-00001E1D0000}"/>
    <cellStyle name="Normal 8 2 5 7 2" xfId="13296" xr:uid="{80EA67CD-DC2A-43D0-9090-FFE4CB9110CD}"/>
    <cellStyle name="Normal 8 2 5 8" xfId="9078" xr:uid="{E7FFB9A8-2067-43E2-8043-BA8F82A53F02}"/>
    <cellStyle name="Normal 8 2 6" xfId="947" xr:uid="{00000000-0005-0000-0000-00001F1D0000}"/>
    <cellStyle name="Normal 8 2 6 2" xfId="3181" xr:uid="{00000000-0005-0000-0000-0000201D0000}"/>
    <cellStyle name="Normal 8 2 6 2 2" xfId="7404" xr:uid="{00000000-0005-0000-0000-0000211D0000}"/>
    <cellStyle name="Normal 8 2 6 2 2 2" xfId="15839" xr:uid="{35747782-C5D3-45AF-879D-D9D536FA2A5C}"/>
    <cellStyle name="Normal 8 2 6 2 3" xfId="11621" xr:uid="{35E76CA9-24B8-4D66-A48E-A45DBF09ABCA}"/>
    <cellStyle name="Normal 8 2 6 3" xfId="5259" xr:uid="{00000000-0005-0000-0000-0000221D0000}"/>
    <cellStyle name="Normal 8 2 6 3 2" xfId="13694" xr:uid="{34B3F9AF-BF2B-4B33-A98D-16E7839103F7}"/>
    <cellStyle name="Normal 8 2 6 4" xfId="9476" xr:uid="{6BE431F4-FC62-49EE-B541-A3D5689F149B}"/>
    <cellStyle name="Normal 8 2 7" xfId="1364" xr:uid="{00000000-0005-0000-0000-0000231D0000}"/>
    <cellStyle name="Normal 8 2 7 2" xfId="3594" xr:uid="{00000000-0005-0000-0000-0000241D0000}"/>
    <cellStyle name="Normal 8 2 7 2 2" xfId="7817" xr:uid="{00000000-0005-0000-0000-0000251D0000}"/>
    <cellStyle name="Normal 8 2 7 2 2 2" xfId="16252" xr:uid="{9E807DCB-E2D8-4AB3-A23C-E1F6EBA079FD}"/>
    <cellStyle name="Normal 8 2 7 2 3" xfId="12034" xr:uid="{C750F1FD-D304-4041-BFB9-C705CB1C6158}"/>
    <cellStyle name="Normal 8 2 7 3" xfId="5672" xr:uid="{00000000-0005-0000-0000-0000261D0000}"/>
    <cellStyle name="Normal 8 2 7 3 2" xfId="14107" xr:uid="{38C1F9CC-0E4F-4058-987C-7754D3683647}"/>
    <cellStyle name="Normal 8 2 7 4" xfId="9889" xr:uid="{2CE06A48-6EF0-4CC9-9E79-CED66673DF17}"/>
    <cellStyle name="Normal 8 2 8" xfId="1777" xr:uid="{00000000-0005-0000-0000-0000271D0000}"/>
    <cellStyle name="Normal 8 2 8 2" xfId="4007" xr:uid="{00000000-0005-0000-0000-0000281D0000}"/>
    <cellStyle name="Normal 8 2 8 2 2" xfId="8230" xr:uid="{00000000-0005-0000-0000-0000291D0000}"/>
    <cellStyle name="Normal 8 2 8 2 2 2" xfId="16665" xr:uid="{0B66D7AC-3E43-49AB-8F5E-63B61B8E7065}"/>
    <cellStyle name="Normal 8 2 8 2 3" xfId="12447" xr:uid="{8CF6FE40-83F8-4BB4-902B-910DB908FE65}"/>
    <cellStyle name="Normal 8 2 8 3" xfId="6085" xr:uid="{00000000-0005-0000-0000-00002A1D0000}"/>
    <cellStyle name="Normal 8 2 8 3 2" xfId="14520" xr:uid="{425A5919-4101-4705-9517-6CCE57977FB0}"/>
    <cellStyle name="Normal 8 2 8 4" xfId="10302" xr:uid="{04F4B589-81AA-4EB3-9104-E04791708009}"/>
    <cellStyle name="Normal 8 2 9" xfId="2191" xr:uid="{00000000-0005-0000-0000-00002B1D0000}"/>
    <cellStyle name="Normal 8 2 9 2" xfId="4420" xr:uid="{00000000-0005-0000-0000-00002C1D0000}"/>
    <cellStyle name="Normal 8 2 9 2 2" xfId="8643" xr:uid="{00000000-0005-0000-0000-00002D1D0000}"/>
    <cellStyle name="Normal 8 2 9 2 2 2" xfId="17078" xr:uid="{51F6BF70-CFE3-4F59-B928-5316727D7592}"/>
    <cellStyle name="Normal 8 2 9 2 3" xfId="12860" xr:uid="{84A44B66-6DAE-4D5D-9557-9416F1673E38}"/>
    <cellStyle name="Normal 8 2 9 3" xfId="6498" xr:uid="{00000000-0005-0000-0000-00002E1D0000}"/>
    <cellStyle name="Normal 8 2 9 3 2" xfId="14933" xr:uid="{FDEF162B-023E-4417-ABAA-E800413AF4A6}"/>
    <cellStyle name="Normal 8 2 9 4" xfId="10715" xr:uid="{ADC06213-6779-452A-BA17-AB7AC8415939}"/>
    <cellStyle name="Normal 8 3" xfId="495" xr:uid="{00000000-0005-0000-0000-00002F1D0000}"/>
    <cellStyle name="Normal 8 3 10" xfId="4862" xr:uid="{00000000-0005-0000-0000-0000301D0000}"/>
    <cellStyle name="Normal 8 3 10 2" xfId="13297" xr:uid="{BA46D938-A099-4F3C-B47F-BF7714BA06B6}"/>
    <cellStyle name="Normal 8 3 11" xfId="9079" xr:uid="{E8FFEA34-4B9E-4783-A317-71A82727D0FA}"/>
    <cellStyle name="Normal 8 3 2" xfId="496" xr:uid="{00000000-0005-0000-0000-0000311D0000}"/>
    <cellStyle name="Normal 8 3 2 10" xfId="9080" xr:uid="{EECB00AA-C887-45CE-BD09-10A99FD2F624}"/>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2 2 2" xfId="15858" xr:uid="{7431E4F4-96D3-4F6C-8F70-4D2FE5EA0FD5}"/>
    <cellStyle name="Normal 8 3 2 2 2 2 2 3" xfId="11640" xr:uid="{D76F6943-8D06-49B3-AE11-FC9B0553AFDB}"/>
    <cellStyle name="Normal 8 3 2 2 2 2 3" xfId="5278" xr:uid="{00000000-0005-0000-0000-0000371D0000}"/>
    <cellStyle name="Normal 8 3 2 2 2 2 3 2" xfId="13713" xr:uid="{A622F661-C753-49BE-9938-B8DCDAFABD9C}"/>
    <cellStyle name="Normal 8 3 2 2 2 2 4" xfId="9495" xr:uid="{7C439445-D229-4B49-9C0B-112CE0EC62B6}"/>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2 2 2" xfId="16271" xr:uid="{7DAAE1B3-75A3-4427-BC8E-BD5413E25678}"/>
    <cellStyle name="Normal 8 3 2 2 2 3 2 3" xfId="12053" xr:uid="{8C3AE7C3-0A94-4C6E-A849-414D55ED04DD}"/>
    <cellStyle name="Normal 8 3 2 2 2 3 3" xfId="5691" xr:uid="{00000000-0005-0000-0000-00003B1D0000}"/>
    <cellStyle name="Normal 8 3 2 2 2 3 3 2" xfId="14126" xr:uid="{BA948F00-4A26-4176-9E21-7974DCBE3D29}"/>
    <cellStyle name="Normal 8 3 2 2 2 3 4" xfId="9908" xr:uid="{A921D945-F557-4356-9F63-2645D0E5937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2 2 2" xfId="16684" xr:uid="{767D1CD1-892F-4B16-B068-F4A7F33DCD85}"/>
    <cellStyle name="Normal 8 3 2 2 2 4 2 3" xfId="12466" xr:uid="{2328C4D9-D2D5-4CB4-BBE7-66E6A31C0C5E}"/>
    <cellStyle name="Normal 8 3 2 2 2 4 3" xfId="6104" xr:uid="{00000000-0005-0000-0000-00003F1D0000}"/>
    <cellStyle name="Normal 8 3 2 2 2 4 3 2" xfId="14539" xr:uid="{DF1BC175-4853-45F3-BB48-7A3F264A9F7C}"/>
    <cellStyle name="Normal 8 3 2 2 2 4 4" xfId="10321" xr:uid="{21B3A493-F105-49FD-A914-858E81460C95}"/>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2 2 2" xfId="17097" xr:uid="{68429363-3C49-470C-8F9E-849231DAF6F8}"/>
    <cellStyle name="Normal 8 3 2 2 2 5 2 3" xfId="12879" xr:uid="{123458C2-4FA7-4D39-A84E-545B81A5A8C3}"/>
    <cellStyle name="Normal 8 3 2 2 2 5 3" xfId="6517" xr:uid="{00000000-0005-0000-0000-0000431D0000}"/>
    <cellStyle name="Normal 8 3 2 2 2 5 3 2" xfId="14952" xr:uid="{290C094F-A2DD-484F-A36E-BE10B256B19C}"/>
    <cellStyle name="Normal 8 3 2 2 2 5 4" xfId="10734" xr:uid="{9DB2EA18-C43B-41A8-AEAD-D0B35FE49FB4}"/>
    <cellStyle name="Normal 8 3 2 2 2 6" xfId="2646" xr:uid="{00000000-0005-0000-0000-0000441D0000}"/>
    <cellStyle name="Normal 8 3 2 2 2 6 2" xfId="6930" xr:uid="{00000000-0005-0000-0000-0000451D0000}"/>
    <cellStyle name="Normal 8 3 2 2 2 6 2 2" xfId="15365" xr:uid="{60729006-FDC8-4BDC-9756-9AC0BB9C30B7}"/>
    <cellStyle name="Normal 8 3 2 2 2 6 3" xfId="11147" xr:uid="{46421649-B868-411D-AFAA-D25A8BC56F2C}"/>
    <cellStyle name="Normal 8 3 2 2 2 7" xfId="4865" xr:uid="{00000000-0005-0000-0000-0000461D0000}"/>
    <cellStyle name="Normal 8 3 2 2 2 7 2" xfId="13300" xr:uid="{43C23210-FB31-435A-A798-D413AEF4B0CC}"/>
    <cellStyle name="Normal 8 3 2 2 2 8" xfId="9082" xr:uid="{A0E25139-5E72-453A-9171-32C9A9804315}"/>
    <cellStyle name="Normal 8 3 2 2 3" xfId="965" xr:uid="{00000000-0005-0000-0000-0000471D0000}"/>
    <cellStyle name="Normal 8 3 2 2 3 2" xfId="3199" xr:uid="{00000000-0005-0000-0000-0000481D0000}"/>
    <cellStyle name="Normal 8 3 2 2 3 2 2" xfId="7422" xr:uid="{00000000-0005-0000-0000-0000491D0000}"/>
    <cellStyle name="Normal 8 3 2 2 3 2 2 2" xfId="15857" xr:uid="{69DE2D43-42D1-4924-9AE4-84F7757D9210}"/>
    <cellStyle name="Normal 8 3 2 2 3 2 3" xfId="11639" xr:uid="{0177EE08-454F-411C-AD00-79E444A47408}"/>
    <cellStyle name="Normal 8 3 2 2 3 3" xfId="5277" xr:uid="{00000000-0005-0000-0000-00004A1D0000}"/>
    <cellStyle name="Normal 8 3 2 2 3 3 2" xfId="13712" xr:uid="{91D20390-3872-4E17-BF55-7AF4A659CDE3}"/>
    <cellStyle name="Normal 8 3 2 2 3 4" xfId="9494" xr:uid="{7F57E3E3-02A6-4E4A-80B9-875084D8E486}"/>
    <cellStyle name="Normal 8 3 2 2 4" xfId="1382" xr:uid="{00000000-0005-0000-0000-00004B1D0000}"/>
    <cellStyle name="Normal 8 3 2 2 4 2" xfId="3612" xr:uid="{00000000-0005-0000-0000-00004C1D0000}"/>
    <cellStyle name="Normal 8 3 2 2 4 2 2" xfId="7835" xr:uid="{00000000-0005-0000-0000-00004D1D0000}"/>
    <cellStyle name="Normal 8 3 2 2 4 2 2 2" xfId="16270" xr:uid="{672BE9AA-9699-474A-9B38-02A991D0240E}"/>
    <cellStyle name="Normal 8 3 2 2 4 2 3" xfId="12052" xr:uid="{986BB2D3-0A5A-48D2-86E5-5699A6C0B59C}"/>
    <cellStyle name="Normal 8 3 2 2 4 3" xfId="5690" xr:uid="{00000000-0005-0000-0000-00004E1D0000}"/>
    <cellStyle name="Normal 8 3 2 2 4 3 2" xfId="14125" xr:uid="{C91E829B-0278-496C-AB60-D80C4280B553}"/>
    <cellStyle name="Normal 8 3 2 2 4 4" xfId="9907" xr:uid="{159A04D2-86FF-471F-B5BF-DD95C23710BA}"/>
    <cellStyle name="Normal 8 3 2 2 5" xfId="1795" xr:uid="{00000000-0005-0000-0000-00004F1D0000}"/>
    <cellStyle name="Normal 8 3 2 2 5 2" xfId="4025" xr:uid="{00000000-0005-0000-0000-0000501D0000}"/>
    <cellStyle name="Normal 8 3 2 2 5 2 2" xfId="8248" xr:uid="{00000000-0005-0000-0000-0000511D0000}"/>
    <cellStyle name="Normal 8 3 2 2 5 2 2 2" xfId="16683" xr:uid="{F5FB5A1C-520A-4DDA-9B42-4537A079C518}"/>
    <cellStyle name="Normal 8 3 2 2 5 2 3" xfId="12465" xr:uid="{EFDAD393-7DC0-4FC9-889D-938C863EA5C8}"/>
    <cellStyle name="Normal 8 3 2 2 5 3" xfId="6103" xr:uid="{00000000-0005-0000-0000-0000521D0000}"/>
    <cellStyle name="Normal 8 3 2 2 5 3 2" xfId="14538" xr:uid="{69F7723B-0B02-4BD9-8F8A-7A88E6F8C03F}"/>
    <cellStyle name="Normal 8 3 2 2 5 4" xfId="10320" xr:uid="{D6006C9A-D8BD-438D-BCD6-9CF710E3CF9E}"/>
    <cellStyle name="Normal 8 3 2 2 6" xfId="2209" xr:uid="{00000000-0005-0000-0000-0000531D0000}"/>
    <cellStyle name="Normal 8 3 2 2 6 2" xfId="4438" xr:uid="{00000000-0005-0000-0000-0000541D0000}"/>
    <cellStyle name="Normal 8 3 2 2 6 2 2" xfId="8661" xr:uid="{00000000-0005-0000-0000-0000551D0000}"/>
    <cellStyle name="Normal 8 3 2 2 6 2 2 2" xfId="17096" xr:uid="{15E9A1C6-323A-4B35-8465-249C99A57425}"/>
    <cellStyle name="Normal 8 3 2 2 6 2 3" xfId="12878" xr:uid="{442CD416-DA19-48CF-8EE2-8A85D7001ADD}"/>
    <cellStyle name="Normal 8 3 2 2 6 3" xfId="6516" xr:uid="{00000000-0005-0000-0000-0000561D0000}"/>
    <cellStyle name="Normal 8 3 2 2 6 3 2" xfId="14951" xr:uid="{40A946F1-C532-4F01-8410-C4B535E0CF02}"/>
    <cellStyle name="Normal 8 3 2 2 6 4" xfId="10733" xr:uid="{BE838374-F70B-42B2-9338-E4BF3C4C33E1}"/>
    <cellStyle name="Normal 8 3 2 2 7" xfId="2645" xr:uid="{00000000-0005-0000-0000-0000571D0000}"/>
    <cellStyle name="Normal 8 3 2 2 7 2" xfId="6929" xr:uid="{00000000-0005-0000-0000-0000581D0000}"/>
    <cellStyle name="Normal 8 3 2 2 7 2 2" xfId="15364" xr:uid="{EB4A6FF8-E884-40A9-AF05-8D98AA8E124F}"/>
    <cellStyle name="Normal 8 3 2 2 7 3" xfId="11146" xr:uid="{2FAA2846-6A11-408D-8BF0-5A3CB6E22E39}"/>
    <cellStyle name="Normal 8 3 2 2 8" xfId="4864" xr:uid="{00000000-0005-0000-0000-0000591D0000}"/>
    <cellStyle name="Normal 8 3 2 2 8 2" xfId="13299" xr:uid="{A1A24862-95C7-431D-82B8-4A95C15A0DBA}"/>
    <cellStyle name="Normal 8 3 2 2 9" xfId="9081" xr:uid="{EB30CC2E-06CE-4BA8-9C25-9E809B958827}"/>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2 2 2" xfId="15859" xr:uid="{63210FEC-77A0-4260-8F99-9CD8F08856AA}"/>
    <cellStyle name="Normal 8 3 2 3 2 2 3" xfId="11641" xr:uid="{408361D9-7EB8-4402-94A0-CA38B24544A1}"/>
    <cellStyle name="Normal 8 3 2 3 2 3" xfId="5279" xr:uid="{00000000-0005-0000-0000-00005E1D0000}"/>
    <cellStyle name="Normal 8 3 2 3 2 3 2" xfId="13714" xr:uid="{7DEFD1CD-9C2B-430C-B7A8-2E9E5FD9C5D1}"/>
    <cellStyle name="Normal 8 3 2 3 2 4" xfId="9496" xr:uid="{4A68716F-A8C1-4F88-9E9F-44926D58E34C}"/>
    <cellStyle name="Normal 8 3 2 3 3" xfId="1384" xr:uid="{00000000-0005-0000-0000-00005F1D0000}"/>
    <cellStyle name="Normal 8 3 2 3 3 2" xfId="3614" xr:uid="{00000000-0005-0000-0000-0000601D0000}"/>
    <cellStyle name="Normal 8 3 2 3 3 2 2" xfId="7837" xr:uid="{00000000-0005-0000-0000-0000611D0000}"/>
    <cellStyle name="Normal 8 3 2 3 3 2 2 2" xfId="16272" xr:uid="{469C1603-4C76-4751-BDD3-B3C228744010}"/>
    <cellStyle name="Normal 8 3 2 3 3 2 3" xfId="12054" xr:uid="{ACE593AE-0445-4F24-9C42-85AD4D9ABF3E}"/>
    <cellStyle name="Normal 8 3 2 3 3 3" xfId="5692" xr:uid="{00000000-0005-0000-0000-0000621D0000}"/>
    <cellStyle name="Normal 8 3 2 3 3 3 2" xfId="14127" xr:uid="{31DAB7D9-8169-4026-9652-C925BADB78F1}"/>
    <cellStyle name="Normal 8 3 2 3 3 4" xfId="9909" xr:uid="{88D30110-2BEE-4D2B-93CF-A4FF612BA33F}"/>
    <cellStyle name="Normal 8 3 2 3 4" xfId="1797" xr:uid="{00000000-0005-0000-0000-0000631D0000}"/>
    <cellStyle name="Normal 8 3 2 3 4 2" xfId="4027" xr:uid="{00000000-0005-0000-0000-0000641D0000}"/>
    <cellStyle name="Normal 8 3 2 3 4 2 2" xfId="8250" xr:uid="{00000000-0005-0000-0000-0000651D0000}"/>
    <cellStyle name="Normal 8 3 2 3 4 2 2 2" xfId="16685" xr:uid="{9E226617-6BD4-411C-9196-00E791D4D8EB}"/>
    <cellStyle name="Normal 8 3 2 3 4 2 3" xfId="12467" xr:uid="{06F5F3BB-AE30-4ACD-8690-1C2AE6244AEA}"/>
    <cellStyle name="Normal 8 3 2 3 4 3" xfId="6105" xr:uid="{00000000-0005-0000-0000-0000661D0000}"/>
    <cellStyle name="Normal 8 3 2 3 4 3 2" xfId="14540" xr:uid="{440DC453-DD04-4EB5-BBA0-880F7E095373}"/>
    <cellStyle name="Normal 8 3 2 3 4 4" xfId="10322" xr:uid="{C6F45116-DF9E-4093-AA5C-5E2A301110E4}"/>
    <cellStyle name="Normal 8 3 2 3 5" xfId="2211" xr:uid="{00000000-0005-0000-0000-0000671D0000}"/>
    <cellStyle name="Normal 8 3 2 3 5 2" xfId="4440" xr:uid="{00000000-0005-0000-0000-0000681D0000}"/>
    <cellStyle name="Normal 8 3 2 3 5 2 2" xfId="8663" xr:uid="{00000000-0005-0000-0000-0000691D0000}"/>
    <cellStyle name="Normal 8 3 2 3 5 2 2 2" xfId="17098" xr:uid="{127B3204-DB0C-46D2-A12F-8586FD14BAB2}"/>
    <cellStyle name="Normal 8 3 2 3 5 2 3" xfId="12880" xr:uid="{5D8036EF-95BC-475D-8FF0-F76C87DCBCFB}"/>
    <cellStyle name="Normal 8 3 2 3 5 3" xfId="6518" xr:uid="{00000000-0005-0000-0000-00006A1D0000}"/>
    <cellStyle name="Normal 8 3 2 3 5 3 2" xfId="14953" xr:uid="{F0768210-6434-410B-BA0B-187130D25E8E}"/>
    <cellStyle name="Normal 8 3 2 3 5 4" xfId="10735" xr:uid="{6FE5B1D1-72DE-4AFB-BAE4-B0D72B45186B}"/>
    <cellStyle name="Normal 8 3 2 3 6" xfId="2647" xr:uid="{00000000-0005-0000-0000-00006B1D0000}"/>
    <cellStyle name="Normal 8 3 2 3 6 2" xfId="6931" xr:uid="{00000000-0005-0000-0000-00006C1D0000}"/>
    <cellStyle name="Normal 8 3 2 3 6 2 2" xfId="15366" xr:uid="{E6B57C5B-7987-4510-AAC5-4BBD9481D14B}"/>
    <cellStyle name="Normal 8 3 2 3 6 3" xfId="11148" xr:uid="{0C413C93-D4FB-40BC-84BB-111238D975EC}"/>
    <cellStyle name="Normal 8 3 2 3 7" xfId="4866" xr:uid="{00000000-0005-0000-0000-00006D1D0000}"/>
    <cellStyle name="Normal 8 3 2 3 7 2" xfId="13301" xr:uid="{D5D6CF75-8FD3-45AA-89F8-8DBFE58D819A}"/>
    <cellStyle name="Normal 8 3 2 3 8" xfId="9083" xr:uid="{631F8AF0-8BCE-4DB3-869D-BF758725BA78}"/>
    <cellStyle name="Normal 8 3 2 4" xfId="964" xr:uid="{00000000-0005-0000-0000-00006E1D0000}"/>
    <cellStyle name="Normal 8 3 2 4 2" xfId="3198" xr:uid="{00000000-0005-0000-0000-00006F1D0000}"/>
    <cellStyle name="Normal 8 3 2 4 2 2" xfId="7421" xr:uid="{00000000-0005-0000-0000-0000701D0000}"/>
    <cellStyle name="Normal 8 3 2 4 2 2 2" xfId="15856" xr:uid="{A3D63FFB-163B-4146-B231-8868D160DE3D}"/>
    <cellStyle name="Normal 8 3 2 4 2 3" xfId="11638" xr:uid="{CCA727D8-A38B-4078-8607-D81F7094D11D}"/>
    <cellStyle name="Normal 8 3 2 4 3" xfId="5276" xr:uid="{00000000-0005-0000-0000-0000711D0000}"/>
    <cellStyle name="Normal 8 3 2 4 3 2" xfId="13711" xr:uid="{036B3C03-A51B-4618-A6E9-027F7A218221}"/>
    <cellStyle name="Normal 8 3 2 4 4" xfId="9493" xr:uid="{8491FE32-8897-4402-9FF2-DE2B157A6517}"/>
    <cellStyle name="Normal 8 3 2 5" xfId="1381" xr:uid="{00000000-0005-0000-0000-0000721D0000}"/>
    <cellStyle name="Normal 8 3 2 5 2" xfId="3611" xr:uid="{00000000-0005-0000-0000-0000731D0000}"/>
    <cellStyle name="Normal 8 3 2 5 2 2" xfId="7834" xr:uid="{00000000-0005-0000-0000-0000741D0000}"/>
    <cellStyle name="Normal 8 3 2 5 2 2 2" xfId="16269" xr:uid="{7092DC9A-675D-4FD8-9469-54F9A3E4BED8}"/>
    <cellStyle name="Normal 8 3 2 5 2 3" xfId="12051" xr:uid="{EBED8B48-1EB2-4A71-A0A0-A7EEE105E9FB}"/>
    <cellStyle name="Normal 8 3 2 5 3" xfId="5689" xr:uid="{00000000-0005-0000-0000-0000751D0000}"/>
    <cellStyle name="Normal 8 3 2 5 3 2" xfId="14124" xr:uid="{354E56FF-CD3E-4944-A487-98A6870AFA4F}"/>
    <cellStyle name="Normal 8 3 2 5 4" xfId="9906" xr:uid="{4C12B17C-DB51-43D8-A930-297365F5490F}"/>
    <cellStyle name="Normal 8 3 2 6" xfId="1794" xr:uid="{00000000-0005-0000-0000-0000761D0000}"/>
    <cellStyle name="Normal 8 3 2 6 2" xfId="4024" xr:uid="{00000000-0005-0000-0000-0000771D0000}"/>
    <cellStyle name="Normal 8 3 2 6 2 2" xfId="8247" xr:uid="{00000000-0005-0000-0000-0000781D0000}"/>
    <cellStyle name="Normal 8 3 2 6 2 2 2" xfId="16682" xr:uid="{E35171BA-AA1D-45F5-8A81-480C2350E71D}"/>
    <cellStyle name="Normal 8 3 2 6 2 3" xfId="12464" xr:uid="{ADAA2C32-00D5-46AF-B7C5-A857736C43E1}"/>
    <cellStyle name="Normal 8 3 2 6 3" xfId="6102" xr:uid="{00000000-0005-0000-0000-0000791D0000}"/>
    <cellStyle name="Normal 8 3 2 6 3 2" xfId="14537" xr:uid="{CC204B6A-192B-4E57-B176-4B3133472ECF}"/>
    <cellStyle name="Normal 8 3 2 6 4" xfId="10319" xr:uid="{07B017EE-D953-425D-B73D-8C5684576D31}"/>
    <cellStyle name="Normal 8 3 2 7" xfId="2208" xr:uid="{00000000-0005-0000-0000-00007A1D0000}"/>
    <cellStyle name="Normal 8 3 2 7 2" xfId="4437" xr:uid="{00000000-0005-0000-0000-00007B1D0000}"/>
    <cellStyle name="Normal 8 3 2 7 2 2" xfId="8660" xr:uid="{00000000-0005-0000-0000-00007C1D0000}"/>
    <cellStyle name="Normal 8 3 2 7 2 2 2" xfId="17095" xr:uid="{13DEF049-E01F-4FC0-9413-C891B59A5E7C}"/>
    <cellStyle name="Normal 8 3 2 7 2 3" xfId="12877" xr:uid="{FF068D71-5F69-400A-9A72-B02E74EC2D5A}"/>
    <cellStyle name="Normal 8 3 2 7 3" xfId="6515" xr:uid="{00000000-0005-0000-0000-00007D1D0000}"/>
    <cellStyle name="Normal 8 3 2 7 3 2" xfId="14950" xr:uid="{25480FE6-69A6-4B71-BCAA-AFBC2024BB36}"/>
    <cellStyle name="Normal 8 3 2 7 4" xfId="10732" xr:uid="{5707713F-7B04-4973-B9C8-9C6E96F35B18}"/>
    <cellStyle name="Normal 8 3 2 8" xfId="2644" xr:uid="{00000000-0005-0000-0000-00007E1D0000}"/>
    <cellStyle name="Normal 8 3 2 8 2" xfId="6928" xr:uid="{00000000-0005-0000-0000-00007F1D0000}"/>
    <cellStyle name="Normal 8 3 2 8 2 2" xfId="15363" xr:uid="{8DCD9EBC-AB41-4E1B-B017-C0C4B68D90ED}"/>
    <cellStyle name="Normal 8 3 2 8 3" xfId="11145" xr:uid="{E79EE213-D77F-4F9B-857F-78E5DD9FF81F}"/>
    <cellStyle name="Normal 8 3 2 9" xfId="4863" xr:uid="{00000000-0005-0000-0000-0000801D0000}"/>
    <cellStyle name="Normal 8 3 2 9 2" xfId="13298" xr:uid="{28FD7827-E28A-4366-B0C7-A718885BEA4D}"/>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2 2 2" xfId="15861" xr:uid="{6E466907-71B4-4409-9EF0-FC129ABE7300}"/>
    <cellStyle name="Normal 8 3 3 2 2 2 3" xfId="11643" xr:uid="{36742AE1-28AC-447F-9169-58CC41681452}"/>
    <cellStyle name="Normal 8 3 3 2 2 3" xfId="5281" xr:uid="{00000000-0005-0000-0000-0000861D0000}"/>
    <cellStyle name="Normal 8 3 3 2 2 3 2" xfId="13716" xr:uid="{D6CAC316-CD78-4788-AC4C-4C2FB22C7401}"/>
    <cellStyle name="Normal 8 3 3 2 2 4" xfId="9498" xr:uid="{540FF3C5-2A33-4300-A086-49AF12F6F014}"/>
    <cellStyle name="Normal 8 3 3 2 3" xfId="1386" xr:uid="{00000000-0005-0000-0000-0000871D0000}"/>
    <cellStyle name="Normal 8 3 3 2 3 2" xfId="3616" xr:uid="{00000000-0005-0000-0000-0000881D0000}"/>
    <cellStyle name="Normal 8 3 3 2 3 2 2" xfId="7839" xr:uid="{00000000-0005-0000-0000-0000891D0000}"/>
    <cellStyle name="Normal 8 3 3 2 3 2 2 2" xfId="16274" xr:uid="{9876764A-6160-4E19-B38D-8F73CFCF93EB}"/>
    <cellStyle name="Normal 8 3 3 2 3 2 3" xfId="12056" xr:uid="{3BB31706-C03A-47C2-981F-44B488B26062}"/>
    <cellStyle name="Normal 8 3 3 2 3 3" xfId="5694" xr:uid="{00000000-0005-0000-0000-00008A1D0000}"/>
    <cellStyle name="Normal 8 3 3 2 3 3 2" xfId="14129" xr:uid="{C978894E-9E2A-4B62-BF40-D733A00E6E19}"/>
    <cellStyle name="Normal 8 3 3 2 3 4" xfId="9911" xr:uid="{20B5C913-3A6F-4534-8573-7AA9C84F70D5}"/>
    <cellStyle name="Normal 8 3 3 2 4" xfId="1799" xr:uid="{00000000-0005-0000-0000-00008B1D0000}"/>
    <cellStyle name="Normal 8 3 3 2 4 2" xfId="4029" xr:uid="{00000000-0005-0000-0000-00008C1D0000}"/>
    <cellStyle name="Normal 8 3 3 2 4 2 2" xfId="8252" xr:uid="{00000000-0005-0000-0000-00008D1D0000}"/>
    <cellStyle name="Normal 8 3 3 2 4 2 2 2" xfId="16687" xr:uid="{01405095-A4AA-44AA-B4DC-C5E003B0D590}"/>
    <cellStyle name="Normal 8 3 3 2 4 2 3" xfId="12469" xr:uid="{E93AF277-9E47-4A0E-BDC7-BEE318991143}"/>
    <cellStyle name="Normal 8 3 3 2 4 3" xfId="6107" xr:uid="{00000000-0005-0000-0000-00008E1D0000}"/>
    <cellStyle name="Normal 8 3 3 2 4 3 2" xfId="14542" xr:uid="{5C419CB4-BDB2-4F90-BD4B-187D3D5C380C}"/>
    <cellStyle name="Normal 8 3 3 2 4 4" xfId="10324" xr:uid="{ED7A743B-C6E6-4547-9C5B-F919D8AEFC99}"/>
    <cellStyle name="Normal 8 3 3 2 5" xfId="2213" xr:uid="{00000000-0005-0000-0000-00008F1D0000}"/>
    <cellStyle name="Normal 8 3 3 2 5 2" xfId="4442" xr:uid="{00000000-0005-0000-0000-0000901D0000}"/>
    <cellStyle name="Normal 8 3 3 2 5 2 2" xfId="8665" xr:uid="{00000000-0005-0000-0000-0000911D0000}"/>
    <cellStyle name="Normal 8 3 3 2 5 2 2 2" xfId="17100" xr:uid="{43FCAD0A-342C-40F5-88B5-994C30C5FD1A}"/>
    <cellStyle name="Normal 8 3 3 2 5 2 3" xfId="12882" xr:uid="{702D128E-78DB-4127-97B0-8213E80DF7E5}"/>
    <cellStyle name="Normal 8 3 3 2 5 3" xfId="6520" xr:uid="{00000000-0005-0000-0000-0000921D0000}"/>
    <cellStyle name="Normal 8 3 3 2 5 3 2" xfId="14955" xr:uid="{5CBBD450-0BAD-42AA-B2E3-A51523135D5C}"/>
    <cellStyle name="Normal 8 3 3 2 5 4" xfId="10737" xr:uid="{CBDC648F-0E71-40D4-93CF-9147D641B6B2}"/>
    <cellStyle name="Normal 8 3 3 2 6" xfId="2649" xr:uid="{00000000-0005-0000-0000-0000931D0000}"/>
    <cellStyle name="Normal 8 3 3 2 6 2" xfId="6933" xr:uid="{00000000-0005-0000-0000-0000941D0000}"/>
    <cellStyle name="Normal 8 3 3 2 6 2 2" xfId="15368" xr:uid="{88A2BF67-9DF3-445B-A99B-F8AC3523E1B6}"/>
    <cellStyle name="Normal 8 3 3 2 6 3" xfId="11150" xr:uid="{4C4217CC-A8FB-413F-9C50-B043A0B2C868}"/>
    <cellStyle name="Normal 8 3 3 2 7" xfId="4868" xr:uid="{00000000-0005-0000-0000-0000951D0000}"/>
    <cellStyle name="Normal 8 3 3 2 7 2" xfId="13303" xr:uid="{6D5D16F6-8451-4F42-839D-AD03CDB7A231}"/>
    <cellStyle name="Normal 8 3 3 2 8" xfId="9085" xr:uid="{8E0811EB-7BC4-4C84-9945-BE8DC6446BAD}"/>
    <cellStyle name="Normal 8 3 3 3" xfId="968" xr:uid="{00000000-0005-0000-0000-0000961D0000}"/>
    <cellStyle name="Normal 8 3 3 3 2" xfId="3202" xr:uid="{00000000-0005-0000-0000-0000971D0000}"/>
    <cellStyle name="Normal 8 3 3 3 2 2" xfId="7425" xr:uid="{00000000-0005-0000-0000-0000981D0000}"/>
    <cellStyle name="Normal 8 3 3 3 2 2 2" xfId="15860" xr:uid="{D55B304F-CF1F-4365-8098-9B6814D577F8}"/>
    <cellStyle name="Normal 8 3 3 3 2 3" xfId="11642" xr:uid="{E5CF5FC8-1BE7-4F7E-98AA-DFCA12530CAF}"/>
    <cellStyle name="Normal 8 3 3 3 3" xfId="5280" xr:uid="{00000000-0005-0000-0000-0000991D0000}"/>
    <cellStyle name="Normal 8 3 3 3 3 2" xfId="13715" xr:uid="{BBCB141F-25EA-4888-8C8D-3EB1AD7A7B1B}"/>
    <cellStyle name="Normal 8 3 3 3 4" xfId="9497" xr:uid="{7A007DC3-1C3B-4D35-ABE8-0593F101BB4C}"/>
    <cellStyle name="Normal 8 3 3 4" xfId="1385" xr:uid="{00000000-0005-0000-0000-00009A1D0000}"/>
    <cellStyle name="Normal 8 3 3 4 2" xfId="3615" xr:uid="{00000000-0005-0000-0000-00009B1D0000}"/>
    <cellStyle name="Normal 8 3 3 4 2 2" xfId="7838" xr:uid="{00000000-0005-0000-0000-00009C1D0000}"/>
    <cellStyle name="Normal 8 3 3 4 2 2 2" xfId="16273" xr:uid="{34EC3F29-C740-4FCE-93F6-395B2C62CFF8}"/>
    <cellStyle name="Normal 8 3 3 4 2 3" xfId="12055" xr:uid="{A1CAF7BC-77AD-4277-BD16-8394720BEE2E}"/>
    <cellStyle name="Normal 8 3 3 4 3" xfId="5693" xr:uid="{00000000-0005-0000-0000-00009D1D0000}"/>
    <cellStyle name="Normal 8 3 3 4 3 2" xfId="14128" xr:uid="{D77181FE-757F-4482-A140-192F74D22F11}"/>
    <cellStyle name="Normal 8 3 3 4 4" xfId="9910" xr:uid="{BB9026A5-8BF2-438A-9276-B0000329B854}"/>
    <cellStyle name="Normal 8 3 3 5" xfId="1798" xr:uid="{00000000-0005-0000-0000-00009E1D0000}"/>
    <cellStyle name="Normal 8 3 3 5 2" xfId="4028" xr:uid="{00000000-0005-0000-0000-00009F1D0000}"/>
    <cellStyle name="Normal 8 3 3 5 2 2" xfId="8251" xr:uid="{00000000-0005-0000-0000-0000A01D0000}"/>
    <cellStyle name="Normal 8 3 3 5 2 2 2" xfId="16686" xr:uid="{D78C9E4A-DDF4-4798-84A5-D25699E02D8E}"/>
    <cellStyle name="Normal 8 3 3 5 2 3" xfId="12468" xr:uid="{6DC58A80-95D1-4DB5-B873-C50EE1F79DFF}"/>
    <cellStyle name="Normal 8 3 3 5 3" xfId="6106" xr:uid="{00000000-0005-0000-0000-0000A11D0000}"/>
    <cellStyle name="Normal 8 3 3 5 3 2" xfId="14541" xr:uid="{576BC5F1-9203-43B4-A3A0-261893873C15}"/>
    <cellStyle name="Normal 8 3 3 5 4" xfId="10323" xr:uid="{ED70A3A4-1671-425A-A427-59D419080E34}"/>
    <cellStyle name="Normal 8 3 3 6" xfId="2212" xr:uid="{00000000-0005-0000-0000-0000A21D0000}"/>
    <cellStyle name="Normal 8 3 3 6 2" xfId="4441" xr:uid="{00000000-0005-0000-0000-0000A31D0000}"/>
    <cellStyle name="Normal 8 3 3 6 2 2" xfId="8664" xr:uid="{00000000-0005-0000-0000-0000A41D0000}"/>
    <cellStyle name="Normal 8 3 3 6 2 2 2" xfId="17099" xr:uid="{BFF8F334-B780-43FE-BFD0-D25A55EA5433}"/>
    <cellStyle name="Normal 8 3 3 6 2 3" xfId="12881" xr:uid="{1B639311-77F8-4FF3-8DB8-783185DD6B47}"/>
    <cellStyle name="Normal 8 3 3 6 3" xfId="6519" xr:uid="{00000000-0005-0000-0000-0000A51D0000}"/>
    <cellStyle name="Normal 8 3 3 6 3 2" xfId="14954" xr:uid="{636F13EA-85AB-404B-813C-F85D638E835A}"/>
    <cellStyle name="Normal 8 3 3 6 4" xfId="10736" xr:uid="{AD3BB940-1E20-4F8D-AB24-57EAC797191F}"/>
    <cellStyle name="Normal 8 3 3 7" xfId="2648" xr:uid="{00000000-0005-0000-0000-0000A61D0000}"/>
    <cellStyle name="Normal 8 3 3 7 2" xfId="6932" xr:uid="{00000000-0005-0000-0000-0000A71D0000}"/>
    <cellStyle name="Normal 8 3 3 7 2 2" xfId="15367" xr:uid="{E1E9229C-9034-4EA6-8205-90F7FCC132D3}"/>
    <cellStyle name="Normal 8 3 3 7 3" xfId="11149" xr:uid="{D69CFEBF-9073-4532-B3B1-98D22DA0DFDD}"/>
    <cellStyle name="Normal 8 3 3 8" xfId="4867" xr:uid="{00000000-0005-0000-0000-0000A81D0000}"/>
    <cellStyle name="Normal 8 3 3 8 2" xfId="13302" xr:uid="{22F4B13A-29EE-40F8-BC1C-3088794A18BB}"/>
    <cellStyle name="Normal 8 3 3 9" xfId="9084" xr:uid="{0DE80818-D35F-419A-A06C-E07E6F695F12}"/>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2 2 2" xfId="15862" xr:uid="{72478C78-0DDB-4180-A69E-C2B3B5ECD2D9}"/>
    <cellStyle name="Normal 8 3 4 2 2 3" xfId="11644" xr:uid="{D32ACCEA-879C-4E89-9EFD-5027791022E5}"/>
    <cellStyle name="Normal 8 3 4 2 3" xfId="5282" xr:uid="{00000000-0005-0000-0000-0000AD1D0000}"/>
    <cellStyle name="Normal 8 3 4 2 3 2" xfId="13717" xr:uid="{4DBC1834-B234-4104-BD05-5833FD048C77}"/>
    <cellStyle name="Normal 8 3 4 2 4" xfId="9499" xr:uid="{988058AE-D4A3-49CF-ABC4-40D2D9C81458}"/>
    <cellStyle name="Normal 8 3 4 3" xfId="1387" xr:uid="{00000000-0005-0000-0000-0000AE1D0000}"/>
    <cellStyle name="Normal 8 3 4 3 2" xfId="3617" xr:uid="{00000000-0005-0000-0000-0000AF1D0000}"/>
    <cellStyle name="Normal 8 3 4 3 2 2" xfId="7840" xr:uid="{00000000-0005-0000-0000-0000B01D0000}"/>
    <cellStyle name="Normal 8 3 4 3 2 2 2" xfId="16275" xr:uid="{34B7F9F2-EA52-43AF-8C82-DB8760579FEE}"/>
    <cellStyle name="Normal 8 3 4 3 2 3" xfId="12057" xr:uid="{255612F4-F892-447E-8AB3-A2CA8CBBEC7F}"/>
    <cellStyle name="Normal 8 3 4 3 3" xfId="5695" xr:uid="{00000000-0005-0000-0000-0000B11D0000}"/>
    <cellStyle name="Normal 8 3 4 3 3 2" xfId="14130" xr:uid="{C5A20171-4B93-49C4-9502-9E584459B7DD}"/>
    <cellStyle name="Normal 8 3 4 3 4" xfId="9912" xr:uid="{492155C0-92F9-485F-8C05-BCCAE43DC429}"/>
    <cellStyle name="Normal 8 3 4 4" xfId="1800" xr:uid="{00000000-0005-0000-0000-0000B21D0000}"/>
    <cellStyle name="Normal 8 3 4 4 2" xfId="4030" xr:uid="{00000000-0005-0000-0000-0000B31D0000}"/>
    <cellStyle name="Normal 8 3 4 4 2 2" xfId="8253" xr:uid="{00000000-0005-0000-0000-0000B41D0000}"/>
    <cellStyle name="Normal 8 3 4 4 2 2 2" xfId="16688" xr:uid="{C578E3E9-9AA0-4730-97B4-CC5B5DF277E3}"/>
    <cellStyle name="Normal 8 3 4 4 2 3" xfId="12470" xr:uid="{3494AD31-D01B-4EE2-8828-2766E2391B5D}"/>
    <cellStyle name="Normal 8 3 4 4 3" xfId="6108" xr:uid="{00000000-0005-0000-0000-0000B51D0000}"/>
    <cellStyle name="Normal 8 3 4 4 3 2" xfId="14543" xr:uid="{E7F7D53F-FD55-4003-9D11-AB2B252916C6}"/>
    <cellStyle name="Normal 8 3 4 4 4" xfId="10325" xr:uid="{D09C61E1-8274-4375-96FA-2F226CAC2AF2}"/>
    <cellStyle name="Normal 8 3 4 5" xfId="2214" xr:uid="{00000000-0005-0000-0000-0000B61D0000}"/>
    <cellStyle name="Normal 8 3 4 5 2" xfId="4443" xr:uid="{00000000-0005-0000-0000-0000B71D0000}"/>
    <cellStyle name="Normal 8 3 4 5 2 2" xfId="8666" xr:uid="{00000000-0005-0000-0000-0000B81D0000}"/>
    <cellStyle name="Normal 8 3 4 5 2 2 2" xfId="17101" xr:uid="{9C233F5B-61CE-4719-B609-ADDAD580C258}"/>
    <cellStyle name="Normal 8 3 4 5 2 3" xfId="12883" xr:uid="{DCB765A7-EBDE-4BA1-98AF-4CAADABA1E31}"/>
    <cellStyle name="Normal 8 3 4 5 3" xfId="6521" xr:uid="{00000000-0005-0000-0000-0000B91D0000}"/>
    <cellStyle name="Normal 8 3 4 5 3 2" xfId="14956" xr:uid="{02586476-831B-494B-AAB3-3A2C9969CC43}"/>
    <cellStyle name="Normal 8 3 4 5 4" xfId="10738" xr:uid="{7FC25292-7B3B-40F5-82ED-F7E46DACD9B0}"/>
    <cellStyle name="Normal 8 3 4 6" xfId="2650" xr:uid="{00000000-0005-0000-0000-0000BA1D0000}"/>
    <cellStyle name="Normal 8 3 4 6 2" xfId="6934" xr:uid="{00000000-0005-0000-0000-0000BB1D0000}"/>
    <cellStyle name="Normal 8 3 4 6 2 2" xfId="15369" xr:uid="{6138DF5B-7D96-4911-8920-4DD6428EDDE2}"/>
    <cellStyle name="Normal 8 3 4 6 3" xfId="11151" xr:uid="{4AE97BE8-FBB0-4623-8741-E9496A8B67EB}"/>
    <cellStyle name="Normal 8 3 4 7" xfId="4869" xr:uid="{00000000-0005-0000-0000-0000BC1D0000}"/>
    <cellStyle name="Normal 8 3 4 7 2" xfId="13304" xr:uid="{661C2325-7BFF-45C9-9BC1-5AE0EDC6BCFD}"/>
    <cellStyle name="Normal 8 3 4 8" xfId="9086" xr:uid="{C0464566-7D56-40E4-9EC2-DCA19716E8D5}"/>
    <cellStyle name="Normal 8 3 5" xfId="963" xr:uid="{00000000-0005-0000-0000-0000BD1D0000}"/>
    <cellStyle name="Normal 8 3 5 2" xfId="3197" xr:uid="{00000000-0005-0000-0000-0000BE1D0000}"/>
    <cellStyle name="Normal 8 3 5 2 2" xfId="7420" xr:uid="{00000000-0005-0000-0000-0000BF1D0000}"/>
    <cellStyle name="Normal 8 3 5 2 2 2" xfId="15855" xr:uid="{B1E26780-ABB0-402D-921B-9819FDAAC09C}"/>
    <cellStyle name="Normal 8 3 5 2 3" xfId="11637" xr:uid="{BA9A8C66-C4F1-4CB2-BDED-1368039C527B}"/>
    <cellStyle name="Normal 8 3 5 3" xfId="5275" xr:uid="{00000000-0005-0000-0000-0000C01D0000}"/>
    <cellStyle name="Normal 8 3 5 3 2" xfId="13710" xr:uid="{33020455-77DB-4530-BCE9-9E23EA6D0C50}"/>
    <cellStyle name="Normal 8 3 5 4" xfId="9492" xr:uid="{C9DC4FEC-1656-4A02-86D4-3F75E6B8C2E6}"/>
    <cellStyle name="Normal 8 3 6" xfId="1380" xr:uid="{00000000-0005-0000-0000-0000C11D0000}"/>
    <cellStyle name="Normal 8 3 6 2" xfId="3610" xr:uid="{00000000-0005-0000-0000-0000C21D0000}"/>
    <cellStyle name="Normal 8 3 6 2 2" xfId="7833" xr:uid="{00000000-0005-0000-0000-0000C31D0000}"/>
    <cellStyle name="Normal 8 3 6 2 2 2" xfId="16268" xr:uid="{8626C385-FAB9-4FEB-B0F0-2F61C9CBE795}"/>
    <cellStyle name="Normal 8 3 6 2 3" xfId="12050" xr:uid="{CD082E96-3FC1-48B9-A423-9151E5966271}"/>
    <cellStyle name="Normal 8 3 6 3" xfId="5688" xr:uid="{00000000-0005-0000-0000-0000C41D0000}"/>
    <cellStyle name="Normal 8 3 6 3 2" xfId="14123" xr:uid="{8CC8B696-1CDA-4A35-AAE0-60AB9B033ABB}"/>
    <cellStyle name="Normal 8 3 6 4" xfId="9905" xr:uid="{2E748FDB-49C8-4FD4-B8B4-D493C58D47A9}"/>
    <cellStyle name="Normal 8 3 7" xfId="1793" xr:uid="{00000000-0005-0000-0000-0000C51D0000}"/>
    <cellStyle name="Normal 8 3 7 2" xfId="4023" xr:uid="{00000000-0005-0000-0000-0000C61D0000}"/>
    <cellStyle name="Normal 8 3 7 2 2" xfId="8246" xr:uid="{00000000-0005-0000-0000-0000C71D0000}"/>
    <cellStyle name="Normal 8 3 7 2 2 2" xfId="16681" xr:uid="{B4C38F48-EE40-4C1F-9D07-3DFF2C9CE960}"/>
    <cellStyle name="Normal 8 3 7 2 3" xfId="12463" xr:uid="{C65278C7-9341-4809-A4E9-E93E8E9CA390}"/>
    <cellStyle name="Normal 8 3 7 3" xfId="6101" xr:uid="{00000000-0005-0000-0000-0000C81D0000}"/>
    <cellStyle name="Normal 8 3 7 3 2" xfId="14536" xr:uid="{8797F240-3A56-4A81-A007-676BAC8493F4}"/>
    <cellStyle name="Normal 8 3 7 4" xfId="10318" xr:uid="{6905A821-B487-48D1-9BFF-EABE1A350FB1}"/>
    <cellStyle name="Normal 8 3 8" xfId="2207" xr:uid="{00000000-0005-0000-0000-0000C91D0000}"/>
    <cellStyle name="Normal 8 3 8 2" xfId="4436" xr:uid="{00000000-0005-0000-0000-0000CA1D0000}"/>
    <cellStyle name="Normal 8 3 8 2 2" xfId="8659" xr:uid="{00000000-0005-0000-0000-0000CB1D0000}"/>
    <cellStyle name="Normal 8 3 8 2 2 2" xfId="17094" xr:uid="{D18EC6B8-5783-48DD-AFD2-94F16A6A41EF}"/>
    <cellStyle name="Normal 8 3 8 2 3" xfId="12876" xr:uid="{1E0AECD6-9C6F-4AA5-9837-B0F83BCFBE9A}"/>
    <cellStyle name="Normal 8 3 8 3" xfId="6514" xr:uid="{00000000-0005-0000-0000-0000CC1D0000}"/>
    <cellStyle name="Normal 8 3 8 3 2" xfId="14949" xr:uid="{C844E76E-E832-42A3-8C09-F89F4A4F7E5F}"/>
    <cellStyle name="Normal 8 3 8 4" xfId="10731" xr:uid="{87AF5A5A-FC34-4CF0-854A-2F0B1972F531}"/>
    <cellStyle name="Normal 8 3 9" xfId="2643" xr:uid="{00000000-0005-0000-0000-0000CD1D0000}"/>
    <cellStyle name="Normal 8 3 9 2" xfId="6927" xr:uid="{00000000-0005-0000-0000-0000CE1D0000}"/>
    <cellStyle name="Normal 8 3 9 2 2" xfId="15362" xr:uid="{602073E7-D271-4DD5-96EF-3CB5E1A51DA5}"/>
    <cellStyle name="Normal 8 3 9 3" xfId="11144" xr:uid="{2BCE6E46-CD1A-4C64-8529-9F792F156E46}"/>
    <cellStyle name="Normal 8 4" xfId="503" xr:uid="{00000000-0005-0000-0000-0000CF1D0000}"/>
    <cellStyle name="Normal 8 4 10" xfId="9087" xr:uid="{8691E436-DB98-4416-868A-05CD9889480F}"/>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2 2 2" xfId="15865" xr:uid="{1B060C4F-1472-464B-8FF6-2C5658BDDC2E}"/>
    <cellStyle name="Normal 8 4 2 2 2 2 3" xfId="11647" xr:uid="{C143C331-9EDA-46A9-A94A-208567A0081C}"/>
    <cellStyle name="Normal 8 4 2 2 2 3" xfId="5285" xr:uid="{00000000-0005-0000-0000-0000D51D0000}"/>
    <cellStyle name="Normal 8 4 2 2 2 3 2" xfId="13720" xr:uid="{2C247DA8-28F2-4C48-9B56-11D7C0C38D56}"/>
    <cellStyle name="Normal 8 4 2 2 2 4" xfId="9502" xr:uid="{66A913DF-58A0-490F-817E-CB11202B2458}"/>
    <cellStyle name="Normal 8 4 2 2 3" xfId="1390" xr:uid="{00000000-0005-0000-0000-0000D61D0000}"/>
    <cellStyle name="Normal 8 4 2 2 3 2" xfId="3620" xr:uid="{00000000-0005-0000-0000-0000D71D0000}"/>
    <cellStyle name="Normal 8 4 2 2 3 2 2" xfId="7843" xr:uid="{00000000-0005-0000-0000-0000D81D0000}"/>
    <cellStyle name="Normal 8 4 2 2 3 2 2 2" xfId="16278" xr:uid="{155F5402-3163-4F5C-A292-6D8E913D5818}"/>
    <cellStyle name="Normal 8 4 2 2 3 2 3" xfId="12060" xr:uid="{43B969A4-F215-4DF7-982E-A96031E3BEF6}"/>
    <cellStyle name="Normal 8 4 2 2 3 3" xfId="5698" xr:uid="{00000000-0005-0000-0000-0000D91D0000}"/>
    <cellStyle name="Normal 8 4 2 2 3 3 2" xfId="14133" xr:uid="{86CED348-B544-40D5-A2E8-FFC51A396AC1}"/>
    <cellStyle name="Normal 8 4 2 2 3 4" xfId="9915" xr:uid="{F51DF571-0BCE-45C5-8A53-422C24CAC78D}"/>
    <cellStyle name="Normal 8 4 2 2 4" xfId="1803" xr:uid="{00000000-0005-0000-0000-0000DA1D0000}"/>
    <cellStyle name="Normal 8 4 2 2 4 2" xfId="4033" xr:uid="{00000000-0005-0000-0000-0000DB1D0000}"/>
    <cellStyle name="Normal 8 4 2 2 4 2 2" xfId="8256" xr:uid="{00000000-0005-0000-0000-0000DC1D0000}"/>
    <cellStyle name="Normal 8 4 2 2 4 2 2 2" xfId="16691" xr:uid="{926DB491-2ECD-4775-BDA4-E3009B67D763}"/>
    <cellStyle name="Normal 8 4 2 2 4 2 3" xfId="12473" xr:uid="{28F9ADAA-CE9A-4C46-BE13-191F7F22CCFE}"/>
    <cellStyle name="Normal 8 4 2 2 4 3" xfId="6111" xr:uid="{00000000-0005-0000-0000-0000DD1D0000}"/>
    <cellStyle name="Normal 8 4 2 2 4 3 2" xfId="14546" xr:uid="{56AE364D-B18B-4471-920E-D8B2482FDFCA}"/>
    <cellStyle name="Normal 8 4 2 2 4 4" xfId="10328" xr:uid="{976C7FA6-557E-4117-B636-5C3E8E8C74BC}"/>
    <cellStyle name="Normal 8 4 2 2 5" xfId="2217" xr:uid="{00000000-0005-0000-0000-0000DE1D0000}"/>
    <cellStyle name="Normal 8 4 2 2 5 2" xfId="4446" xr:uid="{00000000-0005-0000-0000-0000DF1D0000}"/>
    <cellStyle name="Normal 8 4 2 2 5 2 2" xfId="8669" xr:uid="{00000000-0005-0000-0000-0000E01D0000}"/>
    <cellStyle name="Normal 8 4 2 2 5 2 2 2" xfId="17104" xr:uid="{523566D0-2CCF-400C-84EF-B355DE6C58D7}"/>
    <cellStyle name="Normal 8 4 2 2 5 2 3" xfId="12886" xr:uid="{5643BC98-A72D-4FD2-AB92-08E293FA39CA}"/>
    <cellStyle name="Normal 8 4 2 2 5 3" xfId="6524" xr:uid="{00000000-0005-0000-0000-0000E11D0000}"/>
    <cellStyle name="Normal 8 4 2 2 5 3 2" xfId="14959" xr:uid="{E4806AAA-FCE4-4048-8FD7-4B6F9D8FB755}"/>
    <cellStyle name="Normal 8 4 2 2 5 4" xfId="10741" xr:uid="{93A9C263-5B5D-4F2F-B825-96C447342714}"/>
    <cellStyle name="Normal 8 4 2 2 6" xfId="2653" xr:uid="{00000000-0005-0000-0000-0000E21D0000}"/>
    <cellStyle name="Normal 8 4 2 2 6 2" xfId="6937" xr:uid="{00000000-0005-0000-0000-0000E31D0000}"/>
    <cellStyle name="Normal 8 4 2 2 6 2 2" xfId="15372" xr:uid="{8D9D02E9-6530-4E6B-B0D9-4C014C14DB7A}"/>
    <cellStyle name="Normal 8 4 2 2 6 3" xfId="11154" xr:uid="{36F146AC-F2D9-42CD-ACEA-EA6716D59C52}"/>
    <cellStyle name="Normal 8 4 2 2 7" xfId="4872" xr:uid="{00000000-0005-0000-0000-0000E41D0000}"/>
    <cellStyle name="Normal 8 4 2 2 7 2" xfId="13307" xr:uid="{FD6C51B0-BF60-4F48-8A08-8E71FB520601}"/>
    <cellStyle name="Normal 8 4 2 2 8" xfId="9089" xr:uid="{66B83196-B59F-405C-A7E2-C01834584973}"/>
    <cellStyle name="Normal 8 4 2 3" xfId="972" xr:uid="{00000000-0005-0000-0000-0000E51D0000}"/>
    <cellStyle name="Normal 8 4 2 3 2" xfId="3206" xr:uid="{00000000-0005-0000-0000-0000E61D0000}"/>
    <cellStyle name="Normal 8 4 2 3 2 2" xfId="7429" xr:uid="{00000000-0005-0000-0000-0000E71D0000}"/>
    <cellStyle name="Normal 8 4 2 3 2 2 2" xfId="15864" xr:uid="{96DF2AB7-F938-42D3-B157-18F4D7F4281F}"/>
    <cellStyle name="Normal 8 4 2 3 2 3" xfId="11646" xr:uid="{98CA38DC-1072-4D61-9408-B68050BBBB06}"/>
    <cellStyle name="Normal 8 4 2 3 3" xfId="5284" xr:uid="{00000000-0005-0000-0000-0000E81D0000}"/>
    <cellStyle name="Normal 8 4 2 3 3 2" xfId="13719" xr:uid="{350E1A83-714D-44D9-ABA5-86F806ACC778}"/>
    <cellStyle name="Normal 8 4 2 3 4" xfId="9501" xr:uid="{024B84B5-DBEB-4CE9-B032-FCF14A50F61C}"/>
    <cellStyle name="Normal 8 4 2 4" xfId="1389" xr:uid="{00000000-0005-0000-0000-0000E91D0000}"/>
    <cellStyle name="Normal 8 4 2 4 2" xfId="3619" xr:uid="{00000000-0005-0000-0000-0000EA1D0000}"/>
    <cellStyle name="Normal 8 4 2 4 2 2" xfId="7842" xr:uid="{00000000-0005-0000-0000-0000EB1D0000}"/>
    <cellStyle name="Normal 8 4 2 4 2 2 2" xfId="16277" xr:uid="{7FA8B981-97FB-43BA-A231-B23E79DA3EDF}"/>
    <cellStyle name="Normal 8 4 2 4 2 3" xfId="12059" xr:uid="{0561EBB2-40EE-4138-8BCD-E13AFEF1C279}"/>
    <cellStyle name="Normal 8 4 2 4 3" xfId="5697" xr:uid="{00000000-0005-0000-0000-0000EC1D0000}"/>
    <cellStyle name="Normal 8 4 2 4 3 2" xfId="14132" xr:uid="{11906601-41DF-4A8C-9190-BCAD07388808}"/>
    <cellStyle name="Normal 8 4 2 4 4" xfId="9914" xr:uid="{BF76E647-9197-4BB0-9AC7-505E0212DE8D}"/>
    <cellStyle name="Normal 8 4 2 5" xfId="1802" xr:uid="{00000000-0005-0000-0000-0000ED1D0000}"/>
    <cellStyle name="Normal 8 4 2 5 2" xfId="4032" xr:uid="{00000000-0005-0000-0000-0000EE1D0000}"/>
    <cellStyle name="Normal 8 4 2 5 2 2" xfId="8255" xr:uid="{00000000-0005-0000-0000-0000EF1D0000}"/>
    <cellStyle name="Normal 8 4 2 5 2 2 2" xfId="16690" xr:uid="{3DD357DC-0AEE-4383-B262-5F45534FD34A}"/>
    <cellStyle name="Normal 8 4 2 5 2 3" xfId="12472" xr:uid="{2966BB68-B220-40A5-833D-179C6B794520}"/>
    <cellStyle name="Normal 8 4 2 5 3" xfId="6110" xr:uid="{00000000-0005-0000-0000-0000F01D0000}"/>
    <cellStyle name="Normal 8 4 2 5 3 2" xfId="14545" xr:uid="{8AFC8381-828D-47A6-B450-04774AF067B2}"/>
    <cellStyle name="Normal 8 4 2 5 4" xfId="10327" xr:uid="{E5872414-5313-4351-91CD-CC0AF2AFF009}"/>
    <cellStyle name="Normal 8 4 2 6" xfId="2216" xr:uid="{00000000-0005-0000-0000-0000F11D0000}"/>
    <cellStyle name="Normal 8 4 2 6 2" xfId="4445" xr:uid="{00000000-0005-0000-0000-0000F21D0000}"/>
    <cellStyle name="Normal 8 4 2 6 2 2" xfId="8668" xr:uid="{00000000-0005-0000-0000-0000F31D0000}"/>
    <cellStyle name="Normal 8 4 2 6 2 2 2" xfId="17103" xr:uid="{3C78616C-BE43-4189-803C-D424765109E5}"/>
    <cellStyle name="Normal 8 4 2 6 2 3" xfId="12885" xr:uid="{6AA43BB5-76F1-4CC0-A54F-929FB12180B8}"/>
    <cellStyle name="Normal 8 4 2 6 3" xfId="6523" xr:uid="{00000000-0005-0000-0000-0000F41D0000}"/>
    <cellStyle name="Normal 8 4 2 6 3 2" xfId="14958" xr:uid="{7057705D-F21C-40AA-A485-45C4A91C7DBB}"/>
    <cellStyle name="Normal 8 4 2 6 4" xfId="10740" xr:uid="{F880DF37-A242-423B-B277-B5A3A1780555}"/>
    <cellStyle name="Normal 8 4 2 7" xfId="2652" xr:uid="{00000000-0005-0000-0000-0000F51D0000}"/>
    <cellStyle name="Normal 8 4 2 7 2" xfId="6936" xr:uid="{00000000-0005-0000-0000-0000F61D0000}"/>
    <cellStyle name="Normal 8 4 2 7 2 2" xfId="15371" xr:uid="{9C8598E3-C228-486C-896F-3C6AA1B5286A}"/>
    <cellStyle name="Normal 8 4 2 7 3" xfId="11153" xr:uid="{55E62208-D513-47D8-A404-5F25CD52D31D}"/>
    <cellStyle name="Normal 8 4 2 8" xfId="4871" xr:uid="{00000000-0005-0000-0000-0000F71D0000}"/>
    <cellStyle name="Normal 8 4 2 8 2" xfId="13306" xr:uid="{B068F20A-C3AC-4BF1-8188-97D6F24B1558}"/>
    <cellStyle name="Normal 8 4 2 9" xfId="9088" xr:uid="{946E4A13-CF1F-4896-904B-CA87713AB7B8}"/>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2 2 2" xfId="15866" xr:uid="{B6F48A11-AD04-4051-881A-270C96CCD422}"/>
    <cellStyle name="Normal 8 4 3 2 2 3" xfId="11648" xr:uid="{5BFA1B48-2DF8-4100-81E2-2E2C3FE0D1F8}"/>
    <cellStyle name="Normal 8 4 3 2 3" xfId="5286" xr:uid="{00000000-0005-0000-0000-0000FC1D0000}"/>
    <cellStyle name="Normal 8 4 3 2 3 2" xfId="13721" xr:uid="{EB5F8E7A-BA62-4042-BC3D-B16782BE3A62}"/>
    <cellStyle name="Normal 8 4 3 2 4" xfId="9503" xr:uid="{EAC3FCB7-74A0-496D-9E01-3358117B6175}"/>
    <cellStyle name="Normal 8 4 3 3" xfId="1391" xr:uid="{00000000-0005-0000-0000-0000FD1D0000}"/>
    <cellStyle name="Normal 8 4 3 3 2" xfId="3621" xr:uid="{00000000-0005-0000-0000-0000FE1D0000}"/>
    <cellStyle name="Normal 8 4 3 3 2 2" xfId="7844" xr:uid="{00000000-0005-0000-0000-0000FF1D0000}"/>
    <cellStyle name="Normal 8 4 3 3 2 2 2" xfId="16279" xr:uid="{ED2B4E45-0F4F-410C-9C72-DE979D6F794A}"/>
    <cellStyle name="Normal 8 4 3 3 2 3" xfId="12061" xr:uid="{5ABF7076-7BC4-40F4-8BF8-7BB6E263C9CF}"/>
    <cellStyle name="Normal 8 4 3 3 3" xfId="5699" xr:uid="{00000000-0005-0000-0000-0000001E0000}"/>
    <cellStyle name="Normal 8 4 3 3 3 2" xfId="14134" xr:uid="{8E7D94B6-2BD3-4341-B13E-362029F889B2}"/>
    <cellStyle name="Normal 8 4 3 3 4" xfId="9916" xr:uid="{DB589320-85C6-4251-8CA6-A9F57C5EFEE2}"/>
    <cellStyle name="Normal 8 4 3 4" xfId="1804" xr:uid="{00000000-0005-0000-0000-0000011E0000}"/>
    <cellStyle name="Normal 8 4 3 4 2" xfId="4034" xr:uid="{00000000-0005-0000-0000-0000021E0000}"/>
    <cellStyle name="Normal 8 4 3 4 2 2" xfId="8257" xr:uid="{00000000-0005-0000-0000-0000031E0000}"/>
    <cellStyle name="Normal 8 4 3 4 2 2 2" xfId="16692" xr:uid="{41B873C6-80BC-475E-9B3C-A757C015186A}"/>
    <cellStyle name="Normal 8 4 3 4 2 3" xfId="12474" xr:uid="{D0D310B0-81BD-4064-AA9C-E60FF3A0F94E}"/>
    <cellStyle name="Normal 8 4 3 4 3" xfId="6112" xr:uid="{00000000-0005-0000-0000-0000041E0000}"/>
    <cellStyle name="Normal 8 4 3 4 3 2" xfId="14547" xr:uid="{E576C28B-9F39-4748-80CB-A8E95D68DCB0}"/>
    <cellStyle name="Normal 8 4 3 4 4" xfId="10329" xr:uid="{7B4B946F-96CF-4B65-BD5E-6FAC0AF0027F}"/>
    <cellStyle name="Normal 8 4 3 5" xfId="2218" xr:uid="{00000000-0005-0000-0000-0000051E0000}"/>
    <cellStyle name="Normal 8 4 3 5 2" xfId="4447" xr:uid="{00000000-0005-0000-0000-0000061E0000}"/>
    <cellStyle name="Normal 8 4 3 5 2 2" xfId="8670" xr:uid="{00000000-0005-0000-0000-0000071E0000}"/>
    <cellStyle name="Normal 8 4 3 5 2 2 2" xfId="17105" xr:uid="{8B835FCA-2E9D-4A6F-B815-556AAF635E35}"/>
    <cellStyle name="Normal 8 4 3 5 2 3" xfId="12887" xr:uid="{EA741D13-E14D-484C-9EAB-17A8770B545D}"/>
    <cellStyle name="Normal 8 4 3 5 3" xfId="6525" xr:uid="{00000000-0005-0000-0000-0000081E0000}"/>
    <cellStyle name="Normal 8 4 3 5 3 2" xfId="14960" xr:uid="{5420657E-ABF7-4334-AF20-3DFFC0C83889}"/>
    <cellStyle name="Normal 8 4 3 5 4" xfId="10742" xr:uid="{6029C382-C3C9-4AB8-B2C8-333A546140A8}"/>
    <cellStyle name="Normal 8 4 3 6" xfId="2654" xr:uid="{00000000-0005-0000-0000-0000091E0000}"/>
    <cellStyle name="Normal 8 4 3 6 2" xfId="6938" xr:uid="{00000000-0005-0000-0000-00000A1E0000}"/>
    <cellStyle name="Normal 8 4 3 6 2 2" xfId="15373" xr:uid="{9169F8D6-2960-4059-9444-B89D19757B58}"/>
    <cellStyle name="Normal 8 4 3 6 3" xfId="11155" xr:uid="{0E734634-251B-4B68-889D-C65683D51B84}"/>
    <cellStyle name="Normal 8 4 3 7" xfId="4873" xr:uid="{00000000-0005-0000-0000-00000B1E0000}"/>
    <cellStyle name="Normal 8 4 3 7 2" xfId="13308" xr:uid="{41A935E5-FA31-42BB-833C-85AE2367BFEC}"/>
    <cellStyle name="Normal 8 4 3 8" xfId="9090" xr:uid="{C98CEF6F-0777-43D4-A3BB-A85BCE64EED8}"/>
    <cellStyle name="Normal 8 4 4" xfId="971" xr:uid="{00000000-0005-0000-0000-00000C1E0000}"/>
    <cellStyle name="Normal 8 4 4 2" xfId="3205" xr:uid="{00000000-0005-0000-0000-00000D1E0000}"/>
    <cellStyle name="Normal 8 4 4 2 2" xfId="7428" xr:uid="{00000000-0005-0000-0000-00000E1E0000}"/>
    <cellStyle name="Normal 8 4 4 2 2 2" xfId="15863" xr:uid="{9E5314D5-1255-4F51-92D0-5CE14D77B8CF}"/>
    <cellStyle name="Normal 8 4 4 2 3" xfId="11645" xr:uid="{B317CF29-EB41-4AE4-B2ED-D20912AD9A11}"/>
    <cellStyle name="Normal 8 4 4 3" xfId="5283" xr:uid="{00000000-0005-0000-0000-00000F1E0000}"/>
    <cellStyle name="Normal 8 4 4 3 2" xfId="13718" xr:uid="{183F4720-03D5-4087-876A-F2429CB8F389}"/>
    <cellStyle name="Normal 8 4 4 4" xfId="9500" xr:uid="{C8FFAD7C-9F46-45D7-8663-CD50AA65A41C}"/>
    <cellStyle name="Normal 8 4 5" xfId="1388" xr:uid="{00000000-0005-0000-0000-0000101E0000}"/>
    <cellStyle name="Normal 8 4 5 2" xfId="3618" xr:uid="{00000000-0005-0000-0000-0000111E0000}"/>
    <cellStyle name="Normal 8 4 5 2 2" xfId="7841" xr:uid="{00000000-0005-0000-0000-0000121E0000}"/>
    <cellStyle name="Normal 8 4 5 2 2 2" xfId="16276" xr:uid="{6DFDB182-3F98-4DDF-A5FB-4FB134BC19DA}"/>
    <cellStyle name="Normal 8 4 5 2 3" xfId="12058" xr:uid="{6C06B6A3-477D-4FB0-B829-0A413D7D4E64}"/>
    <cellStyle name="Normal 8 4 5 3" xfId="5696" xr:uid="{00000000-0005-0000-0000-0000131E0000}"/>
    <cellStyle name="Normal 8 4 5 3 2" xfId="14131" xr:uid="{0E1EB5CE-6D12-44FC-9D4F-D1C39F00DD96}"/>
    <cellStyle name="Normal 8 4 5 4" xfId="9913" xr:uid="{4C3F718B-10A7-4CF9-B8C0-E7E1CDE479FA}"/>
    <cellStyle name="Normal 8 4 6" xfId="1801" xr:uid="{00000000-0005-0000-0000-0000141E0000}"/>
    <cellStyle name="Normal 8 4 6 2" xfId="4031" xr:uid="{00000000-0005-0000-0000-0000151E0000}"/>
    <cellStyle name="Normal 8 4 6 2 2" xfId="8254" xr:uid="{00000000-0005-0000-0000-0000161E0000}"/>
    <cellStyle name="Normal 8 4 6 2 2 2" xfId="16689" xr:uid="{CC1ABACB-CF6C-411F-A3AB-A4B56E162DA9}"/>
    <cellStyle name="Normal 8 4 6 2 3" xfId="12471" xr:uid="{D0CC4A35-E479-4C43-8DFE-D0BFEF6D192B}"/>
    <cellStyle name="Normal 8 4 6 3" xfId="6109" xr:uid="{00000000-0005-0000-0000-0000171E0000}"/>
    <cellStyle name="Normal 8 4 6 3 2" xfId="14544" xr:uid="{5CBCF691-ABDE-4D53-96E1-3C8F2F22058F}"/>
    <cellStyle name="Normal 8 4 6 4" xfId="10326" xr:uid="{CA8380B8-A583-4136-A79D-09152457908D}"/>
    <cellStyle name="Normal 8 4 7" xfId="2215" xr:uid="{00000000-0005-0000-0000-0000181E0000}"/>
    <cellStyle name="Normal 8 4 7 2" xfId="4444" xr:uid="{00000000-0005-0000-0000-0000191E0000}"/>
    <cellStyle name="Normal 8 4 7 2 2" xfId="8667" xr:uid="{00000000-0005-0000-0000-00001A1E0000}"/>
    <cellStyle name="Normal 8 4 7 2 2 2" xfId="17102" xr:uid="{B7690879-1D46-4A34-8723-61096A60BD0B}"/>
    <cellStyle name="Normal 8 4 7 2 3" xfId="12884" xr:uid="{FA318E8D-6B4A-44AD-A0D2-D554F2BFB17E}"/>
    <cellStyle name="Normal 8 4 7 3" xfId="6522" xr:uid="{00000000-0005-0000-0000-00001B1E0000}"/>
    <cellStyle name="Normal 8 4 7 3 2" xfId="14957" xr:uid="{0DA16198-2893-4879-8A81-C7C94CFB5C01}"/>
    <cellStyle name="Normal 8 4 7 4" xfId="10739" xr:uid="{A04A8293-5F41-4D07-8613-CCA692C5F00B}"/>
    <cellStyle name="Normal 8 4 8" xfId="2651" xr:uid="{00000000-0005-0000-0000-00001C1E0000}"/>
    <cellStyle name="Normal 8 4 8 2" xfId="6935" xr:uid="{00000000-0005-0000-0000-00001D1E0000}"/>
    <cellStyle name="Normal 8 4 8 2 2" xfId="15370" xr:uid="{902BAC1E-EAA3-4D1B-9A08-B5F7B58D387F}"/>
    <cellStyle name="Normal 8 4 8 3" xfId="11152" xr:uid="{8D9CA2DE-BD5D-488C-840E-296DB0EB37BE}"/>
    <cellStyle name="Normal 8 4 9" xfId="4870" xr:uid="{00000000-0005-0000-0000-00001E1E0000}"/>
    <cellStyle name="Normal 8 4 9 2" xfId="13305" xr:uid="{7A78A960-A902-45E5-B88A-ABE241A3DB05}"/>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2 2 2" xfId="15868" xr:uid="{BA5BEEE5-9062-43C0-BC96-3B5CB4D0BB99}"/>
    <cellStyle name="Normal 8 5 2 2 2 3" xfId="11650" xr:uid="{A598BC53-8830-42DC-8BC9-7E84B16278FC}"/>
    <cellStyle name="Normal 8 5 2 2 3" xfId="5288" xr:uid="{00000000-0005-0000-0000-0000241E0000}"/>
    <cellStyle name="Normal 8 5 2 2 3 2" xfId="13723" xr:uid="{BCD7986B-AFEB-4979-9919-050710BA1919}"/>
    <cellStyle name="Normal 8 5 2 2 4" xfId="9505" xr:uid="{F32EDDDD-4124-459A-95EC-C5B13CB30692}"/>
    <cellStyle name="Normal 8 5 2 3" xfId="1393" xr:uid="{00000000-0005-0000-0000-0000251E0000}"/>
    <cellStyle name="Normal 8 5 2 3 2" xfId="3623" xr:uid="{00000000-0005-0000-0000-0000261E0000}"/>
    <cellStyle name="Normal 8 5 2 3 2 2" xfId="7846" xr:uid="{00000000-0005-0000-0000-0000271E0000}"/>
    <cellStyle name="Normal 8 5 2 3 2 2 2" xfId="16281" xr:uid="{0E610833-CF41-4611-8AC0-CEBC92244F99}"/>
    <cellStyle name="Normal 8 5 2 3 2 3" xfId="12063" xr:uid="{1376F8BF-7B15-4C60-B98B-2221568B35DC}"/>
    <cellStyle name="Normal 8 5 2 3 3" xfId="5701" xr:uid="{00000000-0005-0000-0000-0000281E0000}"/>
    <cellStyle name="Normal 8 5 2 3 3 2" xfId="14136" xr:uid="{6D7A6566-80A1-4F15-978A-7A6E14D492A9}"/>
    <cellStyle name="Normal 8 5 2 3 4" xfId="9918" xr:uid="{9CE8BC1A-D403-4E97-9D5F-779DA6A231B0}"/>
    <cellStyle name="Normal 8 5 2 4" xfId="1806" xr:uid="{00000000-0005-0000-0000-0000291E0000}"/>
    <cellStyle name="Normal 8 5 2 4 2" xfId="4036" xr:uid="{00000000-0005-0000-0000-00002A1E0000}"/>
    <cellStyle name="Normal 8 5 2 4 2 2" xfId="8259" xr:uid="{00000000-0005-0000-0000-00002B1E0000}"/>
    <cellStyle name="Normal 8 5 2 4 2 2 2" xfId="16694" xr:uid="{ED503FF2-B029-42B5-862E-9B6A09E7E344}"/>
    <cellStyle name="Normal 8 5 2 4 2 3" xfId="12476" xr:uid="{A0C51BC7-64FD-4269-9B2C-10907FF6C860}"/>
    <cellStyle name="Normal 8 5 2 4 3" xfId="6114" xr:uid="{00000000-0005-0000-0000-00002C1E0000}"/>
    <cellStyle name="Normal 8 5 2 4 3 2" xfId="14549" xr:uid="{47F89CCE-DC8C-48F3-82E5-C9DA4CBB66DF}"/>
    <cellStyle name="Normal 8 5 2 4 4" xfId="10331" xr:uid="{A834807A-0D74-42F4-BDA3-125B646B4DEF}"/>
    <cellStyle name="Normal 8 5 2 5" xfId="2220" xr:uid="{00000000-0005-0000-0000-00002D1E0000}"/>
    <cellStyle name="Normal 8 5 2 5 2" xfId="4449" xr:uid="{00000000-0005-0000-0000-00002E1E0000}"/>
    <cellStyle name="Normal 8 5 2 5 2 2" xfId="8672" xr:uid="{00000000-0005-0000-0000-00002F1E0000}"/>
    <cellStyle name="Normal 8 5 2 5 2 2 2" xfId="17107" xr:uid="{14E72492-F92D-44FB-8F1E-3CBB2B0A3FDA}"/>
    <cellStyle name="Normal 8 5 2 5 2 3" xfId="12889" xr:uid="{9CDA2926-1A7D-4034-9786-8EB39E2350D9}"/>
    <cellStyle name="Normal 8 5 2 5 3" xfId="6527" xr:uid="{00000000-0005-0000-0000-0000301E0000}"/>
    <cellStyle name="Normal 8 5 2 5 3 2" xfId="14962" xr:uid="{2605821E-8891-43E9-8779-C44C77A0D9FF}"/>
    <cellStyle name="Normal 8 5 2 5 4" xfId="10744" xr:uid="{B7F6ACF6-BF58-428B-B577-D23F71A1E3FF}"/>
    <cellStyle name="Normal 8 5 2 6" xfId="2656" xr:uid="{00000000-0005-0000-0000-0000311E0000}"/>
    <cellStyle name="Normal 8 5 2 6 2" xfId="6940" xr:uid="{00000000-0005-0000-0000-0000321E0000}"/>
    <cellStyle name="Normal 8 5 2 6 2 2" xfId="15375" xr:uid="{9175E150-92CD-4229-9B02-FAF6588F78FC}"/>
    <cellStyle name="Normal 8 5 2 6 3" xfId="11157" xr:uid="{87AFBBAE-E3B9-47B0-AD6E-301BAC28C56C}"/>
    <cellStyle name="Normal 8 5 2 7" xfId="4875" xr:uid="{00000000-0005-0000-0000-0000331E0000}"/>
    <cellStyle name="Normal 8 5 2 7 2" xfId="13310" xr:uid="{3DA57C36-8CE6-459B-B12F-61FE6FC065C2}"/>
    <cellStyle name="Normal 8 5 2 8" xfId="9092" xr:uid="{ED5A6F3F-250A-4210-8A87-5E4D3EB22473}"/>
    <cellStyle name="Normal 8 5 3" xfId="975" xr:uid="{00000000-0005-0000-0000-0000341E0000}"/>
    <cellStyle name="Normal 8 5 3 2" xfId="3209" xr:uid="{00000000-0005-0000-0000-0000351E0000}"/>
    <cellStyle name="Normal 8 5 3 2 2" xfId="7432" xr:uid="{00000000-0005-0000-0000-0000361E0000}"/>
    <cellStyle name="Normal 8 5 3 2 2 2" xfId="15867" xr:uid="{4370E889-23BE-4DFB-9FE2-9A077E1A1A81}"/>
    <cellStyle name="Normal 8 5 3 2 3" xfId="11649" xr:uid="{6E4F51D4-C779-455B-89D0-A7FC55DD2FAB}"/>
    <cellStyle name="Normal 8 5 3 3" xfId="5287" xr:uid="{00000000-0005-0000-0000-0000371E0000}"/>
    <cellStyle name="Normal 8 5 3 3 2" xfId="13722" xr:uid="{29AE47A5-1777-412B-A227-6BFD9910420D}"/>
    <cellStyle name="Normal 8 5 3 4" xfId="9504" xr:uid="{A350D09D-BD61-402A-9C68-6F00E7617E1B}"/>
    <cellStyle name="Normal 8 5 4" xfId="1392" xr:uid="{00000000-0005-0000-0000-0000381E0000}"/>
    <cellStyle name="Normal 8 5 4 2" xfId="3622" xr:uid="{00000000-0005-0000-0000-0000391E0000}"/>
    <cellStyle name="Normal 8 5 4 2 2" xfId="7845" xr:uid="{00000000-0005-0000-0000-00003A1E0000}"/>
    <cellStyle name="Normal 8 5 4 2 2 2" xfId="16280" xr:uid="{690E22CA-060C-4505-BF5E-9759D20C1A91}"/>
    <cellStyle name="Normal 8 5 4 2 3" xfId="12062" xr:uid="{E3C56055-9782-4FB4-B748-59B6C5FACE5A}"/>
    <cellStyle name="Normal 8 5 4 3" xfId="5700" xr:uid="{00000000-0005-0000-0000-00003B1E0000}"/>
    <cellStyle name="Normal 8 5 4 3 2" xfId="14135" xr:uid="{6F297ABA-C584-4BFE-AAA6-83825C1B3E75}"/>
    <cellStyle name="Normal 8 5 4 4" xfId="9917" xr:uid="{2B8817AC-AE59-4D6E-A1E5-7F3FC31C0BB7}"/>
    <cellStyle name="Normal 8 5 5" xfId="1805" xr:uid="{00000000-0005-0000-0000-00003C1E0000}"/>
    <cellStyle name="Normal 8 5 5 2" xfId="4035" xr:uid="{00000000-0005-0000-0000-00003D1E0000}"/>
    <cellStyle name="Normal 8 5 5 2 2" xfId="8258" xr:uid="{00000000-0005-0000-0000-00003E1E0000}"/>
    <cellStyle name="Normal 8 5 5 2 2 2" xfId="16693" xr:uid="{3D053498-9677-487A-AA1E-6EAE84AF08DB}"/>
    <cellStyle name="Normal 8 5 5 2 3" xfId="12475" xr:uid="{31ADE091-AE55-406C-B37B-CC233B3E381B}"/>
    <cellStyle name="Normal 8 5 5 3" xfId="6113" xr:uid="{00000000-0005-0000-0000-00003F1E0000}"/>
    <cellStyle name="Normal 8 5 5 3 2" xfId="14548" xr:uid="{B1E0A25C-6040-461A-9B83-400169CCC0C7}"/>
    <cellStyle name="Normal 8 5 5 4" xfId="10330" xr:uid="{CAD31EAD-3217-4E14-91DA-AD53AB09A5A8}"/>
    <cellStyle name="Normal 8 5 6" xfId="2219" xr:uid="{00000000-0005-0000-0000-0000401E0000}"/>
    <cellStyle name="Normal 8 5 6 2" xfId="4448" xr:uid="{00000000-0005-0000-0000-0000411E0000}"/>
    <cellStyle name="Normal 8 5 6 2 2" xfId="8671" xr:uid="{00000000-0005-0000-0000-0000421E0000}"/>
    <cellStyle name="Normal 8 5 6 2 2 2" xfId="17106" xr:uid="{DBBF6903-86CF-42A9-879B-5C7617E9E091}"/>
    <cellStyle name="Normal 8 5 6 2 3" xfId="12888" xr:uid="{3672E66A-B45D-4589-BCE3-5573623811F4}"/>
    <cellStyle name="Normal 8 5 6 3" xfId="6526" xr:uid="{00000000-0005-0000-0000-0000431E0000}"/>
    <cellStyle name="Normal 8 5 6 3 2" xfId="14961" xr:uid="{18952F11-3AFC-4675-9862-0E36EF08AC64}"/>
    <cellStyle name="Normal 8 5 6 4" xfId="10743" xr:uid="{11D2ECD4-6C87-41B4-8E0E-1F23A83AA2F7}"/>
    <cellStyle name="Normal 8 5 7" xfId="2655" xr:uid="{00000000-0005-0000-0000-0000441E0000}"/>
    <cellStyle name="Normal 8 5 7 2" xfId="6939" xr:uid="{00000000-0005-0000-0000-0000451E0000}"/>
    <cellStyle name="Normal 8 5 7 2 2" xfId="15374" xr:uid="{8EED5623-F1E2-4CBB-9604-5E6B6BFACDFB}"/>
    <cellStyle name="Normal 8 5 7 3" xfId="11156" xr:uid="{315B7248-690F-4CFB-9724-200A1A26CDF8}"/>
    <cellStyle name="Normal 8 5 8" xfId="4874" xr:uid="{00000000-0005-0000-0000-0000461E0000}"/>
    <cellStyle name="Normal 8 5 8 2" xfId="13309" xr:uid="{F1D2F4FF-726D-4065-9880-0A6DF1ABBA64}"/>
    <cellStyle name="Normal 8 5 9" xfId="9091" xr:uid="{E16D289E-D30A-4553-80C7-D50AE6F7D38B}"/>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2 2 2" xfId="15869" xr:uid="{0A891FC2-EA37-402B-9D34-BB71593FD464}"/>
    <cellStyle name="Normal 8 6 2 2 3" xfId="11651" xr:uid="{F8CC57A4-445C-4690-9D1C-6ADB3A37FDBA}"/>
    <cellStyle name="Normal 8 6 2 3" xfId="5289" xr:uid="{00000000-0005-0000-0000-00004B1E0000}"/>
    <cellStyle name="Normal 8 6 2 3 2" xfId="13724" xr:uid="{DE8D2299-5E97-4025-B46C-BA8BE0E7D87D}"/>
    <cellStyle name="Normal 8 6 2 4" xfId="9506" xr:uid="{A219E131-77BB-46F0-AB47-F97E3A8FA1DB}"/>
    <cellStyle name="Normal 8 6 3" xfId="1394" xr:uid="{00000000-0005-0000-0000-00004C1E0000}"/>
    <cellStyle name="Normal 8 6 3 2" xfId="3624" xr:uid="{00000000-0005-0000-0000-00004D1E0000}"/>
    <cellStyle name="Normal 8 6 3 2 2" xfId="7847" xr:uid="{00000000-0005-0000-0000-00004E1E0000}"/>
    <cellStyle name="Normal 8 6 3 2 2 2" xfId="16282" xr:uid="{87878380-C80D-4D99-9643-DA8E52958035}"/>
    <cellStyle name="Normal 8 6 3 2 3" xfId="12064" xr:uid="{A3EFBF16-1E8C-4B6E-84E6-8EE4ABE80895}"/>
    <cellStyle name="Normal 8 6 3 3" xfId="5702" xr:uid="{00000000-0005-0000-0000-00004F1E0000}"/>
    <cellStyle name="Normal 8 6 3 3 2" xfId="14137" xr:uid="{2BC4F1A9-F9F8-4BE1-988D-3B86F1A9FDFF}"/>
    <cellStyle name="Normal 8 6 3 4" xfId="9919" xr:uid="{8BAAD88E-1638-471E-9902-7AC24BF5096F}"/>
    <cellStyle name="Normal 8 6 4" xfId="1807" xr:uid="{00000000-0005-0000-0000-0000501E0000}"/>
    <cellStyle name="Normal 8 6 4 2" xfId="4037" xr:uid="{00000000-0005-0000-0000-0000511E0000}"/>
    <cellStyle name="Normal 8 6 4 2 2" xfId="8260" xr:uid="{00000000-0005-0000-0000-0000521E0000}"/>
    <cellStyle name="Normal 8 6 4 2 2 2" xfId="16695" xr:uid="{BF07D21D-4009-4E54-B638-E95E618D1995}"/>
    <cellStyle name="Normal 8 6 4 2 3" xfId="12477" xr:uid="{734B55E9-2993-4785-AFD0-22524B544E20}"/>
    <cellStyle name="Normal 8 6 4 3" xfId="6115" xr:uid="{00000000-0005-0000-0000-0000531E0000}"/>
    <cellStyle name="Normal 8 6 4 3 2" xfId="14550" xr:uid="{74524116-5131-41CD-B614-0FF8D1F2F7CB}"/>
    <cellStyle name="Normal 8 6 4 4" xfId="10332" xr:uid="{7F71A2F5-BE7A-4B05-88C9-99747F71EA2B}"/>
    <cellStyle name="Normal 8 6 5" xfId="2221" xr:uid="{00000000-0005-0000-0000-0000541E0000}"/>
    <cellStyle name="Normal 8 6 5 2" xfId="4450" xr:uid="{00000000-0005-0000-0000-0000551E0000}"/>
    <cellStyle name="Normal 8 6 5 2 2" xfId="8673" xr:uid="{00000000-0005-0000-0000-0000561E0000}"/>
    <cellStyle name="Normal 8 6 5 2 2 2" xfId="17108" xr:uid="{37C1530F-84F1-484B-BB43-19436E3CA8F3}"/>
    <cellStyle name="Normal 8 6 5 2 3" xfId="12890" xr:uid="{B0A713E6-B54D-4F56-A9D1-ECE7E5B025AF}"/>
    <cellStyle name="Normal 8 6 5 3" xfId="6528" xr:uid="{00000000-0005-0000-0000-0000571E0000}"/>
    <cellStyle name="Normal 8 6 5 3 2" xfId="14963" xr:uid="{BBD5BE8A-ECF5-48AA-BB25-EEBB83E1BAD3}"/>
    <cellStyle name="Normal 8 6 5 4" xfId="10745" xr:uid="{081E0E6E-2B53-4738-9854-D6918F2A59E6}"/>
    <cellStyle name="Normal 8 6 6" xfId="2657" xr:uid="{00000000-0005-0000-0000-0000581E0000}"/>
    <cellStyle name="Normal 8 6 6 2" xfId="6941" xr:uid="{00000000-0005-0000-0000-0000591E0000}"/>
    <cellStyle name="Normal 8 6 6 2 2" xfId="15376" xr:uid="{630A06B4-87A2-4369-9FD2-5491AC6A97DD}"/>
    <cellStyle name="Normal 8 6 6 3" xfId="11158" xr:uid="{D23B4B09-66CB-4787-AEC2-08AD86B0B787}"/>
    <cellStyle name="Normal 8 6 7" xfId="4876" xr:uid="{00000000-0005-0000-0000-00005A1E0000}"/>
    <cellStyle name="Normal 8 6 7 2" xfId="13311" xr:uid="{F0EB2D15-9B11-42B9-89CE-1E065F43E459}"/>
    <cellStyle name="Normal 8 6 8" xfId="9093" xr:uid="{9CF0B72F-FBE1-448A-920C-F8EEF072852D}"/>
    <cellStyle name="Normal 8 7" xfId="946" xr:uid="{00000000-0005-0000-0000-00005B1E0000}"/>
    <cellStyle name="Normal 8 7 2" xfId="3180" xr:uid="{00000000-0005-0000-0000-00005C1E0000}"/>
    <cellStyle name="Normal 8 7 2 2" xfId="7403" xr:uid="{00000000-0005-0000-0000-00005D1E0000}"/>
    <cellStyle name="Normal 8 7 2 2 2" xfId="15838" xr:uid="{AE00BD6E-E8A9-401C-BB6C-529FDE90C45F}"/>
    <cellStyle name="Normal 8 7 2 3" xfId="11620" xr:uid="{AAE83D3D-A11A-4BEA-BA47-7109FAB62334}"/>
    <cellStyle name="Normal 8 7 3" xfId="5258" xr:uid="{00000000-0005-0000-0000-00005E1E0000}"/>
    <cellStyle name="Normal 8 7 3 2" xfId="13693" xr:uid="{2CAE20DB-1EB7-4994-BDCD-D1F18748A4B0}"/>
    <cellStyle name="Normal 8 7 4" xfId="9475" xr:uid="{02575CEE-01E2-4BAD-BDAC-B5C5FF37149A}"/>
    <cellStyle name="Normal 8 8" xfId="1363" xr:uid="{00000000-0005-0000-0000-00005F1E0000}"/>
    <cellStyle name="Normal 8 8 2" xfId="3593" xr:uid="{00000000-0005-0000-0000-0000601E0000}"/>
    <cellStyle name="Normal 8 8 2 2" xfId="7816" xr:uid="{00000000-0005-0000-0000-0000611E0000}"/>
    <cellStyle name="Normal 8 8 2 2 2" xfId="16251" xr:uid="{CF936221-0AF6-43E5-AC54-00BA7A4EE758}"/>
    <cellStyle name="Normal 8 8 2 3" xfId="12033" xr:uid="{4AC9E525-13E1-49C9-8BF3-4DC1635C64C1}"/>
    <cellStyle name="Normal 8 8 3" xfId="5671" xr:uid="{00000000-0005-0000-0000-0000621E0000}"/>
    <cellStyle name="Normal 8 8 3 2" xfId="14106" xr:uid="{502D5DD0-5035-450B-A29E-56EC634A2138}"/>
    <cellStyle name="Normal 8 8 4" xfId="9888" xr:uid="{4B6AC956-DD56-4F09-9CF4-DD27DDC7A730}"/>
    <cellStyle name="Normal 8 9" xfId="1776" xr:uid="{00000000-0005-0000-0000-0000631E0000}"/>
    <cellStyle name="Normal 8 9 2" xfId="4006" xr:uid="{00000000-0005-0000-0000-0000641E0000}"/>
    <cellStyle name="Normal 8 9 2 2" xfId="8229" xr:uid="{00000000-0005-0000-0000-0000651E0000}"/>
    <cellStyle name="Normal 8 9 2 2 2" xfId="16664" xr:uid="{5B45450D-D6B9-4D33-85DB-8B7064D4D9C1}"/>
    <cellStyle name="Normal 8 9 2 3" xfId="12446" xr:uid="{B152FC4C-28F2-4B62-82F1-C5DD5A85767D}"/>
    <cellStyle name="Normal 8 9 3" xfId="6084" xr:uid="{00000000-0005-0000-0000-0000661E0000}"/>
    <cellStyle name="Normal 8 9 3 2" xfId="14519" xr:uid="{66821CF9-186A-4216-9D13-3F975AA7B5AC}"/>
    <cellStyle name="Normal 8 9 4" xfId="10301" xr:uid="{C12EFBBF-AE90-4251-8CAD-BD16439D6D66}"/>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0 2 2" xfId="15377" xr:uid="{E965B446-3450-4E75-A271-517612194470}"/>
    <cellStyle name="Normal 9 2 10 3" xfId="11159" xr:uid="{FFC80838-FEAB-4A2D-8CE1-F95095C5AFEE}"/>
    <cellStyle name="Normal 9 2 11" xfId="4877" xr:uid="{00000000-0005-0000-0000-00006B1E0000}"/>
    <cellStyle name="Normal 9 2 11 2" xfId="13312" xr:uid="{F23BEF76-FE6C-4BE7-8907-9C9248A8B7D3}"/>
    <cellStyle name="Normal 9 2 12" xfId="9094" xr:uid="{C89A26C2-13BA-4A9A-B2E2-A6874CC81BD0}"/>
    <cellStyle name="Normal 9 2 2" xfId="512" xr:uid="{00000000-0005-0000-0000-00006C1E0000}"/>
    <cellStyle name="Normal 9 2 2 10" xfId="4878" xr:uid="{00000000-0005-0000-0000-00006D1E0000}"/>
    <cellStyle name="Normal 9 2 2 10 2" xfId="13313" xr:uid="{A8E28D5A-0BA7-43EC-BE63-F0061C3760B7}"/>
    <cellStyle name="Normal 9 2 2 11" xfId="9095" xr:uid="{44FCC838-8DF8-4683-BF89-C2C6C96EF767}"/>
    <cellStyle name="Normal 9 2 2 2" xfId="513" xr:uid="{00000000-0005-0000-0000-00006E1E0000}"/>
    <cellStyle name="Normal 9 2 2 2 10" xfId="9096" xr:uid="{1B6A4FB3-8AB3-4C73-B928-31DA8F665EDA}"/>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2 2 2" xfId="15874" xr:uid="{1680871F-2D56-47DC-A790-93BA825E9771}"/>
    <cellStyle name="Normal 9 2 2 2 2 2 2 2 3" xfId="11656" xr:uid="{92763E9E-EEDE-4CEA-8B5B-049E799D7D7E}"/>
    <cellStyle name="Normal 9 2 2 2 2 2 2 3" xfId="5294" xr:uid="{00000000-0005-0000-0000-0000741E0000}"/>
    <cellStyle name="Normal 9 2 2 2 2 2 2 3 2" xfId="13729" xr:uid="{9DC9C9B7-E35B-4E5F-BAF4-1464AFB5AC50}"/>
    <cellStyle name="Normal 9 2 2 2 2 2 2 4" xfId="9511" xr:uid="{B989FF45-507F-4F6A-BF87-D7E5AE81D7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2 2 2" xfId="16287" xr:uid="{5D33578B-3810-45BE-829B-4F051C63563C}"/>
    <cellStyle name="Normal 9 2 2 2 2 2 3 2 3" xfId="12069" xr:uid="{845B8108-6670-4205-A20F-E50FDDE5712D}"/>
    <cellStyle name="Normal 9 2 2 2 2 2 3 3" xfId="5707" xr:uid="{00000000-0005-0000-0000-0000781E0000}"/>
    <cellStyle name="Normal 9 2 2 2 2 2 3 3 2" xfId="14142" xr:uid="{A4BB69DA-AF7B-4F12-80D6-0318E9804432}"/>
    <cellStyle name="Normal 9 2 2 2 2 2 3 4" xfId="9924" xr:uid="{0C956A09-85C0-4AE8-8243-D98AE6EBACEF}"/>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2 2 2" xfId="16700" xr:uid="{BBBC81E6-2989-41F6-9363-A051D1E992C5}"/>
    <cellStyle name="Normal 9 2 2 2 2 2 4 2 3" xfId="12482" xr:uid="{AFCD4842-E24B-4726-B7B1-8E03A64745BD}"/>
    <cellStyle name="Normal 9 2 2 2 2 2 4 3" xfId="6120" xr:uid="{00000000-0005-0000-0000-00007C1E0000}"/>
    <cellStyle name="Normal 9 2 2 2 2 2 4 3 2" xfId="14555" xr:uid="{D224F417-5683-46C5-AA9A-404E24142CEC}"/>
    <cellStyle name="Normal 9 2 2 2 2 2 4 4" xfId="10337" xr:uid="{FFFB75E2-7FAF-4AC3-936D-086884B0744C}"/>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2 2 2" xfId="17113" xr:uid="{4FE50B8A-D90D-42B5-8858-4210B1E3AE2A}"/>
    <cellStyle name="Normal 9 2 2 2 2 2 5 2 3" xfId="12895" xr:uid="{D5955AD3-6673-466C-B52B-FB78BA48A8E2}"/>
    <cellStyle name="Normal 9 2 2 2 2 2 5 3" xfId="6533" xr:uid="{00000000-0005-0000-0000-0000801E0000}"/>
    <cellStyle name="Normal 9 2 2 2 2 2 5 3 2" xfId="14968" xr:uid="{E7F344F4-D291-4BBE-9217-D78329B5649F}"/>
    <cellStyle name="Normal 9 2 2 2 2 2 5 4" xfId="10750" xr:uid="{D4424071-5009-4AAE-8543-33748964A8FD}"/>
    <cellStyle name="Normal 9 2 2 2 2 2 6" xfId="2662" xr:uid="{00000000-0005-0000-0000-0000811E0000}"/>
    <cellStyle name="Normal 9 2 2 2 2 2 6 2" xfId="6946" xr:uid="{00000000-0005-0000-0000-0000821E0000}"/>
    <cellStyle name="Normal 9 2 2 2 2 2 6 2 2" xfId="15381" xr:uid="{2C5DAFBC-FC06-4870-ACCA-13B8089E391D}"/>
    <cellStyle name="Normal 9 2 2 2 2 2 6 3" xfId="11163" xr:uid="{061D462C-A7A2-4FDF-94FB-D080876E9555}"/>
    <cellStyle name="Normal 9 2 2 2 2 2 7" xfId="4881" xr:uid="{00000000-0005-0000-0000-0000831E0000}"/>
    <cellStyle name="Normal 9 2 2 2 2 2 7 2" xfId="13316" xr:uid="{5AF2780C-FD5E-4416-9BDB-85559ED12601}"/>
    <cellStyle name="Normal 9 2 2 2 2 2 8" xfId="9098" xr:uid="{D2F670C9-AC48-43A3-BCF8-14EAF019CE01}"/>
    <cellStyle name="Normal 9 2 2 2 2 3" xfId="982" xr:uid="{00000000-0005-0000-0000-0000841E0000}"/>
    <cellStyle name="Normal 9 2 2 2 2 3 2" xfId="3215" xr:uid="{00000000-0005-0000-0000-0000851E0000}"/>
    <cellStyle name="Normal 9 2 2 2 2 3 2 2" xfId="7438" xr:uid="{00000000-0005-0000-0000-0000861E0000}"/>
    <cellStyle name="Normal 9 2 2 2 2 3 2 2 2" xfId="15873" xr:uid="{EFDDEBB9-9AE5-46EE-9213-FCB854AB420A}"/>
    <cellStyle name="Normal 9 2 2 2 2 3 2 3" xfId="11655" xr:uid="{557CD8CE-A591-49C0-887C-0268402FA68A}"/>
    <cellStyle name="Normal 9 2 2 2 2 3 3" xfId="5293" xr:uid="{00000000-0005-0000-0000-0000871E0000}"/>
    <cellStyle name="Normal 9 2 2 2 2 3 3 2" xfId="13728" xr:uid="{EAF1DDEA-BF92-4BE5-8413-FBE05ED370D6}"/>
    <cellStyle name="Normal 9 2 2 2 2 3 4" xfId="9510" xr:uid="{0E77CBCA-477D-41FE-B94A-6F92421E3B4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2 2 2" xfId="16286" xr:uid="{7BC79F9D-4855-4078-8201-AFDDA0B4928F}"/>
    <cellStyle name="Normal 9 2 2 2 2 4 2 3" xfId="12068" xr:uid="{5B46B5C3-2410-42A7-8298-5AFD3DD92709}"/>
    <cellStyle name="Normal 9 2 2 2 2 4 3" xfId="5706" xr:uid="{00000000-0005-0000-0000-00008B1E0000}"/>
    <cellStyle name="Normal 9 2 2 2 2 4 3 2" xfId="14141" xr:uid="{73B2DCDB-72E8-4168-B2DA-399640AC2516}"/>
    <cellStyle name="Normal 9 2 2 2 2 4 4" xfId="9923" xr:uid="{05DA4010-754B-4E10-A9ED-BCC84B191B18}"/>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2 2 2" xfId="16699" xr:uid="{8D2A165A-7B9F-4391-A807-FBEFF991C6DC}"/>
    <cellStyle name="Normal 9 2 2 2 2 5 2 3" xfId="12481" xr:uid="{D422707B-94D9-4B18-B132-793096C4A713}"/>
    <cellStyle name="Normal 9 2 2 2 2 5 3" xfId="6119" xr:uid="{00000000-0005-0000-0000-00008F1E0000}"/>
    <cellStyle name="Normal 9 2 2 2 2 5 3 2" xfId="14554" xr:uid="{F5BF88D4-AE27-4224-BAF3-53FE259ECE76}"/>
    <cellStyle name="Normal 9 2 2 2 2 5 4" xfId="10336" xr:uid="{FE761EFA-48A8-4151-9CC6-81C5F71F4B8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2 2 2" xfId="17112" xr:uid="{9948F44F-041D-4E4B-89A2-7569DF1767A2}"/>
    <cellStyle name="Normal 9 2 2 2 2 6 2 3" xfId="12894" xr:uid="{48E9AA27-4BDB-4BD5-9C61-F368F5A7D0D2}"/>
    <cellStyle name="Normal 9 2 2 2 2 6 3" xfId="6532" xr:uid="{00000000-0005-0000-0000-0000931E0000}"/>
    <cellStyle name="Normal 9 2 2 2 2 6 3 2" xfId="14967" xr:uid="{F527C1C7-94C1-48E3-AAD3-A38073D7903E}"/>
    <cellStyle name="Normal 9 2 2 2 2 6 4" xfId="10749" xr:uid="{7C10E65B-ADCB-4E63-A4C2-7258F269D560}"/>
    <cellStyle name="Normal 9 2 2 2 2 7" xfId="2661" xr:uid="{00000000-0005-0000-0000-0000941E0000}"/>
    <cellStyle name="Normal 9 2 2 2 2 7 2" xfId="6945" xr:uid="{00000000-0005-0000-0000-0000951E0000}"/>
    <cellStyle name="Normal 9 2 2 2 2 7 2 2" xfId="15380" xr:uid="{27A2238F-D7E0-46FC-906A-824209C497A2}"/>
    <cellStyle name="Normal 9 2 2 2 2 7 3" xfId="11162" xr:uid="{EB2A90AB-1568-43EC-94AB-D7DA7911B6DF}"/>
    <cellStyle name="Normal 9 2 2 2 2 8" xfId="4880" xr:uid="{00000000-0005-0000-0000-0000961E0000}"/>
    <cellStyle name="Normal 9 2 2 2 2 8 2" xfId="13315" xr:uid="{34AE462D-AEBA-4C37-8681-640A3113BD2D}"/>
    <cellStyle name="Normal 9 2 2 2 2 9" xfId="9097" xr:uid="{3E3C0A1E-1143-48B2-8B1E-2AD475A69F6F}"/>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2 2 2" xfId="15875" xr:uid="{2E21B907-D371-457A-AA0F-AA29F33A7482}"/>
    <cellStyle name="Normal 9 2 2 2 3 2 2 3" xfId="11657" xr:uid="{B4F3E27F-A7A2-4A45-94C3-D4125D9D8CCA}"/>
    <cellStyle name="Normal 9 2 2 2 3 2 3" xfId="5295" xr:uid="{00000000-0005-0000-0000-00009B1E0000}"/>
    <cellStyle name="Normal 9 2 2 2 3 2 3 2" xfId="13730" xr:uid="{803D7487-4EEC-4547-AC02-0C23D7E1046D}"/>
    <cellStyle name="Normal 9 2 2 2 3 2 4" xfId="9512" xr:uid="{DE4D5D18-76C0-44E2-945B-027BF2A4443A}"/>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2 2 2" xfId="16288" xr:uid="{D6A2257D-10C7-4A5E-A65E-A9F29B12B5E5}"/>
    <cellStyle name="Normal 9 2 2 2 3 3 2 3" xfId="12070" xr:uid="{04E657B2-5F99-4BD2-AB52-D49BC7A61E3C}"/>
    <cellStyle name="Normal 9 2 2 2 3 3 3" xfId="5708" xr:uid="{00000000-0005-0000-0000-00009F1E0000}"/>
    <cellStyle name="Normal 9 2 2 2 3 3 3 2" xfId="14143" xr:uid="{509C0D4C-DFBE-459A-B1B2-9F984E751FB4}"/>
    <cellStyle name="Normal 9 2 2 2 3 3 4" xfId="9925" xr:uid="{0DE85767-A135-4B39-B5D2-92F5BD4C3585}"/>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2 2 2" xfId="16701" xr:uid="{10E939F5-08A5-4A83-9264-1D8EB255DC57}"/>
    <cellStyle name="Normal 9 2 2 2 3 4 2 3" xfId="12483" xr:uid="{7A64C57F-D1DB-4614-A795-21771D3E32D8}"/>
    <cellStyle name="Normal 9 2 2 2 3 4 3" xfId="6121" xr:uid="{00000000-0005-0000-0000-0000A31E0000}"/>
    <cellStyle name="Normal 9 2 2 2 3 4 3 2" xfId="14556" xr:uid="{AE75B9F2-2EDA-49DE-8C8F-4EC0421E7E9C}"/>
    <cellStyle name="Normal 9 2 2 2 3 4 4" xfId="10338" xr:uid="{51400073-F002-4042-A6F4-64842758BC18}"/>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2 2 2" xfId="17114" xr:uid="{D09D2A4E-361F-4A4F-9DFC-CEDB6BC0B703}"/>
    <cellStyle name="Normal 9 2 2 2 3 5 2 3" xfId="12896" xr:uid="{993CD68D-0633-404D-9FDD-489C5B24D0F9}"/>
    <cellStyle name="Normal 9 2 2 2 3 5 3" xfId="6534" xr:uid="{00000000-0005-0000-0000-0000A71E0000}"/>
    <cellStyle name="Normal 9 2 2 2 3 5 3 2" xfId="14969" xr:uid="{D87C5315-D3F3-45E4-8BF0-68B9F71D9DA4}"/>
    <cellStyle name="Normal 9 2 2 2 3 5 4" xfId="10751" xr:uid="{1DCA5451-CFCC-4AA4-A9A9-EDD882C0922B}"/>
    <cellStyle name="Normal 9 2 2 2 3 6" xfId="2663" xr:uid="{00000000-0005-0000-0000-0000A81E0000}"/>
    <cellStyle name="Normal 9 2 2 2 3 6 2" xfId="6947" xr:uid="{00000000-0005-0000-0000-0000A91E0000}"/>
    <cellStyle name="Normal 9 2 2 2 3 6 2 2" xfId="15382" xr:uid="{49F36FBB-B701-4A1A-82FB-3632E4724664}"/>
    <cellStyle name="Normal 9 2 2 2 3 6 3" xfId="11164" xr:uid="{7622BD70-5674-402D-B997-BCD2C1D37A34}"/>
    <cellStyle name="Normal 9 2 2 2 3 7" xfId="4882" xr:uid="{00000000-0005-0000-0000-0000AA1E0000}"/>
    <cellStyle name="Normal 9 2 2 2 3 7 2" xfId="13317" xr:uid="{204E80E1-426D-4AD3-9AA7-1673CB6B451E}"/>
    <cellStyle name="Normal 9 2 2 2 3 8" xfId="9099" xr:uid="{46980DEC-4FD7-426E-8523-858D86543ECA}"/>
    <cellStyle name="Normal 9 2 2 2 4" xfId="981" xr:uid="{00000000-0005-0000-0000-0000AB1E0000}"/>
    <cellStyle name="Normal 9 2 2 2 4 2" xfId="3214" xr:uid="{00000000-0005-0000-0000-0000AC1E0000}"/>
    <cellStyle name="Normal 9 2 2 2 4 2 2" xfId="7437" xr:uid="{00000000-0005-0000-0000-0000AD1E0000}"/>
    <cellStyle name="Normal 9 2 2 2 4 2 2 2" xfId="15872" xr:uid="{9E901D9B-2AEC-4C8F-9F1D-54D2018E129C}"/>
    <cellStyle name="Normal 9 2 2 2 4 2 3" xfId="11654" xr:uid="{C20404EF-C776-4FA4-98B0-E29228F43513}"/>
    <cellStyle name="Normal 9 2 2 2 4 3" xfId="5292" xr:uid="{00000000-0005-0000-0000-0000AE1E0000}"/>
    <cellStyle name="Normal 9 2 2 2 4 3 2" xfId="13727" xr:uid="{316997C8-93BC-4BAD-81D9-334F717D5A22}"/>
    <cellStyle name="Normal 9 2 2 2 4 4" xfId="9509" xr:uid="{DE073A4D-75BE-46D0-BD4D-92096B3DFE73}"/>
    <cellStyle name="Normal 9 2 2 2 5" xfId="1397" xr:uid="{00000000-0005-0000-0000-0000AF1E0000}"/>
    <cellStyle name="Normal 9 2 2 2 5 2" xfId="3627" xr:uid="{00000000-0005-0000-0000-0000B01E0000}"/>
    <cellStyle name="Normal 9 2 2 2 5 2 2" xfId="7850" xr:uid="{00000000-0005-0000-0000-0000B11E0000}"/>
    <cellStyle name="Normal 9 2 2 2 5 2 2 2" xfId="16285" xr:uid="{BCE7662C-E543-44F3-AEB1-281D758183DF}"/>
    <cellStyle name="Normal 9 2 2 2 5 2 3" xfId="12067" xr:uid="{78158374-7173-41BD-9811-AF2EE5FDB945}"/>
    <cellStyle name="Normal 9 2 2 2 5 3" xfId="5705" xr:uid="{00000000-0005-0000-0000-0000B21E0000}"/>
    <cellStyle name="Normal 9 2 2 2 5 3 2" xfId="14140" xr:uid="{98186B7C-CFD8-41FE-93B3-AB580129A782}"/>
    <cellStyle name="Normal 9 2 2 2 5 4" xfId="9922" xr:uid="{2254CEC5-3BF0-42BE-87B3-5285AB4A6C9D}"/>
    <cellStyle name="Normal 9 2 2 2 6" xfId="1810" xr:uid="{00000000-0005-0000-0000-0000B31E0000}"/>
    <cellStyle name="Normal 9 2 2 2 6 2" xfId="4040" xr:uid="{00000000-0005-0000-0000-0000B41E0000}"/>
    <cellStyle name="Normal 9 2 2 2 6 2 2" xfId="8263" xr:uid="{00000000-0005-0000-0000-0000B51E0000}"/>
    <cellStyle name="Normal 9 2 2 2 6 2 2 2" xfId="16698" xr:uid="{68592E49-F4F1-464A-B916-13EC50CF0604}"/>
    <cellStyle name="Normal 9 2 2 2 6 2 3" xfId="12480" xr:uid="{C5BDCE7C-02AD-46C8-B5D5-2C199CCA38C6}"/>
    <cellStyle name="Normal 9 2 2 2 6 3" xfId="6118" xr:uid="{00000000-0005-0000-0000-0000B61E0000}"/>
    <cellStyle name="Normal 9 2 2 2 6 3 2" xfId="14553" xr:uid="{0C7D5AA8-7C06-4EEE-80C9-93CBF37FE14E}"/>
    <cellStyle name="Normal 9 2 2 2 6 4" xfId="10335" xr:uid="{5214A47C-4E81-4806-8588-9B4948D39B48}"/>
    <cellStyle name="Normal 9 2 2 2 7" xfId="2224" xr:uid="{00000000-0005-0000-0000-0000B71E0000}"/>
    <cellStyle name="Normal 9 2 2 2 7 2" xfId="4453" xr:uid="{00000000-0005-0000-0000-0000B81E0000}"/>
    <cellStyle name="Normal 9 2 2 2 7 2 2" xfId="8676" xr:uid="{00000000-0005-0000-0000-0000B91E0000}"/>
    <cellStyle name="Normal 9 2 2 2 7 2 2 2" xfId="17111" xr:uid="{3F3E4BEC-EB9A-4717-9774-FB3AC2063506}"/>
    <cellStyle name="Normal 9 2 2 2 7 2 3" xfId="12893" xr:uid="{72DC558A-AA03-4C46-BAA5-06436796CD7E}"/>
    <cellStyle name="Normal 9 2 2 2 7 3" xfId="6531" xr:uid="{00000000-0005-0000-0000-0000BA1E0000}"/>
    <cellStyle name="Normal 9 2 2 2 7 3 2" xfId="14966" xr:uid="{7F3B1B46-1E83-4E2D-AEAF-2DA7A6ACED7C}"/>
    <cellStyle name="Normal 9 2 2 2 7 4" xfId="10748" xr:uid="{33206B73-C646-4CF8-BC83-9EAA78456773}"/>
    <cellStyle name="Normal 9 2 2 2 8" xfId="2660" xr:uid="{00000000-0005-0000-0000-0000BB1E0000}"/>
    <cellStyle name="Normal 9 2 2 2 8 2" xfId="6944" xr:uid="{00000000-0005-0000-0000-0000BC1E0000}"/>
    <cellStyle name="Normal 9 2 2 2 8 2 2" xfId="15379" xr:uid="{26F717FA-2550-4830-92B1-D73807B26A06}"/>
    <cellStyle name="Normal 9 2 2 2 8 3" xfId="11161" xr:uid="{9DFEFA79-3784-4E2E-B0EB-BDAC4CA9F611}"/>
    <cellStyle name="Normal 9 2 2 2 9" xfId="4879" xr:uid="{00000000-0005-0000-0000-0000BD1E0000}"/>
    <cellStyle name="Normal 9 2 2 2 9 2" xfId="13314" xr:uid="{566B052B-DEBD-4699-9D37-747BF342750C}"/>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2 2 2" xfId="15877" xr:uid="{6AAFD372-D888-4C4B-9066-FC161E33D241}"/>
    <cellStyle name="Normal 9 2 2 3 2 2 2 3" xfId="11659" xr:uid="{CF6AE07E-D28C-4F17-8088-F88CBEB990B6}"/>
    <cellStyle name="Normal 9 2 2 3 2 2 3" xfId="5297" xr:uid="{00000000-0005-0000-0000-0000C31E0000}"/>
    <cellStyle name="Normal 9 2 2 3 2 2 3 2" xfId="13732" xr:uid="{2FFF7E43-2EDD-4E21-835D-2CF9282B0900}"/>
    <cellStyle name="Normal 9 2 2 3 2 2 4" xfId="9514" xr:uid="{CBA9E890-A90A-4956-AC57-BAAEB7B7A9C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2 2 2" xfId="16290" xr:uid="{EB965F7B-B730-4270-8A55-7C7EBD4DA0B0}"/>
    <cellStyle name="Normal 9 2 2 3 2 3 2 3" xfId="12072" xr:uid="{274F7025-7DCE-4338-B028-E542DEB9A758}"/>
    <cellStyle name="Normal 9 2 2 3 2 3 3" xfId="5710" xr:uid="{00000000-0005-0000-0000-0000C71E0000}"/>
    <cellStyle name="Normal 9 2 2 3 2 3 3 2" xfId="14145" xr:uid="{1A6E955F-453A-46DC-A6A8-B7E031238C3A}"/>
    <cellStyle name="Normal 9 2 2 3 2 3 4" xfId="9927" xr:uid="{F0922746-E9F5-4158-8808-F21DD4D522A2}"/>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2 2 2" xfId="16703" xr:uid="{B58C2544-FC17-4418-974E-72767B05F9FC}"/>
    <cellStyle name="Normal 9 2 2 3 2 4 2 3" xfId="12485" xr:uid="{CE64EEDC-C5B3-43A4-BD66-183D9749EE1F}"/>
    <cellStyle name="Normal 9 2 2 3 2 4 3" xfId="6123" xr:uid="{00000000-0005-0000-0000-0000CB1E0000}"/>
    <cellStyle name="Normal 9 2 2 3 2 4 3 2" xfId="14558" xr:uid="{24AA3CD1-6E3B-40FC-92C1-3451567B2E8E}"/>
    <cellStyle name="Normal 9 2 2 3 2 4 4" xfId="10340" xr:uid="{0066CBBC-4F69-4824-BDFA-B598F7D3C296}"/>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2 2 2" xfId="17116" xr:uid="{B6CC6441-AF2F-43FD-8FE5-C3D592D5C79A}"/>
    <cellStyle name="Normal 9 2 2 3 2 5 2 3" xfId="12898" xr:uid="{F968BA50-C633-4E53-843A-36EC25459F4A}"/>
    <cellStyle name="Normal 9 2 2 3 2 5 3" xfId="6536" xr:uid="{00000000-0005-0000-0000-0000CF1E0000}"/>
    <cellStyle name="Normal 9 2 2 3 2 5 3 2" xfId="14971" xr:uid="{82BBA6D1-8C7F-4793-B7A1-99654A747BF7}"/>
    <cellStyle name="Normal 9 2 2 3 2 5 4" xfId="10753" xr:uid="{B65F53E6-2DDB-43FD-AEE0-BC414856D2EF}"/>
    <cellStyle name="Normal 9 2 2 3 2 6" xfId="2665" xr:uid="{00000000-0005-0000-0000-0000D01E0000}"/>
    <cellStyle name="Normal 9 2 2 3 2 6 2" xfId="6949" xr:uid="{00000000-0005-0000-0000-0000D11E0000}"/>
    <cellStyle name="Normal 9 2 2 3 2 6 2 2" xfId="15384" xr:uid="{A75458CA-00CD-4F85-8579-FA5BE0770F97}"/>
    <cellStyle name="Normal 9 2 2 3 2 6 3" xfId="11166" xr:uid="{FC6A2D87-8932-4FE4-84E7-B5F4F400CDDD}"/>
    <cellStyle name="Normal 9 2 2 3 2 7" xfId="4884" xr:uid="{00000000-0005-0000-0000-0000D21E0000}"/>
    <cellStyle name="Normal 9 2 2 3 2 7 2" xfId="13319" xr:uid="{773DD6C9-6F06-4F51-ABDB-26451AE2931F}"/>
    <cellStyle name="Normal 9 2 2 3 2 8" xfId="9101" xr:uid="{87CB74A0-C5E8-4CA7-898D-609FD065BE5A}"/>
    <cellStyle name="Normal 9 2 2 3 3" xfId="985" xr:uid="{00000000-0005-0000-0000-0000D31E0000}"/>
    <cellStyle name="Normal 9 2 2 3 3 2" xfId="3218" xr:uid="{00000000-0005-0000-0000-0000D41E0000}"/>
    <cellStyle name="Normal 9 2 2 3 3 2 2" xfId="7441" xr:uid="{00000000-0005-0000-0000-0000D51E0000}"/>
    <cellStyle name="Normal 9 2 2 3 3 2 2 2" xfId="15876" xr:uid="{089561A6-B1C0-4EC5-8D10-62526EB0C7AA}"/>
    <cellStyle name="Normal 9 2 2 3 3 2 3" xfId="11658" xr:uid="{E301FC05-6680-4D11-AD12-82E5923F7578}"/>
    <cellStyle name="Normal 9 2 2 3 3 3" xfId="5296" xr:uid="{00000000-0005-0000-0000-0000D61E0000}"/>
    <cellStyle name="Normal 9 2 2 3 3 3 2" xfId="13731" xr:uid="{D0C7E9CD-3753-4BFF-8E90-6BF9B5571212}"/>
    <cellStyle name="Normal 9 2 2 3 3 4" xfId="9513" xr:uid="{811BDADA-B5A7-4CE1-959C-89C62F0FA417}"/>
    <cellStyle name="Normal 9 2 2 3 4" xfId="1401" xr:uid="{00000000-0005-0000-0000-0000D71E0000}"/>
    <cellStyle name="Normal 9 2 2 3 4 2" xfId="3631" xr:uid="{00000000-0005-0000-0000-0000D81E0000}"/>
    <cellStyle name="Normal 9 2 2 3 4 2 2" xfId="7854" xr:uid="{00000000-0005-0000-0000-0000D91E0000}"/>
    <cellStyle name="Normal 9 2 2 3 4 2 2 2" xfId="16289" xr:uid="{60773E6E-F8E1-430D-B26E-1A7011A15FF0}"/>
    <cellStyle name="Normal 9 2 2 3 4 2 3" xfId="12071" xr:uid="{FD4B8EED-8E02-4A11-8056-B2FB88FF04BC}"/>
    <cellStyle name="Normal 9 2 2 3 4 3" xfId="5709" xr:uid="{00000000-0005-0000-0000-0000DA1E0000}"/>
    <cellStyle name="Normal 9 2 2 3 4 3 2" xfId="14144" xr:uid="{D93B7139-FEFF-4E08-ACC3-7FE5E8F011D6}"/>
    <cellStyle name="Normal 9 2 2 3 4 4" xfId="9926" xr:uid="{97DF7B4E-E389-42C9-8B99-839012088F4D}"/>
    <cellStyle name="Normal 9 2 2 3 5" xfId="1814" xr:uid="{00000000-0005-0000-0000-0000DB1E0000}"/>
    <cellStyle name="Normal 9 2 2 3 5 2" xfId="4044" xr:uid="{00000000-0005-0000-0000-0000DC1E0000}"/>
    <cellStyle name="Normal 9 2 2 3 5 2 2" xfId="8267" xr:uid="{00000000-0005-0000-0000-0000DD1E0000}"/>
    <cellStyle name="Normal 9 2 2 3 5 2 2 2" xfId="16702" xr:uid="{9334681D-5D97-4816-B1F2-B3D59E26D949}"/>
    <cellStyle name="Normal 9 2 2 3 5 2 3" xfId="12484" xr:uid="{05CB4615-EB0E-42C7-A284-6919A3ACF4E9}"/>
    <cellStyle name="Normal 9 2 2 3 5 3" xfId="6122" xr:uid="{00000000-0005-0000-0000-0000DE1E0000}"/>
    <cellStyle name="Normal 9 2 2 3 5 3 2" xfId="14557" xr:uid="{E9F712A0-08E0-414F-982E-7E61A395FDA7}"/>
    <cellStyle name="Normal 9 2 2 3 5 4" xfId="10339" xr:uid="{AA171038-3D67-4A92-B347-A32D575D7C79}"/>
    <cellStyle name="Normal 9 2 2 3 6" xfId="2228" xr:uid="{00000000-0005-0000-0000-0000DF1E0000}"/>
    <cellStyle name="Normal 9 2 2 3 6 2" xfId="4457" xr:uid="{00000000-0005-0000-0000-0000E01E0000}"/>
    <cellStyle name="Normal 9 2 2 3 6 2 2" xfId="8680" xr:uid="{00000000-0005-0000-0000-0000E11E0000}"/>
    <cellStyle name="Normal 9 2 2 3 6 2 2 2" xfId="17115" xr:uid="{16A56B57-342D-4952-82BC-D4B633558211}"/>
    <cellStyle name="Normal 9 2 2 3 6 2 3" xfId="12897" xr:uid="{40FE226C-2449-4118-907D-6C8FCEAF56B1}"/>
    <cellStyle name="Normal 9 2 2 3 6 3" xfId="6535" xr:uid="{00000000-0005-0000-0000-0000E21E0000}"/>
    <cellStyle name="Normal 9 2 2 3 6 3 2" xfId="14970" xr:uid="{A813ACAC-05DC-4AAD-A0A6-4A8F5D0778B9}"/>
    <cellStyle name="Normal 9 2 2 3 6 4" xfId="10752" xr:uid="{5A8FCB78-1C90-4386-B039-6C6F9E019BA1}"/>
    <cellStyle name="Normal 9 2 2 3 7" xfId="2664" xr:uid="{00000000-0005-0000-0000-0000E31E0000}"/>
    <cellStyle name="Normal 9 2 2 3 7 2" xfId="6948" xr:uid="{00000000-0005-0000-0000-0000E41E0000}"/>
    <cellStyle name="Normal 9 2 2 3 7 2 2" xfId="15383" xr:uid="{E702751B-0202-4D2B-AB45-75109ECBD5A7}"/>
    <cellStyle name="Normal 9 2 2 3 7 3" xfId="11165" xr:uid="{B48071B2-C382-4815-A450-8CB0069A64C2}"/>
    <cellStyle name="Normal 9 2 2 3 8" xfId="4883" xr:uid="{00000000-0005-0000-0000-0000E51E0000}"/>
    <cellStyle name="Normal 9 2 2 3 8 2" xfId="13318" xr:uid="{73095C09-6B9C-49CB-849C-AA7A66D46BFB}"/>
    <cellStyle name="Normal 9 2 2 3 9" xfId="9100" xr:uid="{9D0BCA10-C3C7-4FEA-90EA-7FCB4A9CAC16}"/>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2 2 2" xfId="15878" xr:uid="{2D4132F9-E882-4758-95CE-51FCCF5D7193}"/>
    <cellStyle name="Normal 9 2 2 4 2 2 3" xfId="11660" xr:uid="{51FCC99C-F632-4396-86D0-2941F65B2912}"/>
    <cellStyle name="Normal 9 2 2 4 2 3" xfId="5298" xr:uid="{00000000-0005-0000-0000-0000EA1E0000}"/>
    <cellStyle name="Normal 9 2 2 4 2 3 2" xfId="13733" xr:uid="{0266370F-961E-4CFE-B543-92A0B1BED6C5}"/>
    <cellStyle name="Normal 9 2 2 4 2 4" xfId="9515" xr:uid="{171410CE-2754-48FE-8EFD-398B122011D0}"/>
    <cellStyle name="Normal 9 2 2 4 3" xfId="1403" xr:uid="{00000000-0005-0000-0000-0000EB1E0000}"/>
    <cellStyle name="Normal 9 2 2 4 3 2" xfId="3633" xr:uid="{00000000-0005-0000-0000-0000EC1E0000}"/>
    <cellStyle name="Normal 9 2 2 4 3 2 2" xfId="7856" xr:uid="{00000000-0005-0000-0000-0000ED1E0000}"/>
    <cellStyle name="Normal 9 2 2 4 3 2 2 2" xfId="16291" xr:uid="{9B175C8D-34D6-4BB0-A310-E98B9176D3DC}"/>
    <cellStyle name="Normal 9 2 2 4 3 2 3" xfId="12073" xr:uid="{3C468C22-02CA-4128-985B-FFD769B5CCEF}"/>
    <cellStyle name="Normal 9 2 2 4 3 3" xfId="5711" xr:uid="{00000000-0005-0000-0000-0000EE1E0000}"/>
    <cellStyle name="Normal 9 2 2 4 3 3 2" xfId="14146" xr:uid="{DBDA012A-ED8A-42BF-B67A-29E6884D2984}"/>
    <cellStyle name="Normal 9 2 2 4 3 4" xfId="9928" xr:uid="{F905183B-CBE9-4D4E-B3BD-647D4C7D6A45}"/>
    <cellStyle name="Normal 9 2 2 4 4" xfId="1816" xr:uid="{00000000-0005-0000-0000-0000EF1E0000}"/>
    <cellStyle name="Normal 9 2 2 4 4 2" xfId="4046" xr:uid="{00000000-0005-0000-0000-0000F01E0000}"/>
    <cellStyle name="Normal 9 2 2 4 4 2 2" xfId="8269" xr:uid="{00000000-0005-0000-0000-0000F11E0000}"/>
    <cellStyle name="Normal 9 2 2 4 4 2 2 2" xfId="16704" xr:uid="{B7F11939-04FE-4EDB-BDF2-5BA7681FA67D}"/>
    <cellStyle name="Normal 9 2 2 4 4 2 3" xfId="12486" xr:uid="{83EBBECE-7CA4-4C95-97B9-807ECB5B531F}"/>
    <cellStyle name="Normal 9 2 2 4 4 3" xfId="6124" xr:uid="{00000000-0005-0000-0000-0000F21E0000}"/>
    <cellStyle name="Normal 9 2 2 4 4 3 2" xfId="14559" xr:uid="{C0B30ADE-E61C-4077-9F2D-1BFD69426DE1}"/>
    <cellStyle name="Normal 9 2 2 4 4 4" xfId="10341" xr:uid="{3203FBCD-F3F3-4A80-9BC9-3E821D36241A}"/>
    <cellStyle name="Normal 9 2 2 4 5" xfId="2230" xr:uid="{00000000-0005-0000-0000-0000F31E0000}"/>
    <cellStyle name="Normal 9 2 2 4 5 2" xfId="4459" xr:uid="{00000000-0005-0000-0000-0000F41E0000}"/>
    <cellStyle name="Normal 9 2 2 4 5 2 2" xfId="8682" xr:uid="{00000000-0005-0000-0000-0000F51E0000}"/>
    <cellStyle name="Normal 9 2 2 4 5 2 2 2" xfId="17117" xr:uid="{FD60A5E2-58E7-487B-B1E7-1CF550C53791}"/>
    <cellStyle name="Normal 9 2 2 4 5 2 3" xfId="12899" xr:uid="{F282898F-A5A2-4C57-8AD4-262BBDF32FB2}"/>
    <cellStyle name="Normal 9 2 2 4 5 3" xfId="6537" xr:uid="{00000000-0005-0000-0000-0000F61E0000}"/>
    <cellStyle name="Normal 9 2 2 4 5 3 2" xfId="14972" xr:uid="{5F9E639E-4B60-4393-9B05-402E89A477C1}"/>
    <cellStyle name="Normal 9 2 2 4 5 4" xfId="10754" xr:uid="{0EB7A3AC-A826-420E-BB99-A67355AA473F}"/>
    <cellStyle name="Normal 9 2 2 4 6" xfId="2666" xr:uid="{00000000-0005-0000-0000-0000F71E0000}"/>
    <cellStyle name="Normal 9 2 2 4 6 2" xfId="6950" xr:uid="{00000000-0005-0000-0000-0000F81E0000}"/>
    <cellStyle name="Normal 9 2 2 4 6 2 2" xfId="15385" xr:uid="{DFDE0B5B-9789-4220-AC46-4F71FA303B41}"/>
    <cellStyle name="Normal 9 2 2 4 6 3" xfId="11167" xr:uid="{C5EC6E64-D86F-4BAB-B488-686ADCE6F794}"/>
    <cellStyle name="Normal 9 2 2 4 7" xfId="4885" xr:uid="{00000000-0005-0000-0000-0000F91E0000}"/>
    <cellStyle name="Normal 9 2 2 4 7 2" xfId="13320" xr:uid="{B4AFFA46-D5BC-4427-B928-611F5AFB4483}"/>
    <cellStyle name="Normal 9 2 2 4 8" xfId="9102" xr:uid="{5C804D1C-8CA7-4A8C-821D-F6D4D3F2D8A3}"/>
    <cellStyle name="Normal 9 2 2 5" xfId="980" xr:uid="{00000000-0005-0000-0000-0000FA1E0000}"/>
    <cellStyle name="Normal 9 2 2 5 2" xfId="3213" xr:uid="{00000000-0005-0000-0000-0000FB1E0000}"/>
    <cellStyle name="Normal 9 2 2 5 2 2" xfId="7436" xr:uid="{00000000-0005-0000-0000-0000FC1E0000}"/>
    <cellStyle name="Normal 9 2 2 5 2 2 2" xfId="15871" xr:uid="{A599A629-D62C-4198-BD52-13E7FD284E12}"/>
    <cellStyle name="Normal 9 2 2 5 2 3" xfId="11653" xr:uid="{3F31E749-62FE-499E-ABB2-1C892347B96D}"/>
    <cellStyle name="Normal 9 2 2 5 3" xfId="5291" xr:uid="{00000000-0005-0000-0000-0000FD1E0000}"/>
    <cellStyle name="Normal 9 2 2 5 3 2" xfId="13726" xr:uid="{6C8A6193-71AC-4930-AA3C-8DE99876B6D8}"/>
    <cellStyle name="Normal 9 2 2 5 4" xfId="9508" xr:uid="{32A71C08-83D7-4BA4-A376-3C1998FB44A6}"/>
    <cellStyle name="Normal 9 2 2 6" xfId="1396" xr:uid="{00000000-0005-0000-0000-0000FE1E0000}"/>
    <cellStyle name="Normal 9 2 2 6 2" xfId="3626" xr:uid="{00000000-0005-0000-0000-0000FF1E0000}"/>
    <cellStyle name="Normal 9 2 2 6 2 2" xfId="7849" xr:uid="{00000000-0005-0000-0000-0000001F0000}"/>
    <cellStyle name="Normal 9 2 2 6 2 2 2" xfId="16284" xr:uid="{94353D26-36EE-4ED9-B5EF-5242113DC597}"/>
    <cellStyle name="Normal 9 2 2 6 2 3" xfId="12066" xr:uid="{C232F07E-57C1-4F53-B11D-B0103DA6022D}"/>
    <cellStyle name="Normal 9 2 2 6 3" xfId="5704" xr:uid="{00000000-0005-0000-0000-0000011F0000}"/>
    <cellStyle name="Normal 9 2 2 6 3 2" xfId="14139" xr:uid="{5E1C8E97-3C56-415E-A1B5-D3D1B5CDEECE}"/>
    <cellStyle name="Normal 9 2 2 6 4" xfId="9921" xr:uid="{25846408-1680-4512-BC12-56932612A911}"/>
    <cellStyle name="Normal 9 2 2 7" xfId="1809" xr:uid="{00000000-0005-0000-0000-0000021F0000}"/>
    <cellStyle name="Normal 9 2 2 7 2" xfId="4039" xr:uid="{00000000-0005-0000-0000-0000031F0000}"/>
    <cellStyle name="Normal 9 2 2 7 2 2" xfId="8262" xr:uid="{00000000-0005-0000-0000-0000041F0000}"/>
    <cellStyle name="Normal 9 2 2 7 2 2 2" xfId="16697" xr:uid="{D2AC37EA-4491-47E1-AAE7-4DD57BF72D00}"/>
    <cellStyle name="Normal 9 2 2 7 2 3" xfId="12479" xr:uid="{3498BB67-D311-4CC8-90BF-350773010FAE}"/>
    <cellStyle name="Normal 9 2 2 7 3" xfId="6117" xr:uid="{00000000-0005-0000-0000-0000051F0000}"/>
    <cellStyle name="Normal 9 2 2 7 3 2" xfId="14552" xr:uid="{A90CC246-4D12-46FB-820A-D1BE965C10DF}"/>
    <cellStyle name="Normal 9 2 2 7 4" xfId="10334" xr:uid="{7108C2B6-DA6A-4A54-A115-A81E2B8B0138}"/>
    <cellStyle name="Normal 9 2 2 8" xfId="2223" xr:uid="{00000000-0005-0000-0000-0000061F0000}"/>
    <cellStyle name="Normal 9 2 2 8 2" xfId="4452" xr:uid="{00000000-0005-0000-0000-0000071F0000}"/>
    <cellStyle name="Normal 9 2 2 8 2 2" xfId="8675" xr:uid="{00000000-0005-0000-0000-0000081F0000}"/>
    <cellStyle name="Normal 9 2 2 8 2 2 2" xfId="17110" xr:uid="{45813BD5-2B9A-44C8-8F55-B615E99BA402}"/>
    <cellStyle name="Normal 9 2 2 8 2 3" xfId="12892" xr:uid="{8D671DF9-A52E-4F3D-9343-5D24EEA532A0}"/>
    <cellStyle name="Normal 9 2 2 8 3" xfId="6530" xr:uid="{00000000-0005-0000-0000-0000091F0000}"/>
    <cellStyle name="Normal 9 2 2 8 3 2" xfId="14965" xr:uid="{88C53611-E94F-405D-8BC3-F5C5EEA75397}"/>
    <cellStyle name="Normal 9 2 2 8 4" xfId="10747" xr:uid="{70469D9F-94EC-44E0-8E95-39F58B9B5982}"/>
    <cellStyle name="Normal 9 2 2 9" xfId="2659" xr:uid="{00000000-0005-0000-0000-00000A1F0000}"/>
    <cellStyle name="Normal 9 2 2 9 2" xfId="6943" xr:uid="{00000000-0005-0000-0000-00000B1F0000}"/>
    <cellStyle name="Normal 9 2 2 9 2 2" xfId="15378" xr:uid="{47473071-FC29-4912-8C96-0307715A6EA9}"/>
    <cellStyle name="Normal 9 2 2 9 3" xfId="11160" xr:uid="{04E15EDD-C3DC-4DE8-B77E-2C9155CBC4E3}"/>
    <cellStyle name="Normal 9 2 3" xfId="520" xr:uid="{00000000-0005-0000-0000-00000C1F0000}"/>
    <cellStyle name="Normal 9 2 3 10" xfId="9103" xr:uid="{31A096D9-EC91-4E99-BA77-601E04635A18}"/>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2 2 2" xfId="15881" xr:uid="{7D3F2E69-7361-4C42-994F-A6BC9DE44C56}"/>
    <cellStyle name="Normal 9 2 3 2 2 2 2 3" xfId="11663" xr:uid="{F59530AB-5A35-48B6-9445-95AFA8A42A1A}"/>
    <cellStyle name="Normal 9 2 3 2 2 2 3" xfId="5301" xr:uid="{00000000-0005-0000-0000-0000121F0000}"/>
    <cellStyle name="Normal 9 2 3 2 2 2 3 2" xfId="13736" xr:uid="{634E1790-4FB8-4182-90AF-2763D2AA8E42}"/>
    <cellStyle name="Normal 9 2 3 2 2 2 4" xfId="9518" xr:uid="{79BCF6CD-F899-47B1-9568-40A30A2D7A8C}"/>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2 2 2" xfId="16294" xr:uid="{C7CB834C-89BB-4E8C-A835-AA09A89333C9}"/>
    <cellStyle name="Normal 9 2 3 2 2 3 2 3" xfId="12076" xr:uid="{E35BD8DD-68F1-4244-93F3-353A2FCDAB9D}"/>
    <cellStyle name="Normal 9 2 3 2 2 3 3" xfId="5714" xr:uid="{00000000-0005-0000-0000-0000161F0000}"/>
    <cellStyle name="Normal 9 2 3 2 2 3 3 2" xfId="14149" xr:uid="{AD056C63-B084-427A-ABBF-7DFB72AA8064}"/>
    <cellStyle name="Normal 9 2 3 2 2 3 4" xfId="9931" xr:uid="{054BDB2A-AE00-432D-B72F-69B96A2BFEA8}"/>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2 2 2" xfId="16707" xr:uid="{909E4471-6C9C-413F-B0CB-1DB500E13538}"/>
    <cellStyle name="Normal 9 2 3 2 2 4 2 3" xfId="12489" xr:uid="{5F98B914-9AE7-4913-989E-D4CDB0981B7F}"/>
    <cellStyle name="Normal 9 2 3 2 2 4 3" xfId="6127" xr:uid="{00000000-0005-0000-0000-00001A1F0000}"/>
    <cellStyle name="Normal 9 2 3 2 2 4 3 2" xfId="14562" xr:uid="{02C94442-4352-4BD8-8A3F-3607A2668E1B}"/>
    <cellStyle name="Normal 9 2 3 2 2 4 4" xfId="10344" xr:uid="{06B35A86-C736-42D3-B078-F7BD76D3EC02}"/>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2 2 2" xfId="17120" xr:uid="{E6FFE4DB-038F-491A-915C-8CD2786AA706}"/>
    <cellStyle name="Normal 9 2 3 2 2 5 2 3" xfId="12902" xr:uid="{7AFDEF07-F380-4066-AA02-9097CFA31AC0}"/>
    <cellStyle name="Normal 9 2 3 2 2 5 3" xfId="6540" xr:uid="{00000000-0005-0000-0000-00001E1F0000}"/>
    <cellStyle name="Normal 9 2 3 2 2 5 3 2" xfId="14975" xr:uid="{04D7486E-9988-454C-A437-3E3BF7A169A7}"/>
    <cellStyle name="Normal 9 2 3 2 2 5 4" xfId="10757" xr:uid="{E456A50C-D9C2-445F-8B13-438CA4CD6532}"/>
    <cellStyle name="Normal 9 2 3 2 2 6" xfId="2669" xr:uid="{00000000-0005-0000-0000-00001F1F0000}"/>
    <cellStyle name="Normal 9 2 3 2 2 6 2" xfId="6953" xr:uid="{00000000-0005-0000-0000-0000201F0000}"/>
    <cellStyle name="Normal 9 2 3 2 2 6 2 2" xfId="15388" xr:uid="{17B5C62C-E572-4380-ACBF-F5908C313FB4}"/>
    <cellStyle name="Normal 9 2 3 2 2 6 3" xfId="11170" xr:uid="{63370C37-FCB5-49A3-8921-C3A75FF715C1}"/>
    <cellStyle name="Normal 9 2 3 2 2 7" xfId="4888" xr:uid="{00000000-0005-0000-0000-0000211F0000}"/>
    <cellStyle name="Normal 9 2 3 2 2 7 2" xfId="13323" xr:uid="{BC0FC9D2-0989-4278-9327-D70C98D6B7FA}"/>
    <cellStyle name="Normal 9 2 3 2 2 8" xfId="9105" xr:uid="{C26CF04D-B52D-43C9-AFA0-20BDD85EF80A}"/>
    <cellStyle name="Normal 9 2 3 2 3" xfId="989" xr:uid="{00000000-0005-0000-0000-0000221F0000}"/>
    <cellStyle name="Normal 9 2 3 2 3 2" xfId="3222" xr:uid="{00000000-0005-0000-0000-0000231F0000}"/>
    <cellStyle name="Normal 9 2 3 2 3 2 2" xfId="7445" xr:uid="{00000000-0005-0000-0000-0000241F0000}"/>
    <cellStyle name="Normal 9 2 3 2 3 2 2 2" xfId="15880" xr:uid="{33A2A334-D023-450E-B4EA-695E0F545F05}"/>
    <cellStyle name="Normal 9 2 3 2 3 2 3" xfId="11662" xr:uid="{1A2C3A7E-4DDA-4845-A84F-4AF25A7F05EF}"/>
    <cellStyle name="Normal 9 2 3 2 3 3" xfId="5300" xr:uid="{00000000-0005-0000-0000-0000251F0000}"/>
    <cellStyle name="Normal 9 2 3 2 3 3 2" xfId="13735" xr:uid="{527A1EE6-D473-4274-9C34-4F4BC29083B2}"/>
    <cellStyle name="Normal 9 2 3 2 3 4" xfId="9517" xr:uid="{517009F9-B1BB-4E26-B75C-5A15B29F6669}"/>
    <cellStyle name="Normal 9 2 3 2 4" xfId="1405" xr:uid="{00000000-0005-0000-0000-0000261F0000}"/>
    <cellStyle name="Normal 9 2 3 2 4 2" xfId="3635" xr:uid="{00000000-0005-0000-0000-0000271F0000}"/>
    <cellStyle name="Normal 9 2 3 2 4 2 2" xfId="7858" xr:uid="{00000000-0005-0000-0000-0000281F0000}"/>
    <cellStyle name="Normal 9 2 3 2 4 2 2 2" xfId="16293" xr:uid="{0C78AE63-22D2-4C27-BDBA-94C47FA23153}"/>
    <cellStyle name="Normal 9 2 3 2 4 2 3" xfId="12075" xr:uid="{EA2373F7-D6C1-427B-A772-E4862CEB5F44}"/>
    <cellStyle name="Normal 9 2 3 2 4 3" xfId="5713" xr:uid="{00000000-0005-0000-0000-0000291F0000}"/>
    <cellStyle name="Normal 9 2 3 2 4 3 2" xfId="14148" xr:uid="{B98D426D-F763-466D-8DE1-7A341601BAD1}"/>
    <cellStyle name="Normal 9 2 3 2 4 4" xfId="9930" xr:uid="{5E0E1E10-F958-4691-BDC9-20C75901866B}"/>
    <cellStyle name="Normal 9 2 3 2 5" xfId="1818" xr:uid="{00000000-0005-0000-0000-00002A1F0000}"/>
    <cellStyle name="Normal 9 2 3 2 5 2" xfId="4048" xr:uid="{00000000-0005-0000-0000-00002B1F0000}"/>
    <cellStyle name="Normal 9 2 3 2 5 2 2" xfId="8271" xr:uid="{00000000-0005-0000-0000-00002C1F0000}"/>
    <cellStyle name="Normal 9 2 3 2 5 2 2 2" xfId="16706" xr:uid="{A0C031FB-3296-4B3A-8CCB-C75F0691129A}"/>
    <cellStyle name="Normal 9 2 3 2 5 2 3" xfId="12488" xr:uid="{D7204A72-196E-43EB-B310-EB745382DF95}"/>
    <cellStyle name="Normal 9 2 3 2 5 3" xfId="6126" xr:uid="{00000000-0005-0000-0000-00002D1F0000}"/>
    <cellStyle name="Normal 9 2 3 2 5 3 2" xfId="14561" xr:uid="{2B52F128-C884-4B01-B002-D50F726A82BE}"/>
    <cellStyle name="Normal 9 2 3 2 5 4" xfId="10343" xr:uid="{63E16C84-4240-4249-853D-5260500EB2C7}"/>
    <cellStyle name="Normal 9 2 3 2 6" xfId="2232" xr:uid="{00000000-0005-0000-0000-00002E1F0000}"/>
    <cellStyle name="Normal 9 2 3 2 6 2" xfId="4461" xr:uid="{00000000-0005-0000-0000-00002F1F0000}"/>
    <cellStyle name="Normal 9 2 3 2 6 2 2" xfId="8684" xr:uid="{00000000-0005-0000-0000-0000301F0000}"/>
    <cellStyle name="Normal 9 2 3 2 6 2 2 2" xfId="17119" xr:uid="{E7C6000F-47CA-4AF1-AAB3-AC9436628CAA}"/>
    <cellStyle name="Normal 9 2 3 2 6 2 3" xfId="12901" xr:uid="{DC551E62-4510-424C-B1B6-CCFDE1819FF4}"/>
    <cellStyle name="Normal 9 2 3 2 6 3" xfId="6539" xr:uid="{00000000-0005-0000-0000-0000311F0000}"/>
    <cellStyle name="Normal 9 2 3 2 6 3 2" xfId="14974" xr:uid="{D59DB0A9-15E0-427E-B900-F0EDE9BBD891}"/>
    <cellStyle name="Normal 9 2 3 2 6 4" xfId="10756" xr:uid="{B50E4528-00AB-4F8A-A8EC-94562B822F01}"/>
    <cellStyle name="Normal 9 2 3 2 7" xfId="2668" xr:uid="{00000000-0005-0000-0000-0000321F0000}"/>
    <cellStyle name="Normal 9 2 3 2 7 2" xfId="6952" xr:uid="{00000000-0005-0000-0000-0000331F0000}"/>
    <cellStyle name="Normal 9 2 3 2 7 2 2" xfId="15387" xr:uid="{A79AA569-0F90-4621-8000-FD5A776D019C}"/>
    <cellStyle name="Normal 9 2 3 2 7 3" xfId="11169" xr:uid="{D041E89D-E0A4-424F-97DD-A4DEA2E7EC83}"/>
    <cellStyle name="Normal 9 2 3 2 8" xfId="4887" xr:uid="{00000000-0005-0000-0000-0000341F0000}"/>
    <cellStyle name="Normal 9 2 3 2 8 2" xfId="13322" xr:uid="{FB5FA95E-D668-4A75-82BE-4C02C312140E}"/>
    <cellStyle name="Normal 9 2 3 2 9" xfId="9104" xr:uid="{7036518E-C208-4F86-BF52-9C5992AF9D36}"/>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2 2 2" xfId="15882" xr:uid="{2D5000B4-C44E-4EA4-B634-2A8CC9869934}"/>
    <cellStyle name="Normal 9 2 3 3 2 2 3" xfId="11664" xr:uid="{588181CA-4194-41BA-B4C1-E8688584A067}"/>
    <cellStyle name="Normal 9 2 3 3 2 3" xfId="5302" xr:uid="{00000000-0005-0000-0000-0000391F0000}"/>
    <cellStyle name="Normal 9 2 3 3 2 3 2" xfId="13737" xr:uid="{901B79E9-B2F4-43B6-B055-F56FC813BAEA}"/>
    <cellStyle name="Normal 9 2 3 3 2 4" xfId="9519" xr:uid="{4AE1AAE9-E70C-465C-8245-8ED653DF2628}"/>
    <cellStyle name="Normal 9 2 3 3 3" xfId="1407" xr:uid="{00000000-0005-0000-0000-00003A1F0000}"/>
    <cellStyle name="Normal 9 2 3 3 3 2" xfId="3637" xr:uid="{00000000-0005-0000-0000-00003B1F0000}"/>
    <cellStyle name="Normal 9 2 3 3 3 2 2" xfId="7860" xr:uid="{00000000-0005-0000-0000-00003C1F0000}"/>
    <cellStyle name="Normal 9 2 3 3 3 2 2 2" xfId="16295" xr:uid="{4A778A6F-29B3-400E-B547-EFE7681F00F1}"/>
    <cellStyle name="Normal 9 2 3 3 3 2 3" xfId="12077" xr:uid="{B8C0FEF3-9D2F-4228-A9DE-1F435D4ADD1C}"/>
    <cellStyle name="Normal 9 2 3 3 3 3" xfId="5715" xr:uid="{00000000-0005-0000-0000-00003D1F0000}"/>
    <cellStyle name="Normal 9 2 3 3 3 3 2" xfId="14150" xr:uid="{ECABC3E8-7791-44F8-848E-60A0EBE01EA3}"/>
    <cellStyle name="Normal 9 2 3 3 3 4" xfId="9932" xr:uid="{35BCE515-49EF-43F8-BAFC-4237A7208F89}"/>
    <cellStyle name="Normal 9 2 3 3 4" xfId="1820" xr:uid="{00000000-0005-0000-0000-00003E1F0000}"/>
    <cellStyle name="Normal 9 2 3 3 4 2" xfId="4050" xr:uid="{00000000-0005-0000-0000-00003F1F0000}"/>
    <cellStyle name="Normal 9 2 3 3 4 2 2" xfId="8273" xr:uid="{00000000-0005-0000-0000-0000401F0000}"/>
    <cellStyle name="Normal 9 2 3 3 4 2 2 2" xfId="16708" xr:uid="{801843AA-DDFA-4814-8933-919094A15F6F}"/>
    <cellStyle name="Normal 9 2 3 3 4 2 3" xfId="12490" xr:uid="{E21CEE78-076A-4B71-A45B-51756A6D44EE}"/>
    <cellStyle name="Normal 9 2 3 3 4 3" xfId="6128" xr:uid="{00000000-0005-0000-0000-0000411F0000}"/>
    <cellStyle name="Normal 9 2 3 3 4 3 2" xfId="14563" xr:uid="{EDCCC43A-EA64-4EDE-BF32-66C7FB4A1299}"/>
    <cellStyle name="Normal 9 2 3 3 4 4" xfId="10345" xr:uid="{02907F5E-7D8D-49E8-9BA5-90B7917DC20B}"/>
    <cellStyle name="Normal 9 2 3 3 5" xfId="2234" xr:uid="{00000000-0005-0000-0000-0000421F0000}"/>
    <cellStyle name="Normal 9 2 3 3 5 2" xfId="4463" xr:uid="{00000000-0005-0000-0000-0000431F0000}"/>
    <cellStyle name="Normal 9 2 3 3 5 2 2" xfId="8686" xr:uid="{00000000-0005-0000-0000-0000441F0000}"/>
    <cellStyle name="Normal 9 2 3 3 5 2 2 2" xfId="17121" xr:uid="{76F184EE-4C35-4022-BAD3-8850AA5565EE}"/>
    <cellStyle name="Normal 9 2 3 3 5 2 3" xfId="12903" xr:uid="{CA9F578F-F503-4D97-A4AC-8EBC2D7A9765}"/>
    <cellStyle name="Normal 9 2 3 3 5 3" xfId="6541" xr:uid="{00000000-0005-0000-0000-0000451F0000}"/>
    <cellStyle name="Normal 9 2 3 3 5 3 2" xfId="14976" xr:uid="{BB773ADF-24EF-41D7-87A2-30526FE3FF77}"/>
    <cellStyle name="Normal 9 2 3 3 5 4" xfId="10758" xr:uid="{40D7CFE2-D963-4C4D-84BF-DECB9F083C10}"/>
    <cellStyle name="Normal 9 2 3 3 6" xfId="2670" xr:uid="{00000000-0005-0000-0000-0000461F0000}"/>
    <cellStyle name="Normal 9 2 3 3 6 2" xfId="6954" xr:uid="{00000000-0005-0000-0000-0000471F0000}"/>
    <cellStyle name="Normal 9 2 3 3 6 2 2" xfId="15389" xr:uid="{AC57A426-27C3-4540-912E-2658D435D572}"/>
    <cellStyle name="Normal 9 2 3 3 6 3" xfId="11171" xr:uid="{F63B8ADE-9576-41D2-B1B6-7A7BA6681F1B}"/>
    <cellStyle name="Normal 9 2 3 3 7" xfId="4889" xr:uid="{00000000-0005-0000-0000-0000481F0000}"/>
    <cellStyle name="Normal 9 2 3 3 7 2" xfId="13324" xr:uid="{6D6C9D8B-21C8-496A-8747-831FE3432088}"/>
    <cellStyle name="Normal 9 2 3 3 8" xfId="9106" xr:uid="{3EC801C0-B121-4A04-97D9-226D322A8B69}"/>
    <cellStyle name="Normal 9 2 3 4" xfId="988" xr:uid="{00000000-0005-0000-0000-0000491F0000}"/>
    <cellStyle name="Normal 9 2 3 4 2" xfId="3221" xr:uid="{00000000-0005-0000-0000-00004A1F0000}"/>
    <cellStyle name="Normal 9 2 3 4 2 2" xfId="7444" xr:uid="{00000000-0005-0000-0000-00004B1F0000}"/>
    <cellStyle name="Normal 9 2 3 4 2 2 2" xfId="15879" xr:uid="{A8F01F55-25DB-4BD9-9A22-33BA9BC0EF84}"/>
    <cellStyle name="Normal 9 2 3 4 2 3" xfId="11661" xr:uid="{E46B3763-93A2-479E-B34A-CEE9CB9F5541}"/>
    <cellStyle name="Normal 9 2 3 4 3" xfId="5299" xr:uid="{00000000-0005-0000-0000-00004C1F0000}"/>
    <cellStyle name="Normal 9 2 3 4 3 2" xfId="13734" xr:uid="{C29E1F66-4FFC-47FD-A573-DFC6BB7B30E1}"/>
    <cellStyle name="Normal 9 2 3 4 4" xfId="9516" xr:uid="{79DA2838-B1E6-4E5B-A1B7-1A0A222FFB52}"/>
    <cellStyle name="Normal 9 2 3 5" xfId="1404" xr:uid="{00000000-0005-0000-0000-00004D1F0000}"/>
    <cellStyle name="Normal 9 2 3 5 2" xfId="3634" xr:uid="{00000000-0005-0000-0000-00004E1F0000}"/>
    <cellStyle name="Normal 9 2 3 5 2 2" xfId="7857" xr:uid="{00000000-0005-0000-0000-00004F1F0000}"/>
    <cellStyle name="Normal 9 2 3 5 2 2 2" xfId="16292" xr:uid="{E4447BA4-9395-4937-A30B-2E06A925BCFE}"/>
    <cellStyle name="Normal 9 2 3 5 2 3" xfId="12074" xr:uid="{013F9E5D-6151-4863-9E3E-B8FC2B5070D6}"/>
    <cellStyle name="Normal 9 2 3 5 3" xfId="5712" xr:uid="{00000000-0005-0000-0000-0000501F0000}"/>
    <cellStyle name="Normal 9 2 3 5 3 2" xfId="14147" xr:uid="{0DF3611A-7FAB-4F16-9B00-A8E2C0F1447A}"/>
    <cellStyle name="Normal 9 2 3 5 4" xfId="9929" xr:uid="{0982799E-BEA8-4142-81BF-7DDE9D36E7F1}"/>
    <cellStyle name="Normal 9 2 3 6" xfId="1817" xr:uid="{00000000-0005-0000-0000-0000511F0000}"/>
    <cellStyle name="Normal 9 2 3 6 2" xfId="4047" xr:uid="{00000000-0005-0000-0000-0000521F0000}"/>
    <cellStyle name="Normal 9 2 3 6 2 2" xfId="8270" xr:uid="{00000000-0005-0000-0000-0000531F0000}"/>
    <cellStyle name="Normal 9 2 3 6 2 2 2" xfId="16705" xr:uid="{339EF385-5810-49CD-B5B4-86DE7F3DEB71}"/>
    <cellStyle name="Normal 9 2 3 6 2 3" xfId="12487" xr:uid="{CC71AF0B-7405-4A4C-83F0-2876EBB6C9AA}"/>
    <cellStyle name="Normal 9 2 3 6 3" xfId="6125" xr:uid="{00000000-0005-0000-0000-0000541F0000}"/>
    <cellStyle name="Normal 9 2 3 6 3 2" xfId="14560" xr:uid="{81C5EB63-6FD6-4035-B892-96F721B617CE}"/>
    <cellStyle name="Normal 9 2 3 6 4" xfId="10342" xr:uid="{A4594D41-2165-4E32-AE2C-219814C709F0}"/>
    <cellStyle name="Normal 9 2 3 7" xfId="2231" xr:uid="{00000000-0005-0000-0000-0000551F0000}"/>
    <cellStyle name="Normal 9 2 3 7 2" xfId="4460" xr:uid="{00000000-0005-0000-0000-0000561F0000}"/>
    <cellStyle name="Normal 9 2 3 7 2 2" xfId="8683" xr:uid="{00000000-0005-0000-0000-0000571F0000}"/>
    <cellStyle name="Normal 9 2 3 7 2 2 2" xfId="17118" xr:uid="{3B96FA79-331F-4087-A349-909E5A4DA9B7}"/>
    <cellStyle name="Normal 9 2 3 7 2 3" xfId="12900" xr:uid="{06CAD745-5CBB-4E32-AB92-C113F3C6510E}"/>
    <cellStyle name="Normal 9 2 3 7 3" xfId="6538" xr:uid="{00000000-0005-0000-0000-0000581F0000}"/>
    <cellStyle name="Normal 9 2 3 7 3 2" xfId="14973" xr:uid="{F42F3E8B-EE94-42EC-902A-19493432D152}"/>
    <cellStyle name="Normal 9 2 3 7 4" xfId="10755" xr:uid="{50F09077-AFE6-40E7-A962-024D033B419B}"/>
    <cellStyle name="Normal 9 2 3 8" xfId="2667" xr:uid="{00000000-0005-0000-0000-0000591F0000}"/>
    <cellStyle name="Normal 9 2 3 8 2" xfId="6951" xr:uid="{00000000-0005-0000-0000-00005A1F0000}"/>
    <cellStyle name="Normal 9 2 3 8 2 2" xfId="15386" xr:uid="{DCCB03FB-4BAA-4C09-9249-A603306A6F5A}"/>
    <cellStyle name="Normal 9 2 3 8 3" xfId="11168" xr:uid="{A87B087F-B545-405A-9585-B017A4D4ADF1}"/>
    <cellStyle name="Normal 9 2 3 9" xfId="4886" xr:uid="{00000000-0005-0000-0000-00005B1F0000}"/>
    <cellStyle name="Normal 9 2 3 9 2" xfId="13321" xr:uid="{D36281A3-512E-4045-BAA5-850F3749CCE7}"/>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2 2 2" xfId="15884" xr:uid="{E25F491C-E270-4A11-B67C-4E2C3AF6BE9B}"/>
    <cellStyle name="Normal 9 2 4 2 2 2 3" xfId="11666" xr:uid="{84F0AFA4-7D2D-45EB-BC7D-377ACE09CB6A}"/>
    <cellStyle name="Normal 9 2 4 2 2 3" xfId="5304" xr:uid="{00000000-0005-0000-0000-0000611F0000}"/>
    <cellStyle name="Normal 9 2 4 2 2 3 2" xfId="13739" xr:uid="{22C55C1F-08B0-46B2-B2EC-D764B6791900}"/>
    <cellStyle name="Normal 9 2 4 2 2 4" xfId="9521" xr:uid="{8BA8E82C-02E1-4B97-AAEB-EC7CBA9F2779}"/>
    <cellStyle name="Normal 9 2 4 2 3" xfId="1409" xr:uid="{00000000-0005-0000-0000-0000621F0000}"/>
    <cellStyle name="Normal 9 2 4 2 3 2" xfId="3639" xr:uid="{00000000-0005-0000-0000-0000631F0000}"/>
    <cellStyle name="Normal 9 2 4 2 3 2 2" xfId="7862" xr:uid="{00000000-0005-0000-0000-0000641F0000}"/>
    <cellStyle name="Normal 9 2 4 2 3 2 2 2" xfId="16297" xr:uid="{B1E69C37-F913-4F6F-B1D9-F916BBA86245}"/>
    <cellStyle name="Normal 9 2 4 2 3 2 3" xfId="12079" xr:uid="{8F6E4CC2-A614-4DDC-8552-5B05C21A0629}"/>
    <cellStyle name="Normal 9 2 4 2 3 3" xfId="5717" xr:uid="{00000000-0005-0000-0000-0000651F0000}"/>
    <cellStyle name="Normal 9 2 4 2 3 3 2" xfId="14152" xr:uid="{F7127C96-B98F-4C76-A552-32D0C69F0B5B}"/>
    <cellStyle name="Normal 9 2 4 2 3 4" xfId="9934" xr:uid="{68C82B94-122C-4255-AB77-564AA79D59EE}"/>
    <cellStyle name="Normal 9 2 4 2 4" xfId="1822" xr:uid="{00000000-0005-0000-0000-0000661F0000}"/>
    <cellStyle name="Normal 9 2 4 2 4 2" xfId="4052" xr:uid="{00000000-0005-0000-0000-0000671F0000}"/>
    <cellStyle name="Normal 9 2 4 2 4 2 2" xfId="8275" xr:uid="{00000000-0005-0000-0000-0000681F0000}"/>
    <cellStyle name="Normal 9 2 4 2 4 2 2 2" xfId="16710" xr:uid="{2C225663-EA2B-483B-A07A-8C9D3D62DCE8}"/>
    <cellStyle name="Normal 9 2 4 2 4 2 3" xfId="12492" xr:uid="{2AF76107-0F4B-46A4-85B7-1C76C9ABB727}"/>
    <cellStyle name="Normal 9 2 4 2 4 3" xfId="6130" xr:uid="{00000000-0005-0000-0000-0000691F0000}"/>
    <cellStyle name="Normal 9 2 4 2 4 3 2" xfId="14565" xr:uid="{49EBADA5-83AB-4F07-9C32-7A2A6D8627BF}"/>
    <cellStyle name="Normal 9 2 4 2 4 4" xfId="10347" xr:uid="{98F1E996-BCB4-49F3-999E-3566678264C6}"/>
    <cellStyle name="Normal 9 2 4 2 5" xfId="2236" xr:uid="{00000000-0005-0000-0000-00006A1F0000}"/>
    <cellStyle name="Normal 9 2 4 2 5 2" xfId="4465" xr:uid="{00000000-0005-0000-0000-00006B1F0000}"/>
    <cellStyle name="Normal 9 2 4 2 5 2 2" xfId="8688" xr:uid="{00000000-0005-0000-0000-00006C1F0000}"/>
    <cellStyle name="Normal 9 2 4 2 5 2 2 2" xfId="17123" xr:uid="{E48FA3C7-3299-4B17-80FD-6AD97E165B59}"/>
    <cellStyle name="Normal 9 2 4 2 5 2 3" xfId="12905" xr:uid="{D9F0144A-9F00-4831-BD6A-57B8BF8987E9}"/>
    <cellStyle name="Normal 9 2 4 2 5 3" xfId="6543" xr:uid="{00000000-0005-0000-0000-00006D1F0000}"/>
    <cellStyle name="Normal 9 2 4 2 5 3 2" xfId="14978" xr:uid="{ED526CD5-9A3D-44B1-9D2D-EA34C15E2966}"/>
    <cellStyle name="Normal 9 2 4 2 5 4" xfId="10760" xr:uid="{F660FED9-710C-4504-999E-CB71993E317D}"/>
    <cellStyle name="Normal 9 2 4 2 6" xfId="2672" xr:uid="{00000000-0005-0000-0000-00006E1F0000}"/>
    <cellStyle name="Normal 9 2 4 2 6 2" xfId="6956" xr:uid="{00000000-0005-0000-0000-00006F1F0000}"/>
    <cellStyle name="Normal 9 2 4 2 6 2 2" xfId="15391" xr:uid="{4FE482F6-7FF0-4B56-A650-2579BF4D569B}"/>
    <cellStyle name="Normal 9 2 4 2 6 3" xfId="11173" xr:uid="{755ADA81-77DB-48F9-A4DC-1ED662842B9F}"/>
    <cellStyle name="Normal 9 2 4 2 7" xfId="4891" xr:uid="{00000000-0005-0000-0000-0000701F0000}"/>
    <cellStyle name="Normal 9 2 4 2 7 2" xfId="13326" xr:uid="{EFB3CF44-E421-4237-AA7F-A2EC365B7672}"/>
    <cellStyle name="Normal 9 2 4 2 8" xfId="9108" xr:uid="{99F1D42C-1B2F-401D-B12B-7D5D50ABF0BC}"/>
    <cellStyle name="Normal 9 2 4 3" xfId="992" xr:uid="{00000000-0005-0000-0000-0000711F0000}"/>
    <cellStyle name="Normal 9 2 4 3 2" xfId="3225" xr:uid="{00000000-0005-0000-0000-0000721F0000}"/>
    <cellStyle name="Normal 9 2 4 3 2 2" xfId="7448" xr:uid="{00000000-0005-0000-0000-0000731F0000}"/>
    <cellStyle name="Normal 9 2 4 3 2 2 2" xfId="15883" xr:uid="{EB842C78-20DA-4E81-9B1C-8F7AA6DAE3A9}"/>
    <cellStyle name="Normal 9 2 4 3 2 3" xfId="11665" xr:uid="{26ECB3FA-9FE3-492E-B6B7-A4AEB421FF64}"/>
    <cellStyle name="Normal 9 2 4 3 3" xfId="5303" xr:uid="{00000000-0005-0000-0000-0000741F0000}"/>
    <cellStyle name="Normal 9 2 4 3 3 2" xfId="13738" xr:uid="{B9A2F2F4-DA59-40BA-A058-809A85E87071}"/>
    <cellStyle name="Normal 9 2 4 3 4" xfId="9520" xr:uid="{8E8FD845-CA5E-4B85-98E7-DD6CA816AD0F}"/>
    <cellStyle name="Normal 9 2 4 4" xfId="1408" xr:uid="{00000000-0005-0000-0000-0000751F0000}"/>
    <cellStyle name="Normal 9 2 4 4 2" xfId="3638" xr:uid="{00000000-0005-0000-0000-0000761F0000}"/>
    <cellStyle name="Normal 9 2 4 4 2 2" xfId="7861" xr:uid="{00000000-0005-0000-0000-0000771F0000}"/>
    <cellStyle name="Normal 9 2 4 4 2 2 2" xfId="16296" xr:uid="{8F645A00-AA92-42D6-9DCA-EA2AF5114612}"/>
    <cellStyle name="Normal 9 2 4 4 2 3" xfId="12078" xr:uid="{180BE5FF-B7DF-48C2-BBF2-F28B96031623}"/>
    <cellStyle name="Normal 9 2 4 4 3" xfId="5716" xr:uid="{00000000-0005-0000-0000-0000781F0000}"/>
    <cellStyle name="Normal 9 2 4 4 3 2" xfId="14151" xr:uid="{08683F61-9E56-4E09-8094-BB23C430FBB8}"/>
    <cellStyle name="Normal 9 2 4 4 4" xfId="9933" xr:uid="{E9C916F9-AE7D-42F4-BC2E-127E78845920}"/>
    <cellStyle name="Normal 9 2 4 5" xfId="1821" xr:uid="{00000000-0005-0000-0000-0000791F0000}"/>
    <cellStyle name="Normal 9 2 4 5 2" xfId="4051" xr:uid="{00000000-0005-0000-0000-00007A1F0000}"/>
    <cellStyle name="Normal 9 2 4 5 2 2" xfId="8274" xr:uid="{00000000-0005-0000-0000-00007B1F0000}"/>
    <cellStyle name="Normal 9 2 4 5 2 2 2" xfId="16709" xr:uid="{735F121A-1529-4D09-AAC3-AC4BF4C142ED}"/>
    <cellStyle name="Normal 9 2 4 5 2 3" xfId="12491" xr:uid="{A2068841-6677-4E7C-BBC3-B863072FCF54}"/>
    <cellStyle name="Normal 9 2 4 5 3" xfId="6129" xr:uid="{00000000-0005-0000-0000-00007C1F0000}"/>
    <cellStyle name="Normal 9 2 4 5 3 2" xfId="14564" xr:uid="{C728571B-09EF-45A6-AE3C-56E238798F41}"/>
    <cellStyle name="Normal 9 2 4 5 4" xfId="10346" xr:uid="{416A0DE3-8750-4782-B71E-9A682068C432}"/>
    <cellStyle name="Normal 9 2 4 6" xfId="2235" xr:uid="{00000000-0005-0000-0000-00007D1F0000}"/>
    <cellStyle name="Normal 9 2 4 6 2" xfId="4464" xr:uid="{00000000-0005-0000-0000-00007E1F0000}"/>
    <cellStyle name="Normal 9 2 4 6 2 2" xfId="8687" xr:uid="{00000000-0005-0000-0000-00007F1F0000}"/>
    <cellStyle name="Normal 9 2 4 6 2 2 2" xfId="17122" xr:uid="{074CCB20-1C44-4173-B69B-D543E2FE453C}"/>
    <cellStyle name="Normal 9 2 4 6 2 3" xfId="12904" xr:uid="{CFE549FD-C07D-4C3B-A7AD-3F575A8A587A}"/>
    <cellStyle name="Normal 9 2 4 6 3" xfId="6542" xr:uid="{00000000-0005-0000-0000-0000801F0000}"/>
    <cellStyle name="Normal 9 2 4 6 3 2" xfId="14977" xr:uid="{1A875F29-2AC1-4B8C-90B4-6C159E5B2E61}"/>
    <cellStyle name="Normal 9 2 4 6 4" xfId="10759" xr:uid="{EC623E8A-FFCB-4F7E-A8F3-108769DB152B}"/>
    <cellStyle name="Normal 9 2 4 7" xfId="2671" xr:uid="{00000000-0005-0000-0000-0000811F0000}"/>
    <cellStyle name="Normal 9 2 4 7 2" xfId="6955" xr:uid="{00000000-0005-0000-0000-0000821F0000}"/>
    <cellStyle name="Normal 9 2 4 7 2 2" xfId="15390" xr:uid="{BD64A1AB-6C7A-4E66-BFB5-7D5780417B4D}"/>
    <cellStyle name="Normal 9 2 4 7 3" xfId="11172" xr:uid="{22A713DF-883B-44B1-A8D3-7C514F515106}"/>
    <cellStyle name="Normal 9 2 4 8" xfId="4890" xr:uid="{00000000-0005-0000-0000-0000831F0000}"/>
    <cellStyle name="Normal 9 2 4 8 2" xfId="13325" xr:uid="{A76B666A-B44B-4292-B622-C4A990F626F8}"/>
    <cellStyle name="Normal 9 2 4 9" xfId="9107" xr:uid="{9D8AF410-FC44-435A-97C5-078C70C5EB15}"/>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2 2 2" xfId="15885" xr:uid="{687724D4-D368-42A1-B981-B815DE12B968}"/>
    <cellStyle name="Normal 9 2 5 2 2 3" xfId="11667" xr:uid="{B395100F-1BF9-4834-890F-77354CA685E2}"/>
    <cellStyle name="Normal 9 2 5 2 3" xfId="5305" xr:uid="{00000000-0005-0000-0000-0000881F0000}"/>
    <cellStyle name="Normal 9 2 5 2 3 2" xfId="13740" xr:uid="{CED913E3-78DA-4D5E-A03B-EE976CA9D6AD}"/>
    <cellStyle name="Normal 9 2 5 2 4" xfId="9522" xr:uid="{CEF43C18-0419-4400-B348-A138299C8092}"/>
    <cellStyle name="Normal 9 2 5 3" xfId="1410" xr:uid="{00000000-0005-0000-0000-0000891F0000}"/>
    <cellStyle name="Normal 9 2 5 3 2" xfId="3640" xr:uid="{00000000-0005-0000-0000-00008A1F0000}"/>
    <cellStyle name="Normal 9 2 5 3 2 2" xfId="7863" xr:uid="{00000000-0005-0000-0000-00008B1F0000}"/>
    <cellStyle name="Normal 9 2 5 3 2 2 2" xfId="16298" xr:uid="{8B7CC2ED-F551-43A2-989F-58A314808C65}"/>
    <cellStyle name="Normal 9 2 5 3 2 3" xfId="12080" xr:uid="{45BA316D-E5D8-4D19-92B4-27B805184FB8}"/>
    <cellStyle name="Normal 9 2 5 3 3" xfId="5718" xr:uid="{00000000-0005-0000-0000-00008C1F0000}"/>
    <cellStyle name="Normal 9 2 5 3 3 2" xfId="14153" xr:uid="{57930753-1275-4C7C-9C23-1CB3086E459B}"/>
    <cellStyle name="Normal 9 2 5 3 4" xfId="9935" xr:uid="{0DB732BF-D3BE-4101-9DCB-AFC3E7F64F2C}"/>
    <cellStyle name="Normal 9 2 5 4" xfId="1823" xr:uid="{00000000-0005-0000-0000-00008D1F0000}"/>
    <cellStyle name="Normal 9 2 5 4 2" xfId="4053" xr:uid="{00000000-0005-0000-0000-00008E1F0000}"/>
    <cellStyle name="Normal 9 2 5 4 2 2" xfId="8276" xr:uid="{00000000-0005-0000-0000-00008F1F0000}"/>
    <cellStyle name="Normal 9 2 5 4 2 2 2" xfId="16711" xr:uid="{58042FE6-9D77-4532-972F-0836861D8AFD}"/>
    <cellStyle name="Normal 9 2 5 4 2 3" xfId="12493" xr:uid="{AFEF3EBB-59A1-4DDF-A412-22E791537687}"/>
    <cellStyle name="Normal 9 2 5 4 3" xfId="6131" xr:uid="{00000000-0005-0000-0000-0000901F0000}"/>
    <cellStyle name="Normal 9 2 5 4 3 2" xfId="14566" xr:uid="{473E51C9-798E-4035-9E86-7E99A44316EA}"/>
    <cellStyle name="Normal 9 2 5 4 4" xfId="10348" xr:uid="{D082257A-FDB2-4607-A109-634CB1A1F45A}"/>
    <cellStyle name="Normal 9 2 5 5" xfId="2237" xr:uid="{00000000-0005-0000-0000-0000911F0000}"/>
    <cellStyle name="Normal 9 2 5 5 2" xfId="4466" xr:uid="{00000000-0005-0000-0000-0000921F0000}"/>
    <cellStyle name="Normal 9 2 5 5 2 2" xfId="8689" xr:uid="{00000000-0005-0000-0000-0000931F0000}"/>
    <cellStyle name="Normal 9 2 5 5 2 2 2" xfId="17124" xr:uid="{26DCBC29-967E-4C22-8B34-641E19A56460}"/>
    <cellStyle name="Normal 9 2 5 5 2 3" xfId="12906" xr:uid="{270AD0D9-0883-4515-BFE4-F995C72ED869}"/>
    <cellStyle name="Normal 9 2 5 5 3" xfId="6544" xr:uid="{00000000-0005-0000-0000-0000941F0000}"/>
    <cellStyle name="Normal 9 2 5 5 3 2" xfId="14979" xr:uid="{2ED5D33F-B789-4B58-AE86-0E42BAAA5F17}"/>
    <cellStyle name="Normal 9 2 5 5 4" xfId="10761" xr:uid="{8B8C1FF8-C758-4266-B9C5-320CC1E69AEB}"/>
    <cellStyle name="Normal 9 2 5 6" xfId="2673" xr:uid="{00000000-0005-0000-0000-0000951F0000}"/>
    <cellStyle name="Normal 9 2 5 6 2" xfId="6957" xr:uid="{00000000-0005-0000-0000-0000961F0000}"/>
    <cellStyle name="Normal 9 2 5 6 2 2" xfId="15392" xr:uid="{9E352B8A-E5C4-4A91-B29F-3DB2DBE4AFA1}"/>
    <cellStyle name="Normal 9 2 5 6 3" xfId="11174" xr:uid="{342AEFD3-87DB-4F34-8F0D-19CB13313D2D}"/>
    <cellStyle name="Normal 9 2 5 7" xfId="4892" xr:uid="{00000000-0005-0000-0000-0000971F0000}"/>
    <cellStyle name="Normal 9 2 5 7 2" xfId="13327" xr:uid="{6FA2AAD6-A827-4244-9E97-06A72DD3461D}"/>
    <cellStyle name="Normal 9 2 5 8" xfId="9109" xr:uid="{5A8D7D2B-2BAD-4C25-A5EF-31F9CB9A92E6}"/>
    <cellStyle name="Normal 9 2 6" xfId="979" xr:uid="{00000000-0005-0000-0000-0000981F0000}"/>
    <cellStyle name="Normal 9 2 6 2" xfId="3212" xr:uid="{00000000-0005-0000-0000-0000991F0000}"/>
    <cellStyle name="Normal 9 2 6 2 2" xfId="7435" xr:uid="{00000000-0005-0000-0000-00009A1F0000}"/>
    <cellStyle name="Normal 9 2 6 2 2 2" xfId="15870" xr:uid="{C95A6B13-AFFA-4283-8B36-7BD0092789FF}"/>
    <cellStyle name="Normal 9 2 6 2 3" xfId="11652" xr:uid="{C07007F2-97C5-4FC0-8716-18BF6AA8DD92}"/>
    <cellStyle name="Normal 9 2 6 3" xfId="5290" xr:uid="{00000000-0005-0000-0000-00009B1F0000}"/>
    <cellStyle name="Normal 9 2 6 3 2" xfId="13725" xr:uid="{78B3FA82-0F41-4A94-97B0-9CCE96FE2232}"/>
    <cellStyle name="Normal 9 2 6 4" xfId="9507" xr:uid="{54F58E6F-B797-43D7-A622-345C258817E7}"/>
    <cellStyle name="Normal 9 2 7" xfId="1395" xr:uid="{00000000-0005-0000-0000-00009C1F0000}"/>
    <cellStyle name="Normal 9 2 7 2" xfId="3625" xr:uid="{00000000-0005-0000-0000-00009D1F0000}"/>
    <cellStyle name="Normal 9 2 7 2 2" xfId="7848" xr:uid="{00000000-0005-0000-0000-00009E1F0000}"/>
    <cellStyle name="Normal 9 2 7 2 2 2" xfId="16283" xr:uid="{3DEFB9C0-E573-4D62-A1D5-DE22C204C349}"/>
    <cellStyle name="Normal 9 2 7 2 3" xfId="12065" xr:uid="{C4C6BB28-FADB-4DEB-B19D-483E253C241E}"/>
    <cellStyle name="Normal 9 2 7 3" xfId="5703" xr:uid="{00000000-0005-0000-0000-00009F1F0000}"/>
    <cellStyle name="Normal 9 2 7 3 2" xfId="14138" xr:uid="{5D1928F1-9658-4A49-8EEF-F971AEA72ED9}"/>
    <cellStyle name="Normal 9 2 7 4" xfId="9920" xr:uid="{6E900333-C77F-43FF-B0EC-DA1EB468BDDF}"/>
    <cellStyle name="Normal 9 2 8" xfId="1808" xr:uid="{00000000-0005-0000-0000-0000A01F0000}"/>
    <cellStyle name="Normal 9 2 8 2" xfId="4038" xr:uid="{00000000-0005-0000-0000-0000A11F0000}"/>
    <cellStyle name="Normal 9 2 8 2 2" xfId="8261" xr:uid="{00000000-0005-0000-0000-0000A21F0000}"/>
    <cellStyle name="Normal 9 2 8 2 2 2" xfId="16696" xr:uid="{0D68EDF5-7701-480E-90CF-0814CA7D0752}"/>
    <cellStyle name="Normal 9 2 8 2 3" xfId="12478" xr:uid="{AA730658-D9EF-4C17-82C6-D16A37E97696}"/>
    <cellStyle name="Normal 9 2 8 3" xfId="6116" xr:uid="{00000000-0005-0000-0000-0000A31F0000}"/>
    <cellStyle name="Normal 9 2 8 3 2" xfId="14551" xr:uid="{B7DC0447-ED59-4703-9D8D-916AE952C88D}"/>
    <cellStyle name="Normal 9 2 8 4" xfId="10333" xr:uid="{68471037-29E9-4CAF-88DE-8A8268672F4D}"/>
    <cellStyle name="Normal 9 2 9" xfId="2222" xr:uid="{00000000-0005-0000-0000-0000A41F0000}"/>
    <cellStyle name="Normal 9 2 9 2" xfId="4451" xr:uid="{00000000-0005-0000-0000-0000A51F0000}"/>
    <cellStyle name="Normal 9 2 9 2 2" xfId="8674" xr:uid="{00000000-0005-0000-0000-0000A61F0000}"/>
    <cellStyle name="Normal 9 2 9 2 2 2" xfId="17109" xr:uid="{F8EF4EF5-E48B-48EB-BE77-6097241FCA3C}"/>
    <cellStyle name="Normal 9 2 9 2 3" xfId="12891" xr:uid="{A443E582-5A45-42F1-AFE6-9FEC0F4F3920}"/>
    <cellStyle name="Normal 9 2 9 3" xfId="6529" xr:uid="{00000000-0005-0000-0000-0000A71F0000}"/>
    <cellStyle name="Normal 9 2 9 3 2" xfId="14964" xr:uid="{71C98621-3F6C-4914-8009-776593C7C155}"/>
    <cellStyle name="Normal 9 2 9 4" xfId="10746" xr:uid="{4E42FE66-AB3B-47C8-BC50-BD16A2277843}"/>
    <cellStyle name="Normal 9 3" xfId="527" xr:uid="{00000000-0005-0000-0000-0000A81F0000}"/>
    <cellStyle name="Normal 9 3 10" xfId="4893" xr:uid="{00000000-0005-0000-0000-0000A91F0000}"/>
    <cellStyle name="Normal 9 3 10 2" xfId="13328" xr:uid="{911C2E5C-9302-4532-8014-2ADFAFF4776B}"/>
    <cellStyle name="Normal 9 3 11" xfId="9110" xr:uid="{8018EC23-7CB1-4DD0-867F-65343E28E443}"/>
    <cellStyle name="Normal 9 3 2" xfId="528" xr:uid="{00000000-0005-0000-0000-0000AA1F0000}"/>
    <cellStyle name="Normal 9 3 2 10" xfId="9111" xr:uid="{471BC652-0D8D-4EF2-8BF2-17D82700964E}"/>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2 2 2" xfId="15889" xr:uid="{CF499366-BFC4-4FE6-B412-0C72EBA248DD}"/>
    <cellStyle name="Normal 9 3 2 2 2 2 2 3" xfId="11671" xr:uid="{1308F411-08D3-4388-8D48-73D38E45C9A5}"/>
    <cellStyle name="Normal 9 3 2 2 2 2 3" xfId="5309" xr:uid="{00000000-0005-0000-0000-0000B01F0000}"/>
    <cellStyle name="Normal 9 3 2 2 2 2 3 2" xfId="13744" xr:uid="{D029BD7B-AE35-44E7-855B-2F5714723B0F}"/>
    <cellStyle name="Normal 9 3 2 2 2 2 4" xfId="9526" xr:uid="{5C1F7342-B4DF-44D0-AD78-13F632E669CF}"/>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2 2 2" xfId="16302" xr:uid="{BBA3CB34-CADF-4B96-8D7B-3C002E410B0B}"/>
    <cellStyle name="Normal 9 3 2 2 2 3 2 3" xfId="12084" xr:uid="{36EEABFE-FD5A-40E3-8382-543FF78532FC}"/>
    <cellStyle name="Normal 9 3 2 2 2 3 3" xfId="5722" xr:uid="{00000000-0005-0000-0000-0000B41F0000}"/>
    <cellStyle name="Normal 9 3 2 2 2 3 3 2" xfId="14157" xr:uid="{45CC9319-439B-4D57-84F5-0F0613B2D570}"/>
    <cellStyle name="Normal 9 3 2 2 2 3 4" xfId="9939" xr:uid="{D34CC5D8-BE4B-4825-B656-B9FDBC73E54C}"/>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2 2 2" xfId="16715" xr:uid="{3C1FE4EF-E2F6-47F4-AFE8-FCDCD7D49E9E}"/>
    <cellStyle name="Normal 9 3 2 2 2 4 2 3" xfId="12497" xr:uid="{11723CBC-980D-497D-96C1-F512A9FA1E9A}"/>
    <cellStyle name="Normal 9 3 2 2 2 4 3" xfId="6135" xr:uid="{00000000-0005-0000-0000-0000B81F0000}"/>
    <cellStyle name="Normal 9 3 2 2 2 4 3 2" xfId="14570" xr:uid="{C004D0AD-25C2-4F44-ADDD-6AE1996DACCA}"/>
    <cellStyle name="Normal 9 3 2 2 2 4 4" xfId="10352" xr:uid="{52CE01C0-27C3-4681-97CF-EC4E432948D4}"/>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2 2 2" xfId="17128" xr:uid="{5E1E7160-08D8-40E3-AE32-4BB72598A1AD}"/>
    <cellStyle name="Normal 9 3 2 2 2 5 2 3" xfId="12910" xr:uid="{2CA2698E-1A72-4013-8DE9-843007184A68}"/>
    <cellStyle name="Normal 9 3 2 2 2 5 3" xfId="6548" xr:uid="{00000000-0005-0000-0000-0000BC1F0000}"/>
    <cellStyle name="Normal 9 3 2 2 2 5 3 2" xfId="14983" xr:uid="{2E1815BF-BAE0-4411-8552-AE969B1384F1}"/>
    <cellStyle name="Normal 9 3 2 2 2 5 4" xfId="10765" xr:uid="{255EE5C8-1FF3-4919-B113-6B61C2D23C4B}"/>
    <cellStyle name="Normal 9 3 2 2 2 6" xfId="2677" xr:uid="{00000000-0005-0000-0000-0000BD1F0000}"/>
    <cellStyle name="Normal 9 3 2 2 2 6 2" xfId="6961" xr:uid="{00000000-0005-0000-0000-0000BE1F0000}"/>
    <cellStyle name="Normal 9 3 2 2 2 6 2 2" xfId="15396" xr:uid="{34F51C5F-6590-430D-9A94-FBFB87E2A278}"/>
    <cellStyle name="Normal 9 3 2 2 2 6 3" xfId="11178" xr:uid="{23927B4D-0152-4F7B-A307-896AC7525F6D}"/>
    <cellStyle name="Normal 9 3 2 2 2 7" xfId="4896" xr:uid="{00000000-0005-0000-0000-0000BF1F0000}"/>
    <cellStyle name="Normal 9 3 2 2 2 7 2" xfId="13331" xr:uid="{6F90FDEF-57CC-4F38-9B27-25CAFABDF1F0}"/>
    <cellStyle name="Normal 9 3 2 2 2 8" xfId="9113" xr:uid="{7CF23426-C3D5-4EDE-83F3-94782B26D124}"/>
    <cellStyle name="Normal 9 3 2 2 3" xfId="997" xr:uid="{00000000-0005-0000-0000-0000C01F0000}"/>
    <cellStyle name="Normal 9 3 2 2 3 2" xfId="3230" xr:uid="{00000000-0005-0000-0000-0000C11F0000}"/>
    <cellStyle name="Normal 9 3 2 2 3 2 2" xfId="7453" xr:uid="{00000000-0005-0000-0000-0000C21F0000}"/>
    <cellStyle name="Normal 9 3 2 2 3 2 2 2" xfId="15888" xr:uid="{4B3C158C-D3E6-4D45-B7F9-E2D82BF02768}"/>
    <cellStyle name="Normal 9 3 2 2 3 2 3" xfId="11670" xr:uid="{84C2B843-14F5-45BE-BFC9-0A0764A8C007}"/>
    <cellStyle name="Normal 9 3 2 2 3 3" xfId="5308" xr:uid="{00000000-0005-0000-0000-0000C31F0000}"/>
    <cellStyle name="Normal 9 3 2 2 3 3 2" xfId="13743" xr:uid="{E583207B-9D4F-4768-8E04-9F5AD0B80418}"/>
    <cellStyle name="Normal 9 3 2 2 3 4" xfId="9525" xr:uid="{0443DAB4-BADD-4FE0-8248-B22678D79BBC}"/>
    <cellStyle name="Normal 9 3 2 2 4" xfId="1413" xr:uid="{00000000-0005-0000-0000-0000C41F0000}"/>
    <cellStyle name="Normal 9 3 2 2 4 2" xfId="3643" xr:uid="{00000000-0005-0000-0000-0000C51F0000}"/>
    <cellStyle name="Normal 9 3 2 2 4 2 2" xfId="7866" xr:uid="{00000000-0005-0000-0000-0000C61F0000}"/>
    <cellStyle name="Normal 9 3 2 2 4 2 2 2" xfId="16301" xr:uid="{DD54C51B-028D-4990-9820-2EAA49C1F9EE}"/>
    <cellStyle name="Normal 9 3 2 2 4 2 3" xfId="12083" xr:uid="{33E17F2D-AE9E-41AE-B01F-2AFBB10F5D88}"/>
    <cellStyle name="Normal 9 3 2 2 4 3" xfId="5721" xr:uid="{00000000-0005-0000-0000-0000C71F0000}"/>
    <cellStyle name="Normal 9 3 2 2 4 3 2" xfId="14156" xr:uid="{D18CC83A-A47E-4A6A-B717-825599FAD1E2}"/>
    <cellStyle name="Normal 9 3 2 2 4 4" xfId="9938" xr:uid="{EB3649DE-9FD7-460B-BD5C-F288BF2B23A5}"/>
    <cellStyle name="Normal 9 3 2 2 5" xfId="1826" xr:uid="{00000000-0005-0000-0000-0000C81F0000}"/>
    <cellStyle name="Normal 9 3 2 2 5 2" xfId="4056" xr:uid="{00000000-0005-0000-0000-0000C91F0000}"/>
    <cellStyle name="Normal 9 3 2 2 5 2 2" xfId="8279" xr:uid="{00000000-0005-0000-0000-0000CA1F0000}"/>
    <cellStyle name="Normal 9 3 2 2 5 2 2 2" xfId="16714" xr:uid="{1BFC41F9-2612-4C07-9287-44F942A22955}"/>
    <cellStyle name="Normal 9 3 2 2 5 2 3" xfId="12496" xr:uid="{642221AC-4D66-45C7-8916-4C1BD93BB2CC}"/>
    <cellStyle name="Normal 9 3 2 2 5 3" xfId="6134" xr:uid="{00000000-0005-0000-0000-0000CB1F0000}"/>
    <cellStyle name="Normal 9 3 2 2 5 3 2" xfId="14569" xr:uid="{2A8048AC-F78E-4E62-8D02-BFE9C3B47A67}"/>
    <cellStyle name="Normal 9 3 2 2 5 4" xfId="10351" xr:uid="{0B89D83E-674A-4AEC-AAE9-68B0D1C0C9EA}"/>
    <cellStyle name="Normal 9 3 2 2 6" xfId="2240" xr:uid="{00000000-0005-0000-0000-0000CC1F0000}"/>
    <cellStyle name="Normal 9 3 2 2 6 2" xfId="4469" xr:uid="{00000000-0005-0000-0000-0000CD1F0000}"/>
    <cellStyle name="Normal 9 3 2 2 6 2 2" xfId="8692" xr:uid="{00000000-0005-0000-0000-0000CE1F0000}"/>
    <cellStyle name="Normal 9 3 2 2 6 2 2 2" xfId="17127" xr:uid="{1D78DABF-6441-4688-8EFD-5FACADACE458}"/>
    <cellStyle name="Normal 9 3 2 2 6 2 3" xfId="12909" xr:uid="{61987D44-2C26-45A4-9FFF-166194D40D49}"/>
    <cellStyle name="Normal 9 3 2 2 6 3" xfId="6547" xr:uid="{00000000-0005-0000-0000-0000CF1F0000}"/>
    <cellStyle name="Normal 9 3 2 2 6 3 2" xfId="14982" xr:uid="{D14D3616-71D2-4059-8570-5289F9672A19}"/>
    <cellStyle name="Normal 9 3 2 2 6 4" xfId="10764" xr:uid="{C42E51E6-7F28-4984-ABE8-CE096F67B750}"/>
    <cellStyle name="Normal 9 3 2 2 7" xfId="2676" xr:uid="{00000000-0005-0000-0000-0000D01F0000}"/>
    <cellStyle name="Normal 9 3 2 2 7 2" xfId="6960" xr:uid="{00000000-0005-0000-0000-0000D11F0000}"/>
    <cellStyle name="Normal 9 3 2 2 7 2 2" xfId="15395" xr:uid="{07A7F10E-416A-4893-A47F-CC4EBCB21BF2}"/>
    <cellStyle name="Normal 9 3 2 2 7 3" xfId="11177" xr:uid="{A3F47C92-6B15-4674-AE1F-6A35749EBB6D}"/>
    <cellStyle name="Normal 9 3 2 2 8" xfId="4895" xr:uid="{00000000-0005-0000-0000-0000D21F0000}"/>
    <cellStyle name="Normal 9 3 2 2 8 2" xfId="13330" xr:uid="{E407C5E6-0D01-46AE-AFE0-11F5DDFC7851}"/>
    <cellStyle name="Normal 9 3 2 2 9" xfId="9112" xr:uid="{7BF1F62E-CDB3-48F6-95D9-6F88349867ED}"/>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2 2 2" xfId="15890" xr:uid="{00BEAA48-1337-483A-9A92-E1494AD8C35B}"/>
    <cellStyle name="Normal 9 3 2 3 2 2 3" xfId="11672" xr:uid="{8387913E-3FF5-4E2F-95F7-55E87C07E092}"/>
    <cellStyle name="Normal 9 3 2 3 2 3" xfId="5310" xr:uid="{00000000-0005-0000-0000-0000D71F0000}"/>
    <cellStyle name="Normal 9 3 2 3 2 3 2" xfId="13745" xr:uid="{174D1A82-7C82-4BA7-BB18-CF697BAB6248}"/>
    <cellStyle name="Normal 9 3 2 3 2 4" xfId="9527" xr:uid="{A075727D-0ACF-430C-BACA-E84ABFF98D0A}"/>
    <cellStyle name="Normal 9 3 2 3 3" xfId="1415" xr:uid="{00000000-0005-0000-0000-0000D81F0000}"/>
    <cellStyle name="Normal 9 3 2 3 3 2" xfId="3645" xr:uid="{00000000-0005-0000-0000-0000D91F0000}"/>
    <cellStyle name="Normal 9 3 2 3 3 2 2" xfId="7868" xr:uid="{00000000-0005-0000-0000-0000DA1F0000}"/>
    <cellStyle name="Normal 9 3 2 3 3 2 2 2" xfId="16303" xr:uid="{FD9C70C6-9B33-428A-B591-90494182CB3C}"/>
    <cellStyle name="Normal 9 3 2 3 3 2 3" xfId="12085" xr:uid="{8AF4DFF8-1E14-465E-A7E3-87C4B302940E}"/>
    <cellStyle name="Normal 9 3 2 3 3 3" xfId="5723" xr:uid="{00000000-0005-0000-0000-0000DB1F0000}"/>
    <cellStyle name="Normal 9 3 2 3 3 3 2" xfId="14158" xr:uid="{0CA4DA26-323B-4217-A741-4488A9CFD2C5}"/>
    <cellStyle name="Normal 9 3 2 3 3 4" xfId="9940" xr:uid="{6B376B84-9BF9-4DEE-9C28-5E4EFF411986}"/>
    <cellStyle name="Normal 9 3 2 3 4" xfId="1828" xr:uid="{00000000-0005-0000-0000-0000DC1F0000}"/>
    <cellStyle name="Normal 9 3 2 3 4 2" xfId="4058" xr:uid="{00000000-0005-0000-0000-0000DD1F0000}"/>
    <cellStyle name="Normal 9 3 2 3 4 2 2" xfId="8281" xr:uid="{00000000-0005-0000-0000-0000DE1F0000}"/>
    <cellStyle name="Normal 9 3 2 3 4 2 2 2" xfId="16716" xr:uid="{73E480F9-C2AB-4BDB-924D-C78F96D70484}"/>
    <cellStyle name="Normal 9 3 2 3 4 2 3" xfId="12498" xr:uid="{BD211DF2-0DE8-466A-A02A-6DE4676510A2}"/>
    <cellStyle name="Normal 9 3 2 3 4 3" xfId="6136" xr:uid="{00000000-0005-0000-0000-0000DF1F0000}"/>
    <cellStyle name="Normal 9 3 2 3 4 3 2" xfId="14571" xr:uid="{A6DFA3D0-13FC-49FA-8F12-9A6D011D6E4B}"/>
    <cellStyle name="Normal 9 3 2 3 4 4" xfId="10353" xr:uid="{0C52843B-656E-4F13-A81D-89949F64D50B}"/>
    <cellStyle name="Normal 9 3 2 3 5" xfId="2242" xr:uid="{00000000-0005-0000-0000-0000E01F0000}"/>
    <cellStyle name="Normal 9 3 2 3 5 2" xfId="4471" xr:uid="{00000000-0005-0000-0000-0000E11F0000}"/>
    <cellStyle name="Normal 9 3 2 3 5 2 2" xfId="8694" xr:uid="{00000000-0005-0000-0000-0000E21F0000}"/>
    <cellStyle name="Normal 9 3 2 3 5 2 2 2" xfId="17129" xr:uid="{43E14274-EAD0-489A-B854-5DD3919E9C47}"/>
    <cellStyle name="Normal 9 3 2 3 5 2 3" xfId="12911" xr:uid="{959D22CE-F4D5-4FF6-91C6-B6F30EF9C0C1}"/>
    <cellStyle name="Normal 9 3 2 3 5 3" xfId="6549" xr:uid="{00000000-0005-0000-0000-0000E31F0000}"/>
    <cellStyle name="Normal 9 3 2 3 5 3 2" xfId="14984" xr:uid="{4F29854F-F664-43E1-816C-EE1A5DB0C095}"/>
    <cellStyle name="Normal 9 3 2 3 5 4" xfId="10766" xr:uid="{42E43C73-B148-4D19-95DC-5FF3E7C84859}"/>
    <cellStyle name="Normal 9 3 2 3 6" xfId="2678" xr:uid="{00000000-0005-0000-0000-0000E41F0000}"/>
    <cellStyle name="Normal 9 3 2 3 6 2" xfId="6962" xr:uid="{00000000-0005-0000-0000-0000E51F0000}"/>
    <cellStyle name="Normal 9 3 2 3 6 2 2" xfId="15397" xr:uid="{0C0DED0B-8FE1-4F53-996F-EBA9C083E982}"/>
    <cellStyle name="Normal 9 3 2 3 6 3" xfId="11179" xr:uid="{4D29F82A-357E-4A90-BCDF-7793F0C9A44D}"/>
    <cellStyle name="Normal 9 3 2 3 7" xfId="4897" xr:uid="{00000000-0005-0000-0000-0000E61F0000}"/>
    <cellStyle name="Normal 9 3 2 3 7 2" xfId="13332" xr:uid="{02E0153C-BFEE-4080-ABDE-F0C23FD0F322}"/>
    <cellStyle name="Normal 9 3 2 3 8" xfId="9114" xr:uid="{C6AE54EF-5952-482E-A2C5-99C4DBA8B0AC}"/>
    <cellStyle name="Normal 9 3 2 4" xfId="996" xr:uid="{00000000-0005-0000-0000-0000E71F0000}"/>
    <cellStyle name="Normal 9 3 2 4 2" xfId="3229" xr:uid="{00000000-0005-0000-0000-0000E81F0000}"/>
    <cellStyle name="Normal 9 3 2 4 2 2" xfId="7452" xr:uid="{00000000-0005-0000-0000-0000E91F0000}"/>
    <cellStyle name="Normal 9 3 2 4 2 2 2" xfId="15887" xr:uid="{463D7AAE-C4B2-44E7-9245-0516EBDC6F7B}"/>
    <cellStyle name="Normal 9 3 2 4 2 3" xfId="11669" xr:uid="{FEA80847-65F9-4290-B421-63E0904991B6}"/>
    <cellStyle name="Normal 9 3 2 4 3" xfId="5307" xr:uid="{00000000-0005-0000-0000-0000EA1F0000}"/>
    <cellStyle name="Normal 9 3 2 4 3 2" xfId="13742" xr:uid="{3D5FAC48-0785-40A7-AFAC-EA03E03B2A24}"/>
    <cellStyle name="Normal 9 3 2 4 4" xfId="9524" xr:uid="{F84499FE-AB30-48A8-A657-2B998961F893}"/>
    <cellStyle name="Normal 9 3 2 5" xfId="1412" xr:uid="{00000000-0005-0000-0000-0000EB1F0000}"/>
    <cellStyle name="Normal 9 3 2 5 2" xfId="3642" xr:uid="{00000000-0005-0000-0000-0000EC1F0000}"/>
    <cellStyle name="Normal 9 3 2 5 2 2" xfId="7865" xr:uid="{00000000-0005-0000-0000-0000ED1F0000}"/>
    <cellStyle name="Normal 9 3 2 5 2 2 2" xfId="16300" xr:uid="{8D9F87FB-4044-40D2-8C84-28EB04B75E3B}"/>
    <cellStyle name="Normal 9 3 2 5 2 3" xfId="12082" xr:uid="{C44E3547-8751-41A3-A672-662A9904C712}"/>
    <cellStyle name="Normal 9 3 2 5 3" xfId="5720" xr:uid="{00000000-0005-0000-0000-0000EE1F0000}"/>
    <cellStyle name="Normal 9 3 2 5 3 2" xfId="14155" xr:uid="{FA861906-239B-4909-AD52-A8021371B143}"/>
    <cellStyle name="Normal 9 3 2 5 4" xfId="9937" xr:uid="{D6701CF3-E14D-4BD1-B336-58CB9E03AB15}"/>
    <cellStyle name="Normal 9 3 2 6" xfId="1825" xr:uid="{00000000-0005-0000-0000-0000EF1F0000}"/>
    <cellStyle name="Normal 9 3 2 6 2" xfId="4055" xr:uid="{00000000-0005-0000-0000-0000F01F0000}"/>
    <cellStyle name="Normal 9 3 2 6 2 2" xfId="8278" xr:uid="{00000000-0005-0000-0000-0000F11F0000}"/>
    <cellStyle name="Normal 9 3 2 6 2 2 2" xfId="16713" xr:uid="{B30FC05E-E2CE-4F75-9BD7-AC1837E43086}"/>
    <cellStyle name="Normal 9 3 2 6 2 3" xfId="12495" xr:uid="{918C73DA-2326-4472-93D6-05D36C480EB5}"/>
    <cellStyle name="Normal 9 3 2 6 3" xfId="6133" xr:uid="{00000000-0005-0000-0000-0000F21F0000}"/>
    <cellStyle name="Normal 9 3 2 6 3 2" xfId="14568" xr:uid="{E98982AA-02DA-4943-BB26-4E2C7A47AB94}"/>
    <cellStyle name="Normal 9 3 2 6 4" xfId="10350" xr:uid="{6EB5D363-420F-40F7-BBBC-3201F373DEE5}"/>
    <cellStyle name="Normal 9 3 2 7" xfId="2239" xr:uid="{00000000-0005-0000-0000-0000F31F0000}"/>
    <cellStyle name="Normal 9 3 2 7 2" xfId="4468" xr:uid="{00000000-0005-0000-0000-0000F41F0000}"/>
    <cellStyle name="Normal 9 3 2 7 2 2" xfId="8691" xr:uid="{00000000-0005-0000-0000-0000F51F0000}"/>
    <cellStyle name="Normal 9 3 2 7 2 2 2" xfId="17126" xr:uid="{239C28B5-5F7A-4C10-87BE-411D1B5656D0}"/>
    <cellStyle name="Normal 9 3 2 7 2 3" xfId="12908" xr:uid="{13BEE5F0-5A0C-413A-A51D-177A26A9FE31}"/>
    <cellStyle name="Normal 9 3 2 7 3" xfId="6546" xr:uid="{00000000-0005-0000-0000-0000F61F0000}"/>
    <cellStyle name="Normal 9 3 2 7 3 2" xfId="14981" xr:uid="{777C781B-DBCD-4920-947C-D154E75D1408}"/>
    <cellStyle name="Normal 9 3 2 7 4" xfId="10763" xr:uid="{2CDAFE03-4C31-4DB5-AC9F-A047C71B0205}"/>
    <cellStyle name="Normal 9 3 2 8" xfId="2675" xr:uid="{00000000-0005-0000-0000-0000F71F0000}"/>
    <cellStyle name="Normal 9 3 2 8 2" xfId="6959" xr:uid="{00000000-0005-0000-0000-0000F81F0000}"/>
    <cellStyle name="Normal 9 3 2 8 2 2" xfId="15394" xr:uid="{B4D26AC1-BD03-4AB5-85ED-F6476766B19F}"/>
    <cellStyle name="Normal 9 3 2 8 3" xfId="11176" xr:uid="{9C07EF37-8F41-4CBD-B086-25279823EC07}"/>
    <cellStyle name="Normal 9 3 2 9" xfId="4894" xr:uid="{00000000-0005-0000-0000-0000F91F0000}"/>
    <cellStyle name="Normal 9 3 2 9 2" xfId="13329" xr:uid="{73633749-91FC-4E12-92D0-EED8A66144B6}"/>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2 2 2" xfId="15892" xr:uid="{CEC7252E-0AB5-4194-9E57-862F900F9710}"/>
    <cellStyle name="Normal 9 3 3 2 2 2 3" xfId="11674" xr:uid="{22AEB5AC-87A7-4B08-848D-A0FAE010C1C6}"/>
    <cellStyle name="Normal 9 3 3 2 2 3" xfId="5312" xr:uid="{00000000-0005-0000-0000-0000FF1F0000}"/>
    <cellStyle name="Normal 9 3 3 2 2 3 2" xfId="13747" xr:uid="{F948DB64-493C-4C54-8E0F-63C82B0C2E30}"/>
    <cellStyle name="Normal 9 3 3 2 2 4" xfId="9529" xr:uid="{65A836E4-499A-4A17-AF06-7561D2A03C83}"/>
    <cellStyle name="Normal 9 3 3 2 3" xfId="1417" xr:uid="{00000000-0005-0000-0000-000000200000}"/>
    <cellStyle name="Normal 9 3 3 2 3 2" xfId="3647" xr:uid="{00000000-0005-0000-0000-000001200000}"/>
    <cellStyle name="Normal 9 3 3 2 3 2 2" xfId="7870" xr:uid="{00000000-0005-0000-0000-000002200000}"/>
    <cellStyle name="Normal 9 3 3 2 3 2 2 2" xfId="16305" xr:uid="{B9AA4D91-E0C3-4CC0-B836-A9C69CB7FC28}"/>
    <cellStyle name="Normal 9 3 3 2 3 2 3" xfId="12087" xr:uid="{D1F2C0E6-2B03-4F46-91B8-5018941B82BA}"/>
    <cellStyle name="Normal 9 3 3 2 3 3" xfId="5725" xr:uid="{00000000-0005-0000-0000-000003200000}"/>
    <cellStyle name="Normal 9 3 3 2 3 3 2" xfId="14160" xr:uid="{112FBEDC-C6F5-4E7E-96D1-3085CA23AA8D}"/>
    <cellStyle name="Normal 9 3 3 2 3 4" xfId="9942" xr:uid="{8D583A7F-2A9A-42AE-81C6-0F5F5239681D}"/>
    <cellStyle name="Normal 9 3 3 2 4" xfId="1830" xr:uid="{00000000-0005-0000-0000-000004200000}"/>
    <cellStyle name="Normal 9 3 3 2 4 2" xfId="4060" xr:uid="{00000000-0005-0000-0000-000005200000}"/>
    <cellStyle name="Normal 9 3 3 2 4 2 2" xfId="8283" xr:uid="{00000000-0005-0000-0000-000006200000}"/>
    <cellStyle name="Normal 9 3 3 2 4 2 2 2" xfId="16718" xr:uid="{35151CDC-FCBC-451D-8726-A6E910576170}"/>
    <cellStyle name="Normal 9 3 3 2 4 2 3" xfId="12500" xr:uid="{BF6443E6-F091-4C66-A763-450270636190}"/>
    <cellStyle name="Normal 9 3 3 2 4 3" xfId="6138" xr:uid="{00000000-0005-0000-0000-000007200000}"/>
    <cellStyle name="Normal 9 3 3 2 4 3 2" xfId="14573" xr:uid="{2044574E-BD31-4A17-A76B-A41FA97E3920}"/>
    <cellStyle name="Normal 9 3 3 2 4 4" xfId="10355" xr:uid="{0F108AB3-41D2-427D-B24F-F0F0937FEE84}"/>
    <cellStyle name="Normal 9 3 3 2 5" xfId="2244" xr:uid="{00000000-0005-0000-0000-000008200000}"/>
    <cellStyle name="Normal 9 3 3 2 5 2" xfId="4473" xr:uid="{00000000-0005-0000-0000-000009200000}"/>
    <cellStyle name="Normal 9 3 3 2 5 2 2" xfId="8696" xr:uid="{00000000-0005-0000-0000-00000A200000}"/>
    <cellStyle name="Normal 9 3 3 2 5 2 2 2" xfId="17131" xr:uid="{CF83F521-158E-4002-B6E4-0E400ABAD71F}"/>
    <cellStyle name="Normal 9 3 3 2 5 2 3" xfId="12913" xr:uid="{6E509C36-5F44-48D4-800B-0DC3935607C2}"/>
    <cellStyle name="Normal 9 3 3 2 5 3" xfId="6551" xr:uid="{00000000-0005-0000-0000-00000B200000}"/>
    <cellStyle name="Normal 9 3 3 2 5 3 2" xfId="14986" xr:uid="{C6A138D6-DC97-49F6-A24F-FBB916ACF0C5}"/>
    <cellStyle name="Normal 9 3 3 2 5 4" xfId="10768" xr:uid="{62F1EEA2-048C-4D21-8751-4B752358DE14}"/>
    <cellStyle name="Normal 9 3 3 2 6" xfId="2680" xr:uid="{00000000-0005-0000-0000-00000C200000}"/>
    <cellStyle name="Normal 9 3 3 2 6 2" xfId="6964" xr:uid="{00000000-0005-0000-0000-00000D200000}"/>
    <cellStyle name="Normal 9 3 3 2 6 2 2" xfId="15399" xr:uid="{18BB3A19-7B60-4BF3-AC31-40C9B11FAFE2}"/>
    <cellStyle name="Normal 9 3 3 2 6 3" xfId="11181" xr:uid="{25A87D2C-C901-4510-B18F-A6FFD18FD973}"/>
    <cellStyle name="Normal 9 3 3 2 7" xfId="4899" xr:uid="{00000000-0005-0000-0000-00000E200000}"/>
    <cellStyle name="Normal 9 3 3 2 7 2" xfId="13334" xr:uid="{9D6E2289-5ECF-4561-889F-F8AA30F50FD5}"/>
    <cellStyle name="Normal 9 3 3 2 8" xfId="9116" xr:uid="{C42B69C5-2037-4699-AC1B-FE511B9CA6C9}"/>
    <cellStyle name="Normal 9 3 3 3" xfId="1000" xr:uid="{00000000-0005-0000-0000-00000F200000}"/>
    <cellStyle name="Normal 9 3 3 3 2" xfId="3233" xr:uid="{00000000-0005-0000-0000-000010200000}"/>
    <cellStyle name="Normal 9 3 3 3 2 2" xfId="7456" xr:uid="{00000000-0005-0000-0000-000011200000}"/>
    <cellStyle name="Normal 9 3 3 3 2 2 2" xfId="15891" xr:uid="{9F12D89B-977B-48D8-9114-C9610AE520DF}"/>
    <cellStyle name="Normal 9 3 3 3 2 3" xfId="11673" xr:uid="{7A5423DC-6491-4A2E-A00E-1D02DFE95AAD}"/>
    <cellStyle name="Normal 9 3 3 3 3" xfId="5311" xr:uid="{00000000-0005-0000-0000-000012200000}"/>
    <cellStyle name="Normal 9 3 3 3 3 2" xfId="13746" xr:uid="{33744C27-2B1C-4E1F-B63E-13B54DCF16AE}"/>
    <cellStyle name="Normal 9 3 3 3 4" xfId="9528" xr:uid="{530BEBE9-B019-4E70-B7E9-7062505B3C4F}"/>
    <cellStyle name="Normal 9 3 3 4" xfId="1416" xr:uid="{00000000-0005-0000-0000-000013200000}"/>
    <cellStyle name="Normal 9 3 3 4 2" xfId="3646" xr:uid="{00000000-0005-0000-0000-000014200000}"/>
    <cellStyle name="Normal 9 3 3 4 2 2" xfId="7869" xr:uid="{00000000-0005-0000-0000-000015200000}"/>
    <cellStyle name="Normal 9 3 3 4 2 2 2" xfId="16304" xr:uid="{E189F318-BB86-42C9-8EB9-76C754C89EEF}"/>
    <cellStyle name="Normal 9 3 3 4 2 3" xfId="12086" xr:uid="{4FF2F77A-B8AD-4A65-B807-EAD7E414D6EE}"/>
    <cellStyle name="Normal 9 3 3 4 3" xfId="5724" xr:uid="{00000000-0005-0000-0000-000016200000}"/>
    <cellStyle name="Normal 9 3 3 4 3 2" xfId="14159" xr:uid="{01FC8EB8-2515-410B-AC7F-586BF4D13ABB}"/>
    <cellStyle name="Normal 9 3 3 4 4" xfId="9941" xr:uid="{D20D4B88-D055-438B-9410-18032A987656}"/>
    <cellStyle name="Normal 9 3 3 5" xfId="1829" xr:uid="{00000000-0005-0000-0000-000017200000}"/>
    <cellStyle name="Normal 9 3 3 5 2" xfId="4059" xr:uid="{00000000-0005-0000-0000-000018200000}"/>
    <cellStyle name="Normal 9 3 3 5 2 2" xfId="8282" xr:uid="{00000000-0005-0000-0000-000019200000}"/>
    <cellStyle name="Normal 9 3 3 5 2 2 2" xfId="16717" xr:uid="{1406F21D-E224-43D1-806F-780E45581CCE}"/>
    <cellStyle name="Normal 9 3 3 5 2 3" xfId="12499" xr:uid="{CA8D1BD0-A76D-4AC5-A33D-2EC763198B41}"/>
    <cellStyle name="Normal 9 3 3 5 3" xfId="6137" xr:uid="{00000000-0005-0000-0000-00001A200000}"/>
    <cellStyle name="Normal 9 3 3 5 3 2" xfId="14572" xr:uid="{07F9B026-C982-4FA7-9427-6FC43A189375}"/>
    <cellStyle name="Normal 9 3 3 5 4" xfId="10354" xr:uid="{D1475FF7-571C-475C-BC08-D371A21749A4}"/>
    <cellStyle name="Normal 9 3 3 6" xfId="2243" xr:uid="{00000000-0005-0000-0000-00001B200000}"/>
    <cellStyle name="Normal 9 3 3 6 2" xfId="4472" xr:uid="{00000000-0005-0000-0000-00001C200000}"/>
    <cellStyle name="Normal 9 3 3 6 2 2" xfId="8695" xr:uid="{00000000-0005-0000-0000-00001D200000}"/>
    <cellStyle name="Normal 9 3 3 6 2 2 2" xfId="17130" xr:uid="{00FE8E21-7722-49BC-A186-3367392ADAB3}"/>
    <cellStyle name="Normal 9 3 3 6 2 3" xfId="12912" xr:uid="{DB5B6F1A-FED2-48B9-8BF4-011B4FDDA70E}"/>
    <cellStyle name="Normal 9 3 3 6 3" xfId="6550" xr:uid="{00000000-0005-0000-0000-00001E200000}"/>
    <cellStyle name="Normal 9 3 3 6 3 2" xfId="14985" xr:uid="{406C7B60-1190-47A1-B15D-EC42DAA55230}"/>
    <cellStyle name="Normal 9 3 3 6 4" xfId="10767" xr:uid="{4F85EA99-5608-4F4C-B680-187BB9BD1E56}"/>
    <cellStyle name="Normal 9 3 3 7" xfId="2679" xr:uid="{00000000-0005-0000-0000-00001F200000}"/>
    <cellStyle name="Normal 9 3 3 7 2" xfId="6963" xr:uid="{00000000-0005-0000-0000-000020200000}"/>
    <cellStyle name="Normal 9 3 3 7 2 2" xfId="15398" xr:uid="{66694AA5-F1E0-4F27-952B-EF74E79B98F5}"/>
    <cellStyle name="Normal 9 3 3 7 3" xfId="11180" xr:uid="{B0098D2A-32C0-4871-9913-DE5061EBCCB3}"/>
    <cellStyle name="Normal 9 3 3 8" xfId="4898" xr:uid="{00000000-0005-0000-0000-000021200000}"/>
    <cellStyle name="Normal 9 3 3 8 2" xfId="13333" xr:uid="{E0A236A5-E961-4018-81C7-2E8C11C448FE}"/>
    <cellStyle name="Normal 9 3 3 9" xfId="9115" xr:uid="{226095D9-9865-484F-B3FF-1E100DF142C9}"/>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2 2 2" xfId="15893" xr:uid="{E703548F-6B4F-4E24-9677-9DC354F16681}"/>
    <cellStyle name="Normal 9 3 4 2 2 3" xfId="11675" xr:uid="{C87BAD51-C94C-41FB-A83C-0EC60C745D85}"/>
    <cellStyle name="Normal 9 3 4 2 3" xfId="5313" xr:uid="{00000000-0005-0000-0000-000026200000}"/>
    <cellStyle name="Normal 9 3 4 2 3 2" xfId="13748" xr:uid="{2A9BA37E-ED77-4422-A50C-BE6A2E0B1443}"/>
    <cellStyle name="Normal 9 3 4 2 4" xfId="9530" xr:uid="{FEEE5C74-F05C-4A46-8427-EF0ED17A0C96}"/>
    <cellStyle name="Normal 9 3 4 3" xfId="1418" xr:uid="{00000000-0005-0000-0000-000027200000}"/>
    <cellStyle name="Normal 9 3 4 3 2" xfId="3648" xr:uid="{00000000-0005-0000-0000-000028200000}"/>
    <cellStyle name="Normal 9 3 4 3 2 2" xfId="7871" xr:uid="{00000000-0005-0000-0000-000029200000}"/>
    <cellStyle name="Normal 9 3 4 3 2 2 2" xfId="16306" xr:uid="{9E8AB93A-AFA8-4657-9F85-804C02B2186A}"/>
    <cellStyle name="Normal 9 3 4 3 2 3" xfId="12088" xr:uid="{64901F5D-307D-41CA-8CB4-9A237F1003E5}"/>
    <cellStyle name="Normal 9 3 4 3 3" xfId="5726" xr:uid="{00000000-0005-0000-0000-00002A200000}"/>
    <cellStyle name="Normal 9 3 4 3 3 2" xfId="14161" xr:uid="{153192FC-1BFE-48BA-AAEE-6239E029624E}"/>
    <cellStyle name="Normal 9 3 4 3 4" xfId="9943" xr:uid="{ABDB0114-D79E-4FD1-89B1-74EF59457C83}"/>
    <cellStyle name="Normal 9 3 4 4" xfId="1831" xr:uid="{00000000-0005-0000-0000-00002B200000}"/>
    <cellStyle name="Normal 9 3 4 4 2" xfId="4061" xr:uid="{00000000-0005-0000-0000-00002C200000}"/>
    <cellStyle name="Normal 9 3 4 4 2 2" xfId="8284" xr:uid="{00000000-0005-0000-0000-00002D200000}"/>
    <cellStyle name="Normal 9 3 4 4 2 2 2" xfId="16719" xr:uid="{826EB973-D80B-44F7-8499-2E7B102FFA0C}"/>
    <cellStyle name="Normal 9 3 4 4 2 3" xfId="12501" xr:uid="{E2CD47FC-8299-4FC4-A7CB-B56809BFAAEE}"/>
    <cellStyle name="Normal 9 3 4 4 3" xfId="6139" xr:uid="{00000000-0005-0000-0000-00002E200000}"/>
    <cellStyle name="Normal 9 3 4 4 3 2" xfId="14574" xr:uid="{0E085E5C-081C-4DA2-8223-265A52036D60}"/>
    <cellStyle name="Normal 9 3 4 4 4" xfId="10356" xr:uid="{D6B428CF-ABB4-4D6D-9FBF-C8B552F54A58}"/>
    <cellStyle name="Normal 9 3 4 5" xfId="2245" xr:uid="{00000000-0005-0000-0000-00002F200000}"/>
    <cellStyle name="Normal 9 3 4 5 2" xfId="4474" xr:uid="{00000000-0005-0000-0000-000030200000}"/>
    <cellStyle name="Normal 9 3 4 5 2 2" xfId="8697" xr:uid="{00000000-0005-0000-0000-000031200000}"/>
    <cellStyle name="Normal 9 3 4 5 2 2 2" xfId="17132" xr:uid="{40812B84-5A34-425E-A7F4-375689D7FE03}"/>
    <cellStyle name="Normal 9 3 4 5 2 3" xfId="12914" xr:uid="{F7AF3936-9768-4D32-9D4F-36ED1DFF9038}"/>
    <cellStyle name="Normal 9 3 4 5 3" xfId="6552" xr:uid="{00000000-0005-0000-0000-000032200000}"/>
    <cellStyle name="Normal 9 3 4 5 3 2" xfId="14987" xr:uid="{836E1B2D-666C-40DB-8FC1-9C0F7F244915}"/>
    <cellStyle name="Normal 9 3 4 5 4" xfId="10769" xr:uid="{171C2ADF-ECE5-4AE1-8D4F-2BA80C1E836B}"/>
    <cellStyle name="Normal 9 3 4 6" xfId="2681" xr:uid="{00000000-0005-0000-0000-000033200000}"/>
    <cellStyle name="Normal 9 3 4 6 2" xfId="6965" xr:uid="{00000000-0005-0000-0000-000034200000}"/>
    <cellStyle name="Normal 9 3 4 6 2 2" xfId="15400" xr:uid="{ACFA7461-F564-4252-8FDA-70C839ACF5DA}"/>
    <cellStyle name="Normal 9 3 4 6 3" xfId="11182" xr:uid="{280628B0-90E8-4088-8D68-A138707D990E}"/>
    <cellStyle name="Normal 9 3 4 7" xfId="4900" xr:uid="{00000000-0005-0000-0000-000035200000}"/>
    <cellStyle name="Normal 9 3 4 7 2" xfId="13335" xr:uid="{71E7C2B3-E6DF-44F7-868D-BE8C1229BEA0}"/>
    <cellStyle name="Normal 9 3 4 8" xfId="9117" xr:uid="{2BDDA22F-F5F5-472C-8964-EDEA1BC609FA}"/>
    <cellStyle name="Normal 9 3 5" xfId="995" xr:uid="{00000000-0005-0000-0000-000036200000}"/>
    <cellStyle name="Normal 9 3 5 2" xfId="3228" xr:uid="{00000000-0005-0000-0000-000037200000}"/>
    <cellStyle name="Normal 9 3 5 2 2" xfId="7451" xr:uid="{00000000-0005-0000-0000-000038200000}"/>
    <cellStyle name="Normal 9 3 5 2 2 2" xfId="15886" xr:uid="{29120DB5-EE6F-42CF-8395-9E322BDF6C7B}"/>
    <cellStyle name="Normal 9 3 5 2 3" xfId="11668" xr:uid="{91E1167E-AAAA-4409-B614-62C612B09477}"/>
    <cellStyle name="Normal 9 3 5 3" xfId="5306" xr:uid="{00000000-0005-0000-0000-000039200000}"/>
    <cellStyle name="Normal 9 3 5 3 2" xfId="13741" xr:uid="{DDBC74E7-C7F9-4804-854B-8BD336A8C6A8}"/>
    <cellStyle name="Normal 9 3 5 4" xfId="9523" xr:uid="{259DF8E7-A0A7-4183-92BB-C1F77BAE031F}"/>
    <cellStyle name="Normal 9 3 6" xfId="1411" xr:uid="{00000000-0005-0000-0000-00003A200000}"/>
    <cellStyle name="Normal 9 3 6 2" xfId="3641" xr:uid="{00000000-0005-0000-0000-00003B200000}"/>
    <cellStyle name="Normal 9 3 6 2 2" xfId="7864" xr:uid="{00000000-0005-0000-0000-00003C200000}"/>
    <cellStyle name="Normal 9 3 6 2 2 2" xfId="16299" xr:uid="{5EBB44BB-C6E4-40EC-A404-A4DBE58F8CD2}"/>
    <cellStyle name="Normal 9 3 6 2 3" xfId="12081" xr:uid="{01C44FD0-47FB-4CF0-910C-A8FA5CC894CE}"/>
    <cellStyle name="Normal 9 3 6 3" xfId="5719" xr:uid="{00000000-0005-0000-0000-00003D200000}"/>
    <cellStyle name="Normal 9 3 6 3 2" xfId="14154" xr:uid="{0405C64A-C4AD-4FB9-A7B1-E4BA9799E050}"/>
    <cellStyle name="Normal 9 3 6 4" xfId="9936" xr:uid="{FE6348A5-D714-4C43-B5D7-9738EFF40BD4}"/>
    <cellStyle name="Normal 9 3 7" xfId="1824" xr:uid="{00000000-0005-0000-0000-00003E200000}"/>
    <cellStyle name="Normal 9 3 7 2" xfId="4054" xr:uid="{00000000-0005-0000-0000-00003F200000}"/>
    <cellStyle name="Normal 9 3 7 2 2" xfId="8277" xr:uid="{00000000-0005-0000-0000-000040200000}"/>
    <cellStyle name="Normal 9 3 7 2 2 2" xfId="16712" xr:uid="{83C34DD7-F1C6-47BD-B5EC-A5B3E02AD11E}"/>
    <cellStyle name="Normal 9 3 7 2 3" xfId="12494" xr:uid="{336B7675-0B58-408A-8A49-6C00F6D86F6E}"/>
    <cellStyle name="Normal 9 3 7 3" xfId="6132" xr:uid="{00000000-0005-0000-0000-000041200000}"/>
    <cellStyle name="Normal 9 3 7 3 2" xfId="14567" xr:uid="{98952843-08E1-4542-97F6-439063493D3A}"/>
    <cellStyle name="Normal 9 3 7 4" xfId="10349" xr:uid="{4DB554CC-C9B2-4136-8A71-E19101D6F405}"/>
    <cellStyle name="Normal 9 3 8" xfId="2238" xr:uid="{00000000-0005-0000-0000-000042200000}"/>
    <cellStyle name="Normal 9 3 8 2" xfId="4467" xr:uid="{00000000-0005-0000-0000-000043200000}"/>
    <cellStyle name="Normal 9 3 8 2 2" xfId="8690" xr:uid="{00000000-0005-0000-0000-000044200000}"/>
    <cellStyle name="Normal 9 3 8 2 2 2" xfId="17125" xr:uid="{9B0136CD-85CE-48ED-9A3B-6771F8488869}"/>
    <cellStyle name="Normal 9 3 8 2 3" xfId="12907" xr:uid="{62C17A13-F408-48D1-B1E9-2089ABB90D19}"/>
    <cellStyle name="Normal 9 3 8 3" xfId="6545" xr:uid="{00000000-0005-0000-0000-000045200000}"/>
    <cellStyle name="Normal 9 3 8 3 2" xfId="14980" xr:uid="{02E57D27-674D-45D9-BDC8-4BDA4A66C313}"/>
    <cellStyle name="Normal 9 3 8 4" xfId="10762" xr:uid="{6C2742B2-29D9-4521-9337-F27664834144}"/>
    <cellStyle name="Normal 9 3 9" xfId="2674" xr:uid="{00000000-0005-0000-0000-000046200000}"/>
    <cellStyle name="Normal 9 3 9 2" xfId="6958" xr:uid="{00000000-0005-0000-0000-000047200000}"/>
    <cellStyle name="Normal 9 3 9 2 2" xfId="15393" xr:uid="{58040F05-6C18-4046-B54B-37E46A72529D}"/>
    <cellStyle name="Normal 9 3 9 3" xfId="11175" xr:uid="{310B5622-D32A-4E8A-AE27-F3309482447B}"/>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2 2 2" xfId="15895" xr:uid="{8B75B28A-5FDC-4C5F-B8FA-D104ECE39419}"/>
    <cellStyle name="Normal 9 5 2 2 2 3" xfId="11677" xr:uid="{7A61DB67-0E0D-4553-9529-E2D430A2DC91}"/>
    <cellStyle name="Normal 9 5 2 2 3" xfId="5315" xr:uid="{00000000-0005-0000-0000-00004F200000}"/>
    <cellStyle name="Normal 9 5 2 2 3 2" xfId="13750" xr:uid="{AC6673F2-3467-4502-B2B6-0B0762853C13}"/>
    <cellStyle name="Normal 9 5 2 2 4" xfId="9532" xr:uid="{D10CAC4C-2F27-4459-B643-6F60998EA115}"/>
    <cellStyle name="Normal 9 5 2 3" xfId="1420" xr:uid="{00000000-0005-0000-0000-000050200000}"/>
    <cellStyle name="Normal 9 5 2 3 2" xfId="3650" xr:uid="{00000000-0005-0000-0000-000051200000}"/>
    <cellStyle name="Normal 9 5 2 3 2 2" xfId="7873" xr:uid="{00000000-0005-0000-0000-000052200000}"/>
    <cellStyle name="Normal 9 5 2 3 2 2 2" xfId="16308" xr:uid="{B0AD6308-46EC-43A3-9A03-62F9108AAD2B}"/>
    <cellStyle name="Normal 9 5 2 3 2 3" xfId="12090" xr:uid="{D8160223-17A4-4617-839F-E802473C0396}"/>
    <cellStyle name="Normal 9 5 2 3 3" xfId="5728" xr:uid="{00000000-0005-0000-0000-000053200000}"/>
    <cellStyle name="Normal 9 5 2 3 3 2" xfId="14163" xr:uid="{759C461E-02EC-4AA1-B53E-CFC7C1A44C12}"/>
    <cellStyle name="Normal 9 5 2 3 4" xfId="9945" xr:uid="{950DE4A1-F057-4A79-9F80-8E0BEAC7886F}"/>
    <cellStyle name="Normal 9 5 2 4" xfId="1833" xr:uid="{00000000-0005-0000-0000-000054200000}"/>
    <cellStyle name="Normal 9 5 2 4 2" xfId="4063" xr:uid="{00000000-0005-0000-0000-000055200000}"/>
    <cellStyle name="Normal 9 5 2 4 2 2" xfId="8286" xr:uid="{00000000-0005-0000-0000-000056200000}"/>
    <cellStyle name="Normal 9 5 2 4 2 2 2" xfId="16721" xr:uid="{1BD532CA-ED28-480B-9284-1C392D11836D}"/>
    <cellStyle name="Normal 9 5 2 4 2 3" xfId="12503" xr:uid="{D853C648-FB95-4F28-A7CD-ED3878928D1B}"/>
    <cellStyle name="Normal 9 5 2 4 3" xfId="6141" xr:uid="{00000000-0005-0000-0000-000057200000}"/>
    <cellStyle name="Normal 9 5 2 4 3 2" xfId="14576" xr:uid="{D98893C0-F5A3-45A9-96AF-BDDA516A7D57}"/>
    <cellStyle name="Normal 9 5 2 4 4" xfId="10358" xr:uid="{4E3CB094-BC22-4E9D-969D-335E6640E3FA}"/>
    <cellStyle name="Normal 9 5 2 5" xfId="2247" xr:uid="{00000000-0005-0000-0000-000058200000}"/>
    <cellStyle name="Normal 9 5 2 5 2" xfId="4476" xr:uid="{00000000-0005-0000-0000-000059200000}"/>
    <cellStyle name="Normal 9 5 2 5 2 2" xfId="8699" xr:uid="{00000000-0005-0000-0000-00005A200000}"/>
    <cellStyle name="Normal 9 5 2 5 2 2 2" xfId="17134" xr:uid="{B57CCA6D-FBBB-4C62-B2C1-9995967B6BB9}"/>
    <cellStyle name="Normal 9 5 2 5 2 3" xfId="12916" xr:uid="{55876FB0-4D7D-4F0F-8FC6-358A2C1AC1CD}"/>
    <cellStyle name="Normal 9 5 2 5 3" xfId="6554" xr:uid="{00000000-0005-0000-0000-00005B200000}"/>
    <cellStyle name="Normal 9 5 2 5 3 2" xfId="14989" xr:uid="{D348BE5B-4F14-46DC-8113-D152ACDC333C}"/>
    <cellStyle name="Normal 9 5 2 5 4" xfId="10771" xr:uid="{BC96606E-1692-4E5E-BE50-4D6568E49F7D}"/>
    <cellStyle name="Normal 9 5 2 6" xfId="2683" xr:uid="{00000000-0005-0000-0000-00005C200000}"/>
    <cellStyle name="Normal 9 5 2 6 2" xfId="6967" xr:uid="{00000000-0005-0000-0000-00005D200000}"/>
    <cellStyle name="Normal 9 5 2 6 2 2" xfId="15402" xr:uid="{66C63D7C-D7C7-4968-8AD2-C279D09B0EE3}"/>
    <cellStyle name="Normal 9 5 2 6 3" xfId="11184" xr:uid="{38402092-D513-4A8D-924B-63AF1CC62251}"/>
    <cellStyle name="Normal 9 5 2 7" xfId="4902" xr:uid="{00000000-0005-0000-0000-00005E200000}"/>
    <cellStyle name="Normal 9 5 2 7 2" xfId="13337" xr:uid="{686F74B5-8814-4B8A-8553-E0379FC8AE1B}"/>
    <cellStyle name="Normal 9 5 2 8" xfId="9119" xr:uid="{3C6C3D38-CADD-482C-AC80-5FE2EAA82052}"/>
    <cellStyle name="Normal 9 5 3" xfId="1004" xr:uid="{00000000-0005-0000-0000-00005F200000}"/>
    <cellStyle name="Normal 9 5 3 2" xfId="3236" xr:uid="{00000000-0005-0000-0000-000060200000}"/>
    <cellStyle name="Normal 9 5 3 2 2" xfId="7459" xr:uid="{00000000-0005-0000-0000-000061200000}"/>
    <cellStyle name="Normal 9 5 3 2 2 2" xfId="15894" xr:uid="{C7FFD7D3-DB82-49FD-98A0-4DCE5B2E9529}"/>
    <cellStyle name="Normal 9 5 3 2 3" xfId="11676" xr:uid="{E9D4C81E-6001-4DF2-8075-E9BA9CD4AA0D}"/>
    <cellStyle name="Normal 9 5 3 3" xfId="5314" xr:uid="{00000000-0005-0000-0000-000062200000}"/>
    <cellStyle name="Normal 9 5 3 3 2" xfId="13749" xr:uid="{FEC0C157-17CC-408A-A0CB-4691CA3059CF}"/>
    <cellStyle name="Normal 9 5 3 4" xfId="9531" xr:uid="{6D8ACABA-66C2-4ADB-BA76-457DE74E2833}"/>
    <cellStyle name="Normal 9 5 4" xfId="1419" xr:uid="{00000000-0005-0000-0000-000063200000}"/>
    <cellStyle name="Normal 9 5 4 2" xfId="3649" xr:uid="{00000000-0005-0000-0000-000064200000}"/>
    <cellStyle name="Normal 9 5 4 2 2" xfId="7872" xr:uid="{00000000-0005-0000-0000-000065200000}"/>
    <cellStyle name="Normal 9 5 4 2 2 2" xfId="16307" xr:uid="{837F2C39-611B-47CF-BD14-7058401E48D7}"/>
    <cellStyle name="Normal 9 5 4 2 3" xfId="12089" xr:uid="{CC5BF8AD-9C66-4447-8C3C-E967D9040E6F}"/>
    <cellStyle name="Normal 9 5 4 3" xfId="5727" xr:uid="{00000000-0005-0000-0000-000066200000}"/>
    <cellStyle name="Normal 9 5 4 3 2" xfId="14162" xr:uid="{7EC60AE5-8F62-4A67-9390-C75FB048FDDC}"/>
    <cellStyle name="Normal 9 5 4 4" xfId="9944" xr:uid="{94F1FC9B-BADC-434F-A0CE-6728A86575A6}"/>
    <cellStyle name="Normal 9 5 5" xfId="1832" xr:uid="{00000000-0005-0000-0000-000067200000}"/>
    <cellStyle name="Normal 9 5 5 2" xfId="4062" xr:uid="{00000000-0005-0000-0000-000068200000}"/>
    <cellStyle name="Normal 9 5 5 2 2" xfId="8285" xr:uid="{00000000-0005-0000-0000-000069200000}"/>
    <cellStyle name="Normal 9 5 5 2 2 2" xfId="16720" xr:uid="{9383FCED-E783-4AFC-8E43-99935E042CD9}"/>
    <cellStyle name="Normal 9 5 5 2 3" xfId="12502" xr:uid="{47F698BB-4F5A-4BB4-8E1E-19CC60634E41}"/>
    <cellStyle name="Normal 9 5 5 3" xfId="6140" xr:uid="{00000000-0005-0000-0000-00006A200000}"/>
    <cellStyle name="Normal 9 5 5 3 2" xfId="14575" xr:uid="{801D9267-CCAB-4A6D-8136-481331F2FA15}"/>
    <cellStyle name="Normal 9 5 5 4" xfId="10357" xr:uid="{8CDC0C89-4E51-42A6-8C3F-26FC7E00D080}"/>
    <cellStyle name="Normal 9 5 6" xfId="2246" xr:uid="{00000000-0005-0000-0000-00006B200000}"/>
    <cellStyle name="Normal 9 5 6 2" xfId="4475" xr:uid="{00000000-0005-0000-0000-00006C200000}"/>
    <cellStyle name="Normal 9 5 6 2 2" xfId="8698" xr:uid="{00000000-0005-0000-0000-00006D200000}"/>
    <cellStyle name="Normal 9 5 6 2 2 2" xfId="17133" xr:uid="{7F2521C5-1190-435D-861E-B0823CD3F705}"/>
    <cellStyle name="Normal 9 5 6 2 3" xfId="12915" xr:uid="{4CEFAF0C-E56B-416F-8D0E-14CDA56C82D6}"/>
    <cellStyle name="Normal 9 5 6 3" xfId="6553" xr:uid="{00000000-0005-0000-0000-00006E200000}"/>
    <cellStyle name="Normal 9 5 6 3 2" xfId="14988" xr:uid="{1FEF557F-4F37-4B4D-932D-5F2E4B0DBAED}"/>
    <cellStyle name="Normal 9 5 6 4" xfId="10770" xr:uid="{2A824F0C-C4BE-4C07-8791-5B18095D1F01}"/>
    <cellStyle name="Normal 9 5 7" xfId="2682" xr:uid="{00000000-0005-0000-0000-00006F200000}"/>
    <cellStyle name="Normal 9 5 7 2" xfId="6966" xr:uid="{00000000-0005-0000-0000-000070200000}"/>
    <cellStyle name="Normal 9 5 7 2 2" xfId="15401" xr:uid="{6B030BF0-13B5-422B-8221-EE51024F59F1}"/>
    <cellStyle name="Normal 9 5 7 3" xfId="11183" xr:uid="{4B04F1C9-960D-48C0-B93E-5193A4121E50}"/>
    <cellStyle name="Normal 9 5 8" xfId="4901" xr:uid="{00000000-0005-0000-0000-000071200000}"/>
    <cellStyle name="Normal 9 5 8 2" xfId="13336" xr:uid="{41598944-9E13-472B-8E39-18879B31C4AA}"/>
    <cellStyle name="Normal 9 5 9" xfId="9118" xr:uid="{5D2659EA-375E-4F6C-B370-29F49B5746E8}"/>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2 2 2" xfId="15896" xr:uid="{E73E97E7-C471-4735-AEEB-5AD20C98DED6}"/>
    <cellStyle name="Normal 9 6 2 2 3" xfId="11678" xr:uid="{9E3FA94E-BFBF-429C-9905-239E528FA55B}"/>
    <cellStyle name="Normal 9 6 2 3" xfId="5316" xr:uid="{00000000-0005-0000-0000-000076200000}"/>
    <cellStyle name="Normal 9 6 2 3 2" xfId="13751" xr:uid="{F019C094-94B4-434E-AEC9-55FD33C6D9D2}"/>
    <cellStyle name="Normal 9 6 2 4" xfId="9533" xr:uid="{BFB810CA-C869-4A8F-AC55-925DDE74B544}"/>
    <cellStyle name="Normal 9 6 3" xfId="1421" xr:uid="{00000000-0005-0000-0000-000077200000}"/>
    <cellStyle name="Normal 9 6 3 2" xfId="3651" xr:uid="{00000000-0005-0000-0000-000078200000}"/>
    <cellStyle name="Normal 9 6 3 2 2" xfId="7874" xr:uid="{00000000-0005-0000-0000-000079200000}"/>
    <cellStyle name="Normal 9 6 3 2 2 2" xfId="16309" xr:uid="{E84B750B-B9B9-47F4-8B75-D278495D4DF3}"/>
    <cellStyle name="Normal 9 6 3 2 3" xfId="12091" xr:uid="{0A7F3A10-D7CF-4DD6-A232-99AB293F1999}"/>
    <cellStyle name="Normal 9 6 3 3" xfId="5729" xr:uid="{00000000-0005-0000-0000-00007A200000}"/>
    <cellStyle name="Normal 9 6 3 3 2" xfId="14164" xr:uid="{542E97F3-A230-4B94-B04E-087C4850D82A}"/>
    <cellStyle name="Normal 9 6 3 4" xfId="9946" xr:uid="{BCCF2CC0-1189-4D36-A00F-FA19455E921A}"/>
    <cellStyle name="Normal 9 6 4" xfId="1834" xr:uid="{00000000-0005-0000-0000-00007B200000}"/>
    <cellStyle name="Normal 9 6 4 2" xfId="4064" xr:uid="{00000000-0005-0000-0000-00007C200000}"/>
    <cellStyle name="Normal 9 6 4 2 2" xfId="8287" xr:uid="{00000000-0005-0000-0000-00007D200000}"/>
    <cellStyle name="Normal 9 6 4 2 2 2" xfId="16722" xr:uid="{05207366-5D20-4583-A533-C3E3F24FDC84}"/>
    <cellStyle name="Normal 9 6 4 2 3" xfId="12504" xr:uid="{B97257D4-2C52-4C4F-B963-BF67E9A5819B}"/>
    <cellStyle name="Normal 9 6 4 3" xfId="6142" xr:uid="{00000000-0005-0000-0000-00007E200000}"/>
    <cellStyle name="Normal 9 6 4 3 2" xfId="14577" xr:uid="{DE7520B4-C611-463E-99E2-3FD5F006858F}"/>
    <cellStyle name="Normal 9 6 4 4" xfId="10359" xr:uid="{24B1564A-A0A8-4E2D-B19E-68691F0A3F1A}"/>
    <cellStyle name="Normal 9 6 5" xfId="2248" xr:uid="{00000000-0005-0000-0000-00007F200000}"/>
    <cellStyle name="Normal 9 6 5 2" xfId="4477" xr:uid="{00000000-0005-0000-0000-000080200000}"/>
    <cellStyle name="Normal 9 6 5 2 2" xfId="8700" xr:uid="{00000000-0005-0000-0000-000081200000}"/>
    <cellStyle name="Normal 9 6 5 2 2 2" xfId="17135" xr:uid="{51B89E32-4EF6-4DF5-8A51-B423577D3D89}"/>
    <cellStyle name="Normal 9 6 5 2 3" xfId="12917" xr:uid="{E7032921-67F9-4A6B-B323-DA2D439D3BE2}"/>
    <cellStyle name="Normal 9 6 5 3" xfId="6555" xr:uid="{00000000-0005-0000-0000-000082200000}"/>
    <cellStyle name="Normal 9 6 5 3 2" xfId="14990" xr:uid="{BC486243-C784-4B29-AE37-5BBA575932BC}"/>
    <cellStyle name="Normal 9 6 5 4" xfId="10772" xr:uid="{5CEB2651-EB78-42BE-A643-BBEAFA6F471B}"/>
    <cellStyle name="Normal 9 6 6" xfId="2684" xr:uid="{00000000-0005-0000-0000-000083200000}"/>
    <cellStyle name="Normal 9 6 6 2" xfId="6968" xr:uid="{00000000-0005-0000-0000-000084200000}"/>
    <cellStyle name="Normal 9 6 6 2 2" xfId="15403" xr:uid="{FC1BDBF2-855A-4FFE-A509-41E6653BB6A9}"/>
    <cellStyle name="Normal 9 6 6 3" xfId="11185" xr:uid="{489FB2F6-F3DD-4227-952B-7A36F6D74BF9}"/>
    <cellStyle name="Normal 9 6 7" xfId="4903" xr:uid="{00000000-0005-0000-0000-000085200000}"/>
    <cellStyle name="Normal 9 6 7 2" xfId="13338" xr:uid="{399E2E78-BDD3-43AF-B33E-BB31BDF30F25}"/>
    <cellStyle name="Normal 9 6 8" xfId="9120" xr:uid="{C7AFA40E-6080-4256-BCD3-2B3CC4A66457}"/>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0 2 2" xfId="15484" xr:uid="{5443F16D-EE89-4D68-B3ED-265A0D290260}"/>
    <cellStyle name="Note 2 2 10 3" xfId="11266" xr:uid="{3F265FD4-93CE-437F-99D7-BDE4673D9258}"/>
    <cellStyle name="Note 2 2 11" xfId="4904" xr:uid="{00000000-0005-0000-0000-000094200000}"/>
    <cellStyle name="Note 2 2 11 2" xfId="13339" xr:uid="{0D9A8796-879A-47C0-99C7-E98A71DFAB3D}"/>
    <cellStyle name="Note 2 2 12" xfId="9121" xr:uid="{357FE40F-EDF8-4569-A910-C0B97814391C}"/>
    <cellStyle name="Note 2 2 2" xfId="547" xr:uid="{00000000-0005-0000-0000-000095200000}"/>
    <cellStyle name="Note 2 2 2 10" xfId="4905" xr:uid="{00000000-0005-0000-0000-000096200000}"/>
    <cellStyle name="Note 2 2 2 10 2" xfId="13340" xr:uid="{72ED19DD-2DCD-4EDE-B9F3-2297A644B0AC}"/>
    <cellStyle name="Note 2 2 2 11" xfId="9122" xr:uid="{8ED6E077-6689-4CCA-96A9-D2555A672370}"/>
    <cellStyle name="Note 2 2 2 2" xfId="548" xr:uid="{00000000-0005-0000-0000-000097200000}"/>
    <cellStyle name="Note 2 2 2 2 10" xfId="9123" xr:uid="{396722E0-470E-4922-9517-2C44066983E9}"/>
    <cellStyle name="Note 2 2 2 2 2" xfId="1009" xr:uid="{00000000-0005-0000-0000-000098200000}"/>
    <cellStyle name="Note 2 2 2 2 2 2" xfId="3241" xr:uid="{00000000-0005-0000-0000-000099200000}"/>
    <cellStyle name="Note 2 2 2 2 2 2 2" xfId="7464" xr:uid="{00000000-0005-0000-0000-00009A200000}"/>
    <cellStyle name="Note 2 2 2 2 2 2 2 2" xfId="15899" xr:uid="{46C04358-A101-49F9-BDA4-EB8F0D0C7DE3}"/>
    <cellStyle name="Note 2 2 2 2 2 2 3" xfId="11681" xr:uid="{0A3283ED-D4E2-4107-B2F6-B5B279148938}"/>
    <cellStyle name="Note 2 2 2 2 2 3" xfId="5319" xr:uid="{00000000-0005-0000-0000-00009B200000}"/>
    <cellStyle name="Note 2 2 2 2 2 3 2" xfId="13754" xr:uid="{50764119-67F1-475D-9A9E-DE69C47A4FD7}"/>
    <cellStyle name="Note 2 2 2 2 2 4" xfId="9536" xr:uid="{B914F822-5B83-434A-BCCA-529B709B7899}"/>
    <cellStyle name="Note 2 2 2 2 3" xfId="1424" xr:uid="{00000000-0005-0000-0000-00009C200000}"/>
    <cellStyle name="Note 2 2 2 2 3 2" xfId="3654" xr:uid="{00000000-0005-0000-0000-00009D200000}"/>
    <cellStyle name="Note 2 2 2 2 3 2 2" xfId="7877" xr:uid="{00000000-0005-0000-0000-00009E200000}"/>
    <cellStyle name="Note 2 2 2 2 3 2 2 2" xfId="16312" xr:uid="{B318F8AF-297F-4BC5-BA70-905D2B959FE6}"/>
    <cellStyle name="Note 2 2 2 2 3 2 3" xfId="12094" xr:uid="{F1E186F9-C23E-4B91-87C7-86AF9344E593}"/>
    <cellStyle name="Note 2 2 2 2 3 3" xfId="5732" xr:uid="{00000000-0005-0000-0000-00009F200000}"/>
    <cellStyle name="Note 2 2 2 2 3 3 2" xfId="14167" xr:uid="{C023E63A-F63D-4271-8A90-B424705B787B}"/>
    <cellStyle name="Note 2 2 2 2 3 4" xfId="9949" xr:uid="{F7B59C19-79B4-4419-AA71-2363CBA6E936}"/>
    <cellStyle name="Note 2 2 2 2 4" xfId="1838" xr:uid="{00000000-0005-0000-0000-0000A0200000}"/>
    <cellStyle name="Note 2 2 2 2 4 2" xfId="4067" xr:uid="{00000000-0005-0000-0000-0000A1200000}"/>
    <cellStyle name="Note 2 2 2 2 4 2 2" xfId="8290" xr:uid="{00000000-0005-0000-0000-0000A2200000}"/>
    <cellStyle name="Note 2 2 2 2 4 2 2 2" xfId="16725" xr:uid="{BFB2525D-E4B4-4950-8C4C-98C914E63DB7}"/>
    <cellStyle name="Note 2 2 2 2 4 2 3" xfId="12507" xr:uid="{4DD38596-EBCE-4136-B32E-C8A73BC6F805}"/>
    <cellStyle name="Note 2 2 2 2 4 3" xfId="6145" xr:uid="{00000000-0005-0000-0000-0000A3200000}"/>
    <cellStyle name="Note 2 2 2 2 4 3 2" xfId="14580" xr:uid="{41F4738E-F7FE-4B97-A606-3F822CC4223B}"/>
    <cellStyle name="Note 2 2 2 2 4 4" xfId="10362" xr:uid="{B67EA1DA-051A-4928-A10F-1FD660EDEFCA}"/>
    <cellStyle name="Note 2 2 2 2 5" xfId="2251" xr:uid="{00000000-0005-0000-0000-0000A4200000}"/>
    <cellStyle name="Note 2 2 2 2 5 2" xfId="4480" xr:uid="{00000000-0005-0000-0000-0000A5200000}"/>
    <cellStyle name="Note 2 2 2 2 5 2 2" xfId="8703" xr:uid="{00000000-0005-0000-0000-0000A6200000}"/>
    <cellStyle name="Note 2 2 2 2 5 2 2 2" xfId="17138" xr:uid="{4CD85AE9-3016-412B-A704-4014B2FDA8AC}"/>
    <cellStyle name="Note 2 2 2 2 5 2 3" xfId="12920" xr:uid="{658E57CE-AB02-4CA1-8337-2DC40F3C7B14}"/>
    <cellStyle name="Note 2 2 2 2 5 3" xfId="6558" xr:uid="{00000000-0005-0000-0000-0000A7200000}"/>
    <cellStyle name="Note 2 2 2 2 5 3 2" xfId="14993" xr:uid="{2FA84109-2A0F-4FD4-8A1D-156C8369B883}"/>
    <cellStyle name="Note 2 2 2 2 5 4" xfId="10775" xr:uid="{9E406D42-D72E-4EB0-88F5-28AD72228097}"/>
    <cellStyle name="Note 2 2 2 2 6" xfId="2687" xr:uid="{00000000-0005-0000-0000-0000A8200000}"/>
    <cellStyle name="Note 2 2 2 2 6 2" xfId="6971" xr:uid="{00000000-0005-0000-0000-0000A9200000}"/>
    <cellStyle name="Note 2 2 2 2 6 2 2" xfId="15406" xr:uid="{760A9740-8780-49F2-B240-9C14AADF97CE}"/>
    <cellStyle name="Note 2 2 2 2 6 3" xfId="11188" xr:uid="{5ABDCCB8-81E9-4001-A228-6E2AA29A566F}"/>
    <cellStyle name="Note 2 2 2 2 7" xfId="2746" xr:uid="{00000000-0005-0000-0000-0000AA200000}"/>
    <cellStyle name="Note 2 2 2 2 8" xfId="2827" xr:uid="{00000000-0005-0000-0000-0000AB200000}"/>
    <cellStyle name="Note 2 2 2 2 8 2" xfId="7051" xr:uid="{00000000-0005-0000-0000-0000AC200000}"/>
    <cellStyle name="Note 2 2 2 2 8 2 2" xfId="15486" xr:uid="{23F13560-CCDB-4A00-BED4-B0224B7AD1B4}"/>
    <cellStyle name="Note 2 2 2 2 8 3" xfId="11268" xr:uid="{80C6B40F-CD30-4952-9DB2-C3A2F0BCB8FA}"/>
    <cellStyle name="Note 2 2 2 2 9" xfId="4906" xr:uid="{00000000-0005-0000-0000-0000AD200000}"/>
    <cellStyle name="Note 2 2 2 2 9 2" xfId="13341" xr:uid="{446F8919-6473-4E3A-A69F-BDDE102C063C}"/>
    <cellStyle name="Note 2 2 2 3" xfId="1008" xr:uid="{00000000-0005-0000-0000-0000AE200000}"/>
    <cellStyle name="Note 2 2 2 3 2" xfId="3240" xr:uid="{00000000-0005-0000-0000-0000AF200000}"/>
    <cellStyle name="Note 2 2 2 3 2 2" xfId="7463" xr:uid="{00000000-0005-0000-0000-0000B0200000}"/>
    <cellStyle name="Note 2 2 2 3 2 2 2" xfId="15898" xr:uid="{DEC09D40-6E44-4103-9F36-6C0E701584B0}"/>
    <cellStyle name="Note 2 2 2 3 2 3" xfId="11680" xr:uid="{CB96B47C-768A-4CCB-9E85-DC6414064153}"/>
    <cellStyle name="Note 2 2 2 3 3" xfId="5318" xr:uid="{00000000-0005-0000-0000-0000B1200000}"/>
    <cellStyle name="Note 2 2 2 3 3 2" xfId="13753" xr:uid="{02512CB8-2A3D-40D9-8E5C-4DA65FA4F9A3}"/>
    <cellStyle name="Note 2 2 2 3 4" xfId="9535" xr:uid="{3A9E10A8-5313-4756-B5E8-4417CB53B6C9}"/>
    <cellStyle name="Note 2 2 2 4" xfId="1423" xr:uid="{00000000-0005-0000-0000-0000B2200000}"/>
    <cellStyle name="Note 2 2 2 4 2" xfId="3653" xr:uid="{00000000-0005-0000-0000-0000B3200000}"/>
    <cellStyle name="Note 2 2 2 4 2 2" xfId="7876" xr:uid="{00000000-0005-0000-0000-0000B4200000}"/>
    <cellStyle name="Note 2 2 2 4 2 2 2" xfId="16311" xr:uid="{AA15EC53-8CE1-48F4-BD00-CD97E0D33493}"/>
    <cellStyle name="Note 2 2 2 4 2 3" xfId="12093" xr:uid="{B3F28513-AF86-4EB7-9885-B013A9D235C2}"/>
    <cellStyle name="Note 2 2 2 4 3" xfId="5731" xr:uid="{00000000-0005-0000-0000-0000B5200000}"/>
    <cellStyle name="Note 2 2 2 4 3 2" xfId="14166" xr:uid="{28D21015-F7AB-49AB-9058-D3AEC597990F}"/>
    <cellStyle name="Note 2 2 2 4 4" xfId="9948" xr:uid="{43EFA576-2715-415D-9A38-63FE7662CE35}"/>
    <cellStyle name="Note 2 2 2 5" xfId="1837" xr:uid="{00000000-0005-0000-0000-0000B6200000}"/>
    <cellStyle name="Note 2 2 2 5 2" xfId="4066" xr:uid="{00000000-0005-0000-0000-0000B7200000}"/>
    <cellStyle name="Note 2 2 2 5 2 2" xfId="8289" xr:uid="{00000000-0005-0000-0000-0000B8200000}"/>
    <cellStyle name="Note 2 2 2 5 2 2 2" xfId="16724" xr:uid="{36FB31F3-D7AD-430F-A14E-14466B4721BE}"/>
    <cellStyle name="Note 2 2 2 5 2 3" xfId="12506" xr:uid="{EC75BC2E-7238-4AF0-9784-2543754C924B}"/>
    <cellStyle name="Note 2 2 2 5 3" xfId="6144" xr:uid="{00000000-0005-0000-0000-0000B9200000}"/>
    <cellStyle name="Note 2 2 2 5 3 2" xfId="14579" xr:uid="{8F6588E4-F6BE-43CA-BA6C-907DFBFC9FCE}"/>
    <cellStyle name="Note 2 2 2 5 4" xfId="10361" xr:uid="{893ED90E-BCCF-4A97-9041-6B9D29DAE9F7}"/>
    <cellStyle name="Note 2 2 2 6" xfId="2250" xr:uid="{00000000-0005-0000-0000-0000BA200000}"/>
    <cellStyle name="Note 2 2 2 6 2" xfId="4479" xr:uid="{00000000-0005-0000-0000-0000BB200000}"/>
    <cellStyle name="Note 2 2 2 6 2 2" xfId="8702" xr:uid="{00000000-0005-0000-0000-0000BC200000}"/>
    <cellStyle name="Note 2 2 2 6 2 2 2" xfId="17137" xr:uid="{36EFDB92-5164-4AAD-845B-26BBC7C1D2B3}"/>
    <cellStyle name="Note 2 2 2 6 2 3" xfId="12919" xr:uid="{6B81B483-001F-4889-A1D8-41633D78D729}"/>
    <cellStyle name="Note 2 2 2 6 3" xfId="6557" xr:uid="{00000000-0005-0000-0000-0000BD200000}"/>
    <cellStyle name="Note 2 2 2 6 3 2" xfId="14992" xr:uid="{42CCFBD3-A32C-49B6-8C6C-2E8B8A9C8021}"/>
    <cellStyle name="Note 2 2 2 6 4" xfId="10774" xr:uid="{0E1EA96F-F482-4785-B72A-55B74880C89E}"/>
    <cellStyle name="Note 2 2 2 7" xfId="2686" xr:uid="{00000000-0005-0000-0000-0000BE200000}"/>
    <cellStyle name="Note 2 2 2 7 2" xfId="6970" xr:uid="{00000000-0005-0000-0000-0000BF200000}"/>
    <cellStyle name="Note 2 2 2 7 2 2" xfId="15405" xr:uid="{418AD81E-6BAE-48DD-B90C-D1EBAAD5DE8E}"/>
    <cellStyle name="Note 2 2 2 7 3" xfId="11187" xr:uid="{E8A26A6E-C18C-426E-BC98-8D59ECB20006}"/>
    <cellStyle name="Note 2 2 2 8" xfId="2745" xr:uid="{00000000-0005-0000-0000-0000C0200000}"/>
    <cellStyle name="Note 2 2 2 9" xfId="2826" xr:uid="{00000000-0005-0000-0000-0000C1200000}"/>
    <cellStyle name="Note 2 2 2 9 2" xfId="7050" xr:uid="{00000000-0005-0000-0000-0000C2200000}"/>
    <cellStyle name="Note 2 2 2 9 2 2" xfId="15485" xr:uid="{CC72AC03-9E36-44DE-B8B7-B2AD71815F8E}"/>
    <cellStyle name="Note 2 2 2 9 3" xfId="11267" xr:uid="{664CEAA1-4A76-4F5D-81E5-56B69BDE5AD2}"/>
    <cellStyle name="Note 2 2 3" xfId="549" xr:uid="{00000000-0005-0000-0000-0000C3200000}"/>
    <cellStyle name="Note 2 2 3 10" xfId="9124" xr:uid="{2486541D-06F9-4AEC-831E-A2EA6C8D8EEA}"/>
    <cellStyle name="Note 2 2 3 2" xfId="1010" xr:uid="{00000000-0005-0000-0000-0000C4200000}"/>
    <cellStyle name="Note 2 2 3 2 2" xfId="3242" xr:uid="{00000000-0005-0000-0000-0000C5200000}"/>
    <cellStyle name="Note 2 2 3 2 2 2" xfId="7465" xr:uid="{00000000-0005-0000-0000-0000C6200000}"/>
    <cellStyle name="Note 2 2 3 2 2 2 2" xfId="15900" xr:uid="{F54904D0-151C-4DD1-8D60-1328D829361C}"/>
    <cellStyle name="Note 2 2 3 2 2 3" xfId="11682" xr:uid="{104A199C-E4CE-494E-A306-957D68F03A28}"/>
    <cellStyle name="Note 2 2 3 2 3" xfId="5320" xr:uid="{00000000-0005-0000-0000-0000C7200000}"/>
    <cellStyle name="Note 2 2 3 2 3 2" xfId="13755" xr:uid="{EBE22A04-E89F-439A-BF33-4FEBC9FB1968}"/>
    <cellStyle name="Note 2 2 3 2 4" xfId="9537" xr:uid="{98C490E3-B245-4D93-BA19-5792F3DF4BC6}"/>
    <cellStyle name="Note 2 2 3 3" xfId="1425" xr:uid="{00000000-0005-0000-0000-0000C8200000}"/>
    <cellStyle name="Note 2 2 3 3 2" xfId="3655" xr:uid="{00000000-0005-0000-0000-0000C9200000}"/>
    <cellStyle name="Note 2 2 3 3 2 2" xfId="7878" xr:uid="{00000000-0005-0000-0000-0000CA200000}"/>
    <cellStyle name="Note 2 2 3 3 2 2 2" xfId="16313" xr:uid="{C6A38BB8-5F4E-497B-A77C-CD050805708C}"/>
    <cellStyle name="Note 2 2 3 3 2 3" xfId="12095" xr:uid="{AB74E1E8-67E5-4349-8B8B-D61924E0A0EC}"/>
    <cellStyle name="Note 2 2 3 3 3" xfId="5733" xr:uid="{00000000-0005-0000-0000-0000CB200000}"/>
    <cellStyle name="Note 2 2 3 3 3 2" xfId="14168" xr:uid="{65F62B48-9C2F-4DB1-A841-9616818C0001}"/>
    <cellStyle name="Note 2 2 3 3 4" xfId="9950" xr:uid="{7CA1AA85-8CAE-474C-95EC-A7125A987F15}"/>
    <cellStyle name="Note 2 2 3 4" xfId="1839" xr:uid="{00000000-0005-0000-0000-0000CC200000}"/>
    <cellStyle name="Note 2 2 3 4 2" xfId="4068" xr:uid="{00000000-0005-0000-0000-0000CD200000}"/>
    <cellStyle name="Note 2 2 3 4 2 2" xfId="8291" xr:uid="{00000000-0005-0000-0000-0000CE200000}"/>
    <cellStyle name="Note 2 2 3 4 2 2 2" xfId="16726" xr:uid="{1DE939F7-7DF9-44C3-9F64-9BBAF1B2581A}"/>
    <cellStyle name="Note 2 2 3 4 2 3" xfId="12508" xr:uid="{5DC0C610-DD74-48A1-98AA-2C94CA276EBE}"/>
    <cellStyle name="Note 2 2 3 4 3" xfId="6146" xr:uid="{00000000-0005-0000-0000-0000CF200000}"/>
    <cellStyle name="Note 2 2 3 4 3 2" xfId="14581" xr:uid="{35B6D984-16EE-49C4-82C7-DA802420C3F7}"/>
    <cellStyle name="Note 2 2 3 4 4" xfId="10363" xr:uid="{A36CDF7D-610C-437A-B711-488CAE059871}"/>
    <cellStyle name="Note 2 2 3 5" xfId="2252" xr:uid="{00000000-0005-0000-0000-0000D0200000}"/>
    <cellStyle name="Note 2 2 3 5 2" xfId="4481" xr:uid="{00000000-0005-0000-0000-0000D1200000}"/>
    <cellStyle name="Note 2 2 3 5 2 2" xfId="8704" xr:uid="{00000000-0005-0000-0000-0000D2200000}"/>
    <cellStyle name="Note 2 2 3 5 2 2 2" xfId="17139" xr:uid="{B5037509-B301-444F-93B2-061C38B005A3}"/>
    <cellStyle name="Note 2 2 3 5 2 3" xfId="12921" xr:uid="{D7738E25-4CCE-486D-B5B8-140BD4D74714}"/>
    <cellStyle name="Note 2 2 3 5 3" xfId="6559" xr:uid="{00000000-0005-0000-0000-0000D3200000}"/>
    <cellStyle name="Note 2 2 3 5 3 2" xfId="14994" xr:uid="{44395991-D144-40D5-B5DA-EF94ABC3E84C}"/>
    <cellStyle name="Note 2 2 3 5 4" xfId="10776" xr:uid="{A8F01C62-A3C5-4E2E-BA04-B1EABC2CEC1C}"/>
    <cellStyle name="Note 2 2 3 6" xfId="2688" xr:uid="{00000000-0005-0000-0000-0000D4200000}"/>
    <cellStyle name="Note 2 2 3 6 2" xfId="6972" xr:uid="{00000000-0005-0000-0000-0000D5200000}"/>
    <cellStyle name="Note 2 2 3 6 2 2" xfId="15407" xr:uid="{048A2859-92E8-4B1C-A6FF-AF94A411F3C2}"/>
    <cellStyle name="Note 2 2 3 6 3" xfId="11189" xr:uid="{A7FEBC28-E03B-479E-9570-F1CBA2ABEA1B}"/>
    <cellStyle name="Note 2 2 3 7" xfId="2747" xr:uid="{00000000-0005-0000-0000-0000D6200000}"/>
    <cellStyle name="Note 2 2 3 8" xfId="2828" xr:uid="{00000000-0005-0000-0000-0000D7200000}"/>
    <cellStyle name="Note 2 2 3 8 2" xfId="7052" xr:uid="{00000000-0005-0000-0000-0000D8200000}"/>
    <cellStyle name="Note 2 2 3 8 2 2" xfId="15487" xr:uid="{E3A1AFE6-480D-4155-9F3D-A70EFC018D2A}"/>
    <cellStyle name="Note 2 2 3 8 3" xfId="11269" xr:uid="{5C570D3D-6AB3-4C75-AB5C-AD49A5B5B740}"/>
    <cellStyle name="Note 2 2 3 9" xfId="4907" xr:uid="{00000000-0005-0000-0000-0000D9200000}"/>
    <cellStyle name="Note 2 2 3 9 2" xfId="13342" xr:uid="{D1BD9DA1-3818-407B-9797-154D141BB8D8}"/>
    <cellStyle name="Note 2 2 4" xfId="1007" xr:uid="{00000000-0005-0000-0000-0000DA200000}"/>
    <cellStyle name="Note 2 2 4 2" xfId="3239" xr:uid="{00000000-0005-0000-0000-0000DB200000}"/>
    <cellStyle name="Note 2 2 4 2 2" xfId="7462" xr:uid="{00000000-0005-0000-0000-0000DC200000}"/>
    <cellStyle name="Note 2 2 4 2 2 2" xfId="15897" xr:uid="{AE5116B7-FC0F-4F96-A90E-724CA40781E4}"/>
    <cellStyle name="Note 2 2 4 2 3" xfId="11679" xr:uid="{B68C59F1-567F-4CEE-BA35-EDD9EA972E27}"/>
    <cellStyle name="Note 2 2 4 3" xfId="5317" xr:uid="{00000000-0005-0000-0000-0000DD200000}"/>
    <cellStyle name="Note 2 2 4 3 2" xfId="13752" xr:uid="{2EE45D2B-EB57-48A9-8DF1-39EF182EFB23}"/>
    <cellStyle name="Note 2 2 4 4" xfId="9534" xr:uid="{F3F36C7C-B5AA-4869-BB3A-F8D2E439214F}"/>
    <cellStyle name="Note 2 2 5" xfId="1422" xr:uid="{00000000-0005-0000-0000-0000DE200000}"/>
    <cellStyle name="Note 2 2 5 2" xfId="3652" xr:uid="{00000000-0005-0000-0000-0000DF200000}"/>
    <cellStyle name="Note 2 2 5 2 2" xfId="7875" xr:uid="{00000000-0005-0000-0000-0000E0200000}"/>
    <cellStyle name="Note 2 2 5 2 2 2" xfId="16310" xr:uid="{2EFAA66F-25E5-4023-A0F0-F17E8E1F30D1}"/>
    <cellStyle name="Note 2 2 5 2 3" xfId="12092" xr:uid="{534DCE13-298A-480F-8217-35A68552F3F3}"/>
    <cellStyle name="Note 2 2 5 3" xfId="5730" xr:uid="{00000000-0005-0000-0000-0000E1200000}"/>
    <cellStyle name="Note 2 2 5 3 2" xfId="14165" xr:uid="{764B5532-6182-4A65-BBDB-89D7378E6161}"/>
    <cellStyle name="Note 2 2 5 4" xfId="9947" xr:uid="{F765D68D-E747-4C5A-ADF2-0C49741B66E4}"/>
    <cellStyle name="Note 2 2 6" xfId="1836" xr:uid="{00000000-0005-0000-0000-0000E2200000}"/>
    <cellStyle name="Note 2 2 6 2" xfId="4065" xr:uid="{00000000-0005-0000-0000-0000E3200000}"/>
    <cellStyle name="Note 2 2 6 2 2" xfId="8288" xr:uid="{00000000-0005-0000-0000-0000E4200000}"/>
    <cellStyle name="Note 2 2 6 2 2 2" xfId="16723" xr:uid="{AD5CD78E-7A04-4EC6-A51D-48AA4B631589}"/>
    <cellStyle name="Note 2 2 6 2 3" xfId="12505" xr:uid="{20BF7980-8EDE-4336-8028-2B007EBD75ED}"/>
    <cellStyle name="Note 2 2 6 3" xfId="6143" xr:uid="{00000000-0005-0000-0000-0000E5200000}"/>
    <cellStyle name="Note 2 2 6 3 2" xfId="14578" xr:uid="{C953761F-95CD-4B12-980D-7F03EB82A65B}"/>
    <cellStyle name="Note 2 2 6 4" xfId="10360" xr:uid="{544EAA6D-5D99-4ED7-A586-B76F69B2A05F}"/>
    <cellStyle name="Note 2 2 7" xfId="2249" xr:uid="{00000000-0005-0000-0000-0000E6200000}"/>
    <cellStyle name="Note 2 2 7 2" xfId="4478" xr:uid="{00000000-0005-0000-0000-0000E7200000}"/>
    <cellStyle name="Note 2 2 7 2 2" xfId="8701" xr:uid="{00000000-0005-0000-0000-0000E8200000}"/>
    <cellStyle name="Note 2 2 7 2 2 2" xfId="17136" xr:uid="{ADED008C-9B2A-4D2D-B1ED-23504CF652CC}"/>
    <cellStyle name="Note 2 2 7 2 3" xfId="12918" xr:uid="{8E73C628-DEE4-48CE-939E-4C8473C308EA}"/>
    <cellStyle name="Note 2 2 7 3" xfId="6556" xr:uid="{00000000-0005-0000-0000-0000E9200000}"/>
    <cellStyle name="Note 2 2 7 3 2" xfId="14991" xr:uid="{F7D967B6-7BDB-4FFE-AC2A-0D7323C0E506}"/>
    <cellStyle name="Note 2 2 7 4" xfId="10773" xr:uid="{695630D2-58ED-4D97-B7D5-B1D79E34CC7D}"/>
    <cellStyle name="Note 2 2 8" xfId="2685" xr:uid="{00000000-0005-0000-0000-0000EA200000}"/>
    <cellStyle name="Note 2 2 8 2" xfId="6969" xr:uid="{00000000-0005-0000-0000-0000EB200000}"/>
    <cellStyle name="Note 2 2 8 2 2" xfId="15404" xr:uid="{6E9E2415-A5D0-4383-83D8-8EC849760B3C}"/>
    <cellStyle name="Note 2 2 8 3" xfId="11186" xr:uid="{5E3FF050-134F-4D2A-AB61-CE1B5C398D7A}"/>
    <cellStyle name="Note 2 2 9" xfId="2744" xr:uid="{00000000-0005-0000-0000-0000EC200000}"/>
    <cellStyle name="Note 2 3" xfId="550" xr:uid="{00000000-0005-0000-0000-0000ED200000}"/>
    <cellStyle name="Note 2 3 10" xfId="4908" xr:uid="{00000000-0005-0000-0000-0000EE200000}"/>
    <cellStyle name="Note 2 3 10 2" xfId="13343" xr:uid="{315034FF-5C96-478E-8871-8980604055D0}"/>
    <cellStyle name="Note 2 3 11" xfId="9125" xr:uid="{F95E53B0-176D-4B61-B1E5-D23C2818E785}"/>
    <cellStyle name="Note 2 3 2" xfId="551" xr:uid="{00000000-0005-0000-0000-0000EF200000}"/>
    <cellStyle name="Note 2 3 2 10" xfId="9126" xr:uid="{263CE3AC-110B-45B7-A8DB-10B7759322AF}"/>
    <cellStyle name="Note 2 3 2 2" xfId="1012" xr:uid="{00000000-0005-0000-0000-0000F0200000}"/>
    <cellStyle name="Note 2 3 2 2 2" xfId="3244" xr:uid="{00000000-0005-0000-0000-0000F1200000}"/>
    <cellStyle name="Note 2 3 2 2 2 2" xfId="7467" xr:uid="{00000000-0005-0000-0000-0000F2200000}"/>
    <cellStyle name="Note 2 3 2 2 2 2 2" xfId="15902" xr:uid="{3A0BCCB1-CF7A-433B-B42D-4AB2112DA13F}"/>
    <cellStyle name="Note 2 3 2 2 2 3" xfId="11684" xr:uid="{51E196B2-9B32-4EEC-B3F6-3344DFEC5739}"/>
    <cellStyle name="Note 2 3 2 2 3" xfId="5322" xr:uid="{00000000-0005-0000-0000-0000F3200000}"/>
    <cellStyle name="Note 2 3 2 2 3 2" xfId="13757" xr:uid="{2CC14314-55F4-4C90-8BDC-F22799DFFE91}"/>
    <cellStyle name="Note 2 3 2 2 4" xfId="9539" xr:uid="{0D87904B-A4DE-43EF-8426-ED885D823F67}"/>
    <cellStyle name="Note 2 3 2 3" xfId="1427" xr:uid="{00000000-0005-0000-0000-0000F4200000}"/>
    <cellStyle name="Note 2 3 2 3 2" xfId="3657" xr:uid="{00000000-0005-0000-0000-0000F5200000}"/>
    <cellStyle name="Note 2 3 2 3 2 2" xfId="7880" xr:uid="{00000000-0005-0000-0000-0000F6200000}"/>
    <cellStyle name="Note 2 3 2 3 2 2 2" xfId="16315" xr:uid="{71EC9145-5425-443F-93F2-E7D362D418E5}"/>
    <cellStyle name="Note 2 3 2 3 2 3" xfId="12097" xr:uid="{09B2BCC0-7D37-44E8-8355-946F6C2A8B4E}"/>
    <cellStyle name="Note 2 3 2 3 3" xfId="5735" xr:uid="{00000000-0005-0000-0000-0000F7200000}"/>
    <cellStyle name="Note 2 3 2 3 3 2" xfId="14170" xr:uid="{C5887B4B-C98B-45E1-B939-9555564B44A6}"/>
    <cellStyle name="Note 2 3 2 3 4" xfId="9952" xr:uid="{0C65E332-1665-481A-8326-DE4D2B96D4ED}"/>
    <cellStyle name="Note 2 3 2 4" xfId="1841" xr:uid="{00000000-0005-0000-0000-0000F8200000}"/>
    <cellStyle name="Note 2 3 2 4 2" xfId="4070" xr:uid="{00000000-0005-0000-0000-0000F9200000}"/>
    <cellStyle name="Note 2 3 2 4 2 2" xfId="8293" xr:uid="{00000000-0005-0000-0000-0000FA200000}"/>
    <cellStyle name="Note 2 3 2 4 2 2 2" xfId="16728" xr:uid="{38B3EE35-E7D6-4CEE-87BF-4796F3F53ADE}"/>
    <cellStyle name="Note 2 3 2 4 2 3" xfId="12510" xr:uid="{A06546F3-8BF0-43D9-AFF3-EB2A64526B0B}"/>
    <cellStyle name="Note 2 3 2 4 3" xfId="6148" xr:uid="{00000000-0005-0000-0000-0000FB200000}"/>
    <cellStyle name="Note 2 3 2 4 3 2" xfId="14583" xr:uid="{DCD0C1FF-192F-4ED0-93D4-8EA25782DB06}"/>
    <cellStyle name="Note 2 3 2 4 4" xfId="10365" xr:uid="{25DD4C0B-3347-4BA2-805B-65F60AC195D5}"/>
    <cellStyle name="Note 2 3 2 5" xfId="2254" xr:uid="{00000000-0005-0000-0000-0000FC200000}"/>
    <cellStyle name="Note 2 3 2 5 2" xfId="4483" xr:uid="{00000000-0005-0000-0000-0000FD200000}"/>
    <cellStyle name="Note 2 3 2 5 2 2" xfId="8706" xr:uid="{00000000-0005-0000-0000-0000FE200000}"/>
    <cellStyle name="Note 2 3 2 5 2 2 2" xfId="17141" xr:uid="{8CCC2ADF-B12E-4407-9802-CEAEB3A4B12A}"/>
    <cellStyle name="Note 2 3 2 5 2 3" xfId="12923" xr:uid="{A45A1232-B7CD-465D-9ED3-70A428C58E50}"/>
    <cellStyle name="Note 2 3 2 5 3" xfId="6561" xr:uid="{00000000-0005-0000-0000-0000FF200000}"/>
    <cellStyle name="Note 2 3 2 5 3 2" xfId="14996" xr:uid="{102DA6B3-2F84-4072-AE9C-5F7080DD3240}"/>
    <cellStyle name="Note 2 3 2 5 4" xfId="10778" xr:uid="{3F1BE61F-CD7D-4F98-B781-14735C9221C0}"/>
    <cellStyle name="Note 2 3 2 6" xfId="2690" xr:uid="{00000000-0005-0000-0000-000000210000}"/>
    <cellStyle name="Note 2 3 2 6 2" xfId="6974" xr:uid="{00000000-0005-0000-0000-000001210000}"/>
    <cellStyle name="Note 2 3 2 6 2 2" xfId="15409" xr:uid="{A71EDE73-F6FB-4845-96E1-2E4003EDC321}"/>
    <cellStyle name="Note 2 3 2 6 3" xfId="11191" xr:uid="{4D33E9AA-8FDB-433B-A284-5479F9450447}"/>
    <cellStyle name="Note 2 3 2 7" xfId="2749" xr:uid="{00000000-0005-0000-0000-000002210000}"/>
    <cellStyle name="Note 2 3 2 8" xfId="2830" xr:uid="{00000000-0005-0000-0000-000003210000}"/>
    <cellStyle name="Note 2 3 2 8 2" xfId="7054" xr:uid="{00000000-0005-0000-0000-000004210000}"/>
    <cellStyle name="Note 2 3 2 8 2 2" xfId="15489" xr:uid="{B954516A-A5C4-4F9E-9F89-02A135B43E9B}"/>
    <cellStyle name="Note 2 3 2 8 3" xfId="11271" xr:uid="{CFC19B01-62CE-4476-974E-F5FC3D1C3554}"/>
    <cellStyle name="Note 2 3 2 9" xfId="4909" xr:uid="{00000000-0005-0000-0000-000005210000}"/>
    <cellStyle name="Note 2 3 2 9 2" xfId="13344" xr:uid="{385EFD4C-0B65-40A0-ADC4-B4C3F853B90B}"/>
    <cellStyle name="Note 2 3 3" xfId="1011" xr:uid="{00000000-0005-0000-0000-000006210000}"/>
    <cellStyle name="Note 2 3 3 2" xfId="3243" xr:uid="{00000000-0005-0000-0000-000007210000}"/>
    <cellStyle name="Note 2 3 3 2 2" xfId="7466" xr:uid="{00000000-0005-0000-0000-000008210000}"/>
    <cellStyle name="Note 2 3 3 2 2 2" xfId="15901" xr:uid="{933FA54F-5D5F-4D7D-9C75-10026CD6ED8E}"/>
    <cellStyle name="Note 2 3 3 2 3" xfId="11683" xr:uid="{510E5478-D233-4DF2-9DE9-26F4ADEBDC5E}"/>
    <cellStyle name="Note 2 3 3 3" xfId="5321" xr:uid="{00000000-0005-0000-0000-000009210000}"/>
    <cellStyle name="Note 2 3 3 3 2" xfId="13756" xr:uid="{A554CA81-1A7F-47A3-B2A4-39928A5BF6A4}"/>
    <cellStyle name="Note 2 3 3 4" xfId="9538" xr:uid="{4F409F3E-8521-4398-BE52-8930F6577226}"/>
    <cellStyle name="Note 2 3 4" xfId="1426" xr:uid="{00000000-0005-0000-0000-00000A210000}"/>
    <cellStyle name="Note 2 3 4 2" xfId="3656" xr:uid="{00000000-0005-0000-0000-00000B210000}"/>
    <cellStyle name="Note 2 3 4 2 2" xfId="7879" xr:uid="{00000000-0005-0000-0000-00000C210000}"/>
    <cellStyle name="Note 2 3 4 2 2 2" xfId="16314" xr:uid="{5107CCE3-52B2-4EE8-A911-497800AED531}"/>
    <cellStyle name="Note 2 3 4 2 3" xfId="12096" xr:uid="{B5752530-7795-4F7C-BA48-1C16DE7E5780}"/>
    <cellStyle name="Note 2 3 4 3" xfId="5734" xr:uid="{00000000-0005-0000-0000-00000D210000}"/>
    <cellStyle name="Note 2 3 4 3 2" xfId="14169" xr:uid="{D466D0FF-1776-4104-AC21-135869BDD8A7}"/>
    <cellStyle name="Note 2 3 4 4" xfId="9951" xr:uid="{77257D72-A57B-4D40-BEE2-99161085DCA4}"/>
    <cellStyle name="Note 2 3 5" xfId="1840" xr:uid="{00000000-0005-0000-0000-00000E210000}"/>
    <cellStyle name="Note 2 3 5 2" xfId="4069" xr:uid="{00000000-0005-0000-0000-00000F210000}"/>
    <cellStyle name="Note 2 3 5 2 2" xfId="8292" xr:uid="{00000000-0005-0000-0000-000010210000}"/>
    <cellStyle name="Note 2 3 5 2 2 2" xfId="16727" xr:uid="{8C5CCD1C-724E-4D6D-B177-66E8D04BE0DD}"/>
    <cellStyle name="Note 2 3 5 2 3" xfId="12509" xr:uid="{31933015-1339-4A67-B6AD-4E87A7C9C9E1}"/>
    <cellStyle name="Note 2 3 5 3" xfId="6147" xr:uid="{00000000-0005-0000-0000-000011210000}"/>
    <cellStyle name="Note 2 3 5 3 2" xfId="14582" xr:uid="{08704060-4E85-4EC6-8C9E-5341A9834306}"/>
    <cellStyle name="Note 2 3 5 4" xfId="10364" xr:uid="{2ACC7294-52B9-4336-B19E-CE2A7410D29B}"/>
    <cellStyle name="Note 2 3 6" xfId="2253" xr:uid="{00000000-0005-0000-0000-000012210000}"/>
    <cellStyle name="Note 2 3 6 2" xfId="4482" xr:uid="{00000000-0005-0000-0000-000013210000}"/>
    <cellStyle name="Note 2 3 6 2 2" xfId="8705" xr:uid="{00000000-0005-0000-0000-000014210000}"/>
    <cellStyle name="Note 2 3 6 2 2 2" xfId="17140" xr:uid="{AD2D3CBF-4E3D-4A26-86F4-E67A105D13A5}"/>
    <cellStyle name="Note 2 3 6 2 3" xfId="12922" xr:uid="{0E490628-6488-4DA5-93BC-EDF4F9E049E0}"/>
    <cellStyle name="Note 2 3 6 3" xfId="6560" xr:uid="{00000000-0005-0000-0000-000015210000}"/>
    <cellStyle name="Note 2 3 6 3 2" xfId="14995" xr:uid="{14754F4C-FFE7-4E3C-952C-18A9417FB9C9}"/>
    <cellStyle name="Note 2 3 6 4" xfId="10777" xr:uid="{C6E35CF8-3851-45C0-9F30-346B051955EF}"/>
    <cellStyle name="Note 2 3 7" xfId="2689" xr:uid="{00000000-0005-0000-0000-000016210000}"/>
    <cellStyle name="Note 2 3 7 2" xfId="6973" xr:uid="{00000000-0005-0000-0000-000017210000}"/>
    <cellStyle name="Note 2 3 7 2 2" xfId="15408" xr:uid="{DCA8533B-0105-4EF4-A587-5221F3CBFF90}"/>
    <cellStyle name="Note 2 3 7 3" xfId="11190" xr:uid="{C75D7490-3FD9-4480-A3BB-0FA0A1F2E88B}"/>
    <cellStyle name="Note 2 3 8" xfId="2748" xr:uid="{00000000-0005-0000-0000-000018210000}"/>
    <cellStyle name="Note 2 3 9" xfId="2829" xr:uid="{00000000-0005-0000-0000-000019210000}"/>
    <cellStyle name="Note 2 3 9 2" xfId="7053" xr:uid="{00000000-0005-0000-0000-00001A210000}"/>
    <cellStyle name="Note 2 3 9 2 2" xfId="15488" xr:uid="{C6F2C2DE-042B-4F25-839E-FBF995083A68}"/>
    <cellStyle name="Note 2 3 9 3" xfId="11270" xr:uid="{80FD71D0-1080-4DCE-BA0F-205A13607E23}"/>
    <cellStyle name="Note 2 4" xfId="552" xr:uid="{00000000-0005-0000-0000-00001B210000}"/>
    <cellStyle name="Note 2 4 10" xfId="9127" xr:uid="{D3E9FC3A-4548-4158-829E-D827442283FE}"/>
    <cellStyle name="Note 2 4 2" xfId="1013" xr:uid="{00000000-0005-0000-0000-00001C210000}"/>
    <cellStyle name="Note 2 4 2 2" xfId="3245" xr:uid="{00000000-0005-0000-0000-00001D210000}"/>
    <cellStyle name="Note 2 4 2 2 2" xfId="7468" xr:uid="{00000000-0005-0000-0000-00001E210000}"/>
    <cellStyle name="Note 2 4 2 2 2 2" xfId="15903" xr:uid="{37432AAA-8C9F-4071-A83A-68495BB02859}"/>
    <cellStyle name="Note 2 4 2 2 3" xfId="11685" xr:uid="{AFE00234-32DE-4027-831D-8ED58AAEED35}"/>
    <cellStyle name="Note 2 4 2 3" xfId="5323" xr:uid="{00000000-0005-0000-0000-00001F210000}"/>
    <cellStyle name="Note 2 4 2 3 2" xfId="13758" xr:uid="{8167B4DE-9766-45F2-B1CC-779D383153A8}"/>
    <cellStyle name="Note 2 4 2 4" xfId="9540" xr:uid="{9244C462-F3BF-4EE8-9755-2D8A8999CB71}"/>
    <cellStyle name="Note 2 4 3" xfId="1428" xr:uid="{00000000-0005-0000-0000-000020210000}"/>
    <cellStyle name="Note 2 4 3 2" xfId="3658" xr:uid="{00000000-0005-0000-0000-000021210000}"/>
    <cellStyle name="Note 2 4 3 2 2" xfId="7881" xr:uid="{00000000-0005-0000-0000-000022210000}"/>
    <cellStyle name="Note 2 4 3 2 2 2" xfId="16316" xr:uid="{9878A696-A998-4D7B-A865-BB5B7F243AB2}"/>
    <cellStyle name="Note 2 4 3 2 3" xfId="12098" xr:uid="{A4A006A2-9F11-43B7-A37F-3CAEAA11F950}"/>
    <cellStyle name="Note 2 4 3 3" xfId="5736" xr:uid="{00000000-0005-0000-0000-000023210000}"/>
    <cellStyle name="Note 2 4 3 3 2" xfId="14171" xr:uid="{E24D7D84-8255-4427-99E5-C2588789E4A4}"/>
    <cellStyle name="Note 2 4 3 4" xfId="9953" xr:uid="{D16275F8-9A1A-4F5B-B6B8-1DF13D9B3F8B}"/>
    <cellStyle name="Note 2 4 4" xfId="1842" xr:uid="{00000000-0005-0000-0000-000024210000}"/>
    <cellStyle name="Note 2 4 4 2" xfId="4071" xr:uid="{00000000-0005-0000-0000-000025210000}"/>
    <cellStyle name="Note 2 4 4 2 2" xfId="8294" xr:uid="{00000000-0005-0000-0000-000026210000}"/>
    <cellStyle name="Note 2 4 4 2 2 2" xfId="16729" xr:uid="{280FF024-44D4-4387-9DDF-50C7DECEA2FC}"/>
    <cellStyle name="Note 2 4 4 2 3" xfId="12511" xr:uid="{BCB36A2F-CDAE-4368-8C33-5832D7F88062}"/>
    <cellStyle name="Note 2 4 4 3" xfId="6149" xr:uid="{00000000-0005-0000-0000-000027210000}"/>
    <cellStyle name="Note 2 4 4 3 2" xfId="14584" xr:uid="{0021C95D-7E68-4E90-BF97-7932AA349C54}"/>
    <cellStyle name="Note 2 4 4 4" xfId="10366" xr:uid="{18ABD63F-8E04-4930-86FB-01D367F85C91}"/>
    <cellStyle name="Note 2 4 5" xfId="2255" xr:uid="{00000000-0005-0000-0000-000028210000}"/>
    <cellStyle name="Note 2 4 5 2" xfId="4484" xr:uid="{00000000-0005-0000-0000-000029210000}"/>
    <cellStyle name="Note 2 4 5 2 2" xfId="8707" xr:uid="{00000000-0005-0000-0000-00002A210000}"/>
    <cellStyle name="Note 2 4 5 2 2 2" xfId="17142" xr:uid="{1D60692A-FEAE-47DA-8D41-0ADDE6F39520}"/>
    <cellStyle name="Note 2 4 5 2 3" xfId="12924" xr:uid="{0FF3B686-5BBA-42D8-AF84-30579C40AA43}"/>
    <cellStyle name="Note 2 4 5 3" xfId="6562" xr:uid="{00000000-0005-0000-0000-00002B210000}"/>
    <cellStyle name="Note 2 4 5 3 2" xfId="14997" xr:uid="{279C1BE8-9BD5-44AD-85C5-664AEF3BC812}"/>
    <cellStyle name="Note 2 4 5 4" xfId="10779" xr:uid="{3A5E57EC-1B7D-4A17-BF32-FE9C6525B380}"/>
    <cellStyle name="Note 2 4 6" xfId="2691" xr:uid="{00000000-0005-0000-0000-00002C210000}"/>
    <cellStyle name="Note 2 4 6 2" xfId="6975" xr:uid="{00000000-0005-0000-0000-00002D210000}"/>
    <cellStyle name="Note 2 4 6 2 2" xfId="15410" xr:uid="{D52AE62E-4A0E-4AB6-9750-DA877E732E39}"/>
    <cellStyle name="Note 2 4 6 3" xfId="11192" xr:uid="{A6207871-A1D1-4718-95A1-7D4C9F7930CB}"/>
    <cellStyle name="Note 2 4 7" xfId="2750" xr:uid="{00000000-0005-0000-0000-00002E210000}"/>
    <cellStyle name="Note 2 4 8" xfId="2831" xr:uid="{00000000-0005-0000-0000-00002F210000}"/>
    <cellStyle name="Note 2 4 8 2" xfId="7055" xr:uid="{00000000-0005-0000-0000-000030210000}"/>
    <cellStyle name="Note 2 4 8 2 2" xfId="15490" xr:uid="{6EED64DD-AECE-40FC-9D20-4E575B81F2AC}"/>
    <cellStyle name="Note 2 4 8 3" xfId="11272" xr:uid="{46276876-63B9-4EA0-AB02-2A0C3B6C90A7}"/>
    <cellStyle name="Note 2 4 9" xfId="4910" xr:uid="{00000000-0005-0000-0000-000031210000}"/>
    <cellStyle name="Note 2 4 9 2" xfId="13345" xr:uid="{B6A5B443-11BA-477C-BBBC-FCEE7DC6F162}"/>
    <cellStyle name="Note 2 5" xfId="553" xr:uid="{00000000-0005-0000-0000-000032210000}"/>
    <cellStyle name="Note 2 5 10" xfId="9128" xr:uid="{64268EF6-E621-4633-BF89-3CF19E5ACA54}"/>
    <cellStyle name="Note 2 5 2" xfId="1014" xr:uid="{00000000-0005-0000-0000-000033210000}"/>
    <cellStyle name="Note 2 5 2 2" xfId="3246" xr:uid="{00000000-0005-0000-0000-000034210000}"/>
    <cellStyle name="Note 2 5 2 2 2" xfId="7469" xr:uid="{00000000-0005-0000-0000-000035210000}"/>
    <cellStyle name="Note 2 5 2 2 2 2" xfId="15904" xr:uid="{19CD0CFA-7841-4CB3-B687-839FDE5B47D2}"/>
    <cellStyle name="Note 2 5 2 2 3" xfId="11686" xr:uid="{59DD0F5E-1FB2-43D2-A5DA-6A84BB9F2B66}"/>
    <cellStyle name="Note 2 5 2 3" xfId="5324" xr:uid="{00000000-0005-0000-0000-000036210000}"/>
    <cellStyle name="Note 2 5 2 3 2" xfId="13759" xr:uid="{F9F0DF98-7A98-4B1F-893B-A77A28B6E0F9}"/>
    <cellStyle name="Note 2 5 2 4" xfId="9541" xr:uid="{C759796F-BDE3-4148-9631-3CD5DAC08CC4}"/>
    <cellStyle name="Note 2 5 3" xfId="1429" xr:uid="{00000000-0005-0000-0000-000037210000}"/>
    <cellStyle name="Note 2 5 3 2" xfId="3659" xr:uid="{00000000-0005-0000-0000-000038210000}"/>
    <cellStyle name="Note 2 5 3 2 2" xfId="7882" xr:uid="{00000000-0005-0000-0000-000039210000}"/>
    <cellStyle name="Note 2 5 3 2 2 2" xfId="16317" xr:uid="{1CAB9868-DDB7-47DE-8323-A48AE40BF7D4}"/>
    <cellStyle name="Note 2 5 3 2 3" xfId="12099" xr:uid="{AFBD084D-3653-4DE8-AB91-54E5F2DCEA98}"/>
    <cellStyle name="Note 2 5 3 3" xfId="5737" xr:uid="{00000000-0005-0000-0000-00003A210000}"/>
    <cellStyle name="Note 2 5 3 3 2" xfId="14172" xr:uid="{E7C5DB51-D10F-4EB3-8245-45FABF04ECE9}"/>
    <cellStyle name="Note 2 5 3 4" xfId="9954" xr:uid="{F69EE8ED-8618-424F-B516-8F5FC8B01FB5}"/>
    <cellStyle name="Note 2 5 4" xfId="1843" xr:uid="{00000000-0005-0000-0000-00003B210000}"/>
    <cellStyle name="Note 2 5 4 2" xfId="4072" xr:uid="{00000000-0005-0000-0000-00003C210000}"/>
    <cellStyle name="Note 2 5 4 2 2" xfId="8295" xr:uid="{00000000-0005-0000-0000-00003D210000}"/>
    <cellStyle name="Note 2 5 4 2 2 2" xfId="16730" xr:uid="{34EB6D52-C50C-44FB-BD6C-F5C17DB0A45F}"/>
    <cellStyle name="Note 2 5 4 2 3" xfId="12512" xr:uid="{60EB513A-3321-42A6-AA20-4F26C08FDA90}"/>
    <cellStyle name="Note 2 5 4 3" xfId="6150" xr:uid="{00000000-0005-0000-0000-00003E210000}"/>
    <cellStyle name="Note 2 5 4 3 2" xfId="14585" xr:uid="{41714A63-9E0F-47E7-88B2-912185A832FE}"/>
    <cellStyle name="Note 2 5 4 4" xfId="10367" xr:uid="{F962064D-8D5F-492A-AC2D-F6A9C5D004FA}"/>
    <cellStyle name="Note 2 5 5" xfId="2256" xr:uid="{00000000-0005-0000-0000-00003F210000}"/>
    <cellStyle name="Note 2 5 5 2" xfId="4485" xr:uid="{00000000-0005-0000-0000-000040210000}"/>
    <cellStyle name="Note 2 5 5 2 2" xfId="8708" xr:uid="{00000000-0005-0000-0000-000041210000}"/>
    <cellStyle name="Note 2 5 5 2 2 2" xfId="17143" xr:uid="{80221982-C552-43C7-9DEA-AB3420391CFF}"/>
    <cellStyle name="Note 2 5 5 2 3" xfId="12925" xr:uid="{B2A6182F-92BA-40BC-9C74-ABD0817042F8}"/>
    <cellStyle name="Note 2 5 5 3" xfId="6563" xr:uid="{00000000-0005-0000-0000-000042210000}"/>
    <cellStyle name="Note 2 5 5 3 2" xfId="14998" xr:uid="{44C3F520-EB72-43BA-ACD2-21873C0F4E2C}"/>
    <cellStyle name="Note 2 5 5 4" xfId="10780" xr:uid="{916A077D-33D7-4854-883A-E633D86B13DF}"/>
    <cellStyle name="Note 2 5 6" xfId="2692" xr:uid="{00000000-0005-0000-0000-000043210000}"/>
    <cellStyle name="Note 2 5 6 2" xfId="6976" xr:uid="{00000000-0005-0000-0000-000044210000}"/>
    <cellStyle name="Note 2 5 6 2 2" xfId="15411" xr:uid="{766F6370-2645-4777-850E-A80532215FFA}"/>
    <cellStyle name="Note 2 5 6 3" xfId="11193" xr:uid="{0127DF6E-C774-4429-999D-A9ECA8422D3A}"/>
    <cellStyle name="Note 2 5 7" xfId="2751" xr:uid="{00000000-0005-0000-0000-000045210000}"/>
    <cellStyle name="Note 2 5 8" xfId="2832" xr:uid="{00000000-0005-0000-0000-000046210000}"/>
    <cellStyle name="Note 2 5 8 2" xfId="7056" xr:uid="{00000000-0005-0000-0000-000047210000}"/>
    <cellStyle name="Note 2 5 8 2 2" xfId="15491" xr:uid="{0E2AD49A-3208-4135-AE50-CF49E3579BB6}"/>
    <cellStyle name="Note 2 5 8 3" xfId="11273" xr:uid="{43D9C345-168B-4782-9748-8479B75A282F}"/>
    <cellStyle name="Note 2 5 9" xfId="4911" xr:uid="{00000000-0005-0000-0000-000048210000}"/>
    <cellStyle name="Note 2 5 9 2" xfId="13346" xr:uid="{F8E0A35C-8861-4B51-94C9-5DF65710DD04}"/>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0 2 2" xfId="15492" xr:uid="{68EDDC31-C370-40F7-83AE-72FE2E880279}"/>
    <cellStyle name="Note 3 2 10 3" xfId="11274" xr:uid="{AA1BEF4F-83AC-4679-9338-D91069A8ACFB}"/>
    <cellStyle name="Note 3 2 11" xfId="4912" xr:uid="{00000000-0005-0000-0000-00004D210000}"/>
    <cellStyle name="Note 3 2 11 2" xfId="13347" xr:uid="{BE00F332-8263-49AB-A771-CAF72D8F830B}"/>
    <cellStyle name="Note 3 2 12" xfId="9129" xr:uid="{23C4A9BD-77D2-4613-9048-524B12B94431}"/>
    <cellStyle name="Note 3 2 2" xfId="556" xr:uid="{00000000-0005-0000-0000-00004E210000}"/>
    <cellStyle name="Note 3 2 2 10" xfId="4913" xr:uid="{00000000-0005-0000-0000-00004F210000}"/>
    <cellStyle name="Note 3 2 2 10 2" xfId="13348" xr:uid="{FFC5304A-11C5-4C85-AA15-3E3D3A204766}"/>
    <cellStyle name="Note 3 2 2 11" xfId="9130" xr:uid="{9989980F-4C7A-4FAB-910A-230D542A5AB7}"/>
    <cellStyle name="Note 3 2 2 2" xfId="557" xr:uid="{00000000-0005-0000-0000-000050210000}"/>
    <cellStyle name="Note 3 2 2 2 10" xfId="9131" xr:uid="{FF2876F0-C400-4C4C-8FC1-18F050156AAE}"/>
    <cellStyle name="Note 3 2 2 2 2" xfId="1017" xr:uid="{00000000-0005-0000-0000-000051210000}"/>
    <cellStyle name="Note 3 2 2 2 2 2" xfId="3249" xr:uid="{00000000-0005-0000-0000-000052210000}"/>
    <cellStyle name="Note 3 2 2 2 2 2 2" xfId="7472" xr:uid="{00000000-0005-0000-0000-000053210000}"/>
    <cellStyle name="Note 3 2 2 2 2 2 2 2" xfId="15907" xr:uid="{F7BD6352-A739-4431-A05A-2C85120D75F5}"/>
    <cellStyle name="Note 3 2 2 2 2 2 3" xfId="11689" xr:uid="{F43CE2A9-7471-4C88-8EC4-CCDA3B3E5B8C}"/>
    <cellStyle name="Note 3 2 2 2 2 3" xfId="5327" xr:uid="{00000000-0005-0000-0000-000054210000}"/>
    <cellStyle name="Note 3 2 2 2 2 3 2" xfId="13762" xr:uid="{6A21DB88-CA87-4B3C-83B0-27BB545C2B23}"/>
    <cellStyle name="Note 3 2 2 2 2 4" xfId="9544" xr:uid="{D0763105-25CB-4CFE-80FA-65FC41170C4F}"/>
    <cellStyle name="Note 3 2 2 2 3" xfId="1432" xr:uid="{00000000-0005-0000-0000-000055210000}"/>
    <cellStyle name="Note 3 2 2 2 3 2" xfId="3662" xr:uid="{00000000-0005-0000-0000-000056210000}"/>
    <cellStyle name="Note 3 2 2 2 3 2 2" xfId="7885" xr:uid="{00000000-0005-0000-0000-000057210000}"/>
    <cellStyle name="Note 3 2 2 2 3 2 2 2" xfId="16320" xr:uid="{4DEDD74C-1D5C-4C6F-B602-CC7A98F047E5}"/>
    <cellStyle name="Note 3 2 2 2 3 2 3" xfId="12102" xr:uid="{A877E1C3-BEB5-4862-A4AE-8859DD91914E}"/>
    <cellStyle name="Note 3 2 2 2 3 3" xfId="5740" xr:uid="{00000000-0005-0000-0000-000058210000}"/>
    <cellStyle name="Note 3 2 2 2 3 3 2" xfId="14175" xr:uid="{63BB7E0A-4964-4FFF-9C82-8F9132E6A614}"/>
    <cellStyle name="Note 3 2 2 2 3 4" xfId="9957" xr:uid="{E29ADFF8-FC56-4690-8C69-D0C6A3A3FA97}"/>
    <cellStyle name="Note 3 2 2 2 4" xfId="1846" xr:uid="{00000000-0005-0000-0000-000059210000}"/>
    <cellStyle name="Note 3 2 2 2 4 2" xfId="4075" xr:uid="{00000000-0005-0000-0000-00005A210000}"/>
    <cellStyle name="Note 3 2 2 2 4 2 2" xfId="8298" xr:uid="{00000000-0005-0000-0000-00005B210000}"/>
    <cellStyle name="Note 3 2 2 2 4 2 2 2" xfId="16733" xr:uid="{14CD442A-C878-430B-8BB2-4A9FBED83423}"/>
    <cellStyle name="Note 3 2 2 2 4 2 3" xfId="12515" xr:uid="{DDD7FD23-E9C2-472E-823E-F457E7099603}"/>
    <cellStyle name="Note 3 2 2 2 4 3" xfId="6153" xr:uid="{00000000-0005-0000-0000-00005C210000}"/>
    <cellStyle name="Note 3 2 2 2 4 3 2" xfId="14588" xr:uid="{AF5CCEC8-E683-4D0D-8AA0-EB9AE9E6DC15}"/>
    <cellStyle name="Note 3 2 2 2 4 4" xfId="10370" xr:uid="{561F116D-527C-4BF7-9463-1AF5EEC3A2ED}"/>
    <cellStyle name="Note 3 2 2 2 5" xfId="2259" xr:uid="{00000000-0005-0000-0000-00005D210000}"/>
    <cellStyle name="Note 3 2 2 2 5 2" xfId="4488" xr:uid="{00000000-0005-0000-0000-00005E210000}"/>
    <cellStyle name="Note 3 2 2 2 5 2 2" xfId="8711" xr:uid="{00000000-0005-0000-0000-00005F210000}"/>
    <cellStyle name="Note 3 2 2 2 5 2 2 2" xfId="17146" xr:uid="{04AB6073-3FC5-4BA5-9A03-C70CE1560729}"/>
    <cellStyle name="Note 3 2 2 2 5 2 3" xfId="12928" xr:uid="{CA86210B-38F2-4A7F-9B47-ACC125442F78}"/>
    <cellStyle name="Note 3 2 2 2 5 3" xfId="6566" xr:uid="{00000000-0005-0000-0000-000060210000}"/>
    <cellStyle name="Note 3 2 2 2 5 3 2" xfId="15001" xr:uid="{9E5D2B40-D203-424F-A1C3-82783561F552}"/>
    <cellStyle name="Note 3 2 2 2 5 4" xfId="10783" xr:uid="{8ABB6A45-6D7C-4D33-85D3-9F8539E90F81}"/>
    <cellStyle name="Note 3 2 2 2 6" xfId="2695" xr:uid="{00000000-0005-0000-0000-000061210000}"/>
    <cellStyle name="Note 3 2 2 2 6 2" xfId="6979" xr:uid="{00000000-0005-0000-0000-000062210000}"/>
    <cellStyle name="Note 3 2 2 2 6 2 2" xfId="15414" xr:uid="{54153E46-C677-4B5E-8091-5732EF85D91A}"/>
    <cellStyle name="Note 3 2 2 2 6 3" xfId="11196" xr:uid="{138814DF-C53F-48C9-83C7-B0112FB82CCA}"/>
    <cellStyle name="Note 3 2 2 2 7" xfId="2754" xr:uid="{00000000-0005-0000-0000-000063210000}"/>
    <cellStyle name="Note 3 2 2 2 8" xfId="2835" xr:uid="{00000000-0005-0000-0000-000064210000}"/>
    <cellStyle name="Note 3 2 2 2 8 2" xfId="7059" xr:uid="{00000000-0005-0000-0000-000065210000}"/>
    <cellStyle name="Note 3 2 2 2 8 2 2" xfId="15494" xr:uid="{E258D0D0-0111-432F-BD1A-F67C25014474}"/>
    <cellStyle name="Note 3 2 2 2 8 3" xfId="11276" xr:uid="{4574FBAF-BDC0-4516-9E89-62FCA5FB6317}"/>
    <cellStyle name="Note 3 2 2 2 9" xfId="4914" xr:uid="{00000000-0005-0000-0000-000066210000}"/>
    <cellStyle name="Note 3 2 2 2 9 2" xfId="13349" xr:uid="{5649B957-62FD-40A0-A6E0-0DBF80515FC2}"/>
    <cellStyle name="Note 3 2 2 3" xfId="1016" xr:uid="{00000000-0005-0000-0000-000067210000}"/>
    <cellStyle name="Note 3 2 2 3 2" xfId="3248" xr:uid="{00000000-0005-0000-0000-000068210000}"/>
    <cellStyle name="Note 3 2 2 3 2 2" xfId="7471" xr:uid="{00000000-0005-0000-0000-000069210000}"/>
    <cellStyle name="Note 3 2 2 3 2 2 2" xfId="15906" xr:uid="{4FDCB2AE-F216-40DE-8E80-17BEADAC585E}"/>
    <cellStyle name="Note 3 2 2 3 2 3" xfId="11688" xr:uid="{DCC2F57B-9D7C-43AE-A788-5E067AC5DD06}"/>
    <cellStyle name="Note 3 2 2 3 3" xfId="5326" xr:uid="{00000000-0005-0000-0000-00006A210000}"/>
    <cellStyle name="Note 3 2 2 3 3 2" xfId="13761" xr:uid="{D65E9F34-BE06-4467-A602-B2947946BC29}"/>
    <cellStyle name="Note 3 2 2 3 4" xfId="9543" xr:uid="{BD20CEA8-7FF3-45BC-B62D-BD3D44F331E7}"/>
    <cellStyle name="Note 3 2 2 4" xfId="1431" xr:uid="{00000000-0005-0000-0000-00006B210000}"/>
    <cellStyle name="Note 3 2 2 4 2" xfId="3661" xr:uid="{00000000-0005-0000-0000-00006C210000}"/>
    <cellStyle name="Note 3 2 2 4 2 2" xfId="7884" xr:uid="{00000000-0005-0000-0000-00006D210000}"/>
    <cellStyle name="Note 3 2 2 4 2 2 2" xfId="16319" xr:uid="{1EE38AAD-5085-40C6-9B08-9F7B80A1D181}"/>
    <cellStyle name="Note 3 2 2 4 2 3" xfId="12101" xr:uid="{E91B5D94-3BF5-4375-9C28-1D466BC5E5FF}"/>
    <cellStyle name="Note 3 2 2 4 3" xfId="5739" xr:uid="{00000000-0005-0000-0000-00006E210000}"/>
    <cellStyle name="Note 3 2 2 4 3 2" xfId="14174" xr:uid="{FB1A0CA5-ACE4-479B-A50B-B070C081E21E}"/>
    <cellStyle name="Note 3 2 2 4 4" xfId="9956" xr:uid="{ADE6816F-9DC5-4A53-9B60-A02CB47DBBDE}"/>
    <cellStyle name="Note 3 2 2 5" xfId="1845" xr:uid="{00000000-0005-0000-0000-00006F210000}"/>
    <cellStyle name="Note 3 2 2 5 2" xfId="4074" xr:uid="{00000000-0005-0000-0000-000070210000}"/>
    <cellStyle name="Note 3 2 2 5 2 2" xfId="8297" xr:uid="{00000000-0005-0000-0000-000071210000}"/>
    <cellStyle name="Note 3 2 2 5 2 2 2" xfId="16732" xr:uid="{3B653B04-21B8-40E9-841F-1A9AB36C352C}"/>
    <cellStyle name="Note 3 2 2 5 2 3" xfId="12514" xr:uid="{75082D3E-2618-426D-90D5-D9B9B32DE92D}"/>
    <cellStyle name="Note 3 2 2 5 3" xfId="6152" xr:uid="{00000000-0005-0000-0000-000072210000}"/>
    <cellStyle name="Note 3 2 2 5 3 2" xfId="14587" xr:uid="{6FD8F906-D728-4421-9638-3FC2B65271E0}"/>
    <cellStyle name="Note 3 2 2 5 4" xfId="10369" xr:uid="{C219AEF9-B283-47CA-AB61-DA51D963691C}"/>
    <cellStyle name="Note 3 2 2 6" xfId="2258" xr:uid="{00000000-0005-0000-0000-000073210000}"/>
    <cellStyle name="Note 3 2 2 6 2" xfId="4487" xr:uid="{00000000-0005-0000-0000-000074210000}"/>
    <cellStyle name="Note 3 2 2 6 2 2" xfId="8710" xr:uid="{00000000-0005-0000-0000-000075210000}"/>
    <cellStyle name="Note 3 2 2 6 2 2 2" xfId="17145" xr:uid="{1EFB2AD1-57E0-4B9B-BE9F-FEA59F8DCD0F}"/>
    <cellStyle name="Note 3 2 2 6 2 3" xfId="12927" xr:uid="{B38F9128-E931-491D-A5AE-CE7F49767FC9}"/>
    <cellStyle name="Note 3 2 2 6 3" xfId="6565" xr:uid="{00000000-0005-0000-0000-000076210000}"/>
    <cellStyle name="Note 3 2 2 6 3 2" xfId="15000" xr:uid="{EB3E41BC-3A60-4292-B20D-4A2424B1EFDC}"/>
    <cellStyle name="Note 3 2 2 6 4" xfId="10782" xr:uid="{74CBC635-7241-4654-8B85-7E1E9F48481E}"/>
    <cellStyle name="Note 3 2 2 7" xfId="2694" xr:uid="{00000000-0005-0000-0000-000077210000}"/>
    <cellStyle name="Note 3 2 2 7 2" xfId="6978" xr:uid="{00000000-0005-0000-0000-000078210000}"/>
    <cellStyle name="Note 3 2 2 7 2 2" xfId="15413" xr:uid="{A797A8B1-5DF7-4EC3-8BD2-6BEE6331E5BB}"/>
    <cellStyle name="Note 3 2 2 7 3" xfId="11195" xr:uid="{08E9125A-CC6B-404F-90BB-DC122264513D}"/>
    <cellStyle name="Note 3 2 2 8" xfId="2753" xr:uid="{00000000-0005-0000-0000-000079210000}"/>
    <cellStyle name="Note 3 2 2 9" xfId="2834" xr:uid="{00000000-0005-0000-0000-00007A210000}"/>
    <cellStyle name="Note 3 2 2 9 2" xfId="7058" xr:uid="{00000000-0005-0000-0000-00007B210000}"/>
    <cellStyle name="Note 3 2 2 9 2 2" xfId="15493" xr:uid="{26C915D3-3854-40D0-9A44-739394B692C0}"/>
    <cellStyle name="Note 3 2 2 9 3" xfId="11275" xr:uid="{339B2AEA-79E4-4310-868A-5DD8FFA429C0}"/>
    <cellStyle name="Note 3 2 3" xfId="558" xr:uid="{00000000-0005-0000-0000-00007C210000}"/>
    <cellStyle name="Note 3 2 3 10" xfId="9132" xr:uid="{37E97DC1-F90C-4B35-A90C-D8AC13AED482}"/>
    <cellStyle name="Note 3 2 3 2" xfId="1018" xr:uid="{00000000-0005-0000-0000-00007D210000}"/>
    <cellStyle name="Note 3 2 3 2 2" xfId="3250" xr:uid="{00000000-0005-0000-0000-00007E210000}"/>
    <cellStyle name="Note 3 2 3 2 2 2" xfId="7473" xr:uid="{00000000-0005-0000-0000-00007F210000}"/>
    <cellStyle name="Note 3 2 3 2 2 2 2" xfId="15908" xr:uid="{878E86F7-3E50-4EC3-98FD-1FD9868D445F}"/>
    <cellStyle name="Note 3 2 3 2 2 3" xfId="11690" xr:uid="{F22FA8C6-792D-406D-A67C-08671478F2CD}"/>
    <cellStyle name="Note 3 2 3 2 3" xfId="5328" xr:uid="{00000000-0005-0000-0000-000080210000}"/>
    <cellStyle name="Note 3 2 3 2 3 2" xfId="13763" xr:uid="{9100842F-89E8-4910-B6B3-0086D034B7C4}"/>
    <cellStyle name="Note 3 2 3 2 4" xfId="9545" xr:uid="{212C905E-8F8C-4E14-80A8-46C750A15222}"/>
    <cellStyle name="Note 3 2 3 3" xfId="1433" xr:uid="{00000000-0005-0000-0000-000081210000}"/>
    <cellStyle name="Note 3 2 3 3 2" xfId="3663" xr:uid="{00000000-0005-0000-0000-000082210000}"/>
    <cellStyle name="Note 3 2 3 3 2 2" xfId="7886" xr:uid="{00000000-0005-0000-0000-000083210000}"/>
    <cellStyle name="Note 3 2 3 3 2 2 2" xfId="16321" xr:uid="{6F198174-AB88-4DCE-B1A5-E2026D03EE00}"/>
    <cellStyle name="Note 3 2 3 3 2 3" xfId="12103" xr:uid="{FE1AFC0B-2840-4FCD-B3E1-ED93F181FDF2}"/>
    <cellStyle name="Note 3 2 3 3 3" xfId="5741" xr:uid="{00000000-0005-0000-0000-000084210000}"/>
    <cellStyle name="Note 3 2 3 3 3 2" xfId="14176" xr:uid="{350D9D6A-DE0E-4414-BC59-2C0B37237B96}"/>
    <cellStyle name="Note 3 2 3 3 4" xfId="9958" xr:uid="{6D014999-8EAA-4B81-A20D-98AA885162FD}"/>
    <cellStyle name="Note 3 2 3 4" xfId="1847" xr:uid="{00000000-0005-0000-0000-000085210000}"/>
    <cellStyle name="Note 3 2 3 4 2" xfId="4076" xr:uid="{00000000-0005-0000-0000-000086210000}"/>
    <cellStyle name="Note 3 2 3 4 2 2" xfId="8299" xr:uid="{00000000-0005-0000-0000-000087210000}"/>
    <cellStyle name="Note 3 2 3 4 2 2 2" xfId="16734" xr:uid="{5C61584E-83C2-4714-8D9D-DDEB811B3568}"/>
    <cellStyle name="Note 3 2 3 4 2 3" xfId="12516" xr:uid="{95524EF2-754B-4BE9-831E-583A9EF6C0C9}"/>
    <cellStyle name="Note 3 2 3 4 3" xfId="6154" xr:uid="{00000000-0005-0000-0000-000088210000}"/>
    <cellStyle name="Note 3 2 3 4 3 2" xfId="14589" xr:uid="{1096E539-8184-481D-9B9B-018875078DF6}"/>
    <cellStyle name="Note 3 2 3 4 4" xfId="10371" xr:uid="{49F28134-1860-482D-A04B-93388FB6C6B7}"/>
    <cellStyle name="Note 3 2 3 5" xfId="2260" xr:uid="{00000000-0005-0000-0000-000089210000}"/>
    <cellStyle name="Note 3 2 3 5 2" xfId="4489" xr:uid="{00000000-0005-0000-0000-00008A210000}"/>
    <cellStyle name="Note 3 2 3 5 2 2" xfId="8712" xr:uid="{00000000-0005-0000-0000-00008B210000}"/>
    <cellStyle name="Note 3 2 3 5 2 2 2" xfId="17147" xr:uid="{C062096B-AD65-471D-971B-FBE167B2435B}"/>
    <cellStyle name="Note 3 2 3 5 2 3" xfId="12929" xr:uid="{4F5092B2-7DA0-47F9-8161-E38696CBEB60}"/>
    <cellStyle name="Note 3 2 3 5 3" xfId="6567" xr:uid="{00000000-0005-0000-0000-00008C210000}"/>
    <cellStyle name="Note 3 2 3 5 3 2" xfId="15002" xr:uid="{9176C908-830D-4C43-9B97-1EBD6217CF34}"/>
    <cellStyle name="Note 3 2 3 5 4" xfId="10784" xr:uid="{A59EEB97-A96A-464A-BB2C-AEA87D4BCE88}"/>
    <cellStyle name="Note 3 2 3 6" xfId="2696" xr:uid="{00000000-0005-0000-0000-00008D210000}"/>
    <cellStyle name="Note 3 2 3 6 2" xfId="6980" xr:uid="{00000000-0005-0000-0000-00008E210000}"/>
    <cellStyle name="Note 3 2 3 6 2 2" xfId="15415" xr:uid="{158E6422-F14B-4FA6-95C5-EFF5BA004A09}"/>
    <cellStyle name="Note 3 2 3 6 3" xfId="11197" xr:uid="{2997F9E6-1D5E-41B5-9C2D-DFF631706C93}"/>
    <cellStyle name="Note 3 2 3 7" xfId="2755" xr:uid="{00000000-0005-0000-0000-00008F210000}"/>
    <cellStyle name="Note 3 2 3 8" xfId="2836" xr:uid="{00000000-0005-0000-0000-000090210000}"/>
    <cellStyle name="Note 3 2 3 8 2" xfId="7060" xr:uid="{00000000-0005-0000-0000-000091210000}"/>
    <cellStyle name="Note 3 2 3 8 2 2" xfId="15495" xr:uid="{03F047E1-1240-46CA-8E6F-C5BF7EE249FF}"/>
    <cellStyle name="Note 3 2 3 8 3" xfId="11277" xr:uid="{09255CBF-C04A-4AD0-B701-4A5DE09D1040}"/>
    <cellStyle name="Note 3 2 3 9" xfId="4915" xr:uid="{00000000-0005-0000-0000-000092210000}"/>
    <cellStyle name="Note 3 2 3 9 2" xfId="13350" xr:uid="{4079B36C-DB9E-4BC1-8F4B-7478590F421C}"/>
    <cellStyle name="Note 3 2 4" xfId="1015" xr:uid="{00000000-0005-0000-0000-000093210000}"/>
    <cellStyle name="Note 3 2 4 2" xfId="3247" xr:uid="{00000000-0005-0000-0000-000094210000}"/>
    <cellStyle name="Note 3 2 4 2 2" xfId="7470" xr:uid="{00000000-0005-0000-0000-000095210000}"/>
    <cellStyle name="Note 3 2 4 2 2 2" xfId="15905" xr:uid="{0163E912-2484-4887-AE11-FA74A903A3C9}"/>
    <cellStyle name="Note 3 2 4 2 3" xfId="11687" xr:uid="{E41504A6-23EA-4414-8875-4EAABFCB9BE1}"/>
    <cellStyle name="Note 3 2 4 3" xfId="5325" xr:uid="{00000000-0005-0000-0000-000096210000}"/>
    <cellStyle name="Note 3 2 4 3 2" xfId="13760" xr:uid="{AE2809A3-D496-46B8-9599-4F2D3DAEC557}"/>
    <cellStyle name="Note 3 2 4 4" xfId="9542" xr:uid="{2F1F5583-5AC3-469A-B2AC-AA465C8FE3AB}"/>
    <cellStyle name="Note 3 2 5" xfId="1430" xr:uid="{00000000-0005-0000-0000-000097210000}"/>
    <cellStyle name="Note 3 2 5 2" xfId="3660" xr:uid="{00000000-0005-0000-0000-000098210000}"/>
    <cellStyle name="Note 3 2 5 2 2" xfId="7883" xr:uid="{00000000-0005-0000-0000-000099210000}"/>
    <cellStyle name="Note 3 2 5 2 2 2" xfId="16318" xr:uid="{A793C65C-0F35-4F20-981E-978734570901}"/>
    <cellStyle name="Note 3 2 5 2 3" xfId="12100" xr:uid="{D6A7F6B8-886C-43DD-A505-D7E699345731}"/>
    <cellStyle name="Note 3 2 5 3" xfId="5738" xr:uid="{00000000-0005-0000-0000-00009A210000}"/>
    <cellStyle name="Note 3 2 5 3 2" xfId="14173" xr:uid="{A3686592-BE0B-4490-8D4D-2ED080C3B879}"/>
    <cellStyle name="Note 3 2 5 4" xfId="9955" xr:uid="{716CCCE2-00A9-4EB1-8839-F7AAE91AB6B8}"/>
    <cellStyle name="Note 3 2 6" xfId="1844" xr:uid="{00000000-0005-0000-0000-00009B210000}"/>
    <cellStyle name="Note 3 2 6 2" xfId="4073" xr:uid="{00000000-0005-0000-0000-00009C210000}"/>
    <cellStyle name="Note 3 2 6 2 2" xfId="8296" xr:uid="{00000000-0005-0000-0000-00009D210000}"/>
    <cellStyle name="Note 3 2 6 2 2 2" xfId="16731" xr:uid="{77A61F67-2DCC-4018-A8CF-DF570482E7D3}"/>
    <cellStyle name="Note 3 2 6 2 3" xfId="12513" xr:uid="{BF8A49EC-BB5B-44F1-9499-3A8BC8D2C966}"/>
    <cellStyle name="Note 3 2 6 3" xfId="6151" xr:uid="{00000000-0005-0000-0000-00009E210000}"/>
    <cellStyle name="Note 3 2 6 3 2" xfId="14586" xr:uid="{EA4794A2-746A-4E87-AF2D-A093CC17D18B}"/>
    <cellStyle name="Note 3 2 6 4" xfId="10368" xr:uid="{E3F42697-E51A-4FF5-A54F-0B227127ECD5}"/>
    <cellStyle name="Note 3 2 7" xfId="2257" xr:uid="{00000000-0005-0000-0000-00009F210000}"/>
    <cellStyle name="Note 3 2 7 2" xfId="4486" xr:uid="{00000000-0005-0000-0000-0000A0210000}"/>
    <cellStyle name="Note 3 2 7 2 2" xfId="8709" xr:uid="{00000000-0005-0000-0000-0000A1210000}"/>
    <cellStyle name="Note 3 2 7 2 2 2" xfId="17144" xr:uid="{D734241D-C107-4DA2-9EFB-3FC83A92E51C}"/>
    <cellStyle name="Note 3 2 7 2 3" xfId="12926" xr:uid="{960239FF-DDA8-47F5-914D-C1B7B6955FB5}"/>
    <cellStyle name="Note 3 2 7 3" xfId="6564" xr:uid="{00000000-0005-0000-0000-0000A2210000}"/>
    <cellStyle name="Note 3 2 7 3 2" xfId="14999" xr:uid="{FA549F22-3397-4B25-955C-747E6FEB81A7}"/>
    <cellStyle name="Note 3 2 7 4" xfId="10781" xr:uid="{19D8F925-117F-4EDC-99F0-C913C55A873F}"/>
    <cellStyle name="Note 3 2 8" xfId="2693" xr:uid="{00000000-0005-0000-0000-0000A3210000}"/>
    <cellStyle name="Note 3 2 8 2" xfId="6977" xr:uid="{00000000-0005-0000-0000-0000A4210000}"/>
    <cellStyle name="Note 3 2 8 2 2" xfId="15412" xr:uid="{71489800-28FC-4761-9C43-C05AE5B106FB}"/>
    <cellStyle name="Note 3 2 8 3" xfId="11194" xr:uid="{B30F150E-2162-47C8-9DEE-0A2799E0FF70}"/>
    <cellStyle name="Note 3 2 9" xfId="2752" xr:uid="{00000000-0005-0000-0000-0000A5210000}"/>
    <cellStyle name="Note 3 3" xfId="559" xr:uid="{00000000-0005-0000-0000-0000A6210000}"/>
    <cellStyle name="Note 3 3 10" xfId="4916" xr:uid="{00000000-0005-0000-0000-0000A7210000}"/>
    <cellStyle name="Note 3 3 10 2" xfId="13351" xr:uid="{8174917E-27A0-489E-AC06-ACBAB7E36EB9}"/>
    <cellStyle name="Note 3 3 11" xfId="9133" xr:uid="{023A5D3A-574D-4BCB-BCD0-52587E2CEAD8}"/>
    <cellStyle name="Note 3 3 2" xfId="560" xr:uid="{00000000-0005-0000-0000-0000A8210000}"/>
    <cellStyle name="Note 3 3 2 10" xfId="9134" xr:uid="{5C8FC006-E964-45C7-AE8E-E4B5A68E91DE}"/>
    <cellStyle name="Note 3 3 2 2" xfId="1020" xr:uid="{00000000-0005-0000-0000-0000A9210000}"/>
    <cellStyle name="Note 3 3 2 2 2" xfId="3252" xr:uid="{00000000-0005-0000-0000-0000AA210000}"/>
    <cellStyle name="Note 3 3 2 2 2 2" xfId="7475" xr:uid="{00000000-0005-0000-0000-0000AB210000}"/>
    <cellStyle name="Note 3 3 2 2 2 2 2" xfId="15910" xr:uid="{DFEF05B6-C32E-4B43-B14E-B94A281E3DD5}"/>
    <cellStyle name="Note 3 3 2 2 2 3" xfId="11692" xr:uid="{293FEED5-E1B1-462B-8D18-BF7D92936D6A}"/>
    <cellStyle name="Note 3 3 2 2 3" xfId="5330" xr:uid="{00000000-0005-0000-0000-0000AC210000}"/>
    <cellStyle name="Note 3 3 2 2 3 2" xfId="13765" xr:uid="{203310ED-0606-4D56-89FE-F67E0CC645C7}"/>
    <cellStyle name="Note 3 3 2 2 4" xfId="9547" xr:uid="{EFB60B70-EA01-49FB-9545-9DD90919459D}"/>
    <cellStyle name="Note 3 3 2 3" xfId="1435" xr:uid="{00000000-0005-0000-0000-0000AD210000}"/>
    <cellStyle name="Note 3 3 2 3 2" xfId="3665" xr:uid="{00000000-0005-0000-0000-0000AE210000}"/>
    <cellStyle name="Note 3 3 2 3 2 2" xfId="7888" xr:uid="{00000000-0005-0000-0000-0000AF210000}"/>
    <cellStyle name="Note 3 3 2 3 2 2 2" xfId="16323" xr:uid="{0A60DDD1-3A11-48CD-9FC0-95C305DDDA4F}"/>
    <cellStyle name="Note 3 3 2 3 2 3" xfId="12105" xr:uid="{7FDF6567-C9F6-4D50-975F-341E15332655}"/>
    <cellStyle name="Note 3 3 2 3 3" xfId="5743" xr:uid="{00000000-0005-0000-0000-0000B0210000}"/>
    <cellStyle name="Note 3 3 2 3 3 2" xfId="14178" xr:uid="{FAC35A95-A57B-4DD3-9F3D-DD15440BAF53}"/>
    <cellStyle name="Note 3 3 2 3 4" xfId="9960" xr:uid="{FBA52FB2-DA5B-4862-9C16-AE836244118C}"/>
    <cellStyle name="Note 3 3 2 4" xfId="1849" xr:uid="{00000000-0005-0000-0000-0000B1210000}"/>
    <cellStyle name="Note 3 3 2 4 2" xfId="4078" xr:uid="{00000000-0005-0000-0000-0000B2210000}"/>
    <cellStyle name="Note 3 3 2 4 2 2" xfId="8301" xr:uid="{00000000-0005-0000-0000-0000B3210000}"/>
    <cellStyle name="Note 3 3 2 4 2 2 2" xfId="16736" xr:uid="{7B164D13-47FB-41EA-8F12-E8382C4A8455}"/>
    <cellStyle name="Note 3 3 2 4 2 3" xfId="12518" xr:uid="{636B3622-16E6-49B9-83CA-C4E84A39047A}"/>
    <cellStyle name="Note 3 3 2 4 3" xfId="6156" xr:uid="{00000000-0005-0000-0000-0000B4210000}"/>
    <cellStyle name="Note 3 3 2 4 3 2" xfId="14591" xr:uid="{59EEE3A3-6818-4A15-B624-9FF6FC1FDF31}"/>
    <cellStyle name="Note 3 3 2 4 4" xfId="10373" xr:uid="{273604A7-190D-45FB-901A-3779DE08217B}"/>
    <cellStyle name="Note 3 3 2 5" xfId="2262" xr:uid="{00000000-0005-0000-0000-0000B5210000}"/>
    <cellStyle name="Note 3 3 2 5 2" xfId="4491" xr:uid="{00000000-0005-0000-0000-0000B6210000}"/>
    <cellStyle name="Note 3 3 2 5 2 2" xfId="8714" xr:uid="{00000000-0005-0000-0000-0000B7210000}"/>
    <cellStyle name="Note 3 3 2 5 2 2 2" xfId="17149" xr:uid="{D46CB2E8-8211-442C-BCBE-8257DA6C5309}"/>
    <cellStyle name="Note 3 3 2 5 2 3" xfId="12931" xr:uid="{1F5A8754-54D2-4088-8AFA-E3220E8D7819}"/>
    <cellStyle name="Note 3 3 2 5 3" xfId="6569" xr:uid="{00000000-0005-0000-0000-0000B8210000}"/>
    <cellStyle name="Note 3 3 2 5 3 2" xfId="15004" xr:uid="{F4633035-2E53-4AED-8673-23FA9870AA0C}"/>
    <cellStyle name="Note 3 3 2 5 4" xfId="10786" xr:uid="{144DE7F3-CFC6-4FD6-910B-C5171F0E49EF}"/>
    <cellStyle name="Note 3 3 2 6" xfId="2698" xr:uid="{00000000-0005-0000-0000-0000B9210000}"/>
    <cellStyle name="Note 3 3 2 6 2" xfId="6982" xr:uid="{00000000-0005-0000-0000-0000BA210000}"/>
    <cellStyle name="Note 3 3 2 6 2 2" xfId="15417" xr:uid="{B6665AE8-D79E-4434-9854-D128425362AD}"/>
    <cellStyle name="Note 3 3 2 6 3" xfId="11199" xr:uid="{DCEF9F3D-BEDA-4CE0-9CDD-121DEBC3555F}"/>
    <cellStyle name="Note 3 3 2 7" xfId="2757" xr:uid="{00000000-0005-0000-0000-0000BB210000}"/>
    <cellStyle name="Note 3 3 2 8" xfId="2838" xr:uid="{00000000-0005-0000-0000-0000BC210000}"/>
    <cellStyle name="Note 3 3 2 8 2" xfId="7062" xr:uid="{00000000-0005-0000-0000-0000BD210000}"/>
    <cellStyle name="Note 3 3 2 8 2 2" xfId="15497" xr:uid="{6DED9F3E-D767-48C8-846B-479C7D55BF32}"/>
    <cellStyle name="Note 3 3 2 8 3" xfId="11279" xr:uid="{28DCE046-77B7-4903-8DF2-563CC970BB28}"/>
    <cellStyle name="Note 3 3 2 9" xfId="4917" xr:uid="{00000000-0005-0000-0000-0000BE210000}"/>
    <cellStyle name="Note 3 3 2 9 2" xfId="13352" xr:uid="{F69C8FB3-3643-4F86-9704-8E752C1BB703}"/>
    <cellStyle name="Note 3 3 3" xfId="1019" xr:uid="{00000000-0005-0000-0000-0000BF210000}"/>
    <cellStyle name="Note 3 3 3 2" xfId="3251" xr:uid="{00000000-0005-0000-0000-0000C0210000}"/>
    <cellStyle name="Note 3 3 3 2 2" xfId="7474" xr:uid="{00000000-0005-0000-0000-0000C1210000}"/>
    <cellStyle name="Note 3 3 3 2 2 2" xfId="15909" xr:uid="{4BD4A960-B32D-4835-8EF6-7CECAADB39B3}"/>
    <cellStyle name="Note 3 3 3 2 3" xfId="11691" xr:uid="{A0D71064-C399-4427-9013-1AFE9AC2787B}"/>
    <cellStyle name="Note 3 3 3 3" xfId="5329" xr:uid="{00000000-0005-0000-0000-0000C2210000}"/>
    <cellStyle name="Note 3 3 3 3 2" xfId="13764" xr:uid="{0C58A756-065A-4EA1-8F53-853C6302B731}"/>
    <cellStyle name="Note 3 3 3 4" xfId="9546" xr:uid="{4F78EA0E-6F74-4637-85BA-47A8B16069CC}"/>
    <cellStyle name="Note 3 3 4" xfId="1434" xr:uid="{00000000-0005-0000-0000-0000C3210000}"/>
    <cellStyle name="Note 3 3 4 2" xfId="3664" xr:uid="{00000000-0005-0000-0000-0000C4210000}"/>
    <cellStyle name="Note 3 3 4 2 2" xfId="7887" xr:uid="{00000000-0005-0000-0000-0000C5210000}"/>
    <cellStyle name="Note 3 3 4 2 2 2" xfId="16322" xr:uid="{2AB76EE7-DE46-4ACB-9BCA-C3D4B899B62E}"/>
    <cellStyle name="Note 3 3 4 2 3" xfId="12104" xr:uid="{28C84147-E07F-4B5F-9494-D6E24227DF15}"/>
    <cellStyle name="Note 3 3 4 3" xfId="5742" xr:uid="{00000000-0005-0000-0000-0000C6210000}"/>
    <cellStyle name="Note 3 3 4 3 2" xfId="14177" xr:uid="{3B579FE3-598B-46C0-8018-398AC9A9993D}"/>
    <cellStyle name="Note 3 3 4 4" xfId="9959" xr:uid="{9649DD32-67B1-48E0-AB35-85BB28CAFE5A}"/>
    <cellStyle name="Note 3 3 5" xfId="1848" xr:uid="{00000000-0005-0000-0000-0000C7210000}"/>
    <cellStyle name="Note 3 3 5 2" xfId="4077" xr:uid="{00000000-0005-0000-0000-0000C8210000}"/>
    <cellStyle name="Note 3 3 5 2 2" xfId="8300" xr:uid="{00000000-0005-0000-0000-0000C9210000}"/>
    <cellStyle name="Note 3 3 5 2 2 2" xfId="16735" xr:uid="{70E302D9-6DEC-4200-A355-974A8C9CCAB0}"/>
    <cellStyle name="Note 3 3 5 2 3" xfId="12517" xr:uid="{FBACA968-8D82-48E6-8612-11AE417E0EAB}"/>
    <cellStyle name="Note 3 3 5 3" xfId="6155" xr:uid="{00000000-0005-0000-0000-0000CA210000}"/>
    <cellStyle name="Note 3 3 5 3 2" xfId="14590" xr:uid="{5389FD79-127D-4BA8-BAC7-4BC283D871DD}"/>
    <cellStyle name="Note 3 3 5 4" xfId="10372" xr:uid="{EF0021AF-A9BB-406F-8AB3-73D03E18ECAB}"/>
    <cellStyle name="Note 3 3 6" xfId="2261" xr:uid="{00000000-0005-0000-0000-0000CB210000}"/>
    <cellStyle name="Note 3 3 6 2" xfId="4490" xr:uid="{00000000-0005-0000-0000-0000CC210000}"/>
    <cellStyle name="Note 3 3 6 2 2" xfId="8713" xr:uid="{00000000-0005-0000-0000-0000CD210000}"/>
    <cellStyle name="Note 3 3 6 2 2 2" xfId="17148" xr:uid="{1EE6EED2-F569-403C-9775-4961515A40E7}"/>
    <cellStyle name="Note 3 3 6 2 3" xfId="12930" xr:uid="{0EED5DA0-8F74-471A-914E-B6873C2F7A81}"/>
    <cellStyle name="Note 3 3 6 3" xfId="6568" xr:uid="{00000000-0005-0000-0000-0000CE210000}"/>
    <cellStyle name="Note 3 3 6 3 2" xfId="15003" xr:uid="{24C41858-8615-4098-AF83-B18AB5B0570A}"/>
    <cellStyle name="Note 3 3 6 4" xfId="10785" xr:uid="{829CC38C-38EC-422F-A64D-B664930B559A}"/>
    <cellStyle name="Note 3 3 7" xfId="2697" xr:uid="{00000000-0005-0000-0000-0000CF210000}"/>
    <cellStyle name="Note 3 3 7 2" xfId="6981" xr:uid="{00000000-0005-0000-0000-0000D0210000}"/>
    <cellStyle name="Note 3 3 7 2 2" xfId="15416" xr:uid="{E28DDC20-9569-42E2-8314-F8DB6ACC581E}"/>
    <cellStyle name="Note 3 3 7 3" xfId="11198" xr:uid="{08F66281-704C-4A11-89B1-51E3111D6F5C}"/>
    <cellStyle name="Note 3 3 8" xfId="2756" xr:uid="{00000000-0005-0000-0000-0000D1210000}"/>
    <cellStyle name="Note 3 3 9" xfId="2837" xr:uid="{00000000-0005-0000-0000-0000D2210000}"/>
    <cellStyle name="Note 3 3 9 2" xfId="7061" xr:uid="{00000000-0005-0000-0000-0000D3210000}"/>
    <cellStyle name="Note 3 3 9 2 2" xfId="15496" xr:uid="{FB23485C-0608-49D8-B5B6-E2BF41C0ED0D}"/>
    <cellStyle name="Note 3 3 9 3" xfId="11278" xr:uid="{4E1DDD31-B603-48F0-A011-E6FD54741910}"/>
    <cellStyle name="Note 3 4" xfId="561" xr:uid="{00000000-0005-0000-0000-0000D4210000}"/>
    <cellStyle name="Note 3 4 10" xfId="9135" xr:uid="{33F42FCE-1E47-4634-84CB-BFD8D0842925}"/>
    <cellStyle name="Note 3 4 2" xfId="1021" xr:uid="{00000000-0005-0000-0000-0000D5210000}"/>
    <cellStyle name="Note 3 4 2 2" xfId="3253" xr:uid="{00000000-0005-0000-0000-0000D6210000}"/>
    <cellStyle name="Note 3 4 2 2 2" xfId="7476" xr:uid="{00000000-0005-0000-0000-0000D7210000}"/>
    <cellStyle name="Note 3 4 2 2 2 2" xfId="15911" xr:uid="{213C2094-5CAB-4823-B413-4CDAF8BA05BE}"/>
    <cellStyle name="Note 3 4 2 2 3" xfId="11693" xr:uid="{4B92284D-9F19-4703-BB51-36C1025EC285}"/>
    <cellStyle name="Note 3 4 2 3" xfId="5331" xr:uid="{00000000-0005-0000-0000-0000D8210000}"/>
    <cellStyle name="Note 3 4 2 3 2" xfId="13766" xr:uid="{3ED6685B-E9B9-42F2-A108-6C090662FDD1}"/>
    <cellStyle name="Note 3 4 2 4" xfId="9548" xr:uid="{2EB35C2E-757A-4E61-8C8D-66608F3E3CCF}"/>
    <cellStyle name="Note 3 4 3" xfId="1436" xr:uid="{00000000-0005-0000-0000-0000D9210000}"/>
    <cellStyle name="Note 3 4 3 2" xfId="3666" xr:uid="{00000000-0005-0000-0000-0000DA210000}"/>
    <cellStyle name="Note 3 4 3 2 2" xfId="7889" xr:uid="{00000000-0005-0000-0000-0000DB210000}"/>
    <cellStyle name="Note 3 4 3 2 2 2" xfId="16324" xr:uid="{442FBB59-B279-4B4F-A96C-FFDECEC0C690}"/>
    <cellStyle name="Note 3 4 3 2 3" xfId="12106" xr:uid="{26EE389D-B015-4306-883C-89C26B4DE0B9}"/>
    <cellStyle name="Note 3 4 3 3" xfId="5744" xr:uid="{00000000-0005-0000-0000-0000DC210000}"/>
    <cellStyle name="Note 3 4 3 3 2" xfId="14179" xr:uid="{10FBB594-A654-4C51-99A5-FD84CB25D7E9}"/>
    <cellStyle name="Note 3 4 3 4" xfId="9961" xr:uid="{6D8F30E8-19BA-45A8-BC2E-3B40DA22CCAF}"/>
    <cellStyle name="Note 3 4 4" xfId="1850" xr:uid="{00000000-0005-0000-0000-0000DD210000}"/>
    <cellStyle name="Note 3 4 4 2" xfId="4079" xr:uid="{00000000-0005-0000-0000-0000DE210000}"/>
    <cellStyle name="Note 3 4 4 2 2" xfId="8302" xr:uid="{00000000-0005-0000-0000-0000DF210000}"/>
    <cellStyle name="Note 3 4 4 2 2 2" xfId="16737" xr:uid="{618DA537-B167-4EAC-BB5A-2E900531F994}"/>
    <cellStyle name="Note 3 4 4 2 3" xfId="12519" xr:uid="{288BD772-1F08-41FE-939D-470E799FBF5E}"/>
    <cellStyle name="Note 3 4 4 3" xfId="6157" xr:uid="{00000000-0005-0000-0000-0000E0210000}"/>
    <cellStyle name="Note 3 4 4 3 2" xfId="14592" xr:uid="{45B4885C-0BCD-4EC3-9C01-EF20D9678AB9}"/>
    <cellStyle name="Note 3 4 4 4" xfId="10374" xr:uid="{E7EE3844-4C38-4F3F-90F3-723FA419E577}"/>
    <cellStyle name="Note 3 4 5" xfId="2263" xr:uid="{00000000-0005-0000-0000-0000E1210000}"/>
    <cellStyle name="Note 3 4 5 2" xfId="4492" xr:uid="{00000000-0005-0000-0000-0000E2210000}"/>
    <cellStyle name="Note 3 4 5 2 2" xfId="8715" xr:uid="{00000000-0005-0000-0000-0000E3210000}"/>
    <cellStyle name="Note 3 4 5 2 2 2" xfId="17150" xr:uid="{D476DADA-DEC7-4241-A39C-A4EC7F23AF4F}"/>
    <cellStyle name="Note 3 4 5 2 3" xfId="12932" xr:uid="{626D3546-9ABF-4EA1-943D-9C0F14B7CFBC}"/>
    <cellStyle name="Note 3 4 5 3" xfId="6570" xr:uid="{00000000-0005-0000-0000-0000E4210000}"/>
    <cellStyle name="Note 3 4 5 3 2" xfId="15005" xr:uid="{B8BDC659-46F3-4F07-B862-32A8D432901E}"/>
    <cellStyle name="Note 3 4 5 4" xfId="10787" xr:uid="{251F2B18-2407-400D-A52C-40A3EF7F157E}"/>
    <cellStyle name="Note 3 4 6" xfId="2699" xr:uid="{00000000-0005-0000-0000-0000E5210000}"/>
    <cellStyle name="Note 3 4 6 2" xfId="6983" xr:uid="{00000000-0005-0000-0000-0000E6210000}"/>
    <cellStyle name="Note 3 4 6 2 2" xfId="15418" xr:uid="{5D9CE7AD-B3B5-4CB8-9BAF-2F8BA5290B5E}"/>
    <cellStyle name="Note 3 4 6 3" xfId="11200" xr:uid="{0EE71960-4DD3-4B9F-9C27-CE1E13312AF4}"/>
    <cellStyle name="Note 3 4 7" xfId="2758" xr:uid="{00000000-0005-0000-0000-0000E7210000}"/>
    <cellStyle name="Note 3 4 8" xfId="2839" xr:uid="{00000000-0005-0000-0000-0000E8210000}"/>
    <cellStyle name="Note 3 4 8 2" xfId="7063" xr:uid="{00000000-0005-0000-0000-0000E9210000}"/>
    <cellStyle name="Note 3 4 8 2 2" xfId="15498" xr:uid="{EF35E681-947E-4882-AE22-C7A92AF02E2D}"/>
    <cellStyle name="Note 3 4 8 3" xfId="11280" xr:uid="{70214315-9DA7-4099-8AD5-F41FA9C0B70C}"/>
    <cellStyle name="Note 3 4 9" xfId="4918" xr:uid="{00000000-0005-0000-0000-0000EA210000}"/>
    <cellStyle name="Note 3 4 9 2" xfId="13353" xr:uid="{C45C984C-D244-4976-87D0-D8EB363FAE0B}"/>
    <cellStyle name="Note 3 5" xfId="562" xr:uid="{00000000-0005-0000-0000-0000EB210000}"/>
    <cellStyle name="Note 3 5 10" xfId="9136" xr:uid="{2E4D865D-9BFD-4D64-A0D1-112CF09F7E50}"/>
    <cellStyle name="Note 3 5 2" xfId="1022" xr:uid="{00000000-0005-0000-0000-0000EC210000}"/>
    <cellStyle name="Note 3 5 2 2" xfId="3254" xr:uid="{00000000-0005-0000-0000-0000ED210000}"/>
    <cellStyle name="Note 3 5 2 2 2" xfId="7477" xr:uid="{00000000-0005-0000-0000-0000EE210000}"/>
    <cellStyle name="Note 3 5 2 2 2 2" xfId="15912" xr:uid="{354AF73E-FDF2-46D5-8387-0218C6FCC4F2}"/>
    <cellStyle name="Note 3 5 2 2 3" xfId="11694" xr:uid="{1053A095-4A6F-4A3A-8B53-8A7C4B11C89C}"/>
    <cellStyle name="Note 3 5 2 3" xfId="5332" xr:uid="{00000000-0005-0000-0000-0000EF210000}"/>
    <cellStyle name="Note 3 5 2 3 2" xfId="13767" xr:uid="{40BC408B-B700-41B9-BF19-68F37829AF41}"/>
    <cellStyle name="Note 3 5 2 4" xfId="9549" xr:uid="{1290B55D-FB8D-4979-8859-C8AE264B1B17}"/>
    <cellStyle name="Note 3 5 3" xfId="1437" xr:uid="{00000000-0005-0000-0000-0000F0210000}"/>
    <cellStyle name="Note 3 5 3 2" xfId="3667" xr:uid="{00000000-0005-0000-0000-0000F1210000}"/>
    <cellStyle name="Note 3 5 3 2 2" xfId="7890" xr:uid="{00000000-0005-0000-0000-0000F2210000}"/>
    <cellStyle name="Note 3 5 3 2 2 2" xfId="16325" xr:uid="{C2E1CAE7-B822-4A23-A392-2A1AB8AB18B4}"/>
    <cellStyle name="Note 3 5 3 2 3" xfId="12107" xr:uid="{9132CC0C-997F-44A8-9940-913E675F46AE}"/>
    <cellStyle name="Note 3 5 3 3" xfId="5745" xr:uid="{00000000-0005-0000-0000-0000F3210000}"/>
    <cellStyle name="Note 3 5 3 3 2" xfId="14180" xr:uid="{CBA43A43-60F1-4D22-8DEA-88776BE0121E}"/>
    <cellStyle name="Note 3 5 3 4" xfId="9962" xr:uid="{29E8BFBF-8F55-4C6C-B466-19DC423549AF}"/>
    <cellStyle name="Note 3 5 4" xfId="1851" xr:uid="{00000000-0005-0000-0000-0000F4210000}"/>
    <cellStyle name="Note 3 5 4 2" xfId="4080" xr:uid="{00000000-0005-0000-0000-0000F5210000}"/>
    <cellStyle name="Note 3 5 4 2 2" xfId="8303" xr:uid="{00000000-0005-0000-0000-0000F6210000}"/>
    <cellStyle name="Note 3 5 4 2 2 2" xfId="16738" xr:uid="{F1AEB26B-F441-4948-B777-385997BA19EF}"/>
    <cellStyle name="Note 3 5 4 2 3" xfId="12520" xr:uid="{AE794977-359D-4333-A574-0D5BDD14116E}"/>
    <cellStyle name="Note 3 5 4 3" xfId="6158" xr:uid="{00000000-0005-0000-0000-0000F7210000}"/>
    <cellStyle name="Note 3 5 4 3 2" xfId="14593" xr:uid="{E8175A77-1F70-460C-80A5-07FCE3F216AE}"/>
    <cellStyle name="Note 3 5 4 4" xfId="10375" xr:uid="{8C9FAE46-D933-4A90-AA56-B9D836F53CB2}"/>
    <cellStyle name="Note 3 5 5" xfId="2264" xr:uid="{00000000-0005-0000-0000-0000F8210000}"/>
    <cellStyle name="Note 3 5 5 2" xfId="4493" xr:uid="{00000000-0005-0000-0000-0000F9210000}"/>
    <cellStyle name="Note 3 5 5 2 2" xfId="8716" xr:uid="{00000000-0005-0000-0000-0000FA210000}"/>
    <cellStyle name="Note 3 5 5 2 2 2" xfId="17151" xr:uid="{90B1A7BD-CB3A-4759-A5C0-DF25C2A3F2EF}"/>
    <cellStyle name="Note 3 5 5 2 3" xfId="12933" xr:uid="{3BB142EA-9949-433D-A41F-9FC1B91FABBC}"/>
    <cellStyle name="Note 3 5 5 3" xfId="6571" xr:uid="{00000000-0005-0000-0000-0000FB210000}"/>
    <cellStyle name="Note 3 5 5 3 2" xfId="15006" xr:uid="{523DDB79-3060-4C17-92C9-DA06C562578A}"/>
    <cellStyle name="Note 3 5 5 4" xfId="10788" xr:uid="{2DC52B07-BD2B-41B4-9021-11496AAFD67C}"/>
    <cellStyle name="Note 3 5 6" xfId="2700" xr:uid="{00000000-0005-0000-0000-0000FC210000}"/>
    <cellStyle name="Note 3 5 6 2" xfId="6984" xr:uid="{00000000-0005-0000-0000-0000FD210000}"/>
    <cellStyle name="Note 3 5 6 2 2" xfId="15419" xr:uid="{69BD9C56-188A-450F-9895-18819502B2AB}"/>
    <cellStyle name="Note 3 5 6 3" xfId="11201" xr:uid="{EE788C5B-6AF5-4513-8C05-6A2DF67B2E76}"/>
    <cellStyle name="Note 3 5 7" xfId="2759" xr:uid="{00000000-0005-0000-0000-0000FE210000}"/>
    <cellStyle name="Note 3 5 8" xfId="2840" xr:uid="{00000000-0005-0000-0000-0000FF210000}"/>
    <cellStyle name="Note 3 5 8 2" xfId="7064" xr:uid="{00000000-0005-0000-0000-000000220000}"/>
    <cellStyle name="Note 3 5 8 2 2" xfId="15499" xr:uid="{AE6F407A-2A84-4710-9B11-C0A84D828A36}"/>
    <cellStyle name="Note 3 5 8 3" xfId="11281" xr:uid="{1141BB44-1930-49B9-A67D-310F3D2DC158}"/>
    <cellStyle name="Note 3 5 9" xfId="4919" xr:uid="{00000000-0005-0000-0000-000001220000}"/>
    <cellStyle name="Note 3 5 9 2" xfId="13354" xr:uid="{E00B0819-E3A9-437A-ABC8-0A16161627CC}"/>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3 2" xfId="12937" xr:uid="{1EB8D33A-8C56-403C-91D9-933DCDBFFE8E}"/>
    <cellStyle name="Percent 4" xfId="4503" xr:uid="{00000000-0005-0000-0000-000007220000}"/>
    <cellStyle name="Percent 4 2" xfId="8719" xr:uid="{00000000-0005-0000-0000-000008220000}"/>
    <cellStyle name="Percent 4 2 2" xfId="17154" xr:uid="{D6B71BAF-8D70-4381-AE56-5832159CF4B0}"/>
    <cellStyle name="Percent 4 3" xfId="8722" xr:uid="{D09CD3FC-D632-4B66-A68A-5CC92F993799}"/>
    <cellStyle name="Percent 4 3 2" xfId="17157" xr:uid="{E589E625-308D-4831-A46F-D6A623E3745B}"/>
    <cellStyle name="Percent 4 4" xfId="12940" xr:uid="{1F3F359C-38AC-45EB-BF6B-20C96F9C72AC}"/>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5">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misi\Downloads\40-%20Attachment%2040%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9">
          <cell r="C639" t="str">
            <v>Master Developer Land Note</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134" t="s">
        <v>0</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row>
    <row r="2" spans="1:38" ht="13.5" thickBot="1">
      <c r="A2" s="1135"/>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row>
    <row r="3" spans="1:38" ht="13.5" thickTop="1"/>
    <row r="4" spans="1:38" s="5" customFormat="1">
      <c r="B4" s="11" t="s">
        <v>1</v>
      </c>
      <c r="C4" s="11" t="s">
        <v>2</v>
      </c>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25" t="s">
        <v>5</v>
      </c>
      <c r="E7" s="1125"/>
      <c r="F7" s="1125"/>
      <c r="G7" s="1125"/>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390"/>
    </row>
    <row r="8" spans="1:38">
      <c r="A8" s="143"/>
      <c r="B8" s="143"/>
      <c r="C8" s="144"/>
      <c r="D8" s="1125"/>
      <c r="E8" s="1125"/>
      <c r="F8" s="1125"/>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5"/>
      <c r="AI8" s="1125"/>
      <c r="AJ8" s="1125"/>
      <c r="AK8" s="1125"/>
      <c r="AL8" s="390"/>
    </row>
    <row r="9" spans="1:38">
      <c r="A9" s="143"/>
      <c r="B9" s="143"/>
      <c r="C9" s="144"/>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5" customHeight="1">
      <c r="A11" s="143"/>
      <c r="B11" s="143"/>
      <c r="C11" s="144"/>
      <c r="D11" s="1125" t="s">
        <v>6</v>
      </c>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390"/>
    </row>
    <row r="12" spans="1:38">
      <c r="A12" s="143"/>
      <c r="B12" s="143"/>
      <c r="C12" s="144"/>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390"/>
    </row>
    <row r="13" spans="1:38">
      <c r="A13" s="143"/>
      <c r="B13" s="143"/>
      <c r="C13" s="144"/>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390"/>
    </row>
    <row r="14" spans="1:38" ht="13.15" customHeight="1">
      <c r="A14" s="143"/>
      <c r="B14" s="143"/>
      <c r="C14" s="144"/>
      <c r="E14" s="1125" t="s">
        <v>7</v>
      </c>
      <c r="F14" s="1125"/>
      <c r="G14" s="1125"/>
      <c r="H14" s="1125"/>
      <c r="I14" s="1125"/>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390"/>
    </row>
    <row r="15" spans="1:38" ht="13.15" customHeight="1">
      <c r="A15" s="143"/>
      <c r="B15" s="143"/>
      <c r="C15" s="144"/>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390"/>
    </row>
    <row r="16" spans="1:38">
      <c r="A16" s="143"/>
      <c r="B16" s="143"/>
      <c r="C16" s="144"/>
      <c r="D16" s="390"/>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c r="AK16" s="1125"/>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15" customHeight="1">
      <c r="A18" s="143"/>
      <c r="B18" s="143"/>
      <c r="C18" s="144"/>
      <c r="D18" s="1125" t="s">
        <v>8</v>
      </c>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43"/>
    </row>
    <row r="19" spans="1:38">
      <c r="A19" s="143"/>
      <c r="B19" s="143"/>
      <c r="C19" s="144"/>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43"/>
    </row>
    <row r="20" spans="1:38">
      <c r="A20" s="143"/>
      <c r="B20" s="143"/>
      <c r="C20" s="144"/>
      <c r="D20" s="1125"/>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43"/>
    </row>
    <row r="21" spans="1:38" ht="13.15" customHeight="1">
      <c r="A21" s="143"/>
      <c r="B21" s="143"/>
      <c r="C21" s="144"/>
      <c r="D21" s="1125"/>
      <c r="E21" s="1125"/>
      <c r="F21" s="1125"/>
      <c r="G21" s="1125"/>
      <c r="H21" s="1125"/>
      <c r="I21" s="1125"/>
      <c r="J21" s="1125"/>
      <c r="K21" s="1125"/>
      <c r="L21" s="1125"/>
      <c r="M21" s="1125"/>
      <c r="N21" s="1125"/>
      <c r="O21" s="1125"/>
      <c r="P21" s="1125"/>
      <c r="Q21" s="1125"/>
      <c r="R21" s="1125"/>
      <c r="S21" s="1125"/>
      <c r="T21" s="1125"/>
      <c r="U21" s="1125"/>
      <c r="V21" s="1125"/>
      <c r="W21" s="1125"/>
      <c r="X21" s="1125"/>
      <c r="Y21" s="1125"/>
      <c r="Z21" s="1125"/>
      <c r="AA21" s="1125"/>
      <c r="AB21" s="1125"/>
      <c r="AC21" s="1125"/>
      <c r="AD21" s="1125"/>
      <c r="AE21" s="1125"/>
      <c r="AF21" s="1125"/>
      <c r="AG21" s="1125"/>
      <c r="AH21" s="1125"/>
      <c r="AI21" s="1125"/>
      <c r="AJ21" s="1125"/>
      <c r="AK21" s="1125"/>
      <c r="AL21" s="143"/>
    </row>
    <row r="22" spans="1:38">
      <c r="A22" s="143"/>
      <c r="B22" s="143"/>
      <c r="C22" s="144"/>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43"/>
    </row>
    <row r="23" spans="1:38">
      <c r="A23" s="143"/>
      <c r="B23" s="143"/>
      <c r="C23" s="144"/>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5"/>
      <c r="AI23" s="1125"/>
      <c r="AJ23" s="1125"/>
      <c r="AK23" s="1125"/>
      <c r="AL23" s="143"/>
    </row>
    <row r="24" spans="1:38">
      <c r="A24" s="143"/>
      <c r="B24" s="143"/>
      <c r="C24" s="144"/>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43"/>
    </row>
    <row r="25" spans="1:38">
      <c r="A25" s="143"/>
      <c r="B25" s="143"/>
      <c r="C25" s="144"/>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43"/>
    </row>
    <row r="26" spans="1:38">
      <c r="A26" s="143"/>
      <c r="B26" s="143"/>
      <c r="C26" s="144"/>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43"/>
    </row>
    <row r="27" spans="1:38" ht="11.85" customHeight="1">
      <c r="A27" s="143"/>
      <c r="B27" s="143"/>
      <c r="C27" s="144"/>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43"/>
    </row>
    <row r="28" spans="1:38" ht="13.15" customHeight="1">
      <c r="A28" s="143"/>
      <c r="B28" s="143"/>
      <c r="C28" s="144"/>
      <c r="E28" s="1125" t="s">
        <v>9</v>
      </c>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5"/>
      <c r="AL28" s="143"/>
    </row>
    <row r="29" spans="1:38" ht="13.15" customHeight="1">
      <c r="A29" s="143"/>
      <c r="B29" s="143"/>
      <c r="C29" s="144"/>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43"/>
    </row>
    <row r="30" spans="1:38">
      <c r="A30" s="143"/>
      <c r="B30" s="143"/>
      <c r="C30" s="144"/>
      <c r="D30" s="390"/>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15" customHeight="1">
      <c r="A32" s="143"/>
      <c r="B32" s="143"/>
      <c r="C32" s="144"/>
      <c r="D32" s="1125" t="s">
        <v>10</v>
      </c>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43"/>
    </row>
    <row r="33" spans="1:38">
      <c r="A33" s="143"/>
      <c r="B33" s="143"/>
      <c r="C33" s="144"/>
      <c r="D33" s="390"/>
      <c r="E33" s="1126" t="s">
        <v>11</v>
      </c>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43"/>
    </row>
    <row r="34" spans="1:38">
      <c r="A34" s="3"/>
      <c r="C34" s="2"/>
    </row>
    <row r="35" spans="1:38">
      <c r="A35" s="3"/>
      <c r="D35" s="1136" t="s">
        <v>12</v>
      </c>
      <c r="E35" s="1136"/>
      <c r="F35" s="1136"/>
      <c r="G35" s="1136"/>
      <c r="H35" s="1136"/>
      <c r="I35" s="1136"/>
      <c r="J35" s="1136"/>
      <c r="K35" s="1136"/>
      <c r="L35" s="1136"/>
      <c r="M35" s="1136"/>
      <c r="N35" s="1136"/>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row>
    <row r="36" spans="1:38">
      <c r="A36" s="3"/>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6"/>
    </row>
    <row r="37" spans="1:38">
      <c r="A37" s="3"/>
      <c r="D37" s="87"/>
      <c r="E37" s="1131" t="s">
        <v>13</v>
      </c>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c r="AJ37" s="1131"/>
      <c r="AK37" s="1131"/>
    </row>
    <row r="38" spans="1:38">
      <c r="A38" s="3"/>
      <c r="D38" s="87"/>
      <c r="E38" s="1131" t="s">
        <v>14</v>
      </c>
      <c r="F38" s="1131"/>
      <c r="G38" s="1131"/>
      <c r="H38" s="1131"/>
      <c r="I38" s="1131"/>
      <c r="J38" s="1131"/>
      <c r="K38" s="1131"/>
      <c r="L38" s="1131"/>
      <c r="M38" s="1131"/>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1"/>
      <c r="AK38" s="1131"/>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5" customFormat="1" ht="13.15" customHeight="1">
      <c r="A42" s="3"/>
      <c r="B42"/>
      <c r="C42" s="2"/>
      <c r="D42" s="3"/>
      <c r="E42" s="3" t="s">
        <v>19</v>
      </c>
      <c r="F42" s="1125" t="s">
        <v>20</v>
      </c>
    </row>
    <row r="43" spans="1:38" s="1125" customFormat="1" ht="13.1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15" customHeight="1">
      <c r="A45" s="3"/>
      <c r="B45"/>
      <c r="C45" s="2"/>
      <c r="D45" s="3"/>
      <c r="E45" s="3" t="s">
        <v>23</v>
      </c>
      <c r="F45" s="1130" t="s">
        <v>24</v>
      </c>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c r="AI45" s="1130"/>
      <c r="AJ45" s="1130"/>
      <c r="AK45" s="1130"/>
      <c r="AL45" s="1130"/>
    </row>
    <row r="46" spans="1:38" s="85" customFormat="1">
      <c r="A46" s="3"/>
      <c r="B46"/>
      <c r="C46" s="2"/>
      <c r="D46" s="3"/>
      <c r="E46" s="3"/>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c r="AC46" s="1130"/>
      <c r="AD46" s="1130"/>
      <c r="AE46" s="1130"/>
      <c r="AF46" s="1130"/>
      <c r="AG46" s="1130"/>
      <c r="AH46" s="1130"/>
      <c r="AI46" s="1130"/>
      <c r="AJ46" s="1130"/>
      <c r="AK46" s="1130"/>
      <c r="AL46" s="1130"/>
    </row>
    <row r="47" spans="1:38" s="85" customFormat="1" ht="13.15" customHeight="1">
      <c r="A47" s="3"/>
      <c r="B47"/>
      <c r="C47" s="2"/>
      <c r="D47" s="3"/>
      <c r="E47" s="3"/>
      <c r="F47" s="1130"/>
      <c r="G47" s="1130"/>
      <c r="H47" s="1130"/>
      <c r="I47" s="1130"/>
      <c r="J47" s="1130"/>
      <c r="K47" s="1130"/>
      <c r="L47" s="1130"/>
      <c r="M47" s="1130"/>
      <c r="N47" s="1130"/>
      <c r="O47" s="1130"/>
      <c r="P47" s="1130"/>
      <c r="Q47" s="1130"/>
      <c r="R47" s="1130"/>
      <c r="S47" s="1130"/>
      <c r="T47" s="1130"/>
      <c r="U47" s="1130"/>
      <c r="V47" s="1130"/>
      <c r="W47" s="1130"/>
      <c r="X47" s="1130"/>
      <c r="Y47" s="1130"/>
      <c r="Z47" s="1130"/>
      <c r="AA47" s="1130"/>
      <c r="AB47" s="1130"/>
      <c r="AC47" s="1130"/>
      <c r="AD47" s="1130"/>
      <c r="AE47" s="1130"/>
      <c r="AF47" s="1130"/>
      <c r="AG47" s="1130"/>
      <c r="AH47" s="1130"/>
      <c r="AI47" s="1130"/>
      <c r="AJ47" s="1130"/>
      <c r="AK47" s="1130"/>
      <c r="AL47" s="1130"/>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5" t="s">
        <v>29</v>
      </c>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c r="AI50" s="1125"/>
      <c r="AJ50" s="1125"/>
      <c r="AK50" s="1125"/>
    </row>
    <row r="51" spans="1:38">
      <c r="A51" s="3"/>
      <c r="C51" s="2"/>
      <c r="D51" s="3"/>
      <c r="E51" s="3"/>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c r="AI51" s="1125"/>
      <c r="AJ51" s="1125"/>
      <c r="AK51" s="1125"/>
    </row>
    <row r="52" spans="1:38">
      <c r="A52" s="3"/>
      <c r="C52" s="2"/>
      <c r="D52" s="3"/>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c r="AF52" s="1125"/>
      <c r="AG52" s="1125"/>
      <c r="AH52" s="1125"/>
      <c r="AI52" s="1125"/>
      <c r="AJ52" s="1125"/>
      <c r="AK52" s="112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5"/>
      <c r="K54" s="1055"/>
      <c r="L54" s="1055"/>
      <c r="M54" s="1055"/>
      <c r="N54" s="105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29" t="s">
        <v>33</v>
      </c>
      <c r="H56" s="1129"/>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29"/>
      <c r="AI56" s="1129"/>
      <c r="AJ56" s="1129"/>
      <c r="AK56" s="1129"/>
      <c r="AL56" s="143"/>
    </row>
    <row r="57" spans="1:38" ht="13.1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9" t="s">
        <v>35</v>
      </c>
      <c r="H58" s="1129"/>
      <c r="I58" s="1129"/>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15" customHeight="1">
      <c r="A59" s="143"/>
      <c r="B59" s="144"/>
      <c r="C59" s="144"/>
      <c r="D59" s="144"/>
      <c r="E59" s="143"/>
      <c r="F59" s="145" t="s">
        <v>26</v>
      </c>
      <c r="G59" s="1129" t="s">
        <v>36</v>
      </c>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row>
    <row r="60" spans="1:38">
      <c r="A60" s="143"/>
      <c r="B60" s="143"/>
      <c r="C60" s="144"/>
      <c r="D60" s="144"/>
      <c r="E60" s="143"/>
      <c r="F60" s="145"/>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29"/>
      <c r="AL60" s="1129"/>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5" t="s">
        <v>41</v>
      </c>
      <c r="H66" s="1125"/>
      <c r="I66" s="1125"/>
      <c r="J66" s="1125"/>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5"/>
      <c r="AI66" s="1125"/>
      <c r="AJ66" s="1125"/>
      <c r="AK66" s="1125"/>
    </row>
    <row r="67" spans="1:37">
      <c r="A67" s="3"/>
      <c r="C67" s="2"/>
      <c r="D67" s="3"/>
      <c r="E67" s="3"/>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5"/>
      <c r="AI67" s="1125"/>
      <c r="AJ67" s="1125"/>
      <c r="AK67" s="1125"/>
    </row>
    <row r="68" spans="1:37">
      <c r="A68" s="3"/>
      <c r="C68" s="2"/>
      <c r="D68" s="3"/>
      <c r="E68" s="3"/>
      <c r="G68" s="1125"/>
      <c r="H68" s="1125"/>
      <c r="I68" s="1125"/>
      <c r="J68" s="1125"/>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5"/>
      <c r="AI68" s="1125"/>
      <c r="AJ68" s="1125"/>
      <c r="AK68" s="1125"/>
    </row>
    <row r="69" spans="1:37" ht="13.15" customHeight="1">
      <c r="A69" s="3"/>
      <c r="C69" s="2"/>
      <c r="D69" s="3"/>
      <c r="E69" s="3"/>
      <c r="F69" t="s">
        <v>26</v>
      </c>
      <c r="G69" s="1125" t="s">
        <v>42</v>
      </c>
      <c r="H69" s="1125"/>
      <c r="I69" s="1125"/>
      <c r="J69" s="1125"/>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5"/>
      <c r="AI69" s="1125"/>
      <c r="AJ69" s="1125"/>
      <c r="AK69" s="1125"/>
    </row>
    <row r="70" spans="1:37">
      <c r="A70" s="3"/>
      <c r="C70" s="2"/>
      <c r="D70" s="3"/>
      <c r="E70" s="3"/>
      <c r="F70" s="24"/>
      <c r="G70" s="1125"/>
      <c r="H70" s="1125"/>
      <c r="I70" s="1125"/>
      <c r="J70" s="1125"/>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5"/>
      <c r="AI70" s="1125"/>
      <c r="AJ70" s="1125"/>
      <c r="AK70" s="1125"/>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5" t="s">
        <v>44</v>
      </c>
      <c r="H72" s="1125"/>
      <c r="I72" s="1125"/>
      <c r="J72" s="1125"/>
      <c r="K72" s="1125"/>
      <c r="L72" s="1125"/>
      <c r="M72" s="1125"/>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5"/>
      <c r="AK72" s="1125"/>
    </row>
    <row r="73" spans="1:37">
      <c r="A73" s="3"/>
      <c r="C73" s="2"/>
      <c r="D73" s="3"/>
      <c r="E73" s="3"/>
      <c r="F73" s="8"/>
      <c r="G73" s="1125"/>
      <c r="H73" s="1125"/>
      <c r="I73" s="1125"/>
      <c r="J73" s="1125"/>
      <c r="K73" s="1125"/>
      <c r="L73" s="1125"/>
      <c r="M73" s="1125"/>
      <c r="N73" s="1125"/>
      <c r="O73" s="1125"/>
      <c r="P73" s="1125"/>
      <c r="Q73" s="1125"/>
      <c r="R73" s="1125"/>
      <c r="S73" s="1125"/>
      <c r="T73" s="1125"/>
      <c r="U73" s="1125"/>
      <c r="V73" s="1125"/>
      <c r="W73" s="1125"/>
      <c r="X73" s="1125"/>
      <c r="Y73" s="1125"/>
      <c r="Z73" s="1125"/>
      <c r="AA73" s="1125"/>
      <c r="AB73" s="1125"/>
      <c r="AC73" s="1125"/>
      <c r="AD73" s="1125"/>
      <c r="AE73" s="1125"/>
      <c r="AF73" s="1125"/>
      <c r="AG73" s="1125"/>
      <c r="AH73" s="1125"/>
      <c r="AI73" s="1125"/>
      <c r="AJ73" s="1125"/>
      <c r="AK73" s="1125"/>
    </row>
    <row r="74" spans="1:37">
      <c r="A74" s="3"/>
      <c r="C74" s="2"/>
      <c r="D74" s="3"/>
      <c r="E74" s="3"/>
      <c r="F74" s="8" t="s">
        <v>26</v>
      </c>
      <c r="G74" s="1125" t="s">
        <v>45</v>
      </c>
      <c r="H74" s="1125"/>
      <c r="I74" s="1125"/>
      <c r="J74" s="1125"/>
      <c r="K74" s="1125"/>
      <c r="L74" s="1125"/>
      <c r="M74" s="1125"/>
      <c r="N74" s="1125"/>
      <c r="O74" s="1125"/>
      <c r="P74" s="1125"/>
      <c r="Q74" s="1125"/>
      <c r="R74" s="1125"/>
      <c r="S74" s="1125"/>
      <c r="T74" s="1125"/>
      <c r="U74" s="1125"/>
      <c r="V74" s="1125"/>
      <c r="W74" s="1125"/>
      <c r="X74" s="1125"/>
      <c r="Y74" s="1125"/>
      <c r="Z74" s="1125"/>
      <c r="AA74" s="1125"/>
      <c r="AB74" s="1125"/>
      <c r="AC74" s="1125"/>
      <c r="AD74" s="1125"/>
      <c r="AE74" s="1125"/>
      <c r="AF74" s="1125"/>
      <c r="AG74" s="1125"/>
      <c r="AH74" s="1125"/>
      <c r="AI74" s="1125"/>
      <c r="AJ74" s="1125"/>
      <c r="AK74" s="1125"/>
    </row>
    <row r="75" spans="1:37">
      <c r="A75" s="3"/>
      <c r="C75" s="2"/>
      <c r="D75" s="3"/>
      <c r="E75" s="3"/>
      <c r="F75" s="8"/>
      <c r="G75" s="1125"/>
      <c r="H75" s="1125"/>
      <c r="I75" s="1125"/>
      <c r="J75" s="1125"/>
      <c r="K75" s="1125"/>
      <c r="L75" s="1125"/>
      <c r="M75" s="1125"/>
      <c r="N75" s="1125"/>
      <c r="O75" s="1125"/>
      <c r="P75" s="1125"/>
      <c r="Q75" s="1125"/>
      <c r="R75" s="1125"/>
      <c r="S75" s="1125"/>
      <c r="T75" s="1125"/>
      <c r="U75" s="1125"/>
      <c r="V75" s="1125"/>
      <c r="W75" s="1125"/>
      <c r="X75" s="1125"/>
      <c r="Y75" s="1125"/>
      <c r="Z75" s="1125"/>
      <c r="AA75" s="1125"/>
      <c r="AB75" s="1125"/>
      <c r="AC75" s="1125"/>
      <c r="AD75" s="1125"/>
      <c r="AE75" s="1125"/>
      <c r="AF75" s="1125"/>
      <c r="AG75" s="1125"/>
      <c r="AH75" s="1125"/>
      <c r="AI75" s="1125"/>
      <c r="AJ75" s="1125"/>
      <c r="AK75" s="112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5" t="s">
        <v>55</v>
      </c>
      <c r="H82" s="1125"/>
      <c r="I82" s="1125"/>
      <c r="J82" s="1125"/>
      <c r="K82" s="1125"/>
      <c r="L82" s="1125"/>
      <c r="M82" s="1125"/>
      <c r="N82" s="1125"/>
      <c r="O82" s="1125"/>
      <c r="P82" s="1125"/>
      <c r="Q82" s="1125"/>
      <c r="R82" s="1125"/>
      <c r="S82" s="1125"/>
      <c r="T82" s="1125"/>
      <c r="U82" s="1125"/>
      <c r="V82" s="1125"/>
      <c r="W82" s="1125"/>
      <c r="X82" s="1125"/>
      <c r="Y82" s="1125"/>
      <c r="Z82" s="1125"/>
      <c r="AA82" s="1125"/>
      <c r="AB82" s="1125"/>
      <c r="AC82" s="1125"/>
      <c r="AD82" s="1125"/>
      <c r="AE82" s="1125"/>
      <c r="AF82" s="1125"/>
      <c r="AG82" s="1125"/>
      <c r="AH82" s="1125"/>
      <c r="AI82" s="1125"/>
      <c r="AJ82" s="1125"/>
      <c r="AK82" s="1125"/>
    </row>
    <row r="83" spans="1:37">
      <c r="A83" s="3"/>
      <c r="C83" s="2"/>
      <c r="D83" s="3"/>
      <c r="E83" s="3"/>
      <c r="F83" s="3"/>
      <c r="G83" s="1125"/>
      <c r="H83" s="1125"/>
      <c r="I83" s="1125"/>
      <c r="J83" s="1125"/>
      <c r="K83" s="1125"/>
      <c r="L83" s="1125"/>
      <c r="M83" s="1125"/>
      <c r="N83" s="1125"/>
      <c r="O83" s="1125"/>
      <c r="P83" s="1125"/>
      <c r="Q83" s="1125"/>
      <c r="R83" s="1125"/>
      <c r="S83" s="1125"/>
      <c r="T83" s="1125"/>
      <c r="U83" s="1125"/>
      <c r="V83" s="1125"/>
      <c r="W83" s="1125"/>
      <c r="X83" s="1125"/>
      <c r="Y83" s="1125"/>
      <c r="Z83" s="1125"/>
      <c r="AA83" s="1125"/>
      <c r="AB83" s="1125"/>
      <c r="AC83" s="1125"/>
      <c r="AD83" s="1125"/>
      <c r="AE83" s="1125"/>
      <c r="AF83" s="1125"/>
      <c r="AG83" s="1125"/>
      <c r="AH83" s="1125"/>
      <c r="AI83" s="1125"/>
      <c r="AJ83" s="1125"/>
      <c r="AK83" s="1125"/>
    </row>
    <row r="84" spans="1:37">
      <c r="A84" s="3"/>
      <c r="C84" s="2"/>
      <c r="D84" s="3"/>
      <c r="E84" s="3"/>
      <c r="F84" s="3"/>
      <c r="G84" s="1125"/>
      <c r="H84" s="1125"/>
      <c r="I84" s="1125"/>
      <c r="J84" s="1125"/>
      <c r="K84" s="1125"/>
      <c r="L84" s="1125"/>
      <c r="M84" s="1125"/>
      <c r="N84" s="1125"/>
      <c r="O84" s="1125"/>
      <c r="P84" s="1125"/>
      <c r="Q84" s="1125"/>
      <c r="R84" s="1125"/>
      <c r="S84" s="1125"/>
      <c r="T84" s="1125"/>
      <c r="U84" s="1125"/>
      <c r="V84" s="1125"/>
      <c r="W84" s="1125"/>
      <c r="X84" s="1125"/>
      <c r="Y84" s="1125"/>
      <c r="Z84" s="1125"/>
      <c r="AA84" s="1125"/>
      <c r="AB84" s="1125"/>
      <c r="AC84" s="1125"/>
      <c r="AD84" s="1125"/>
      <c r="AE84" s="1125"/>
      <c r="AF84" s="1125"/>
      <c r="AG84" s="1125"/>
      <c r="AH84" s="1125"/>
      <c r="AI84" s="1125"/>
      <c r="AJ84" s="1125"/>
      <c r="AK84" s="112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5" t="s">
        <v>58</v>
      </c>
      <c r="H86" s="1125"/>
      <c r="I86" s="1125"/>
      <c r="J86" s="1125"/>
      <c r="K86" s="1125"/>
      <c r="L86" s="1125"/>
      <c r="M86" s="1125"/>
      <c r="N86" s="1125"/>
      <c r="O86" s="1125"/>
      <c r="P86" s="1125"/>
      <c r="Q86" s="1125"/>
      <c r="R86" s="1125"/>
      <c r="S86" s="1125"/>
      <c r="T86" s="1125"/>
      <c r="U86" s="1125"/>
      <c r="V86" s="1125"/>
      <c r="W86" s="1125"/>
      <c r="X86" s="1125"/>
      <c r="Y86" s="1125"/>
      <c r="Z86" s="1125"/>
      <c r="AA86" s="1125"/>
      <c r="AB86" s="1125"/>
      <c r="AC86" s="1125"/>
      <c r="AD86" s="1125"/>
      <c r="AE86" s="1125"/>
      <c r="AF86" s="1125"/>
      <c r="AG86" s="1125"/>
      <c r="AH86" s="1125"/>
      <c r="AI86" s="1125"/>
      <c r="AJ86" s="1125"/>
      <c r="AK86" s="1125"/>
    </row>
    <row r="87" spans="1:37">
      <c r="A87" s="3"/>
      <c r="C87" s="2"/>
      <c r="D87" s="3"/>
      <c r="E87" s="3"/>
      <c r="F87" s="3"/>
      <c r="G87" s="1125"/>
      <c r="H87" s="1125"/>
      <c r="I87" s="1125"/>
      <c r="J87" s="1125"/>
      <c r="K87" s="1125"/>
      <c r="L87" s="1125"/>
      <c r="M87" s="1125"/>
      <c r="N87" s="1125"/>
      <c r="O87" s="1125"/>
      <c r="P87" s="1125"/>
      <c r="Q87" s="1125"/>
      <c r="R87" s="1125"/>
      <c r="S87" s="1125"/>
      <c r="T87" s="1125"/>
      <c r="U87" s="1125"/>
      <c r="V87" s="1125"/>
      <c r="W87" s="1125"/>
      <c r="X87" s="1125"/>
      <c r="Y87" s="1125"/>
      <c r="Z87" s="1125"/>
      <c r="AA87" s="1125"/>
      <c r="AB87" s="1125"/>
      <c r="AC87" s="1125"/>
      <c r="AD87" s="1125"/>
      <c r="AE87" s="1125"/>
      <c r="AF87" s="1125"/>
      <c r="AG87" s="1125"/>
      <c r="AH87" s="1125"/>
      <c r="AI87" s="1125"/>
      <c r="AJ87" s="1125"/>
      <c r="AK87" s="1125"/>
    </row>
    <row r="88" spans="1:37">
      <c r="A88" s="3"/>
      <c r="C88" s="2"/>
      <c r="D88" s="3"/>
      <c r="E88" s="3"/>
      <c r="G88" s="1125"/>
      <c r="H88" s="1125"/>
      <c r="I88" s="1125"/>
      <c r="J88" s="1125"/>
      <c r="K88" s="1125"/>
      <c r="L88" s="1125"/>
      <c r="M88" s="1125"/>
      <c r="N88" s="1125"/>
      <c r="O88" s="1125"/>
      <c r="P88" s="1125"/>
      <c r="Q88" s="1125"/>
      <c r="R88" s="1125"/>
      <c r="S88" s="1125"/>
      <c r="T88" s="1125"/>
      <c r="U88" s="1125"/>
      <c r="V88" s="1125"/>
      <c r="W88" s="1125"/>
      <c r="X88" s="1125"/>
      <c r="Y88" s="1125"/>
      <c r="Z88" s="1125"/>
      <c r="AA88" s="1125"/>
      <c r="AB88" s="1125"/>
      <c r="AC88" s="1125"/>
      <c r="AD88" s="1125"/>
      <c r="AE88" s="1125"/>
      <c r="AF88" s="1125"/>
      <c r="AG88" s="1125"/>
      <c r="AH88" s="1125"/>
      <c r="AI88" s="1125"/>
      <c r="AJ88" s="1125"/>
      <c r="AK88" s="112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27" t="s">
        <v>61</v>
      </c>
      <c r="H90" s="1127"/>
      <c r="I90" s="1127"/>
      <c r="J90" s="1127"/>
      <c r="K90" s="1127"/>
      <c r="L90" s="1127"/>
      <c r="M90" s="1127"/>
      <c r="N90" s="1127"/>
      <c r="O90" s="1127"/>
      <c r="P90" s="1127"/>
      <c r="Q90" s="1127"/>
      <c r="R90" s="1127"/>
      <c r="S90" s="1127"/>
      <c r="T90" s="1127"/>
      <c r="U90" s="1127"/>
      <c r="V90" s="1127"/>
      <c r="W90" s="1127"/>
      <c r="X90" s="1127"/>
      <c r="Y90" s="1127"/>
      <c r="Z90" s="1127"/>
      <c r="AA90" s="1127"/>
      <c r="AB90" s="1127"/>
      <c r="AC90" s="1127"/>
      <c r="AD90" s="1127"/>
      <c r="AE90" s="1127"/>
      <c r="AF90" s="1127"/>
      <c r="AG90" s="1127"/>
      <c r="AH90" s="1127"/>
      <c r="AI90" s="1127"/>
      <c r="AJ90" s="1127"/>
      <c r="AK90" s="1127"/>
    </row>
    <row r="91" spans="1:37">
      <c r="A91" s="3"/>
      <c r="C91" s="2"/>
      <c r="D91" s="3"/>
      <c r="E91" s="3"/>
      <c r="G91" s="1127"/>
      <c r="H91" s="1127"/>
      <c r="I91" s="1127"/>
      <c r="J91" s="1127"/>
      <c r="K91" s="1127"/>
      <c r="L91" s="1127"/>
      <c r="M91" s="1127"/>
      <c r="N91" s="1127"/>
      <c r="O91" s="1127"/>
      <c r="P91" s="1127"/>
      <c r="Q91" s="1127"/>
      <c r="R91" s="1127"/>
      <c r="S91" s="1127"/>
      <c r="T91" s="1127"/>
      <c r="U91" s="1127"/>
      <c r="V91" s="1127"/>
      <c r="W91" s="1127"/>
      <c r="X91" s="1127"/>
      <c r="Y91" s="1127"/>
      <c r="Z91" s="1127"/>
      <c r="AA91" s="1127"/>
      <c r="AB91" s="1127"/>
      <c r="AC91" s="1127"/>
      <c r="AD91" s="1127"/>
      <c r="AE91" s="1127"/>
      <c r="AF91" s="1127"/>
      <c r="AG91" s="1127"/>
      <c r="AH91" s="1127"/>
      <c r="AI91" s="1127"/>
      <c r="AJ91" s="1127"/>
      <c r="AK91" s="1127"/>
    </row>
    <row r="92" spans="1:37">
      <c r="A92" s="3"/>
      <c r="C92" s="2"/>
      <c r="D92" s="3"/>
      <c r="E92" s="3"/>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27"/>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5" t="s">
        <v>64</v>
      </c>
      <c r="H94" s="1125"/>
      <c r="I94" s="1125"/>
      <c r="J94" s="1125"/>
      <c r="K94" s="1125"/>
      <c r="L94" s="1125"/>
      <c r="M94" s="1125"/>
      <c r="N94" s="1125"/>
      <c r="O94" s="1125"/>
      <c r="P94" s="1125"/>
      <c r="Q94" s="1125"/>
      <c r="R94" s="1125"/>
      <c r="S94" s="1125"/>
      <c r="T94" s="1125"/>
      <c r="U94" s="1125"/>
      <c r="V94" s="1125"/>
      <c r="W94" s="1125"/>
      <c r="X94" s="1125"/>
      <c r="Y94" s="1125"/>
      <c r="Z94" s="1125"/>
      <c r="AA94" s="1125"/>
      <c r="AB94" s="1125"/>
      <c r="AC94" s="1125"/>
      <c r="AD94" s="1125"/>
      <c r="AE94" s="1125"/>
      <c r="AF94" s="1125"/>
      <c r="AG94" s="1125"/>
      <c r="AH94" s="1125"/>
      <c r="AI94" s="1125"/>
      <c r="AJ94" s="1125"/>
      <c r="AK94" s="1125"/>
    </row>
    <row r="95" spans="1:37">
      <c r="A95" s="3"/>
      <c r="C95" s="2"/>
      <c r="D95" s="3"/>
      <c r="E95" s="3"/>
      <c r="G95" s="1125"/>
      <c r="H95" s="1125"/>
      <c r="I95" s="1125"/>
      <c r="J95" s="1125"/>
      <c r="K95" s="1125"/>
      <c r="L95" s="1125"/>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5"/>
      <c r="AI95" s="1125"/>
      <c r="AJ95" s="1125"/>
      <c r="AK95" s="112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5" t="s">
        <v>67</v>
      </c>
      <c r="H97" s="1125"/>
      <c r="I97" s="1125"/>
      <c r="J97" s="1125"/>
      <c r="K97" s="1125"/>
      <c r="L97" s="1125"/>
      <c r="M97" s="1125"/>
      <c r="N97" s="1125"/>
      <c r="O97" s="1125"/>
      <c r="P97" s="1125"/>
      <c r="Q97" s="1125"/>
      <c r="R97" s="1125"/>
      <c r="S97" s="1125"/>
      <c r="T97" s="1125"/>
      <c r="U97" s="1125"/>
      <c r="V97" s="1125"/>
      <c r="W97" s="1125"/>
      <c r="X97" s="1125"/>
      <c r="Y97" s="1125"/>
      <c r="Z97" s="1125"/>
      <c r="AA97" s="1125"/>
      <c r="AB97" s="1125"/>
      <c r="AC97" s="1125"/>
      <c r="AD97" s="1125"/>
      <c r="AE97" s="1125"/>
      <c r="AF97" s="1125"/>
      <c r="AG97" s="1125"/>
      <c r="AH97" s="1125"/>
      <c r="AI97" s="1125"/>
      <c r="AJ97" s="1125"/>
      <c r="AK97" s="1125"/>
    </row>
    <row r="98" spans="1:38">
      <c r="A98" s="3"/>
      <c r="C98" s="2"/>
      <c r="D98" s="3"/>
      <c r="E98" s="3"/>
      <c r="G98" s="1125"/>
      <c r="H98" s="1125"/>
      <c r="I98" s="1125"/>
      <c r="J98" s="1125"/>
      <c r="K98" s="1125"/>
      <c r="L98" s="1125"/>
      <c r="M98" s="1125"/>
      <c r="N98" s="1125"/>
      <c r="O98" s="1125"/>
      <c r="P98" s="1125"/>
      <c r="Q98" s="1125"/>
      <c r="R98" s="1125"/>
      <c r="S98" s="1125"/>
      <c r="T98" s="1125"/>
      <c r="U98" s="1125"/>
      <c r="V98" s="1125"/>
      <c r="W98" s="1125"/>
      <c r="X98" s="1125"/>
      <c r="Y98" s="1125"/>
      <c r="Z98" s="1125"/>
      <c r="AA98" s="1125"/>
      <c r="AB98" s="1125"/>
      <c r="AC98" s="1125"/>
      <c r="AD98" s="1125"/>
      <c r="AE98" s="1125"/>
      <c r="AF98" s="1125"/>
      <c r="AG98" s="1125"/>
      <c r="AH98" s="1125"/>
      <c r="AI98" s="1125"/>
      <c r="AJ98" s="1125"/>
      <c r="AK98" s="1125"/>
    </row>
    <row r="99" spans="1:38">
      <c r="A99" s="3"/>
      <c r="C99" s="2"/>
      <c r="D99" s="3"/>
      <c r="E99" s="3"/>
      <c r="G99" s="1125"/>
      <c r="H99" s="1125"/>
      <c r="I99" s="1125"/>
      <c r="J99" s="1125"/>
      <c r="K99" s="1125"/>
      <c r="L99" s="1125"/>
      <c r="M99" s="1125"/>
      <c r="N99" s="1125"/>
      <c r="O99" s="1125"/>
      <c r="P99" s="1125"/>
      <c r="Q99" s="1125"/>
      <c r="R99" s="1125"/>
      <c r="S99" s="1125"/>
      <c r="T99" s="1125"/>
      <c r="U99" s="1125"/>
      <c r="V99" s="1125"/>
      <c r="W99" s="1125"/>
      <c r="X99" s="1125"/>
      <c r="Y99" s="1125"/>
      <c r="Z99" s="1125"/>
      <c r="AA99" s="1125"/>
      <c r="AB99" s="1125"/>
      <c r="AC99" s="1125"/>
      <c r="AD99" s="1125"/>
      <c r="AE99" s="1125"/>
      <c r="AF99" s="1125"/>
      <c r="AG99" s="1125"/>
      <c r="AH99" s="1125"/>
      <c r="AI99" s="1125"/>
      <c r="AJ99" s="1125"/>
      <c r="AK99" s="1125"/>
    </row>
    <row r="100" spans="1:38">
      <c r="A100" s="3"/>
      <c r="D100" s="75"/>
      <c r="E100" s="1128" t="s">
        <v>68</v>
      </c>
      <c r="F100" s="1128"/>
      <c r="G100" s="1128"/>
      <c r="H100" s="1128"/>
      <c r="I100" s="1128"/>
      <c r="J100" s="1128"/>
      <c r="K100" s="1128"/>
      <c r="L100" s="1128"/>
      <c r="M100" s="1128"/>
      <c r="N100" s="1128"/>
      <c r="O100" s="1128"/>
      <c r="P100" s="1128"/>
      <c r="Q100" s="1128"/>
      <c r="R100" s="1128"/>
      <c r="S100" s="1128"/>
      <c r="T100" s="1128"/>
      <c r="U100" s="1128"/>
      <c r="V100" s="1128"/>
      <c r="W100" s="1128"/>
      <c r="X100" s="1128"/>
      <c r="Y100" s="1128"/>
      <c r="Z100" s="1128"/>
      <c r="AA100" s="1128"/>
      <c r="AB100" s="1128"/>
      <c r="AC100" s="1128"/>
      <c r="AD100" s="1128"/>
      <c r="AE100" s="1128"/>
      <c r="AF100" s="1128"/>
      <c r="AG100" s="1128"/>
      <c r="AH100" s="1128"/>
      <c r="AI100" s="1128"/>
      <c r="AJ100" s="1128"/>
      <c r="AK100" s="1128"/>
    </row>
    <row r="101" spans="1:38">
      <c r="A101" s="3"/>
      <c r="D101" s="75"/>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5" t="s">
        <v>157</v>
      </c>
      <c r="H207" s="1125"/>
      <c r="I207" s="1125"/>
      <c r="J207" s="1125"/>
      <c r="K207" s="1125"/>
      <c r="L207" s="1125"/>
      <c r="M207" s="1125"/>
      <c r="N207" s="1125"/>
      <c r="O207" s="1125"/>
      <c r="P207" s="1125"/>
      <c r="Q207" s="1125"/>
      <c r="R207" s="1125"/>
      <c r="S207" s="1125"/>
      <c r="T207" s="1125"/>
      <c r="U207" s="1125"/>
      <c r="V207" s="1125"/>
      <c r="W207" s="1125"/>
      <c r="X207" s="1125"/>
      <c r="Y207" s="1125"/>
      <c r="Z207" s="1125"/>
      <c r="AA207" s="1125"/>
      <c r="AB207" s="1125"/>
      <c r="AC207" s="1125"/>
      <c r="AD207" s="1125"/>
      <c r="AE207" s="1125"/>
      <c r="AF207" s="1125"/>
      <c r="AG207" s="1125"/>
      <c r="AH207" s="1125"/>
      <c r="AI207" s="1125"/>
      <c r="AJ207" s="1125"/>
      <c r="AK207" s="1125"/>
    </row>
    <row r="208" spans="2:37">
      <c r="B208" s="3"/>
      <c r="C208" s="3"/>
      <c r="D208" s="2"/>
      <c r="G208" s="1125"/>
      <c r="H208" s="1125"/>
      <c r="I208" s="1125"/>
      <c r="J208" s="1125"/>
      <c r="K208" s="1125"/>
      <c r="L208" s="1125"/>
      <c r="M208" s="1125"/>
      <c r="N208" s="1125"/>
      <c r="O208" s="1125"/>
      <c r="P208" s="1125"/>
      <c r="Q208" s="1125"/>
      <c r="R208" s="1125"/>
      <c r="S208" s="1125"/>
      <c r="T208" s="1125"/>
      <c r="U208" s="1125"/>
      <c r="V208" s="1125"/>
      <c r="W208" s="1125"/>
      <c r="X208" s="1125"/>
      <c r="Y208" s="1125"/>
      <c r="Z208" s="1125"/>
      <c r="AA208" s="1125"/>
      <c r="AB208" s="1125"/>
      <c r="AC208" s="1125"/>
      <c r="AD208" s="1125"/>
      <c r="AE208" s="1125"/>
      <c r="AF208" s="1125"/>
      <c r="AG208" s="1125"/>
      <c r="AH208" s="1125"/>
      <c r="AI208" s="1125"/>
      <c r="AJ208" s="1125"/>
      <c r="AK208" s="112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4"/>
      <c r="F223" s="1054"/>
      <c r="G223" s="1054"/>
      <c r="H223" s="1054"/>
      <c r="I223" s="1054"/>
      <c r="J223" s="1054"/>
      <c r="K223" s="5"/>
      <c r="L223" s="1054"/>
      <c r="M223" s="1054"/>
      <c r="N223" s="1054"/>
      <c r="O223" s="1054"/>
      <c r="P223" s="1054"/>
      <c r="Q223" s="1054"/>
      <c r="R223" s="1054"/>
      <c r="S223" s="105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4"/>
      <c r="K331" s="1054"/>
      <c r="L331" s="1054"/>
      <c r="M331" s="1054"/>
      <c r="N331" s="1054"/>
      <c r="O331" s="1054"/>
      <c r="P331" s="1054"/>
      <c r="Q331" s="1054"/>
      <c r="R331" s="1054"/>
      <c r="S331" s="105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5" t="s">
        <v>262</v>
      </c>
      <c r="G338" s="1125"/>
      <c r="H338" s="1125"/>
      <c r="I338" s="1125"/>
      <c r="J338" s="1125"/>
      <c r="K338" s="1125"/>
      <c r="L338" s="1125"/>
      <c r="M338" s="1125"/>
      <c r="N338" s="1125"/>
      <c r="O338" s="1125"/>
      <c r="P338" s="1125"/>
      <c r="Q338" s="1125"/>
      <c r="R338" s="1125"/>
      <c r="S338" s="1125"/>
      <c r="T338" s="1125"/>
      <c r="U338" s="1125"/>
      <c r="V338" s="1125"/>
      <c r="W338" s="1125"/>
      <c r="X338" s="1125"/>
      <c r="Y338" s="1125"/>
      <c r="Z338" s="1125"/>
      <c r="AA338" s="1125"/>
      <c r="AB338" s="1125"/>
      <c r="AC338" s="1125"/>
      <c r="AD338" s="1125"/>
      <c r="AE338" s="1125"/>
      <c r="AF338" s="1125"/>
      <c r="AG338" s="1125"/>
      <c r="AH338" s="1125"/>
      <c r="AI338" s="1125"/>
      <c r="AJ338" s="1125"/>
      <c r="AK338" s="1125"/>
    </row>
    <row r="339" spans="2:37">
      <c r="B339" s="2"/>
      <c r="E339" s="3"/>
      <c r="F339" s="1125"/>
      <c r="G339" s="1125"/>
      <c r="H339" s="1125"/>
      <c r="I339" s="1125"/>
      <c r="J339" s="1125"/>
      <c r="K339" s="1125"/>
      <c r="L339" s="1125"/>
      <c r="M339" s="1125"/>
      <c r="N339" s="1125"/>
      <c r="O339" s="1125"/>
      <c r="P339" s="1125"/>
      <c r="Q339" s="1125"/>
      <c r="R339" s="1125"/>
      <c r="S339" s="1125"/>
      <c r="T339" s="1125"/>
      <c r="U339" s="1125"/>
      <c r="V339" s="1125"/>
      <c r="W339" s="1125"/>
      <c r="X339" s="1125"/>
      <c r="Y339" s="1125"/>
      <c r="Z339" s="1125"/>
      <c r="AA339" s="1125"/>
      <c r="AB339" s="1125"/>
      <c r="AC339" s="1125"/>
      <c r="AD339" s="1125"/>
      <c r="AE339" s="1125"/>
      <c r="AF339" s="1125"/>
      <c r="AG339" s="1125"/>
      <c r="AH339" s="1125"/>
      <c r="AI339" s="1125"/>
      <c r="AJ339" s="1125"/>
      <c r="AK339" s="1125"/>
    </row>
    <row r="340" spans="2:37">
      <c r="B340" s="2"/>
      <c r="E340" s="3"/>
      <c r="F340" s="1125"/>
      <c r="G340" s="1125"/>
      <c r="H340" s="1125"/>
      <c r="I340" s="1125"/>
      <c r="J340" s="1125"/>
      <c r="K340" s="1125"/>
      <c r="L340" s="1125"/>
      <c r="M340" s="1125"/>
      <c r="N340" s="1125"/>
      <c r="O340" s="1125"/>
      <c r="P340" s="1125"/>
      <c r="Q340" s="1125"/>
      <c r="R340" s="1125"/>
      <c r="S340" s="1125"/>
      <c r="T340" s="1125"/>
      <c r="U340" s="1125"/>
      <c r="V340" s="1125"/>
      <c r="W340" s="1125"/>
      <c r="X340" s="1125"/>
      <c r="Y340" s="1125"/>
      <c r="Z340" s="1125"/>
      <c r="AA340" s="1125"/>
      <c r="AB340" s="1125"/>
      <c r="AC340" s="1125"/>
      <c r="AD340" s="1125"/>
      <c r="AE340" s="1125"/>
      <c r="AF340" s="1125"/>
      <c r="AG340" s="1125"/>
      <c r="AH340" s="1125"/>
      <c r="AI340" s="1125"/>
      <c r="AJ340" s="1125"/>
      <c r="AK340" s="112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29" t="s">
        <v>264</v>
      </c>
      <c r="F343" s="1129"/>
      <c r="G343" s="1129"/>
      <c r="H343" s="1129"/>
      <c r="I343" s="1129"/>
      <c r="J343" s="1129"/>
      <c r="K343" s="1129"/>
      <c r="L343" s="1129"/>
      <c r="M343" s="1129"/>
      <c r="N343" s="1129"/>
      <c r="O343" s="1129"/>
      <c r="P343" s="1129"/>
      <c r="Q343" s="1129"/>
      <c r="R343" s="1129"/>
      <c r="S343" s="1129"/>
      <c r="T343" s="1129"/>
      <c r="U343" s="1129"/>
      <c r="V343" s="1129"/>
      <c r="W343" s="1129"/>
      <c r="X343" s="1129"/>
      <c r="Y343" s="1129"/>
      <c r="Z343" s="1129"/>
      <c r="AA343" s="1129"/>
      <c r="AB343" s="1129"/>
      <c r="AC343" s="1129"/>
      <c r="AD343" s="1129"/>
      <c r="AE343" s="1129"/>
      <c r="AF343" s="1129"/>
      <c r="AG343" s="1129"/>
      <c r="AH343" s="1129"/>
      <c r="AI343" s="1129"/>
      <c r="AJ343" s="1129"/>
      <c r="AK343" s="1129"/>
    </row>
    <row r="344" spans="2:37">
      <c r="B344" s="2"/>
      <c r="E344" s="1129"/>
      <c r="F344" s="1129"/>
      <c r="G344" s="1129"/>
      <c r="H344" s="1129"/>
      <c r="I344" s="1129"/>
      <c r="J344" s="1129"/>
      <c r="K344" s="1129"/>
      <c r="L344" s="1129"/>
      <c r="M344" s="1129"/>
      <c r="N344" s="1129"/>
      <c r="O344" s="1129"/>
      <c r="P344" s="1129"/>
      <c r="Q344" s="1129"/>
      <c r="R344" s="1129"/>
      <c r="S344" s="1129"/>
      <c r="T344" s="1129"/>
      <c r="U344" s="1129"/>
      <c r="V344" s="1129"/>
      <c r="W344" s="1129"/>
      <c r="X344" s="1129"/>
      <c r="Y344" s="1129"/>
      <c r="Z344" s="1129"/>
      <c r="AA344" s="1129"/>
      <c r="AB344" s="1129"/>
      <c r="AC344" s="1129"/>
      <c r="AD344" s="1129"/>
      <c r="AE344" s="1129"/>
      <c r="AF344" s="1129"/>
      <c r="AG344" s="1129"/>
      <c r="AH344" s="1129"/>
      <c r="AI344" s="1129"/>
      <c r="AJ344" s="1129"/>
      <c r="AK344" s="1129"/>
    </row>
    <row r="345" spans="2:37">
      <c r="B345" s="2"/>
      <c r="E345" s="1129"/>
      <c r="F345" s="1129"/>
      <c r="G345" s="1129"/>
      <c r="H345" s="1129"/>
      <c r="I345" s="1129"/>
      <c r="J345" s="1129"/>
      <c r="K345" s="1129"/>
      <c r="L345" s="1129"/>
      <c r="M345" s="1129"/>
      <c r="N345" s="1129"/>
      <c r="O345" s="1129"/>
      <c r="P345" s="1129"/>
      <c r="Q345" s="1129"/>
      <c r="R345" s="1129"/>
      <c r="S345" s="1129"/>
      <c r="T345" s="1129"/>
      <c r="U345" s="1129"/>
      <c r="V345" s="1129"/>
      <c r="W345" s="1129"/>
      <c r="X345" s="1129"/>
      <c r="Y345" s="1129"/>
      <c r="Z345" s="1129"/>
      <c r="AA345" s="1129"/>
      <c r="AB345" s="1129"/>
      <c r="AC345" s="1129"/>
      <c r="AD345" s="1129"/>
      <c r="AE345" s="1129"/>
      <c r="AF345" s="1129"/>
      <c r="AG345" s="1129"/>
      <c r="AH345" s="1129"/>
      <c r="AI345" s="1129"/>
      <c r="AJ345" s="1129"/>
      <c r="AK345" s="1129"/>
    </row>
    <row r="346" spans="2:37">
      <c r="B346" s="2"/>
      <c r="E346" s="1129"/>
      <c r="F346" s="1129"/>
      <c r="G346" s="1129"/>
      <c r="H346" s="1129"/>
      <c r="I346" s="1129"/>
      <c r="J346" s="1129"/>
      <c r="K346" s="1129"/>
      <c r="L346" s="1129"/>
      <c r="M346" s="1129"/>
      <c r="N346" s="1129"/>
      <c r="O346" s="1129"/>
      <c r="P346" s="1129"/>
      <c r="Q346" s="1129"/>
      <c r="R346" s="1129"/>
      <c r="S346" s="1129"/>
      <c r="T346" s="1129"/>
      <c r="U346" s="1129"/>
      <c r="V346" s="1129"/>
      <c r="W346" s="1129"/>
      <c r="X346" s="1129"/>
      <c r="Y346" s="1129"/>
      <c r="Z346" s="1129"/>
      <c r="AA346" s="1129"/>
      <c r="AB346" s="1129"/>
      <c r="AC346" s="1129"/>
      <c r="AD346" s="1129"/>
      <c r="AE346" s="1129"/>
      <c r="AF346" s="1129"/>
      <c r="AG346" s="1129"/>
      <c r="AH346" s="1129"/>
      <c r="AI346" s="1129"/>
      <c r="AJ346" s="1129"/>
      <c r="AK346" s="1129"/>
    </row>
    <row r="347" spans="2:37">
      <c r="B347" s="2"/>
      <c r="E347" s="1129"/>
      <c r="F347" s="1129"/>
      <c r="G347" s="1129"/>
      <c r="H347" s="1129"/>
      <c r="I347" s="1129"/>
      <c r="J347" s="1129"/>
      <c r="K347" s="1129"/>
      <c r="L347" s="1129"/>
      <c r="M347" s="1129"/>
      <c r="N347" s="1129"/>
      <c r="O347" s="1129"/>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2:37">
      <c r="B348" s="2"/>
      <c r="E348" s="3" t="s">
        <v>17</v>
      </c>
      <c r="F348" s="1125" t="s">
        <v>265</v>
      </c>
      <c r="G348" s="1125"/>
      <c r="H348" s="1125"/>
      <c r="I348" s="1125"/>
      <c r="J348" s="1125"/>
      <c r="K348" s="1125"/>
      <c r="L348" s="1125"/>
      <c r="M348" s="1125"/>
      <c r="N348" s="1125"/>
      <c r="O348" s="1125"/>
      <c r="P348" s="1125"/>
      <c r="Q348" s="1125"/>
      <c r="R348" s="1125"/>
      <c r="S348" s="1125"/>
      <c r="T348" s="1125"/>
      <c r="U348" s="1125"/>
      <c r="V348" s="1125"/>
      <c r="W348" s="1125"/>
      <c r="X348" s="1125"/>
      <c r="Y348" s="1125"/>
      <c r="Z348" s="1125"/>
      <c r="AA348" s="1125"/>
      <c r="AB348" s="1125"/>
      <c r="AC348" s="1125"/>
      <c r="AD348" s="1125"/>
      <c r="AE348" s="1125"/>
      <c r="AF348" s="1125"/>
      <c r="AG348" s="1125"/>
      <c r="AH348" s="1125"/>
      <c r="AI348" s="1125"/>
      <c r="AJ348" s="1125"/>
      <c r="AK348" s="1125"/>
    </row>
    <row r="349" spans="2:37">
      <c r="B349" s="2"/>
      <c r="E349" s="3"/>
      <c r="F349" s="1125"/>
      <c r="G349" s="1125"/>
      <c r="H349" s="1125"/>
      <c r="I349" s="1125"/>
      <c r="J349" s="1125"/>
      <c r="K349" s="1125"/>
      <c r="L349" s="1125"/>
      <c r="M349" s="1125"/>
      <c r="N349" s="1125"/>
      <c r="O349" s="1125"/>
      <c r="P349" s="1125"/>
      <c r="Q349" s="1125"/>
      <c r="R349" s="1125"/>
      <c r="S349" s="1125"/>
      <c r="T349" s="1125"/>
      <c r="U349" s="1125"/>
      <c r="V349" s="1125"/>
      <c r="W349" s="1125"/>
      <c r="X349" s="1125"/>
      <c r="Y349" s="1125"/>
      <c r="Z349" s="1125"/>
      <c r="AA349" s="1125"/>
      <c r="AB349" s="1125"/>
      <c r="AC349" s="1125"/>
      <c r="AD349" s="1125"/>
      <c r="AE349" s="1125"/>
      <c r="AF349" s="1125"/>
      <c r="AG349" s="1125"/>
      <c r="AH349" s="1125"/>
      <c r="AI349" s="1125"/>
      <c r="AJ349" s="1125"/>
      <c r="AK349" s="1125"/>
    </row>
    <row r="350" spans="2:37">
      <c r="B350" s="2"/>
      <c r="E350" s="3"/>
      <c r="F350" s="1125"/>
      <c r="G350" s="1125"/>
      <c r="H350" s="1125"/>
      <c r="I350" s="1125"/>
      <c r="J350" s="1125"/>
      <c r="K350" s="1125"/>
      <c r="L350" s="1125"/>
      <c r="M350" s="1125"/>
      <c r="N350" s="1125"/>
      <c r="O350" s="1125"/>
      <c r="P350" s="1125"/>
      <c r="Q350" s="1125"/>
      <c r="R350" s="1125"/>
      <c r="S350" s="1125"/>
      <c r="T350" s="1125"/>
      <c r="U350" s="1125"/>
      <c r="V350" s="1125"/>
      <c r="W350" s="1125"/>
      <c r="X350" s="1125"/>
      <c r="Y350" s="1125"/>
      <c r="Z350" s="1125"/>
      <c r="AA350" s="1125"/>
      <c r="AB350" s="1125"/>
      <c r="AC350" s="1125"/>
      <c r="AD350" s="1125"/>
      <c r="AE350" s="1125"/>
      <c r="AF350" s="1125"/>
      <c r="AG350" s="1125"/>
      <c r="AH350" s="1125"/>
      <c r="AI350" s="1125"/>
      <c r="AJ350" s="1125"/>
      <c r="AK350" s="1125"/>
    </row>
    <row r="351" spans="2:37">
      <c r="B351" s="2"/>
      <c r="E351" s="3"/>
      <c r="F351" s="1125"/>
      <c r="G351" s="1125"/>
      <c r="H351" s="1125"/>
      <c r="I351" s="1125"/>
      <c r="J351" s="1125"/>
      <c r="K351" s="1125"/>
      <c r="L351" s="1125"/>
      <c r="M351" s="1125"/>
      <c r="N351" s="1125"/>
      <c r="O351" s="1125"/>
      <c r="P351" s="1125"/>
      <c r="Q351" s="1125"/>
      <c r="R351" s="1125"/>
      <c r="S351" s="1125"/>
      <c r="T351" s="1125"/>
      <c r="U351" s="1125"/>
      <c r="V351" s="1125"/>
      <c r="W351" s="1125"/>
      <c r="X351" s="1125"/>
      <c r="Y351" s="1125"/>
      <c r="Z351" s="1125"/>
      <c r="AA351" s="1125"/>
      <c r="AB351" s="1125"/>
      <c r="AC351" s="1125"/>
      <c r="AD351" s="1125"/>
      <c r="AE351" s="1125"/>
      <c r="AF351" s="1125"/>
      <c r="AG351" s="1125"/>
      <c r="AH351" s="1125"/>
      <c r="AI351" s="1125"/>
      <c r="AJ351" s="1125"/>
      <c r="AK351" s="1125"/>
    </row>
    <row r="352" spans="2:37">
      <c r="B352" s="2"/>
      <c r="E352" s="3" t="s">
        <v>30</v>
      </c>
      <c r="F352" s="1125" t="s">
        <v>266</v>
      </c>
      <c r="G352" s="1125"/>
      <c r="H352" s="1125"/>
      <c r="I352" s="1125"/>
      <c r="J352" s="1125"/>
      <c r="K352" s="1125"/>
      <c r="L352" s="1125"/>
      <c r="M352" s="1125"/>
      <c r="N352" s="1125"/>
      <c r="O352" s="1125"/>
      <c r="P352" s="1125"/>
      <c r="Q352" s="1125"/>
      <c r="R352" s="1125"/>
      <c r="S352" s="1125"/>
      <c r="T352" s="1125"/>
      <c r="U352" s="1125"/>
      <c r="V352" s="1125"/>
      <c r="W352" s="1125"/>
      <c r="X352" s="1125"/>
      <c r="Y352" s="1125"/>
      <c r="Z352" s="1125"/>
      <c r="AA352" s="1125"/>
      <c r="AB352" s="1125"/>
      <c r="AC352" s="1125"/>
      <c r="AD352" s="1125"/>
      <c r="AE352" s="1125"/>
      <c r="AF352" s="1125"/>
      <c r="AG352" s="1125"/>
      <c r="AH352" s="1125"/>
      <c r="AI352" s="1125"/>
      <c r="AJ352" s="1125"/>
      <c r="AK352" s="1125"/>
    </row>
    <row r="353" spans="1:38">
      <c r="B353" s="2"/>
      <c r="F353" s="1125"/>
      <c r="G353" s="1125"/>
      <c r="H353" s="1125"/>
      <c r="I353" s="1125"/>
      <c r="J353" s="1125"/>
      <c r="K353" s="1125"/>
      <c r="L353" s="1125"/>
      <c r="M353" s="1125"/>
      <c r="N353" s="1125"/>
      <c r="O353" s="1125"/>
      <c r="P353" s="1125"/>
      <c r="Q353" s="1125"/>
      <c r="R353" s="1125"/>
      <c r="S353" s="1125"/>
      <c r="T353" s="1125"/>
      <c r="U353" s="1125"/>
      <c r="V353" s="1125"/>
      <c r="W353" s="1125"/>
      <c r="X353" s="1125"/>
      <c r="Y353" s="1125"/>
      <c r="Z353" s="1125"/>
      <c r="AA353" s="1125"/>
      <c r="AB353" s="1125"/>
      <c r="AC353" s="1125"/>
      <c r="AD353" s="1125"/>
      <c r="AE353" s="1125"/>
      <c r="AF353" s="1125"/>
      <c r="AG353" s="1125"/>
      <c r="AH353" s="1125"/>
      <c r="AI353" s="1125"/>
      <c r="AJ353" s="1125"/>
      <c r="AK353" s="1125"/>
    </row>
    <row r="354" spans="1:38">
      <c r="B354" s="2"/>
      <c r="F354" s="1125"/>
      <c r="G354" s="1125"/>
      <c r="H354" s="1125"/>
      <c r="I354" s="1125"/>
      <c r="J354" s="1125"/>
      <c r="K354" s="1125"/>
      <c r="L354" s="1125"/>
      <c r="M354" s="1125"/>
      <c r="N354" s="1125"/>
      <c r="O354" s="1125"/>
      <c r="P354" s="1125"/>
      <c r="Q354" s="1125"/>
      <c r="R354" s="1125"/>
      <c r="S354" s="1125"/>
      <c r="T354" s="1125"/>
      <c r="U354" s="1125"/>
      <c r="V354" s="1125"/>
      <c r="W354" s="1125"/>
      <c r="X354" s="1125"/>
      <c r="Y354" s="1125"/>
      <c r="Z354" s="1125"/>
      <c r="AA354" s="1125"/>
      <c r="AB354" s="1125"/>
      <c r="AC354" s="1125"/>
      <c r="AD354" s="1125"/>
      <c r="AE354" s="1125"/>
      <c r="AF354" s="1125"/>
      <c r="AG354" s="1125"/>
      <c r="AH354" s="1125"/>
      <c r="AI354" s="1125"/>
      <c r="AJ354" s="1125"/>
      <c r="AK354" s="112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4"/>
      <c r="N356" s="1054"/>
      <c r="O356" s="1054"/>
      <c r="P356" s="1054"/>
      <c r="Q356" s="1054"/>
      <c r="R356" s="1054"/>
      <c r="S356" s="1054"/>
      <c r="T356" s="1054"/>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1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1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2" t="s">
        <v>276</v>
      </c>
      <c r="F367" s="1132"/>
      <c r="G367" s="1132"/>
      <c r="H367" s="1132"/>
      <c r="I367" s="1132"/>
      <c r="J367" s="1132"/>
      <c r="K367" s="1132"/>
      <c r="L367" s="1132"/>
      <c r="M367" s="1132"/>
      <c r="N367" s="1132"/>
      <c r="O367" s="1132"/>
      <c r="P367" s="1132"/>
      <c r="Q367" s="1132"/>
      <c r="R367" s="1132"/>
      <c r="S367" s="1132"/>
      <c r="T367" s="1132"/>
      <c r="U367" s="1132"/>
      <c r="V367" s="1132"/>
      <c r="W367" s="1132"/>
      <c r="X367" s="1132"/>
      <c r="Y367" s="1132"/>
      <c r="Z367" s="1132"/>
      <c r="AA367" s="1132"/>
      <c r="AB367" s="1132"/>
      <c r="AC367" s="1132"/>
      <c r="AD367" s="1132"/>
      <c r="AE367" s="1132"/>
      <c r="AF367" s="1132"/>
      <c r="AG367" s="1132"/>
      <c r="AH367" s="1132"/>
      <c r="AI367" s="1132"/>
      <c r="AJ367" s="1132"/>
      <c r="AK367" s="1132"/>
      <c r="AL367" s="1132"/>
    </row>
    <row r="368" spans="1:38">
      <c r="B368" s="2"/>
      <c r="E368" s="1132"/>
      <c r="F368" s="1132"/>
      <c r="G368" s="1132"/>
      <c r="H368" s="1132"/>
      <c r="I368" s="1132"/>
      <c r="J368" s="1132"/>
      <c r="K368" s="1132"/>
      <c r="L368" s="1132"/>
      <c r="M368" s="1132"/>
      <c r="N368" s="1132"/>
      <c r="O368" s="1132"/>
      <c r="P368" s="1132"/>
      <c r="Q368" s="1132"/>
      <c r="R368" s="1132"/>
      <c r="S368" s="1132"/>
      <c r="T368" s="1132"/>
      <c r="U368" s="1132"/>
      <c r="V368" s="1132"/>
      <c r="W368" s="1132"/>
      <c r="X368" s="1132"/>
      <c r="Y368" s="1132"/>
      <c r="Z368" s="1132"/>
      <c r="AA368" s="1132"/>
      <c r="AB368" s="1132"/>
      <c r="AC368" s="1132"/>
      <c r="AD368" s="1132"/>
      <c r="AE368" s="1132"/>
      <c r="AF368" s="1132"/>
      <c r="AG368" s="1132"/>
      <c r="AH368" s="1132"/>
      <c r="AI368" s="1132"/>
      <c r="AJ368" s="1132"/>
      <c r="AK368" s="1132"/>
      <c r="AL368" s="1132"/>
    </row>
    <row r="369" spans="1:38" s="1133" customFormat="1">
      <c r="A369"/>
      <c r="B369" s="2"/>
      <c r="C369"/>
      <c r="D369"/>
      <c r="E369" s="1130" t="s">
        <v>277</v>
      </c>
      <c r="F369" s="1130"/>
      <c r="G369" s="1130"/>
      <c r="H369" s="1130"/>
      <c r="I369" s="1130"/>
      <c r="J369" s="1130"/>
      <c r="K369" s="1130"/>
      <c r="L369" s="1130"/>
      <c r="M369" s="1130"/>
      <c r="N369" s="1130"/>
      <c r="O369" s="1130"/>
      <c r="P369" s="1130"/>
      <c r="Q369" s="1130"/>
      <c r="R369" s="1130"/>
      <c r="S369" s="1130"/>
      <c r="T369" s="1130"/>
      <c r="U369" s="1130"/>
      <c r="V369" s="1130"/>
      <c r="W369" s="1130"/>
      <c r="X369" s="1130"/>
      <c r="Y369" s="1130"/>
      <c r="Z369" s="1130"/>
      <c r="AA369" s="1130"/>
      <c r="AB369" s="1130"/>
      <c r="AC369" s="1130"/>
      <c r="AD369" s="1130"/>
      <c r="AE369" s="1130"/>
      <c r="AF369" s="1130"/>
      <c r="AG369" s="1130"/>
      <c r="AH369" s="1130"/>
      <c r="AI369" s="1130"/>
      <c r="AJ369" s="1130"/>
      <c r="AK369" s="1130"/>
      <c r="AL369" s="1130"/>
    </row>
    <row r="370" spans="1:38" s="1133" customFormat="1">
      <c r="A370"/>
      <c r="B370" s="2"/>
      <c r="C370" s="2"/>
      <c r="D370"/>
      <c r="E370" s="1130"/>
      <c r="F370" s="1130"/>
      <c r="G370" s="1130"/>
      <c r="H370" s="1130"/>
      <c r="I370" s="1130"/>
      <c r="J370" s="1130"/>
      <c r="K370" s="1130"/>
      <c r="L370" s="1130"/>
      <c r="M370" s="1130"/>
      <c r="N370" s="1130"/>
      <c r="O370" s="1130"/>
      <c r="P370" s="1130"/>
      <c r="Q370" s="1130"/>
      <c r="R370" s="1130"/>
      <c r="S370" s="1130"/>
      <c r="T370" s="1130"/>
      <c r="U370" s="1130"/>
      <c r="V370" s="1130"/>
      <c r="W370" s="1130"/>
      <c r="X370" s="1130"/>
      <c r="Y370" s="1130"/>
      <c r="Z370" s="1130"/>
      <c r="AA370" s="1130"/>
      <c r="AB370" s="1130"/>
      <c r="AC370" s="1130"/>
      <c r="AD370" s="1130"/>
      <c r="AE370" s="1130"/>
      <c r="AF370" s="1130"/>
      <c r="AG370" s="1130"/>
      <c r="AH370" s="1130"/>
      <c r="AI370" s="1130"/>
      <c r="AJ370" s="1130"/>
      <c r="AK370" s="1130"/>
      <c r="AL370" s="1130"/>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5" t="s">
        <v>289</v>
      </c>
      <c r="G388" s="1125"/>
      <c r="H388" s="1125"/>
      <c r="I388" s="1125"/>
      <c r="J388" s="1125"/>
      <c r="K388" s="1125"/>
      <c r="L388" s="1125"/>
      <c r="M388" s="1125"/>
      <c r="N388" s="1125"/>
      <c r="O388" s="1125"/>
      <c r="P388" s="1125"/>
      <c r="Q388" s="1125"/>
      <c r="R388" s="1125"/>
      <c r="S388" s="1125"/>
      <c r="T388" s="1125"/>
      <c r="U388" s="1125"/>
      <c r="V388" s="1125"/>
      <c r="W388" s="1125"/>
      <c r="X388" s="1125"/>
      <c r="Y388" s="1125"/>
      <c r="Z388" s="1125"/>
      <c r="AA388" s="1125"/>
      <c r="AB388" s="1125"/>
      <c r="AC388" s="1125"/>
      <c r="AD388" s="1125"/>
      <c r="AE388" s="1125"/>
      <c r="AF388" s="1125"/>
      <c r="AG388" s="1125"/>
      <c r="AH388" s="1125"/>
      <c r="AI388" s="1125"/>
      <c r="AJ388" s="1125"/>
      <c r="AK388" s="1125"/>
    </row>
    <row r="389" spans="1:38">
      <c r="B389" s="2"/>
      <c r="E389" s="3"/>
      <c r="F389" s="1125"/>
      <c r="G389" s="1125"/>
      <c r="H389" s="1125"/>
      <c r="I389" s="1125"/>
      <c r="J389" s="1125"/>
      <c r="K389" s="1125"/>
      <c r="L389" s="1125"/>
      <c r="M389" s="1125"/>
      <c r="N389" s="1125"/>
      <c r="O389" s="1125"/>
      <c r="P389" s="1125"/>
      <c r="Q389" s="1125"/>
      <c r="R389" s="1125"/>
      <c r="S389" s="1125"/>
      <c r="T389" s="1125"/>
      <c r="U389" s="1125"/>
      <c r="V389" s="1125"/>
      <c r="W389" s="1125"/>
      <c r="X389" s="1125"/>
      <c r="Y389" s="1125"/>
      <c r="Z389" s="1125"/>
      <c r="AA389" s="1125"/>
      <c r="AB389" s="1125"/>
      <c r="AC389" s="1125"/>
      <c r="AD389" s="1125"/>
      <c r="AE389" s="1125"/>
      <c r="AF389" s="1125"/>
      <c r="AG389" s="1125"/>
      <c r="AH389" s="1125"/>
      <c r="AI389" s="1125"/>
      <c r="AJ389" s="1125"/>
      <c r="AK389" s="1125"/>
    </row>
    <row r="390" spans="1:38">
      <c r="B390" s="2"/>
      <c r="E390" s="3"/>
      <c r="F390" s="1125"/>
      <c r="G390" s="1125"/>
      <c r="H390" s="1125"/>
      <c r="I390" s="1125"/>
      <c r="J390" s="1125"/>
      <c r="K390" s="1125"/>
      <c r="L390" s="1125"/>
      <c r="M390" s="1125"/>
      <c r="N390" s="1125"/>
      <c r="O390" s="1125"/>
      <c r="P390" s="1125"/>
      <c r="Q390" s="1125"/>
      <c r="R390" s="1125"/>
      <c r="S390" s="1125"/>
      <c r="T390" s="1125"/>
      <c r="U390" s="1125"/>
      <c r="V390" s="1125"/>
      <c r="W390" s="1125"/>
      <c r="X390" s="1125"/>
      <c r="Y390" s="1125"/>
      <c r="Z390" s="1125"/>
      <c r="AA390" s="1125"/>
      <c r="AB390" s="1125"/>
      <c r="AC390" s="1125"/>
      <c r="AD390" s="1125"/>
      <c r="AE390" s="1125"/>
      <c r="AF390" s="1125"/>
      <c r="AG390" s="1125"/>
      <c r="AH390" s="1125"/>
      <c r="AI390" s="1125"/>
      <c r="AJ390" s="1125"/>
      <c r="AK390" s="1125"/>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5"/>
      <c r="B1" s="285"/>
      <c r="C1" s="285"/>
      <c r="D1" s="3"/>
      <c r="E1" s="3"/>
      <c r="F1" s="3"/>
      <c r="G1" s="3"/>
    </row>
    <row r="2" spans="1:9">
      <c r="A2" s="1160" t="s">
        <v>292</v>
      </c>
      <c r="B2" s="1160"/>
      <c r="C2" s="1161"/>
      <c r="D2" s="1161"/>
      <c r="E2" s="1161"/>
      <c r="F2" s="1161"/>
      <c r="G2" s="1161"/>
    </row>
    <row r="3" spans="1:9" s="121" customFormat="1">
      <c r="A3" s="1160" t="s">
        <v>293</v>
      </c>
      <c r="B3" s="1160"/>
      <c r="C3" s="1161"/>
      <c r="D3" s="1161"/>
      <c r="E3" s="1161"/>
      <c r="F3" s="1161"/>
      <c r="G3" s="1161"/>
      <c r="I3" t="s">
        <v>294</v>
      </c>
    </row>
    <row r="4" spans="1:9">
      <c r="A4" s="285"/>
      <c r="B4" s="285"/>
      <c r="C4" s="285"/>
      <c r="D4" s="3"/>
      <c r="E4" s="3"/>
      <c r="F4" s="3"/>
      <c r="G4" s="3"/>
      <c r="I4" s="3" t="s">
        <v>295</v>
      </c>
    </row>
    <row r="5" spans="1:9">
      <c r="A5" s="1163" t="s">
        <v>296</v>
      </c>
      <c r="B5" s="1163"/>
      <c r="C5" s="1161"/>
      <c r="D5" s="1161"/>
      <c r="E5" s="1161"/>
      <c r="F5" s="1161"/>
      <c r="G5" s="1161"/>
      <c r="I5" s="3" t="s">
        <v>297</v>
      </c>
    </row>
    <row r="6" spans="1:9">
      <c r="A6" s="1163" t="s">
        <v>298</v>
      </c>
      <c r="B6" s="1163"/>
      <c r="C6" s="1161"/>
      <c r="D6" s="1161"/>
      <c r="E6" s="1161"/>
      <c r="F6" s="1161"/>
      <c r="G6" s="1161"/>
      <c r="I6" t="s">
        <v>299</v>
      </c>
    </row>
    <row r="7" spans="1:9" ht="11.85" customHeight="1">
      <c r="A7" s="285"/>
      <c r="B7" s="285"/>
      <c r="C7" s="285"/>
      <c r="D7" s="3"/>
      <c r="E7" s="3"/>
      <c r="F7" s="3"/>
      <c r="G7" s="3"/>
    </row>
    <row r="8" spans="1:9">
      <c r="A8" s="1160" t="s">
        <v>300</v>
      </c>
      <c r="B8" s="1160"/>
      <c r="C8" s="1162"/>
      <c r="D8" s="1162"/>
      <c r="E8" s="1162"/>
      <c r="F8" s="1162"/>
      <c r="G8" s="1162"/>
    </row>
    <row r="9" spans="1:9">
      <c r="A9" s="1160" t="s">
        <v>301</v>
      </c>
      <c r="B9" s="1160"/>
      <c r="C9" s="1162"/>
      <c r="D9" s="1162"/>
      <c r="E9" s="1162"/>
      <c r="F9" s="1162"/>
      <c r="G9" s="1162"/>
    </row>
    <row r="10" spans="1:9">
      <c r="A10" s="122"/>
      <c r="B10" s="122"/>
      <c r="C10" s="120"/>
      <c r="D10" s="120"/>
      <c r="E10" s="120"/>
      <c r="F10" s="120"/>
      <c r="G10" s="3"/>
    </row>
    <row r="11" spans="1:9">
      <c r="A11" s="1145" t="s">
        <v>302</v>
      </c>
      <c r="B11" s="1145"/>
      <c r="C11" s="1145"/>
      <c r="D11" s="1145"/>
      <c r="E11" s="1145"/>
      <c r="F11" s="1145"/>
      <c r="G11" s="1145"/>
    </row>
    <row r="12" spans="1:9">
      <c r="A12" s="120"/>
      <c r="B12" s="120"/>
      <c r="C12" s="285"/>
      <c r="D12" s="3"/>
      <c r="E12" s="2"/>
      <c r="F12" s="3"/>
      <c r="G12" s="3"/>
    </row>
    <row r="13" spans="1:9" ht="13.15" customHeight="1">
      <c r="A13" s="285"/>
      <c r="B13" s="285"/>
      <c r="C13" s="120"/>
      <c r="D13" s="1147" t="s">
        <v>303</v>
      </c>
      <c r="E13" s="1147"/>
      <c r="F13" s="1147"/>
      <c r="G13" s="3"/>
    </row>
    <row r="14" spans="1:9">
      <c r="A14" s="285"/>
      <c r="B14" s="285"/>
      <c r="C14" s="120"/>
      <c r="D14" s="1147"/>
      <c r="E14" s="1147"/>
      <c r="F14" s="1147"/>
      <c r="G14" s="3"/>
    </row>
    <row r="15" spans="1:9">
      <c r="A15" s="123"/>
      <c r="B15" s="123"/>
      <c r="C15" s="123"/>
      <c r="D15" s="1144" t="s">
        <v>304</v>
      </c>
      <c r="E15" s="1144"/>
      <c r="F15" s="1144"/>
      <c r="G15" s="3"/>
    </row>
    <row r="16" spans="1:9">
      <c r="A16" s="123"/>
      <c r="B16" s="123"/>
      <c r="C16" s="123"/>
      <c r="D16" s="143"/>
      <c r="E16" s="3"/>
      <c r="F16" s="3"/>
      <c r="G16" s="3"/>
    </row>
    <row r="17" spans="1:7" ht="14.25">
      <c r="A17" s="124"/>
      <c r="B17" s="370" t="s">
        <v>294</v>
      </c>
      <c r="C17" s="123"/>
      <c r="D17" s="1125" t="s">
        <v>305</v>
      </c>
      <c r="E17" s="1125"/>
      <c r="F17" s="1125"/>
      <c r="G17" s="3"/>
    </row>
    <row r="18" spans="1:7">
      <c r="A18" s="123"/>
      <c r="B18" s="123"/>
      <c r="C18" s="123"/>
      <c r="D18" s="1125"/>
      <c r="E18" s="1125"/>
      <c r="F18" s="1125"/>
      <c r="G18" s="3"/>
    </row>
    <row r="19" spans="1:7">
      <c r="A19" s="123"/>
      <c r="B19" s="123"/>
      <c r="C19" s="123"/>
      <c r="D19" s="1125"/>
      <c r="E19" s="1125"/>
      <c r="F19" s="1125"/>
      <c r="G19" s="3"/>
    </row>
    <row r="20" spans="1:7">
      <c r="A20" s="123"/>
      <c r="B20" s="123"/>
      <c r="C20" s="123"/>
      <c r="D20" s="3"/>
      <c r="E20" s="3"/>
      <c r="F20" s="3"/>
      <c r="G20" s="3"/>
    </row>
    <row r="21" spans="1:7" ht="14.25">
      <c r="A21" s="124"/>
      <c r="B21" s="370" t="s">
        <v>294</v>
      </c>
      <c r="C21" s="285"/>
      <c r="D21" s="1142" t="s">
        <v>306</v>
      </c>
      <c r="E21" s="1142"/>
      <c r="F21" s="1142"/>
      <c r="G21" s="3"/>
    </row>
    <row r="22" spans="1:7" ht="14.25">
      <c r="A22" s="124"/>
      <c r="B22" s="124"/>
      <c r="C22" s="285"/>
      <c r="D22" s="85"/>
      <c r="E22" s="3"/>
      <c r="F22" s="3"/>
      <c r="G22" s="3"/>
    </row>
    <row r="23" spans="1:7" ht="14.25">
      <c r="A23" s="124"/>
      <c r="B23" s="370" t="s">
        <v>294</v>
      </c>
      <c r="C23" s="285"/>
      <c r="D23" s="1125" t="s">
        <v>307</v>
      </c>
      <c r="E23" s="1125"/>
      <c r="F23" s="1125"/>
      <c r="G23" s="3"/>
    </row>
    <row r="24" spans="1:7" ht="14.25">
      <c r="A24" s="124"/>
      <c r="B24" s="124"/>
      <c r="C24" s="285"/>
      <c r="D24" s="1125"/>
      <c r="E24" s="1125"/>
      <c r="F24" s="1125"/>
      <c r="G24" s="3"/>
    </row>
    <row r="25" spans="1:7">
      <c r="A25" s="285"/>
      <c r="B25" s="285"/>
      <c r="C25" s="285"/>
      <c r="D25" s="3"/>
      <c r="E25" s="3"/>
      <c r="F25" s="3"/>
      <c r="G25" s="3"/>
    </row>
    <row r="26" spans="1:7" ht="14.25">
      <c r="A26" s="124"/>
      <c r="B26" s="370" t="s">
        <v>294</v>
      </c>
      <c r="C26" s="285"/>
      <c r="D26" s="1125" t="s">
        <v>308</v>
      </c>
      <c r="E26" s="1125"/>
      <c r="F26" s="1125"/>
      <c r="G26" s="3"/>
    </row>
    <row r="27" spans="1:7">
      <c r="A27" s="285"/>
      <c r="B27" s="285"/>
      <c r="C27" s="285"/>
      <c r="D27" s="1125"/>
      <c r="E27" s="1125"/>
      <c r="F27" s="1125"/>
      <c r="G27" s="3"/>
    </row>
    <row r="28" spans="1:7">
      <c r="A28" s="285"/>
      <c r="B28" s="285"/>
      <c r="C28" s="285"/>
      <c r="D28" s="1125"/>
      <c r="E28" s="1125"/>
      <c r="F28" s="1125"/>
      <c r="G28" s="3"/>
    </row>
    <row r="29" spans="1:7">
      <c r="A29" s="285"/>
      <c r="B29" s="285"/>
      <c r="C29" s="285"/>
      <c r="D29" s="1125"/>
      <c r="E29" s="1125"/>
      <c r="F29" s="1125"/>
      <c r="G29" s="3"/>
    </row>
    <row r="30" spans="1:7">
      <c r="A30" s="285"/>
      <c r="B30" s="285"/>
      <c r="C30" s="285"/>
      <c r="D30" s="1125"/>
      <c r="E30" s="1125"/>
      <c r="F30" s="1125"/>
      <c r="G30" s="3"/>
    </row>
    <row r="31" spans="1:7">
      <c r="A31" s="285"/>
      <c r="B31" s="285"/>
      <c r="C31" s="285"/>
      <c r="D31" s="145"/>
      <c r="E31" s="3"/>
      <c r="F31" s="3"/>
      <c r="G31" s="3"/>
    </row>
    <row r="32" spans="1:7">
      <c r="A32" s="285"/>
      <c r="B32" s="370" t="s">
        <v>294</v>
      </c>
      <c r="C32" s="285"/>
      <c r="D32" s="1125" t="s">
        <v>309</v>
      </c>
      <c r="E32" s="1125"/>
      <c r="F32" s="1125"/>
      <c r="G32" s="3"/>
    </row>
    <row r="33" spans="1:7">
      <c r="A33" s="285"/>
      <c r="B33" s="285"/>
      <c r="C33" s="285"/>
      <c r="D33" s="1125"/>
      <c r="E33" s="1125"/>
      <c r="F33" s="1125"/>
      <c r="G33" s="3"/>
    </row>
    <row r="34" spans="1:7" ht="14.25">
      <c r="A34" s="124"/>
      <c r="B34" s="124"/>
      <c r="C34" s="285"/>
      <c r="D34" s="145"/>
      <c r="E34" s="3"/>
      <c r="F34" s="3"/>
      <c r="G34" s="3"/>
    </row>
    <row r="35" spans="1:7" ht="14.45" customHeight="1">
      <c r="A35" s="124"/>
      <c r="B35" s="370" t="s">
        <v>294</v>
      </c>
      <c r="C35" s="285"/>
      <c r="D35" s="1125" t="s">
        <v>310</v>
      </c>
      <c r="E35" s="1125"/>
      <c r="F35" s="1125"/>
      <c r="G35" s="3"/>
    </row>
    <row r="36" spans="1:7" ht="14.25">
      <c r="A36" s="124"/>
      <c r="B36" s="124"/>
      <c r="C36" s="285"/>
      <c r="D36" s="1125"/>
      <c r="E36" s="1125"/>
      <c r="F36" s="1125"/>
      <c r="G36" s="3"/>
    </row>
    <row r="37" spans="1:7" ht="14.25">
      <c r="A37" s="124"/>
      <c r="B37" s="124"/>
      <c r="C37" s="285"/>
      <c r="D37" s="1125"/>
      <c r="E37" s="1125"/>
      <c r="F37" s="1125"/>
      <c r="G37" s="3"/>
    </row>
    <row r="38" spans="1:7" ht="14.25">
      <c r="A38" s="124"/>
      <c r="B38" s="124"/>
      <c r="C38" s="285"/>
      <c r="D38"/>
      <c r="E38" s="3"/>
      <c r="F38" s="3"/>
      <c r="G38" s="3"/>
    </row>
    <row r="39" spans="1:7" ht="14.25">
      <c r="A39" s="124"/>
      <c r="B39" s="370" t="s">
        <v>294</v>
      </c>
      <c r="C39" s="285"/>
      <c r="D39" s="1125" t="s">
        <v>311</v>
      </c>
      <c r="E39" s="1125"/>
      <c r="F39" s="1125"/>
      <c r="G39" s="3"/>
    </row>
    <row r="40" spans="1:7" ht="14.25">
      <c r="A40" s="124"/>
      <c r="B40" s="124"/>
      <c r="C40" s="285"/>
      <c r="D40" s="1125"/>
      <c r="E40" s="1125"/>
      <c r="F40" s="1125"/>
      <c r="G40" s="3"/>
    </row>
    <row r="41" spans="1:7" ht="14.25">
      <c r="A41" s="124"/>
      <c r="B41" s="124"/>
      <c r="C41" s="285"/>
      <c r="D41" s="1125"/>
      <c r="E41" s="1125"/>
      <c r="F41" s="1125"/>
      <c r="G41" s="3"/>
    </row>
    <row r="42" spans="1:7" ht="14.25">
      <c r="A42" s="124"/>
      <c r="B42" s="124"/>
      <c r="C42" s="285"/>
      <c r="D42" s="1125"/>
      <c r="E42" s="1125"/>
      <c r="F42" s="1125"/>
      <c r="G42" s="3"/>
    </row>
    <row r="43" spans="1:7" ht="14.25">
      <c r="A43" s="124"/>
      <c r="B43" s="124"/>
      <c r="C43" s="285"/>
      <c r="D43" s="1125"/>
      <c r="E43" s="1125"/>
      <c r="F43" s="1125"/>
      <c r="G43" s="3"/>
    </row>
    <row r="44" spans="1:7" ht="14.25">
      <c r="A44" s="124"/>
      <c r="B44" s="124"/>
      <c r="C44" s="285"/>
      <c r="D44" s="376"/>
      <c r="E44" s="376"/>
      <c r="F44" s="376"/>
      <c r="G44" s="3"/>
    </row>
    <row r="45" spans="1:7" ht="14.25">
      <c r="A45" s="124"/>
      <c r="B45" s="370" t="s">
        <v>294</v>
      </c>
      <c r="C45" s="285"/>
      <c r="D45" s="1125" t="s">
        <v>312</v>
      </c>
      <c r="E45" s="1125"/>
      <c r="F45" s="1125"/>
      <c r="G45" s="3"/>
    </row>
    <row r="46" spans="1:7" ht="14.25">
      <c r="A46" s="124"/>
      <c r="B46" s="124"/>
      <c r="C46" s="285"/>
      <c r="D46" s="1125"/>
      <c r="E46" s="1125"/>
      <c r="F46" s="1125"/>
      <c r="G46" s="3"/>
    </row>
    <row r="47" spans="1:7" ht="14.25">
      <c r="A47" s="124"/>
      <c r="B47" s="124"/>
      <c r="C47" s="285"/>
      <c r="D47" s="1125"/>
      <c r="E47" s="1125"/>
      <c r="F47" s="1125"/>
      <c r="G47" s="3"/>
    </row>
    <row r="48" spans="1:7" ht="23.25" customHeight="1">
      <c r="A48" s="124"/>
      <c r="B48" s="124"/>
      <c r="C48" s="285"/>
      <c r="D48" s="1125"/>
      <c r="E48" s="1125"/>
      <c r="F48" s="1125"/>
      <c r="G48" s="3"/>
    </row>
    <row r="49" spans="1:7" ht="14.25">
      <c r="A49" s="124"/>
      <c r="B49" s="124"/>
      <c r="C49" s="285"/>
      <c r="D49" s="85"/>
      <c r="E49" s="3"/>
      <c r="F49" s="3"/>
      <c r="G49" s="3"/>
    </row>
    <row r="50" spans="1:7" ht="14.45" customHeight="1">
      <c r="A50" s="124"/>
      <c r="B50" s="370" t="s">
        <v>294</v>
      </c>
      <c r="C50" s="285"/>
      <c r="D50" s="1125" t="s">
        <v>313</v>
      </c>
      <c r="E50" s="1125"/>
      <c r="F50" s="1125"/>
      <c r="G50" s="3"/>
    </row>
    <row r="51" spans="1:7" ht="14.25">
      <c r="A51" s="124"/>
      <c r="B51" s="124"/>
      <c r="C51" s="285"/>
      <c r="D51" s="1125"/>
      <c r="E51" s="1125"/>
      <c r="F51" s="1125"/>
      <c r="G51" s="3"/>
    </row>
    <row r="52" spans="1:7" ht="14.25">
      <c r="A52" s="124"/>
      <c r="B52" s="124"/>
      <c r="C52" s="285"/>
      <c r="D52" s="1125"/>
      <c r="E52" s="1125"/>
      <c r="F52" s="1125"/>
      <c r="G52" s="3"/>
    </row>
    <row r="53" spans="1:7" ht="14.25">
      <c r="A53" s="124"/>
      <c r="B53" s="124"/>
      <c r="C53" s="285"/>
      <c r="D53" s="3"/>
      <c r="E53" s="3"/>
      <c r="F53" s="3"/>
      <c r="G53" s="3"/>
    </row>
    <row r="54" spans="1:7" ht="14.25">
      <c r="A54" s="124"/>
      <c r="B54" s="370" t="s">
        <v>294</v>
      </c>
      <c r="C54" s="285"/>
      <c r="D54" s="1125" t="s">
        <v>314</v>
      </c>
      <c r="E54" s="1125"/>
      <c r="F54" s="1125"/>
      <c r="G54" s="3"/>
    </row>
    <row r="55" spans="1:7" ht="14.25">
      <c r="A55" s="124"/>
      <c r="B55" s="124"/>
      <c r="C55" s="285"/>
      <c r="D55" s="1125"/>
      <c r="E55" s="1125"/>
      <c r="F55" s="1125"/>
      <c r="G55" s="3"/>
    </row>
    <row r="56" spans="1:7">
      <c r="A56" s="285"/>
      <c r="B56" s="285"/>
      <c r="C56" s="285"/>
      <c r="D56" s="145"/>
      <c r="E56" s="3"/>
      <c r="F56" s="3"/>
      <c r="G56" s="3"/>
    </row>
    <row r="57" spans="1:7" ht="14.25">
      <c r="A57" s="124"/>
      <c r="B57" s="370" t="s">
        <v>294</v>
      </c>
      <c r="C57" s="285"/>
      <c r="D57" s="1125" t="s">
        <v>315</v>
      </c>
      <c r="E57" s="1125"/>
      <c r="F57" s="1125"/>
      <c r="G57" s="3"/>
    </row>
    <row r="58" spans="1:7">
      <c r="A58" s="285"/>
      <c r="B58" s="285"/>
      <c r="C58" s="285"/>
      <c r="D58" s="1125"/>
      <c r="E58" s="1125"/>
      <c r="F58" s="1125"/>
      <c r="G58" s="3"/>
    </row>
    <row r="59" spans="1:7">
      <c r="A59" s="285"/>
      <c r="B59" s="285"/>
      <c r="C59" s="285"/>
      <c r="D59" s="1125"/>
      <c r="E59" s="1125"/>
      <c r="F59" s="1125"/>
      <c r="G59" s="3"/>
    </row>
    <row r="60" spans="1:7">
      <c r="A60" s="285"/>
      <c r="B60" s="285"/>
      <c r="C60" s="285"/>
      <c r="D60" s="3"/>
      <c r="E60" s="3"/>
      <c r="F60" s="3"/>
      <c r="G60" s="3"/>
    </row>
    <row r="61" spans="1:7" ht="14.25">
      <c r="A61" s="124"/>
      <c r="B61" s="370" t="s">
        <v>294</v>
      </c>
      <c r="C61" s="285"/>
      <c r="D61" s="1125" t="s">
        <v>316</v>
      </c>
      <c r="E61" s="1125"/>
      <c r="F61" s="1125"/>
      <c r="G61" s="3"/>
    </row>
    <row r="62" spans="1:7">
      <c r="A62" s="285"/>
      <c r="B62" s="285"/>
      <c r="C62" s="285"/>
      <c r="D62" s="1125"/>
      <c r="E62" s="1125"/>
      <c r="F62" s="1125"/>
      <c r="G62" s="3"/>
    </row>
    <row r="63" spans="1:7">
      <c r="A63" s="285"/>
      <c r="B63" s="285"/>
      <c r="C63" s="285"/>
      <c r="D63" s="3"/>
      <c r="E63" s="3"/>
      <c r="F63" s="3"/>
      <c r="G63" s="3"/>
    </row>
    <row r="64" spans="1:7" ht="14.25">
      <c r="A64" s="124"/>
      <c r="B64" s="370" t="s">
        <v>294</v>
      </c>
      <c r="C64" s="285"/>
      <c r="D64" s="1125" t="s">
        <v>317</v>
      </c>
      <c r="E64" s="1125"/>
      <c r="F64" s="1125"/>
      <c r="G64" s="3"/>
    </row>
    <row r="65" spans="1:7">
      <c r="A65" s="285"/>
      <c r="B65" s="285"/>
      <c r="C65" s="285"/>
      <c r="D65" s="1125"/>
      <c r="E65" s="1125"/>
      <c r="F65" s="1125"/>
      <c r="G65" s="3"/>
    </row>
    <row r="66" spans="1:7">
      <c r="A66" s="285"/>
      <c r="B66" s="285"/>
      <c r="C66" s="285"/>
      <c r="D66" s="1125"/>
      <c r="E66" s="1125"/>
      <c r="F66" s="1125"/>
      <c r="G66" s="3"/>
    </row>
    <row r="67" spans="1:7">
      <c r="A67" s="285"/>
      <c r="B67" s="285"/>
      <c r="C67" s="285"/>
      <c r="D67"/>
      <c r="E67" s="3"/>
      <c r="F67" s="3"/>
      <c r="G67" s="3"/>
    </row>
    <row r="68" spans="1:7" ht="14.25">
      <c r="A68" s="124"/>
      <c r="B68" s="370" t="s">
        <v>294</v>
      </c>
      <c r="C68" s="285"/>
      <c r="D68" s="1125" t="s">
        <v>318</v>
      </c>
      <c r="E68" s="1125"/>
      <c r="F68" s="1125"/>
      <c r="G68" s="3"/>
    </row>
    <row r="69" spans="1:7">
      <c r="A69" s="285"/>
      <c r="B69" s="285"/>
      <c r="C69" s="285"/>
      <c r="D69" s="1125"/>
      <c r="E69" s="1125"/>
      <c r="F69" s="1125"/>
      <c r="G69" s="3"/>
    </row>
    <row r="70" spans="1:7" ht="14.25">
      <c r="A70" s="124"/>
      <c r="B70" s="124"/>
      <c r="C70" s="285"/>
      <c r="D70" s="85"/>
      <c r="E70" s="3"/>
      <c r="F70" s="3"/>
      <c r="G70" s="3"/>
    </row>
    <row r="71" spans="1:7">
      <c r="A71" s="1145" t="s">
        <v>319</v>
      </c>
      <c r="B71" s="1145"/>
      <c r="C71" s="1145"/>
      <c r="D71" s="1145"/>
      <c r="E71" s="1145"/>
      <c r="F71" s="1145"/>
      <c r="G71" s="1145"/>
    </row>
    <row r="72" spans="1:7">
      <c r="A72" s="285"/>
      <c r="B72" s="285"/>
      <c r="C72" s="285"/>
      <c r="D72" s="3"/>
      <c r="E72" s="3"/>
      <c r="F72" s="3"/>
      <c r="G72" s="3"/>
    </row>
    <row r="73" spans="1:7">
      <c r="A73" s="285"/>
      <c r="B73" s="285"/>
      <c r="C73" s="420"/>
      <c r="D73" s="1154" t="s">
        <v>320</v>
      </c>
      <c r="E73" s="1154"/>
      <c r="F73" s="1154"/>
      <c r="G73" s="3"/>
    </row>
    <row r="74" spans="1:7">
      <c r="A74" s="85"/>
      <c r="B74" s="85"/>
      <c r="C74" s="285"/>
      <c r="D74" s="1125" t="s">
        <v>321</v>
      </c>
      <c r="E74" s="1125"/>
      <c r="F74" s="1125"/>
      <c r="G74" s="3"/>
    </row>
    <row r="75" spans="1:7">
      <c r="A75" s="85"/>
      <c r="B75" s="85"/>
      <c r="C75" s="285"/>
      <c r="D75" s="3"/>
      <c r="E75" s="3"/>
      <c r="F75" s="3"/>
      <c r="G75" s="3"/>
    </row>
    <row r="76" spans="1:7" ht="14.25">
      <c r="A76" s="124"/>
      <c r="B76" s="370" t="s">
        <v>294</v>
      </c>
      <c r="C76" s="285"/>
      <c r="D76" s="1125" t="s">
        <v>322</v>
      </c>
      <c r="E76" s="1125"/>
      <c r="F76" s="1125"/>
      <c r="G76" s="3"/>
    </row>
    <row r="77" spans="1:7" ht="14.25">
      <c r="A77" s="124"/>
      <c r="B77" s="124"/>
      <c r="C77" s="285"/>
      <c r="D77" s="1125"/>
      <c r="E77" s="1125"/>
      <c r="F77" s="1125"/>
      <c r="G77" s="3"/>
    </row>
    <row r="78" spans="1:7" ht="14.25">
      <c r="A78" s="124"/>
      <c r="B78" s="124"/>
      <c r="C78" s="285"/>
      <c r="D78" s="1125"/>
      <c r="E78" s="1125"/>
      <c r="F78" s="1125"/>
      <c r="G78" s="3"/>
    </row>
    <row r="79" spans="1:7" ht="14.25">
      <c r="A79" s="124"/>
      <c r="B79" s="124"/>
      <c r="C79" s="285"/>
      <c r="D79" s="1125"/>
      <c r="E79" s="1125"/>
      <c r="F79" s="1125"/>
      <c r="G79" s="3"/>
    </row>
    <row r="80" spans="1:7" ht="14.25">
      <c r="A80" s="124"/>
      <c r="B80" s="124"/>
      <c r="C80" s="285"/>
      <c r="D80" s="1125"/>
      <c r="E80" s="1125"/>
      <c r="F80" s="1125"/>
      <c r="G80" s="3"/>
    </row>
    <row r="81" spans="1:7" ht="14.25">
      <c r="A81" s="124"/>
      <c r="B81" s="124"/>
      <c r="C81" s="285"/>
      <c r="D81" s="1125"/>
      <c r="E81" s="1125"/>
      <c r="F81" s="1125"/>
      <c r="G81" s="3"/>
    </row>
    <row r="82" spans="1:7" ht="14.25">
      <c r="A82" s="124"/>
      <c r="B82" s="124"/>
      <c r="C82" s="285"/>
      <c r="D82" s="376"/>
      <c r="E82" s="376"/>
      <c r="F82" s="376"/>
      <c r="G82" s="3"/>
    </row>
    <row r="83" spans="1:7" ht="14.45" customHeight="1">
      <c r="A83" s="124"/>
      <c r="B83" s="370" t="s">
        <v>294</v>
      </c>
      <c r="C83" s="285"/>
      <c r="D83" s="1127" t="s">
        <v>323</v>
      </c>
      <c r="E83" s="1127"/>
      <c r="F83" s="1127"/>
      <c r="G83" s="3"/>
    </row>
    <row r="84" spans="1:7" ht="14.25">
      <c r="A84" s="124"/>
      <c r="B84" s="124"/>
      <c r="C84" s="285"/>
      <c r="D84" s="1127"/>
      <c r="E84" s="1127"/>
      <c r="F84" s="1127"/>
      <c r="G84" s="3"/>
    </row>
    <row r="85" spans="1:7" ht="14.25">
      <c r="A85" s="124"/>
      <c r="B85" s="124"/>
      <c r="C85" s="285"/>
      <c r="D85" s="1127"/>
      <c r="E85" s="1127"/>
      <c r="F85" s="1127"/>
      <c r="G85" s="3"/>
    </row>
    <row r="86" spans="1:7" ht="14.25">
      <c r="A86" s="124"/>
      <c r="B86" s="124"/>
      <c r="C86" s="285"/>
      <c r="D86" s="1127"/>
      <c r="E86" s="1127"/>
      <c r="F86" s="1127"/>
      <c r="G86" s="3"/>
    </row>
    <row r="87" spans="1:7" ht="14.25">
      <c r="A87" s="124"/>
      <c r="B87" s="124"/>
      <c r="C87" s="285"/>
      <c r="D87" s="1127"/>
      <c r="E87" s="1127"/>
      <c r="F87" s="1127"/>
      <c r="G87" s="3"/>
    </row>
    <row r="88" spans="1:7" ht="14.25">
      <c r="A88" s="124"/>
      <c r="B88" s="124"/>
      <c r="C88" s="285"/>
      <c r="D88" s="1127"/>
      <c r="E88" s="1127"/>
      <c r="F88" s="1127"/>
      <c r="G88" s="3"/>
    </row>
    <row r="89" spans="1:7" ht="14.25">
      <c r="A89" s="124"/>
      <c r="B89" s="124"/>
      <c r="C89" s="285"/>
      <c r="D89" s="1127"/>
      <c r="E89" s="1127"/>
      <c r="F89" s="1127"/>
      <c r="G89" s="3"/>
    </row>
    <row r="90" spans="1:7" ht="14.25">
      <c r="A90" s="124"/>
      <c r="B90" s="124"/>
      <c r="C90" s="285"/>
      <c r="D90" s="1127"/>
      <c r="E90" s="1127"/>
      <c r="F90" s="1127"/>
      <c r="G90" s="3"/>
    </row>
    <row r="91" spans="1:7" ht="14.25">
      <c r="A91" s="124"/>
      <c r="B91" s="124"/>
      <c r="C91" s="285"/>
      <c r="D91" s="1127"/>
      <c r="E91" s="1127"/>
      <c r="F91" s="1127"/>
      <c r="G91" s="3"/>
    </row>
    <row r="92" spans="1:7" ht="14.25">
      <c r="A92" s="124"/>
      <c r="B92" s="124"/>
      <c r="C92" s="285"/>
      <c r="D92" s="1127"/>
      <c r="E92" s="1127"/>
      <c r="F92" s="1127"/>
      <c r="G92" s="3"/>
    </row>
    <row r="93" spans="1:7" ht="14.25">
      <c r="A93" s="124"/>
      <c r="B93" s="124"/>
      <c r="C93" s="285"/>
      <c r="D93" s="1127"/>
      <c r="E93" s="1127"/>
      <c r="F93" s="1127"/>
      <c r="G93" s="3"/>
    </row>
    <row r="94" spans="1:7" ht="14.25">
      <c r="A94" s="124"/>
      <c r="B94" s="124"/>
      <c r="C94" s="285"/>
      <c r="D94" s="1127"/>
      <c r="E94" s="1127"/>
      <c r="F94" s="1127"/>
      <c r="G94" s="3"/>
    </row>
    <row r="95" spans="1:7" ht="14.25">
      <c r="A95" s="124"/>
      <c r="B95" s="124"/>
      <c r="C95" s="285"/>
      <c r="D95" s="1127"/>
      <c r="E95" s="1127"/>
      <c r="F95" s="1127"/>
      <c r="G95" s="3"/>
    </row>
    <row r="96" spans="1:7" ht="14.25">
      <c r="A96" s="124"/>
      <c r="B96" s="124"/>
      <c r="C96" s="285"/>
      <c r="D96" s="1127"/>
      <c r="E96" s="1127"/>
      <c r="F96" s="1127"/>
      <c r="G96" s="3"/>
    </row>
    <row r="97" spans="1:11" ht="14.25">
      <c r="A97" s="124"/>
      <c r="B97" s="370" t="s">
        <v>294</v>
      </c>
      <c r="C97" s="285"/>
      <c r="D97" s="1125" t="s">
        <v>324</v>
      </c>
      <c r="E97" s="1125"/>
      <c r="F97" s="1125"/>
      <c r="G97" s="3"/>
    </row>
    <row r="98" spans="1:11" ht="14.25">
      <c r="A98" s="124"/>
      <c r="B98" s="124"/>
      <c r="C98" s="285"/>
      <c r="D98" s="1125"/>
      <c r="E98" s="1125"/>
      <c r="F98" s="1125"/>
      <c r="G98" s="3"/>
    </row>
    <row r="99" spans="1:11" ht="14.25">
      <c r="A99" s="124"/>
      <c r="B99" s="124"/>
      <c r="C99" s="285"/>
      <c r="D99" s="1125"/>
      <c r="E99" s="1125"/>
      <c r="F99" s="1125"/>
      <c r="G99" s="3"/>
    </row>
    <row r="100" spans="1:11" ht="14.25">
      <c r="A100" s="124"/>
      <c r="B100" s="124"/>
      <c r="C100" s="285"/>
      <c r="D100" s="1125"/>
      <c r="E100" s="1125"/>
      <c r="F100" s="1125"/>
      <c r="G100" s="3"/>
    </row>
    <row r="101" spans="1:11" ht="14.25">
      <c r="A101" s="124"/>
      <c r="B101" s="124"/>
      <c r="C101" s="285"/>
      <c r="D101" s="1125"/>
      <c r="E101" s="1125"/>
      <c r="F101" s="1125"/>
      <c r="G101" s="3"/>
    </row>
    <row r="102" spans="1:11" ht="14.25">
      <c r="A102" s="124"/>
      <c r="B102" s="124"/>
      <c r="C102" s="285"/>
      <c r="D102" s="1125"/>
      <c r="E102" s="1125"/>
      <c r="F102" s="1125"/>
      <c r="G102" s="3"/>
    </row>
    <row r="103" spans="1:11" ht="14.25">
      <c r="A103" s="124"/>
      <c r="B103" s="124"/>
      <c r="C103" s="285"/>
      <c r="D103" s="1125"/>
      <c r="E103" s="1125"/>
      <c r="F103" s="1125"/>
      <c r="G103" s="3"/>
    </row>
    <row r="104" spans="1:11" ht="14.25">
      <c r="A104" s="124"/>
      <c r="B104" s="124"/>
      <c r="C104" s="285"/>
      <c r="D104" s="1125"/>
      <c r="E104" s="1125"/>
      <c r="F104" s="1125"/>
      <c r="G104" s="3"/>
    </row>
    <row r="105" spans="1:11" ht="14.25">
      <c r="A105" s="124"/>
      <c r="B105" s="124"/>
      <c r="C105" s="285"/>
      <c r="D105" s="376"/>
      <c r="E105" s="376"/>
      <c r="F105" s="376"/>
      <c r="G105" s="3"/>
    </row>
    <row r="106" spans="1:11" ht="14.25">
      <c r="A106" s="124"/>
      <c r="B106" s="370" t="s">
        <v>294</v>
      </c>
      <c r="C106" s="950"/>
      <c r="D106" s="1164" t="s">
        <v>325</v>
      </c>
      <c r="E106" s="1164"/>
      <c r="F106" s="1164"/>
      <c r="G106" s="949"/>
      <c r="H106" s="126"/>
      <c r="I106" s="126"/>
      <c r="J106" s="126"/>
      <c r="K106" s="126"/>
    </row>
    <row r="107" spans="1:11" ht="14.25">
      <c r="A107" s="124"/>
      <c r="B107" s="124"/>
      <c r="C107" s="950"/>
      <c r="D107" s="1164"/>
      <c r="E107" s="1164"/>
      <c r="F107" s="1164"/>
      <c r="G107" s="949"/>
      <c r="H107" s="126"/>
      <c r="I107" s="126"/>
      <c r="J107" s="126"/>
      <c r="K107" s="126"/>
    </row>
    <row r="108" spans="1:11" ht="14.25">
      <c r="A108" s="124"/>
      <c r="B108" s="124"/>
      <c r="C108" s="950"/>
      <c r="D108" s="1164"/>
      <c r="E108" s="1164"/>
      <c r="F108" s="1164"/>
      <c r="G108" s="949"/>
      <c r="H108" s="126"/>
      <c r="I108" s="126"/>
      <c r="J108" s="126"/>
      <c r="K108" s="126"/>
    </row>
    <row r="109" spans="1:11" ht="14.25">
      <c r="A109" s="124"/>
      <c r="B109" s="124"/>
      <c r="C109" s="950"/>
      <c r="D109" s="1164"/>
      <c r="E109" s="1164"/>
      <c r="F109" s="1164"/>
      <c r="G109" s="949"/>
      <c r="H109" s="126"/>
      <c r="I109" s="126"/>
      <c r="J109" s="126"/>
      <c r="K109" s="126"/>
    </row>
    <row r="110" spans="1:11" ht="14.25">
      <c r="A110" s="124"/>
      <c r="B110" s="124"/>
      <c r="C110" s="950"/>
      <c r="D110" s="1164"/>
      <c r="E110" s="1164"/>
      <c r="F110" s="1164"/>
      <c r="G110" s="949"/>
      <c r="H110" s="126"/>
      <c r="I110" s="126"/>
      <c r="J110" s="126"/>
      <c r="K110" s="126"/>
    </row>
    <row r="111" spans="1:11">
      <c r="A111" s="285"/>
      <c r="B111" s="285"/>
      <c r="C111"/>
      <c r="D111" s="1164"/>
      <c r="E111" s="1164"/>
      <c r="F111" s="1164"/>
      <c r="G111"/>
    </row>
    <row r="112" spans="1:11">
      <c r="A112" s="285"/>
      <c r="B112" s="285"/>
      <c r="C112"/>
      <c r="D112" s="1164"/>
      <c r="E112" s="1164"/>
      <c r="F112" s="1164"/>
      <c r="G112"/>
    </row>
    <row r="113" spans="1:7">
      <c r="A113" s="285"/>
      <c r="B113" s="285"/>
      <c r="C113"/>
      <c r="D113" s="235"/>
      <c r="E113"/>
      <c r="F113"/>
      <c r="G113"/>
    </row>
    <row r="114" spans="1:7" ht="14.25">
      <c r="A114" s="124"/>
      <c r="B114" s="370" t="s">
        <v>294</v>
      </c>
      <c r="C114"/>
      <c r="D114" s="1165" t="s">
        <v>326</v>
      </c>
      <c r="E114" s="1165"/>
      <c r="F114" s="1165"/>
      <c r="G114"/>
    </row>
    <row r="115" spans="1:7" ht="14.25">
      <c r="A115" s="124"/>
      <c r="B115" s="124"/>
      <c r="C115"/>
      <c r="D115" s="1165"/>
      <c r="E115" s="1165"/>
      <c r="F115" s="1165"/>
      <c r="G115"/>
    </row>
    <row r="116" spans="1:7">
      <c r="A116" s="285"/>
      <c r="B116" s="285"/>
      <c r="C116" s="285"/>
      <c r="D116" s="3"/>
      <c r="E116" s="3"/>
      <c r="F116" s="3"/>
      <c r="G116" s="3"/>
    </row>
    <row r="117" spans="1:7" ht="14.25">
      <c r="A117" s="124"/>
      <c r="B117" s="370" t="s">
        <v>294</v>
      </c>
      <c r="C117" s="285"/>
      <c r="D117" s="1125" t="s">
        <v>327</v>
      </c>
      <c r="E117" s="1125"/>
      <c r="F117" s="1125"/>
      <c r="G117" s="3"/>
    </row>
    <row r="118" spans="1:7">
      <c r="A118" s="285"/>
      <c r="B118" s="285"/>
      <c r="C118" s="285"/>
      <c r="D118" s="1125"/>
      <c r="E118" s="1125"/>
      <c r="F118" s="1125"/>
      <c r="G118" s="3"/>
    </row>
    <row r="119" spans="1:7">
      <c r="A119" s="285"/>
      <c r="B119" s="285"/>
      <c r="C119" s="285"/>
      <c r="D119" s="1125"/>
      <c r="E119" s="1125"/>
      <c r="F119" s="1125"/>
      <c r="G119" s="3"/>
    </row>
    <row r="120" spans="1:7">
      <c r="A120" s="285"/>
      <c r="B120" s="285"/>
      <c r="C120" s="285"/>
      <c r="D120" s="1125"/>
      <c r="E120" s="1125"/>
      <c r="F120" s="1125"/>
      <c r="G120" s="3"/>
    </row>
    <row r="121" spans="1:7">
      <c r="A121" s="285"/>
      <c r="B121" s="285"/>
      <c r="C121" s="285"/>
      <c r="D121" s="1125"/>
      <c r="E121" s="1125"/>
      <c r="F121" s="1125"/>
      <c r="G121" s="3"/>
    </row>
    <row r="122" spans="1:7">
      <c r="A122" s="285"/>
      <c r="B122" s="285"/>
      <c r="C122" s="285"/>
      <c r="D122" s="3"/>
      <c r="E122" s="3"/>
      <c r="F122" s="3"/>
      <c r="G122" s="3"/>
    </row>
    <row r="123" spans="1:7" ht="14.25">
      <c r="A123" s="124"/>
      <c r="B123" s="370" t="s">
        <v>294</v>
      </c>
      <c r="C123" s="285"/>
      <c r="D123" s="1125" t="s">
        <v>328</v>
      </c>
      <c r="E123" s="1125"/>
      <c r="F123" s="1125"/>
      <c r="G123" s="3"/>
    </row>
    <row r="124" spans="1:7" s="134" customFormat="1" ht="13.7" customHeight="1">
      <c r="A124" s="1056"/>
      <c r="B124" s="1056"/>
      <c r="C124" s="1056"/>
      <c r="D124" s="1125"/>
      <c r="E124" s="1125"/>
      <c r="F124" s="1125"/>
      <c r="G124" s="460"/>
    </row>
    <row r="125" spans="1:7" ht="13.7" customHeight="1">
      <c r="A125" s="285"/>
      <c r="B125" s="285"/>
      <c r="C125" s="285"/>
      <c r="D125" s="1125"/>
      <c r="E125" s="1125"/>
      <c r="F125" s="1125"/>
      <c r="G125" s="3"/>
    </row>
    <row r="126" spans="1:7" ht="13.7" customHeight="1">
      <c r="A126" s="285"/>
      <c r="B126" s="285"/>
      <c r="C126" s="285"/>
      <c r="D126" s="1125"/>
      <c r="E126" s="1125"/>
      <c r="F126" s="1125"/>
      <c r="G126" s="3"/>
    </row>
    <row r="127" spans="1:7" ht="13.7" customHeight="1">
      <c r="A127" s="285"/>
      <c r="B127" s="285"/>
      <c r="C127" s="285"/>
      <c r="D127" s="1125"/>
      <c r="E127" s="1125"/>
      <c r="F127" s="1125"/>
      <c r="G127" s="3"/>
    </row>
    <row r="128" spans="1:7" ht="13.7" customHeight="1">
      <c r="A128" s="179"/>
      <c r="B128" s="179"/>
      <c r="C128" s="285"/>
      <c r="D128" s="1125"/>
      <c r="E128" s="1125"/>
      <c r="F128" s="1125"/>
      <c r="G128" s="3"/>
    </row>
    <row r="129" spans="1:7" ht="13.7" customHeight="1">
      <c r="A129" s="285"/>
      <c r="B129" s="285"/>
      <c r="C129" s="285"/>
      <c r="D129" s="1125"/>
      <c r="E129" s="1125"/>
      <c r="F129" s="1125"/>
      <c r="G129" s="3"/>
    </row>
    <row r="130" spans="1:7" ht="13.7" customHeight="1">
      <c r="A130" s="285"/>
      <c r="B130" s="285"/>
      <c r="C130" s="285"/>
      <c r="D130" s="1125"/>
      <c r="E130" s="1125"/>
      <c r="F130" s="1125"/>
      <c r="G130" s="3"/>
    </row>
    <row r="131" spans="1:7" ht="13.7" customHeight="1">
      <c r="A131" s="285"/>
      <c r="B131" s="285"/>
      <c r="C131" s="285"/>
      <c r="D131" s="1125"/>
      <c r="E131" s="1125"/>
      <c r="F131" s="1125"/>
      <c r="G131" s="3"/>
    </row>
    <row r="132" spans="1:7" ht="13.7" customHeight="1">
      <c r="A132" s="285"/>
      <c r="B132" s="285"/>
      <c r="C132" s="285"/>
      <c r="D132" s="1125"/>
      <c r="E132" s="1125"/>
      <c r="F132" s="1125"/>
      <c r="G132" s="3"/>
    </row>
    <row r="133" spans="1:7" ht="13.7" customHeight="1">
      <c r="A133" s="285"/>
      <c r="B133" s="285"/>
      <c r="C133" s="285"/>
      <c r="D133" s="1125"/>
      <c r="E133" s="1125"/>
      <c r="F133" s="1125"/>
      <c r="G133" s="3"/>
    </row>
    <row r="134" spans="1:7" ht="13.7" customHeight="1">
      <c r="A134" s="285"/>
      <c r="B134" s="285"/>
      <c r="C134" s="285"/>
      <c r="D134" s="1125"/>
      <c r="E134" s="1125"/>
      <c r="F134" s="1125"/>
      <c r="G134" s="3"/>
    </row>
    <row r="135" spans="1:7" ht="13.7" customHeight="1">
      <c r="A135" s="285"/>
      <c r="B135" s="285"/>
      <c r="C135" s="285"/>
      <c r="D135" s="143"/>
      <c r="E135" s="85"/>
      <c r="F135" s="85"/>
      <c r="G135" s="3"/>
    </row>
    <row r="136" spans="1:7" ht="13.7" customHeight="1">
      <c r="A136" s="285"/>
      <c r="B136" s="370" t="s">
        <v>294</v>
      </c>
      <c r="C136" s="285"/>
      <c r="D136" s="1125" t="s">
        <v>329</v>
      </c>
      <c r="E136" s="1125"/>
      <c r="F136" s="1125"/>
      <c r="G136" s="3"/>
    </row>
    <row r="137" spans="1:7" ht="13.7" customHeight="1">
      <c r="A137" s="285"/>
      <c r="B137" s="285"/>
      <c r="C137" s="285"/>
      <c r="D137" s="1125"/>
      <c r="E137" s="1125"/>
      <c r="F137" s="1125"/>
      <c r="G137" s="3"/>
    </row>
    <row r="138" spans="1:7" ht="13.7" customHeight="1">
      <c r="A138" s="285"/>
      <c r="B138" s="285"/>
      <c r="C138" s="285"/>
      <c r="D138" s="1125"/>
      <c r="E138" s="1125"/>
      <c r="F138" s="1125"/>
      <c r="G138" s="3"/>
    </row>
    <row r="139" spans="1:7" ht="13.7" customHeight="1">
      <c r="A139" s="285"/>
      <c r="B139" s="285"/>
      <c r="C139" s="285"/>
      <c r="D139" s="1125"/>
      <c r="E139" s="1125"/>
      <c r="F139" s="1125"/>
      <c r="G139" s="3"/>
    </row>
    <row r="140" spans="1:7" ht="13.7" customHeight="1">
      <c r="A140" s="285"/>
      <c r="B140" s="285"/>
      <c r="C140" s="285"/>
      <c r="D140" s="1125"/>
      <c r="E140" s="1125"/>
      <c r="F140" s="1125"/>
      <c r="G140" s="3"/>
    </row>
    <row r="141" spans="1:7" ht="13.7" customHeight="1">
      <c r="A141" s="285"/>
      <c r="B141" s="285"/>
      <c r="C141" s="285"/>
      <c r="D141" s="1125"/>
      <c r="E141" s="1125"/>
      <c r="F141" s="1125"/>
      <c r="G141" s="3"/>
    </row>
    <row r="142" spans="1:7" ht="13.7" customHeight="1">
      <c r="A142" s="285"/>
      <c r="B142" s="285"/>
      <c r="C142" s="285"/>
      <c r="D142" s="1125"/>
      <c r="E142" s="1125"/>
      <c r="F142" s="1125"/>
      <c r="G142" s="3"/>
    </row>
    <row r="143" spans="1:7" ht="13.7" customHeight="1">
      <c r="A143" s="285"/>
      <c r="B143" s="285"/>
      <c r="C143" s="285"/>
      <c r="D143" s="1125"/>
      <c r="E143" s="1125"/>
      <c r="F143" s="1125"/>
      <c r="G143" s="3"/>
    </row>
    <row r="144" spans="1:7" ht="13.7" customHeight="1">
      <c r="A144" s="285"/>
      <c r="B144" s="285"/>
      <c r="C144" s="285"/>
      <c r="D144" s="1125"/>
      <c r="E144" s="1125"/>
      <c r="F144" s="1125"/>
      <c r="G144" s="3"/>
    </row>
    <row r="145" spans="1:7" ht="13.7" customHeight="1">
      <c r="A145" s="285"/>
      <c r="B145" s="285"/>
      <c r="C145" s="285"/>
      <c r="D145" s="1125"/>
      <c r="E145" s="1125"/>
      <c r="F145" s="1125"/>
      <c r="G145" s="3"/>
    </row>
    <row r="146" spans="1:7" ht="13.7" customHeight="1">
      <c r="A146" s="285"/>
      <c r="B146" s="285"/>
      <c r="C146" s="285"/>
      <c r="D146" s="1125"/>
      <c r="E146" s="1125"/>
      <c r="F146" s="1125"/>
      <c r="G146" s="3"/>
    </row>
    <row r="147" spans="1:7" ht="13.7" customHeight="1">
      <c r="A147" s="285"/>
      <c r="B147" s="285"/>
      <c r="C147" s="285"/>
      <c r="D147" s="1125"/>
      <c r="E147" s="1125"/>
      <c r="F147" s="1125"/>
      <c r="G147" s="3"/>
    </row>
    <row r="148" spans="1:7" ht="13.7" customHeight="1">
      <c r="A148" s="285"/>
      <c r="B148" s="285"/>
      <c r="C148" s="285"/>
      <c r="D148" s="1125"/>
      <c r="E148" s="1125"/>
      <c r="F148" s="1125"/>
      <c r="G148" s="3"/>
    </row>
    <row r="149" spans="1:7" ht="13.7" customHeight="1">
      <c r="A149" s="285"/>
      <c r="B149" s="285"/>
      <c r="C149" s="285"/>
      <c r="D149" s="1125"/>
      <c r="E149" s="1125"/>
      <c r="F149" s="1125"/>
      <c r="G149" s="3"/>
    </row>
    <row r="150" spans="1:7" ht="13.7" customHeight="1">
      <c r="A150" s="285"/>
      <c r="B150" s="285"/>
      <c r="C150" s="285"/>
      <c r="D150" s="1125"/>
      <c r="E150" s="1125"/>
      <c r="F150" s="1125"/>
      <c r="G150" s="3"/>
    </row>
    <row r="151" spans="1:7" ht="13.7" customHeight="1">
      <c r="A151" s="285"/>
      <c r="B151" s="285"/>
      <c r="C151" s="285"/>
      <c r="D151" s="1125"/>
      <c r="E151" s="1125"/>
      <c r="F151" s="1125"/>
      <c r="G151" s="3"/>
    </row>
    <row r="152" spans="1:7" ht="13.7" customHeight="1">
      <c r="A152" s="285"/>
      <c r="B152" s="285"/>
      <c r="C152" s="285"/>
      <c r="D152" s="1125"/>
      <c r="E152" s="1125"/>
      <c r="F152" s="1125"/>
      <c r="G152" s="3"/>
    </row>
    <row r="153" spans="1:7" ht="13.7" customHeight="1">
      <c r="A153" s="285"/>
      <c r="B153" s="285"/>
      <c r="C153" s="285"/>
      <c r="D153" s="1125"/>
      <c r="E153" s="1125"/>
      <c r="F153" s="1125"/>
      <c r="G153" s="3"/>
    </row>
    <row r="154" spans="1:7" ht="13.7" customHeight="1">
      <c r="A154" s="285"/>
      <c r="B154" s="285"/>
      <c r="C154" s="285"/>
      <c r="D154" s="1125"/>
      <c r="E154" s="1125"/>
      <c r="F154" s="1125"/>
      <c r="G154" s="3"/>
    </row>
    <row r="155" spans="1:7" ht="13.7" customHeight="1">
      <c r="A155" s="285"/>
      <c r="B155" s="285"/>
      <c r="C155" s="285"/>
      <c r="D155" s="143"/>
      <c r="E155" s="85"/>
      <c r="F155" s="85"/>
      <c r="G155" s="3"/>
    </row>
    <row r="156" spans="1:7" ht="13.7" customHeight="1">
      <c r="A156" s="179"/>
      <c r="B156" s="370" t="s">
        <v>294</v>
      </c>
      <c r="C156" s="143"/>
      <c r="D156" s="1127" t="s">
        <v>330</v>
      </c>
      <c r="E156" s="1127"/>
      <c r="F156" s="1127"/>
      <c r="G156" s="143"/>
    </row>
    <row r="157" spans="1:7" ht="13.7" customHeight="1">
      <c r="A157" s="179"/>
      <c r="B157" s="179"/>
      <c r="C157" s="143"/>
      <c r="D157" s="1127"/>
      <c r="E157" s="1127"/>
      <c r="F157" s="1127"/>
      <c r="G157" s="143"/>
    </row>
    <row r="158" spans="1:7" ht="13.7" customHeight="1">
      <c r="A158" s="179"/>
      <c r="B158" s="179"/>
      <c r="C158" s="143"/>
      <c r="D158" s="143"/>
      <c r="E158" s="143"/>
      <c r="F158" s="143"/>
      <c r="G158" s="143"/>
    </row>
    <row r="159" spans="1:7" ht="13.7" customHeight="1">
      <c r="A159" s="179"/>
      <c r="B159" s="370" t="s">
        <v>294</v>
      </c>
      <c r="C159" s="143"/>
      <c r="D159" s="1127" t="s">
        <v>331</v>
      </c>
      <c r="E159" s="1127"/>
      <c r="F159" s="1127"/>
      <c r="G159" s="143"/>
    </row>
    <row r="160" spans="1:7" ht="13.7" customHeight="1">
      <c r="A160" s="179"/>
      <c r="B160" s="179"/>
      <c r="C160" s="143"/>
      <c r="D160" s="1127"/>
      <c r="E160" s="1127"/>
      <c r="F160" s="1127"/>
      <c r="G160" s="143"/>
    </row>
    <row r="161" spans="1:7" ht="13.7" customHeight="1">
      <c r="A161" s="179"/>
      <c r="B161" s="179"/>
      <c r="C161" s="143"/>
      <c r="D161" s="1127"/>
      <c r="E161" s="1127"/>
      <c r="F161" s="1127"/>
      <c r="G161" s="143"/>
    </row>
    <row r="162" spans="1:7" ht="13.7" customHeight="1">
      <c r="A162" s="179"/>
      <c r="B162" s="179"/>
      <c r="C162" s="143"/>
      <c r="D162" s="1127"/>
      <c r="E162" s="1127"/>
      <c r="F162" s="1127"/>
      <c r="G162" s="143"/>
    </row>
    <row r="163" spans="1:7" ht="13.7" customHeight="1">
      <c r="A163" s="285"/>
      <c r="B163" s="285"/>
      <c r="C163" s="285"/>
      <c r="D163" s="85"/>
      <c r="E163" s="85"/>
      <c r="F163" s="85"/>
      <c r="G163" s="3"/>
    </row>
    <row r="164" spans="1:7" ht="13.7" customHeight="1">
      <c r="A164" s="285"/>
      <c r="B164" s="370" t="s">
        <v>294</v>
      </c>
      <c r="C164" s="285"/>
      <c r="D164" s="1159" t="s">
        <v>332</v>
      </c>
      <c r="E164" s="1159"/>
      <c r="F164" s="1159"/>
      <c r="G164" s="3"/>
    </row>
    <row r="165" spans="1:7" ht="13.7" customHeight="1">
      <c r="A165" s="285"/>
      <c r="B165" s="285"/>
      <c r="C165" s="285"/>
      <c r="D165" s="1159"/>
      <c r="E165" s="1159"/>
      <c r="F165" s="1159"/>
      <c r="G165" s="3"/>
    </row>
    <row r="166" spans="1:7" ht="13.7" customHeight="1">
      <c r="A166" s="285"/>
      <c r="B166" s="285"/>
      <c r="C166" s="285"/>
      <c r="D166" s="1159"/>
      <c r="E166" s="1159"/>
      <c r="F166" s="1159"/>
      <c r="G166" s="3"/>
    </row>
    <row r="167" spans="1:7" ht="13.7" customHeight="1">
      <c r="A167" s="13"/>
      <c r="B167" s="13"/>
      <c r="C167" s="285"/>
      <c r="D167" s="3"/>
      <c r="E167" s="85"/>
      <c r="F167" s="85"/>
      <c r="G167" s="3"/>
    </row>
    <row r="168" spans="1:7">
      <c r="A168" s="1145" t="s">
        <v>333</v>
      </c>
      <c r="B168" s="1145"/>
      <c r="C168" s="1145"/>
      <c r="D168" s="1145"/>
      <c r="E168" s="1145"/>
      <c r="F168" s="1145"/>
      <c r="G168" s="1145"/>
    </row>
    <row r="169" spans="1:7" ht="12" customHeight="1">
      <c r="A169" s="285"/>
      <c r="B169" s="285"/>
      <c r="C169" s="285"/>
      <c r="D169" s="85"/>
      <c r="E169" s="85"/>
      <c r="F169" s="85"/>
      <c r="G169" s="3"/>
    </row>
    <row r="170" spans="1:7">
      <c r="A170" s="285"/>
      <c r="B170" s="1142" t="s">
        <v>334</v>
      </c>
      <c r="C170" s="1142"/>
      <c r="D170" s="1142"/>
      <c r="E170" s="1142"/>
      <c r="F170" s="1142"/>
      <c r="G170" s="3"/>
    </row>
    <row r="171" spans="1:7" ht="12" customHeight="1">
      <c r="A171" s="120"/>
      <c r="B171" s="120"/>
      <c r="C171" s="120"/>
      <c r="D171" s="3"/>
      <c r="E171" s="3"/>
      <c r="F171" s="3"/>
      <c r="G171" s="3"/>
    </row>
    <row r="172" spans="1:7">
      <c r="A172" s="1145" t="s">
        <v>335</v>
      </c>
      <c r="B172" s="1145"/>
      <c r="C172" s="1145"/>
      <c r="D172" s="1145"/>
      <c r="E172" s="1145"/>
      <c r="F172" s="1145"/>
      <c r="G172" s="1145"/>
    </row>
    <row r="173" spans="1:7" ht="12" customHeight="1">
      <c r="A173" s="2"/>
      <c r="B173" s="2"/>
      <c r="C173" s="285"/>
      <c r="D173" s="3"/>
      <c r="E173" s="2"/>
      <c r="F173" s="3"/>
      <c r="G173" s="3"/>
    </row>
    <row r="174" spans="1:7" ht="13.15" customHeight="1">
      <c r="A174" s="2"/>
      <c r="B174" s="2"/>
      <c r="C174" s="285"/>
      <c r="D174" s="1166" t="s">
        <v>336</v>
      </c>
      <c r="E174" s="1166"/>
      <c r="F174" s="1166"/>
      <c r="G174" s="3"/>
    </row>
    <row r="175" spans="1:7">
      <c r="A175" s="2"/>
      <c r="B175" s="2"/>
      <c r="C175" s="285"/>
      <c r="D175" s="1166"/>
      <c r="E175" s="1166"/>
      <c r="F175" s="1166"/>
      <c r="G175" s="3"/>
    </row>
    <row r="176" spans="1:7">
      <c r="A176" s="2"/>
      <c r="B176" s="2"/>
      <c r="C176" s="285"/>
      <c r="D176" s="1152" t="s">
        <v>337</v>
      </c>
      <c r="E176" s="1152"/>
      <c r="F176" s="1152"/>
      <c r="G176" s="3"/>
    </row>
    <row r="177" spans="1:7" ht="12" customHeight="1">
      <c r="A177" s="2"/>
      <c r="B177" s="2"/>
      <c r="C177" s="285"/>
      <c r="D177" s="3"/>
      <c r="E177" s="2"/>
      <c r="F177" s="3"/>
      <c r="G177" s="3"/>
    </row>
    <row r="178" spans="1:7" ht="14.25">
      <c r="A178" s="124"/>
      <c r="B178" s="370" t="s">
        <v>294</v>
      </c>
      <c r="C178" s="285"/>
      <c r="D178" s="1139" t="s">
        <v>338</v>
      </c>
      <c r="E178" s="1139"/>
      <c r="F178" s="1139"/>
      <c r="G178" s="3"/>
    </row>
    <row r="179" spans="1:7" ht="14.25">
      <c r="A179" s="124"/>
      <c r="B179" s="124"/>
      <c r="C179" s="285"/>
      <c r="D179" s="1139"/>
      <c r="E179" s="1139"/>
      <c r="F179" s="1139"/>
      <c r="G179" s="3"/>
    </row>
    <row r="180" spans="1:7" ht="14.25">
      <c r="A180" s="124"/>
      <c r="B180" s="124"/>
      <c r="C180" s="285"/>
      <c r="D180" s="1139"/>
      <c r="E180" s="1139"/>
      <c r="F180" s="1139"/>
      <c r="G180" s="3"/>
    </row>
    <row r="181" spans="1:7">
      <c r="A181" s="285"/>
      <c r="B181" s="285"/>
      <c r="C181" s="285"/>
      <c r="D181" s="1139"/>
      <c r="E181" s="1139"/>
      <c r="F181" s="1139"/>
      <c r="G181" s="3"/>
    </row>
    <row r="182" spans="1:7">
      <c r="A182" s="285"/>
      <c r="B182" s="285"/>
      <c r="C182" s="285"/>
      <c r="D182" s="145"/>
      <c r="E182" s="3"/>
      <c r="F182" s="3"/>
      <c r="G182" s="3"/>
    </row>
    <row r="183" spans="1:7">
      <c r="A183" s="285"/>
      <c r="B183" s="285"/>
      <c r="C183" s="285"/>
      <c r="D183" s="1158" t="s">
        <v>339</v>
      </c>
      <c r="E183" s="1158"/>
      <c r="F183" s="1158"/>
      <c r="G183" s="3"/>
    </row>
    <row r="184" spans="1:7">
      <c r="A184" s="285"/>
      <c r="B184" s="285"/>
      <c r="C184" s="285"/>
      <c r="D184" s="1158"/>
      <c r="E184" s="1158"/>
      <c r="F184" s="1158"/>
      <c r="G184" s="3"/>
    </row>
    <row r="185" spans="1:7">
      <c r="A185" s="285"/>
      <c r="B185" s="285"/>
      <c r="C185" s="285"/>
      <c r="D185" s="377"/>
      <c r="E185" s="377"/>
      <c r="F185" s="377"/>
      <c r="G185" s="3"/>
    </row>
    <row r="186" spans="1:7" ht="14.25">
      <c r="A186" s="124"/>
      <c r="B186" s="370" t="s">
        <v>294</v>
      </c>
      <c r="C186" s="285"/>
      <c r="D186" s="1125" t="s">
        <v>340</v>
      </c>
      <c r="E186" s="1125"/>
      <c r="F186" s="1125"/>
      <c r="G186" s="3"/>
    </row>
    <row r="187" spans="1:7" ht="14.45" customHeight="1">
      <c r="A187" s="124"/>
      <c r="B187"/>
      <c r="C187" s="285"/>
      <c r="D187" s="1125"/>
      <c r="E187" s="1125"/>
      <c r="F187" s="1125"/>
      <c r="G187" s="3"/>
    </row>
    <row r="188" spans="1:7" ht="14.25">
      <c r="A188" s="124"/>
      <c r="B188" s="285"/>
      <c r="C188" s="285"/>
      <c r="D188" s="1125"/>
      <c r="E188" s="1125"/>
      <c r="F188" s="1125"/>
      <c r="G188" s="3"/>
    </row>
    <row r="189" spans="1:7" ht="14.25">
      <c r="A189" s="124"/>
      <c r="B189" s="285"/>
      <c r="C189" s="285"/>
      <c r="D189" s="1125"/>
      <c r="E189" s="1125"/>
      <c r="F189" s="1125"/>
      <c r="G189" s="3"/>
    </row>
    <row r="190" spans="1:7">
      <c r="A190" s="285"/>
      <c r="B190" s="285"/>
      <c r="C190" s="285"/>
      <c r="D190" s="377"/>
      <c r="E190" s="377"/>
      <c r="F190" s="377"/>
      <c r="G190" s="3"/>
    </row>
    <row r="191" spans="1:7">
      <c r="A191" s="1145" t="s">
        <v>341</v>
      </c>
      <c r="B191" s="1145"/>
      <c r="C191" s="1145"/>
      <c r="D191" s="1145"/>
      <c r="E191" s="1145"/>
      <c r="F191" s="1145"/>
      <c r="G191" s="1145"/>
    </row>
    <row r="192" spans="1:7" ht="12" customHeight="1">
      <c r="A192" s="285"/>
      <c r="B192" s="285"/>
      <c r="C192" s="285"/>
      <c r="D192" s="85"/>
      <c r="E192" s="85"/>
      <c r="F192" s="85"/>
      <c r="G192" s="3"/>
    </row>
    <row r="193" spans="1:6">
      <c r="A193" s="285"/>
      <c r="B193" s="285"/>
      <c r="C193" s="420"/>
      <c r="D193" s="1143" t="s">
        <v>342</v>
      </c>
      <c r="E193" s="1143"/>
      <c r="F193" s="1143"/>
    </row>
    <row r="194" spans="1:6">
      <c r="A194" s="120"/>
      <c r="B194" s="120"/>
      <c r="C194" s="120"/>
      <c r="D194" s="1144" t="s">
        <v>343</v>
      </c>
      <c r="E194" s="1144"/>
      <c r="F194" s="1144"/>
    </row>
    <row r="195" spans="1:6" ht="12" customHeight="1">
      <c r="A195" s="13"/>
      <c r="B195" s="13"/>
      <c r="C195" s="13"/>
      <c r="D195" s="3"/>
      <c r="E195" s="3"/>
      <c r="F195" s="3"/>
    </row>
    <row r="196" spans="1:6" ht="13.15" customHeight="1">
      <c r="A196" s="13"/>
      <c r="B196" s="285"/>
      <c r="C196" s="13"/>
      <c r="D196" s="1143" t="s">
        <v>344</v>
      </c>
      <c r="E196" s="1143"/>
      <c r="F196" s="1143"/>
    </row>
    <row r="197" spans="1:6" ht="14.25">
      <c r="A197" s="124"/>
      <c r="B197" s="370" t="s">
        <v>294</v>
      </c>
      <c r="C197" s="285"/>
      <c r="D197" s="1125" t="s">
        <v>345</v>
      </c>
      <c r="E197" s="1125"/>
      <c r="F197" s="1125"/>
    </row>
    <row r="198" spans="1:6" ht="14.25">
      <c r="A198" s="124"/>
      <c r="B198" s="124"/>
      <c r="C198" s="285"/>
      <c r="D198" s="1125"/>
      <c r="E198" s="1125"/>
      <c r="F198" s="1125"/>
    </row>
    <row r="199" spans="1:6">
      <c r="A199" s="285"/>
      <c r="B199" s="285"/>
      <c r="C199" s="285"/>
      <c r="D199" s="3"/>
      <c r="E199" s="3"/>
      <c r="F199" s="3"/>
    </row>
    <row r="200" spans="1:6" ht="14.25">
      <c r="A200" s="124"/>
      <c r="B200" s="370" t="s">
        <v>294</v>
      </c>
      <c r="C200" s="285"/>
      <c r="D200" s="1125" t="s">
        <v>346</v>
      </c>
      <c r="E200" s="1125"/>
      <c r="F200" s="1125"/>
    </row>
    <row r="201" spans="1:6" ht="14.25">
      <c r="A201" s="124"/>
      <c r="B201" s="124"/>
      <c r="C201" s="285"/>
      <c r="D201" s="1125"/>
      <c r="E201" s="1125"/>
      <c r="F201" s="1125"/>
    </row>
    <row r="202" spans="1:6" ht="14.25">
      <c r="A202" s="124"/>
      <c r="B202" s="124"/>
      <c r="C202" s="285"/>
      <c r="D202" s="1125"/>
      <c r="E202" s="1125"/>
      <c r="F202" s="1125"/>
    </row>
    <row r="203" spans="1:6" ht="5.0999999999999996" customHeight="1">
      <c r="A203" s="124"/>
      <c r="B203" s="124"/>
      <c r="C203" s="285"/>
      <c r="D203" s="85"/>
      <c r="E203" s="85"/>
      <c r="F203" s="85"/>
    </row>
    <row r="204" spans="1:6" ht="14.25">
      <c r="A204" s="124"/>
      <c r="B204" s="124"/>
      <c r="C204" s="285"/>
      <c r="D204" s="1125" t="s">
        <v>347</v>
      </c>
      <c r="E204" s="1125"/>
      <c r="F204" s="1125"/>
    </row>
    <row r="205" spans="1:6" ht="14.25">
      <c r="A205" s="124"/>
      <c r="B205" s="124"/>
      <c r="C205" s="285"/>
      <c r="D205" s="1125"/>
      <c r="E205" s="1125"/>
      <c r="F205" s="1125"/>
    </row>
    <row r="206" spans="1:6" ht="14.25">
      <c r="A206" s="124"/>
      <c r="B206" s="124"/>
      <c r="C206" s="285"/>
      <c r="D206" s="1125"/>
      <c r="E206" s="1125"/>
      <c r="F206" s="1125"/>
    </row>
    <row r="207" spans="1:6" ht="14.25">
      <c r="A207" s="124"/>
      <c r="B207" s="124"/>
      <c r="C207" s="285"/>
      <c r="D207" s="1125"/>
      <c r="E207" s="1125"/>
      <c r="F207" s="1125"/>
    </row>
    <row r="208" spans="1:6" ht="14.25">
      <c r="A208" s="124"/>
      <c r="B208" s="124"/>
      <c r="C208" s="285"/>
      <c r="D208" s="1125"/>
      <c r="E208" s="1125"/>
      <c r="F208" s="1125"/>
    </row>
    <row r="209" spans="1:7" ht="14.25">
      <c r="A209" s="124"/>
      <c r="B209" s="124"/>
      <c r="C209" s="285"/>
      <c r="D209" s="85"/>
      <c r="E209" s="85"/>
      <c r="F209" s="85"/>
      <c r="G209" s="3"/>
    </row>
    <row r="210" spans="1:7" ht="14.25">
      <c r="A210" s="124"/>
      <c r="B210" s="370" t="s">
        <v>294</v>
      </c>
      <c r="C210" s="285"/>
      <c r="D210" s="1125" t="s">
        <v>348</v>
      </c>
      <c r="E210" s="1125"/>
      <c r="F210" s="1125"/>
      <c r="G210" s="3"/>
    </row>
    <row r="211" spans="1:7" ht="14.25">
      <c r="A211" s="124"/>
      <c r="B211" s="124"/>
      <c r="C211" s="285"/>
      <c r="D211" s="1125"/>
      <c r="E211" s="1125"/>
      <c r="F211" s="1125"/>
      <c r="G211" s="3"/>
    </row>
    <row r="212" spans="1:7" ht="14.25">
      <c r="A212" s="124"/>
      <c r="B212" s="124"/>
      <c r="C212" s="285"/>
      <c r="D212" s="1142" t="s">
        <v>349</v>
      </c>
      <c r="E212" s="1142"/>
      <c r="F212" s="1142"/>
      <c r="G212" s="3"/>
    </row>
    <row r="213" spans="1:7" ht="14.25">
      <c r="A213" s="124"/>
      <c r="B213" s="124"/>
      <c r="C213" s="285"/>
      <c r="D213" s="85"/>
      <c r="E213" s="85"/>
      <c r="F213" s="85"/>
      <c r="G213" s="3"/>
    </row>
    <row r="214" spans="1:7" ht="14.45" customHeight="1">
      <c r="A214" s="124"/>
      <c r="B214" s="370" t="s">
        <v>294</v>
      </c>
      <c r="C214" s="285"/>
      <c r="D214" s="1125" t="s">
        <v>350</v>
      </c>
      <c r="E214" s="1125"/>
      <c r="F214" s="1125"/>
      <c r="G214" s="3"/>
    </row>
    <row r="215" spans="1:7" ht="14.25">
      <c r="A215" s="124"/>
      <c r="B215" s="124"/>
      <c r="C215" s="285"/>
      <c r="D215" s="1125"/>
      <c r="E215" s="1125"/>
      <c r="F215" s="1125"/>
      <c r="G215" s="3"/>
    </row>
    <row r="216" spans="1:7" ht="14.25">
      <c r="A216" s="124"/>
      <c r="B216" s="124"/>
      <c r="C216" s="285"/>
      <c r="D216" s="1125"/>
      <c r="E216" s="1125"/>
      <c r="F216" s="1125"/>
      <c r="G216" s="3"/>
    </row>
    <row r="217" spans="1:7" ht="14.25">
      <c r="A217" s="124"/>
      <c r="B217" s="124"/>
      <c r="C217" s="285"/>
      <c r="D217" s="1125"/>
      <c r="E217" s="1125"/>
      <c r="F217" s="1125"/>
      <c r="G217" s="3"/>
    </row>
    <row r="218" spans="1:7" ht="14.25">
      <c r="A218" s="124"/>
      <c r="B218" s="124"/>
      <c r="C218" s="285"/>
      <c r="D218" s="1125"/>
      <c r="E218" s="1125"/>
      <c r="F218" s="1125"/>
      <c r="G218" s="3"/>
    </row>
    <row r="219" spans="1:7">
      <c r="A219" s="285"/>
      <c r="B219" s="285"/>
      <c r="C219" s="285"/>
      <c r="D219" s="85"/>
      <c r="E219" s="85"/>
      <c r="F219" s="85"/>
      <c r="G219" s="3"/>
    </row>
    <row r="220" spans="1:7" ht="14.25">
      <c r="A220" s="124"/>
      <c r="B220" s="370" t="s">
        <v>294</v>
      </c>
      <c r="C220" s="285"/>
      <c r="D220" s="1125" t="s">
        <v>351</v>
      </c>
      <c r="E220" s="1125"/>
      <c r="F220" s="1125"/>
      <c r="G220" s="3"/>
    </row>
    <row r="221" spans="1:7" ht="14.25">
      <c r="A221" s="124"/>
      <c r="B221" s="124"/>
      <c r="C221" s="285"/>
      <c r="D221" s="1125"/>
      <c r="E221" s="1125"/>
      <c r="F221" s="1125"/>
      <c r="G221" s="3"/>
    </row>
    <row r="222" spans="1:7">
      <c r="A222" s="285"/>
      <c r="B222" s="285"/>
      <c r="C222" s="285"/>
      <c r="D222" s="1057"/>
      <c r="E222" s="3"/>
      <c r="F222" s="3"/>
      <c r="G222" s="3"/>
    </row>
    <row r="223" spans="1:7">
      <c r="A223" s="1145" t="s">
        <v>352</v>
      </c>
      <c r="B223" s="1145"/>
      <c r="C223" s="1145"/>
      <c r="D223" s="1145"/>
      <c r="E223" s="1145"/>
      <c r="F223" s="1145"/>
      <c r="G223" s="1145"/>
    </row>
    <row r="224" spans="1:7">
      <c r="A224" s="285"/>
      <c r="B224" s="285"/>
      <c r="C224" s="285"/>
      <c r="D224" s="1057"/>
      <c r="E224" s="3"/>
      <c r="F224" s="3"/>
      <c r="G224" s="3"/>
    </row>
    <row r="225" spans="1:6">
      <c r="A225" s="285"/>
      <c r="B225" s="285"/>
      <c r="C225" s="420"/>
      <c r="D225" s="1143" t="s">
        <v>353</v>
      </c>
      <c r="E225" s="1143"/>
      <c r="F225" s="1143"/>
    </row>
    <row r="226" spans="1:6">
      <c r="A226" s="120"/>
      <c r="B226" s="120"/>
      <c r="C226" s="120"/>
      <c r="D226" s="85"/>
      <c r="E226" s="85"/>
      <c r="F226" s="85"/>
    </row>
    <row r="227" spans="1:6">
      <c r="A227" s="123"/>
      <c r="B227" s="123"/>
      <c r="C227" s="123"/>
      <c r="D227" s="1143" t="s">
        <v>354</v>
      </c>
      <c r="E227" s="1143"/>
      <c r="F227" s="1143"/>
    </row>
    <row r="228" spans="1:6" ht="14.25">
      <c r="A228" s="124"/>
      <c r="B228" s="370" t="s">
        <v>294</v>
      </c>
      <c r="C228" s="285"/>
      <c r="D228" s="1172" t="s">
        <v>355</v>
      </c>
      <c r="E228" s="1172"/>
      <c r="F228" s="1172"/>
    </row>
    <row r="229" spans="1:6" ht="14.25">
      <c r="A229" s="124"/>
      <c r="B229" s="124"/>
      <c r="C229" s="285"/>
      <c r="D229" s="1172"/>
      <c r="E229" s="1172"/>
      <c r="F229" s="1172"/>
    </row>
    <row r="230" spans="1:6">
      <c r="A230" s="285"/>
      <c r="B230" s="285"/>
      <c r="C230" s="285"/>
      <c r="D230" s="85"/>
      <c r="E230" s="85"/>
      <c r="F230" s="85"/>
    </row>
    <row r="231" spans="1:6" ht="14.45" customHeight="1">
      <c r="A231" s="124"/>
      <c r="B231" s="370" t="s">
        <v>294</v>
      </c>
      <c r="C231" s="285"/>
      <c r="D231" s="1125" t="s">
        <v>356</v>
      </c>
      <c r="E231" s="1125"/>
      <c r="F231" s="1125"/>
    </row>
    <row r="232" spans="1:6">
      <c r="A232" s="285"/>
      <c r="B232" s="285"/>
      <c r="C232" s="285"/>
      <c r="D232" s="1125"/>
      <c r="E232" s="1125"/>
      <c r="F232" s="1125"/>
    </row>
    <row r="233" spans="1:6">
      <c r="A233" s="285"/>
      <c r="B233" s="285"/>
      <c r="C233" s="285"/>
      <c r="D233" s="1144" t="s">
        <v>357</v>
      </c>
      <c r="E233" s="1144"/>
      <c r="F233" s="1144"/>
    </row>
    <row r="234" spans="1:6">
      <c r="A234" s="285"/>
      <c r="B234" s="285"/>
      <c r="C234" s="285"/>
      <c r="D234" s="85"/>
      <c r="E234" s="85"/>
      <c r="F234" s="85"/>
    </row>
    <row r="235" spans="1:6" ht="14.45" customHeight="1">
      <c r="A235" s="124"/>
      <c r="B235" s="370" t="s">
        <v>294</v>
      </c>
      <c r="C235" s="285"/>
      <c r="D235" s="1125" t="s">
        <v>358</v>
      </c>
      <c r="E235" s="1125"/>
      <c r="F235" s="1125"/>
    </row>
    <row r="236" spans="1:6">
      <c r="A236" s="285"/>
      <c r="B236" s="285"/>
      <c r="C236" s="285"/>
      <c r="D236" s="1125"/>
      <c r="E236" s="1125"/>
      <c r="F236" s="1125"/>
    </row>
    <row r="237" spans="1:6">
      <c r="A237" s="285"/>
      <c r="B237" s="285"/>
      <c r="C237" s="285"/>
      <c r="D237" s="1125"/>
      <c r="E237" s="1125"/>
      <c r="F237" s="1125"/>
    </row>
    <row r="238" spans="1:6">
      <c r="A238" s="285"/>
      <c r="B238" s="285"/>
      <c r="C238" s="285"/>
      <c r="D238" s="1125"/>
      <c r="E238" s="1125"/>
      <c r="F238" s="1125"/>
    </row>
    <row r="239" spans="1:6">
      <c r="A239" s="285"/>
      <c r="B239" s="285"/>
      <c r="C239" s="285"/>
      <c r="D239" s="1125"/>
      <c r="E239" s="1125"/>
      <c r="F239" s="1125"/>
    </row>
    <row r="240" spans="1:6">
      <c r="A240" s="285"/>
      <c r="B240" s="285"/>
      <c r="C240" s="285"/>
      <c r="D240" s="85"/>
      <c r="E240" s="85"/>
      <c r="F240" s="85"/>
    </row>
    <row r="241" spans="1:7" ht="14.25">
      <c r="A241" s="124"/>
      <c r="B241" s="370" t="s">
        <v>294</v>
      </c>
      <c r="C241" s="285"/>
      <c r="D241" s="1125" t="s">
        <v>359</v>
      </c>
      <c r="E241" s="1125"/>
      <c r="F241" s="1125"/>
      <c r="G241" s="3"/>
    </row>
    <row r="242" spans="1:7">
      <c r="A242" s="285"/>
      <c r="B242" s="285"/>
      <c r="C242" s="285"/>
      <c r="D242" s="1125"/>
      <c r="E242" s="1125"/>
      <c r="F242" s="1125"/>
      <c r="G242" s="3"/>
    </row>
    <row r="243" spans="1:7">
      <c r="A243" s="285"/>
      <c r="B243" s="285"/>
      <c r="C243" s="285"/>
      <c r="D243" s="1125"/>
      <c r="E243" s="1125"/>
      <c r="F243" s="1125"/>
      <c r="G243" s="3"/>
    </row>
    <row r="244" spans="1:7">
      <c r="A244" s="285"/>
      <c r="B244" s="285"/>
      <c r="C244" s="285"/>
      <c r="D244" s="955"/>
      <c r="E244" s="85"/>
      <c r="F244" s="85"/>
      <c r="G244" s="3"/>
    </row>
    <row r="245" spans="1:7">
      <c r="A245" s="1145" t="s">
        <v>360</v>
      </c>
      <c r="B245" s="1145"/>
      <c r="C245" s="1145"/>
      <c r="D245" s="1145"/>
      <c r="E245" s="1145"/>
      <c r="F245" s="1145"/>
      <c r="G245" s="1145"/>
    </row>
    <row r="246" spans="1:7">
      <c r="A246" s="285"/>
      <c r="B246" s="285"/>
      <c r="C246" s="285"/>
      <c r="D246" s="955"/>
      <c r="E246" s="85"/>
      <c r="F246" s="85"/>
      <c r="G246" s="3"/>
    </row>
    <row r="247" spans="1:7">
      <c r="A247" s="285"/>
      <c r="B247" s="285"/>
      <c r="C247" s="120"/>
      <c r="D247" s="1154" t="s">
        <v>361</v>
      </c>
      <c r="E247" s="1154"/>
      <c r="F247" s="1154"/>
      <c r="G247" s="3"/>
    </row>
    <row r="248" spans="1:7">
      <c r="A248" s="285"/>
      <c r="B248" s="285"/>
      <c r="C248" s="120"/>
      <c r="D248" s="1154"/>
      <c r="E248" s="1154"/>
      <c r="F248" s="1154"/>
      <c r="G248" s="3"/>
    </row>
    <row r="249" spans="1:7">
      <c r="A249" s="123"/>
      <c r="B249" s="123"/>
      <c r="C249" s="123"/>
      <c r="D249" s="2"/>
      <c r="E249" s="3"/>
      <c r="F249" s="3"/>
      <c r="G249" s="3"/>
    </row>
    <row r="250" spans="1:7">
      <c r="A250" s="285"/>
      <c r="B250" s="285"/>
      <c r="C250" s="123"/>
      <c r="D250" s="1143" t="s">
        <v>362</v>
      </c>
      <c r="E250" s="1143"/>
      <c r="F250" s="1143"/>
      <c r="G250" s="3"/>
    </row>
    <row r="251" spans="1:7" ht="15.75" customHeight="1">
      <c r="A251" s="124"/>
      <c r="B251" s="124"/>
      <c r="C251" s="285"/>
      <c r="D251" s="1148" t="s">
        <v>363</v>
      </c>
      <c r="E251" s="1148"/>
      <c r="F251" s="1148"/>
      <c r="G251" s="3"/>
    </row>
    <row r="252" spans="1:7">
      <c r="A252" s="285"/>
      <c r="B252" s="285"/>
      <c r="C252" s="285"/>
      <c r="D252" s="3"/>
      <c r="E252" s="85"/>
      <c r="F252" s="85"/>
      <c r="G252" s="3"/>
    </row>
    <row r="253" spans="1:7" ht="14.25">
      <c r="A253" s="124"/>
      <c r="B253" s="370" t="s">
        <v>294</v>
      </c>
      <c r="C253" s="285"/>
      <c r="D253" s="1125" t="s">
        <v>364</v>
      </c>
      <c r="E253" s="1125"/>
      <c r="F253" s="1125"/>
      <c r="G253" s="3"/>
    </row>
    <row r="254" spans="1:7" ht="14.25">
      <c r="A254" s="124"/>
      <c r="B254" s="124"/>
      <c r="C254" s="285"/>
      <c r="D254" s="1125"/>
      <c r="E254" s="1125"/>
      <c r="F254" s="1125"/>
      <c r="G254" s="3"/>
    </row>
    <row r="255" spans="1:7">
      <c r="A255" s="285"/>
      <c r="B255" s="285"/>
      <c r="C255" s="285"/>
      <c r="D255" s="85"/>
      <c r="E255" s="85"/>
      <c r="F255" s="85"/>
      <c r="G255" s="3"/>
    </row>
    <row r="256" spans="1:7" ht="14.25">
      <c r="A256" s="124"/>
      <c r="B256" s="370" t="s">
        <v>294</v>
      </c>
      <c r="C256" s="285"/>
      <c r="D256" s="1125" t="s">
        <v>365</v>
      </c>
      <c r="E256" s="1125"/>
      <c r="F256" s="1125"/>
      <c r="G256" s="3"/>
    </row>
    <row r="257" spans="1:7" ht="14.25">
      <c r="A257" s="124"/>
      <c r="B257" s="124"/>
      <c r="C257" s="285"/>
      <c r="D257" s="1125"/>
      <c r="E257" s="1125"/>
      <c r="F257" s="1125"/>
      <c r="G257" s="3"/>
    </row>
    <row r="258" spans="1:7" ht="14.25">
      <c r="A258" s="124"/>
      <c r="B258" s="124"/>
      <c r="C258" s="285"/>
      <c r="D258" s="1125"/>
      <c r="E258" s="1125"/>
      <c r="F258" s="1125"/>
      <c r="G258" s="3"/>
    </row>
    <row r="259" spans="1:7">
      <c r="A259" s="285"/>
      <c r="B259" s="285"/>
      <c r="C259" s="285"/>
      <c r="D259" s="85"/>
      <c r="E259" s="85"/>
      <c r="F259" s="85"/>
      <c r="G259" s="3"/>
    </row>
    <row r="260" spans="1:7" ht="14.25">
      <c r="A260" s="124"/>
      <c r="B260" s="370" t="s">
        <v>294</v>
      </c>
      <c r="C260" s="285"/>
      <c r="D260" s="1125" t="s">
        <v>366</v>
      </c>
      <c r="E260" s="1125"/>
      <c r="F260" s="1125"/>
      <c r="G260" s="3"/>
    </row>
    <row r="261" spans="1:7" ht="14.25">
      <c r="A261" s="124"/>
      <c r="B261" s="124"/>
      <c r="C261" s="285"/>
      <c r="D261" s="1125"/>
      <c r="E261" s="1125"/>
      <c r="F261" s="1125"/>
      <c r="G261" s="3"/>
    </row>
    <row r="262" spans="1:7">
      <c r="A262" s="13"/>
      <c r="B262" s="13"/>
      <c r="C262" s="285"/>
      <c r="D262" s="3"/>
      <c r="E262" s="85"/>
      <c r="F262" s="85"/>
      <c r="G262" s="3"/>
    </row>
    <row r="263" spans="1:7">
      <c r="A263" s="1145" t="s">
        <v>367</v>
      </c>
      <c r="B263" s="1145"/>
      <c r="C263" s="1145"/>
      <c r="D263" s="1145"/>
      <c r="E263" s="1145"/>
      <c r="F263" s="1145"/>
      <c r="G263" s="1145"/>
    </row>
    <row r="264" spans="1:7">
      <c r="A264" s="13"/>
      <c r="B264" s="13"/>
      <c r="C264" s="285"/>
      <c r="D264" s="85"/>
      <c r="E264" s="85"/>
      <c r="F264" s="85"/>
      <c r="G264" s="3"/>
    </row>
    <row r="265" spans="1:7">
      <c r="A265" s="285"/>
      <c r="B265" s="285"/>
      <c r="C265" s="13"/>
      <c r="D265" s="1143" t="s">
        <v>368</v>
      </c>
      <c r="E265" s="1143"/>
      <c r="F265" s="1143"/>
      <c r="G265" s="3"/>
    </row>
    <row r="266" spans="1:7">
      <c r="A266" s="285"/>
      <c r="B266" s="285"/>
      <c r="C266" s="13"/>
      <c r="D266" s="1144" t="s">
        <v>369</v>
      </c>
      <c r="E266" s="1144"/>
      <c r="F266" s="1144"/>
      <c r="G266" s="3"/>
    </row>
    <row r="267" spans="1:7">
      <c r="A267" s="285"/>
      <c r="B267" s="285"/>
      <c r="C267" s="13"/>
      <c r="D267" s="121"/>
      <c r="E267" s="3"/>
      <c r="F267" s="3"/>
      <c r="G267" s="3"/>
    </row>
    <row r="268" spans="1:7">
      <c r="A268" s="285"/>
      <c r="B268" s="370" t="s">
        <v>294</v>
      </c>
      <c r="C268" s="285"/>
      <c r="D268" s="1144" t="s">
        <v>370</v>
      </c>
      <c r="E268" s="1144"/>
      <c r="F268" s="1144"/>
      <c r="G268" s="3"/>
    </row>
    <row r="269" spans="1:7" ht="14.25">
      <c r="A269" s="124"/>
      <c r="B269" s="124"/>
      <c r="C269" s="285"/>
      <c r="D269" s="245"/>
      <c r="E269" s="1049"/>
      <c r="F269" s="1049"/>
      <c r="G269" s="3"/>
    </row>
    <row r="270" spans="1:7" ht="13.15" customHeight="1">
      <c r="A270" s="285"/>
      <c r="B270" s="370" t="s">
        <v>294</v>
      </c>
      <c r="C270" s="285"/>
      <c r="D270" s="1173" t="s">
        <v>371</v>
      </c>
      <c r="E270" s="1173"/>
      <c r="F270" s="1173"/>
      <c r="G270" s="3"/>
    </row>
    <row r="271" spans="1:7" ht="14.25">
      <c r="A271" s="124"/>
      <c r="B271" s="124"/>
      <c r="C271" s="285"/>
      <c r="D271" s="1173"/>
      <c r="E271" s="1173"/>
      <c r="F271" s="1173"/>
      <c r="G271" s="3"/>
    </row>
    <row r="272" spans="1:7" ht="14.25">
      <c r="A272" s="124"/>
      <c r="B272" s="124"/>
      <c r="C272" s="285"/>
      <c r="D272" s="1173"/>
      <c r="E272" s="1173"/>
      <c r="F272" s="1173"/>
      <c r="G272" s="3"/>
    </row>
    <row r="273" spans="1:7" ht="14.25">
      <c r="A273" s="124"/>
      <c r="B273" s="124"/>
      <c r="C273" s="285"/>
      <c r="D273" s="1173"/>
      <c r="E273" s="1173"/>
      <c r="F273" s="1173"/>
      <c r="G273" s="3"/>
    </row>
    <row r="274" spans="1:7" ht="14.25">
      <c r="A274" s="124"/>
      <c r="B274" s="124"/>
      <c r="C274" s="285"/>
      <c r="D274" s="1173"/>
      <c r="E274" s="1173"/>
      <c r="F274" s="1173"/>
      <c r="G274" s="3"/>
    </row>
    <row r="275" spans="1:7" ht="14.25">
      <c r="A275" s="124"/>
      <c r="B275" s="124"/>
      <c r="C275" s="285"/>
      <c r="D275" s="245"/>
      <c r="E275" s="1049"/>
      <c r="F275" s="1049"/>
      <c r="G275" s="3"/>
    </row>
    <row r="276" spans="1:7" ht="13.15" customHeight="1">
      <c r="A276" s="285"/>
      <c r="B276" s="370" t="s">
        <v>294</v>
      </c>
      <c r="C276" s="285"/>
      <c r="D276" s="1173" t="s">
        <v>372</v>
      </c>
      <c r="E276" s="1173"/>
      <c r="F276" s="1173"/>
      <c r="G276" s="3"/>
    </row>
    <row r="277" spans="1:7">
      <c r="A277" s="285"/>
      <c r="B277" s="285"/>
      <c r="C277" s="285"/>
      <c r="D277" s="1173"/>
      <c r="E277" s="1173"/>
      <c r="F277" s="1173"/>
      <c r="G277" s="3"/>
    </row>
    <row r="278" spans="1:7" ht="14.25">
      <c r="A278" s="124"/>
      <c r="B278" s="124"/>
      <c r="C278" s="285"/>
      <c r="D278" s="245"/>
      <c r="E278" s="1049"/>
      <c r="F278" s="1049"/>
      <c r="G278" s="3"/>
    </row>
    <row r="279" spans="1:7">
      <c r="A279" s="285"/>
      <c r="B279" s="370" t="s">
        <v>294</v>
      </c>
      <c r="C279" s="285"/>
      <c r="D279" s="1144" t="s">
        <v>373</v>
      </c>
      <c r="E279" s="1144"/>
      <c r="F279" s="1144"/>
      <c r="G279" s="3"/>
    </row>
    <row r="280" spans="1:7">
      <c r="A280" s="285"/>
      <c r="B280" s="285"/>
      <c r="C280" s="285"/>
      <c r="D280" s="3"/>
      <c r="E280" s="85"/>
      <c r="F280" s="85"/>
      <c r="G280" s="3"/>
    </row>
    <row r="281" spans="1:7" ht="14.25">
      <c r="A281" s="124"/>
      <c r="B281" s="370" t="s">
        <v>294</v>
      </c>
      <c r="C281" s="285"/>
      <c r="D281" s="1125" t="s">
        <v>374</v>
      </c>
      <c r="E281" s="1125"/>
      <c r="F281" s="1125"/>
      <c r="G281" s="3"/>
    </row>
    <row r="282" spans="1:7" ht="14.25">
      <c r="A282" s="124"/>
      <c r="B282" s="124"/>
      <c r="C282" s="285"/>
      <c r="D282" s="1125"/>
      <c r="E282" s="1125"/>
      <c r="F282" s="1125"/>
      <c r="G282" s="3"/>
    </row>
    <row r="283" spans="1:7" ht="14.25">
      <c r="A283" s="124"/>
      <c r="B283" s="124"/>
      <c r="C283" s="285"/>
      <c r="D283" s="1125"/>
      <c r="E283" s="1125"/>
      <c r="F283" s="1125"/>
      <c r="G283" s="3"/>
    </row>
    <row r="284" spans="1:7" ht="14.25">
      <c r="A284" s="124"/>
      <c r="B284" s="124"/>
      <c r="C284" s="285"/>
      <c r="D284" s="1125"/>
      <c r="E284" s="1125"/>
      <c r="F284" s="1125"/>
      <c r="G284" s="3"/>
    </row>
    <row r="285" spans="1:7" ht="14.25">
      <c r="A285" s="124"/>
      <c r="B285" s="124"/>
      <c r="C285" s="285"/>
      <c r="D285" s="1125"/>
      <c r="E285" s="1125"/>
      <c r="F285" s="1125"/>
      <c r="G285" s="3"/>
    </row>
    <row r="286" spans="1:7" ht="14.25">
      <c r="A286" s="124"/>
      <c r="B286" s="124"/>
      <c r="C286" s="285"/>
      <c r="D286" s="1125"/>
      <c r="E286" s="1125"/>
      <c r="F286" s="1125"/>
      <c r="G286" s="3"/>
    </row>
    <row r="287" spans="1:7" ht="14.25">
      <c r="A287" s="124"/>
      <c r="B287" s="124"/>
      <c r="C287" s="285"/>
      <c r="D287" s="1125"/>
      <c r="E287" s="1125"/>
      <c r="F287" s="1125"/>
      <c r="G287" s="3"/>
    </row>
    <row r="288" spans="1:7" ht="14.25">
      <c r="A288" s="124"/>
      <c r="B288" s="124"/>
      <c r="C288" s="285"/>
      <c r="D288" s="1125"/>
      <c r="E288" s="1125"/>
      <c r="F288" s="1125"/>
      <c r="G288" s="3"/>
    </row>
    <row r="289" spans="1:7" ht="14.25">
      <c r="A289" s="124"/>
      <c r="B289" s="124"/>
      <c r="C289" s="285"/>
      <c r="D289" s="1125"/>
      <c r="E289" s="1125"/>
      <c r="F289" s="1125"/>
      <c r="G289" s="3"/>
    </row>
    <row r="290" spans="1:7" ht="14.25">
      <c r="A290" s="124"/>
      <c r="B290" s="124"/>
      <c r="C290" s="285"/>
      <c r="D290" s="1125"/>
      <c r="E290" s="1125"/>
      <c r="F290" s="1125"/>
      <c r="G290" s="3"/>
    </row>
    <row r="291" spans="1:7" ht="14.25">
      <c r="A291" s="124"/>
      <c r="B291" s="124"/>
      <c r="C291" s="285"/>
      <c r="D291" s="1125"/>
      <c r="E291" s="1125"/>
      <c r="F291" s="1125"/>
      <c r="G291" s="3"/>
    </row>
    <row r="292" spans="1:7" ht="14.25">
      <c r="A292" s="124"/>
      <c r="B292" s="124"/>
      <c r="C292" s="285"/>
      <c r="D292" s="1125"/>
      <c r="E292" s="1125"/>
      <c r="F292" s="1125"/>
      <c r="G292" s="3"/>
    </row>
    <row r="293" spans="1:7" ht="14.25">
      <c r="A293" s="124"/>
      <c r="B293" s="124"/>
      <c r="C293" s="285"/>
      <c r="D293" s="1125"/>
      <c r="E293" s="1125"/>
      <c r="F293" s="1125"/>
      <c r="G293" s="3"/>
    </row>
    <row r="294" spans="1:7" ht="14.25">
      <c r="A294" s="124"/>
      <c r="B294" s="124"/>
      <c r="C294" s="285"/>
      <c r="D294" s="1125"/>
      <c r="E294" s="1125"/>
      <c r="F294" s="1125"/>
      <c r="G294" s="3"/>
    </row>
    <row r="295" spans="1:7" ht="14.25">
      <c r="A295" s="124"/>
      <c r="B295" s="124"/>
      <c r="C295" s="285"/>
      <c r="D295" s="1125"/>
      <c r="E295" s="1125"/>
      <c r="F295" s="1125"/>
      <c r="G295" s="3"/>
    </row>
    <row r="296" spans="1:7">
      <c r="A296" s="285"/>
      <c r="B296" s="285"/>
      <c r="C296" s="285"/>
      <c r="D296" s="85"/>
      <c r="E296" s="85"/>
      <c r="F296" s="85"/>
      <c r="G296" s="3"/>
    </row>
    <row r="297" spans="1:7" ht="14.25">
      <c r="A297" s="124"/>
      <c r="B297" s="370" t="s">
        <v>294</v>
      </c>
      <c r="C297" s="285"/>
      <c r="D297" s="1125" t="s">
        <v>375</v>
      </c>
      <c r="E297" s="1125"/>
      <c r="F297" s="1125"/>
      <c r="G297" s="3"/>
    </row>
    <row r="298" spans="1:7">
      <c r="A298" s="285"/>
      <c r="B298" s="285"/>
      <c r="C298" s="285"/>
      <c r="D298" s="1125"/>
      <c r="E298" s="1125"/>
      <c r="F298" s="1125"/>
      <c r="G298" s="3"/>
    </row>
    <row r="299" spans="1:7">
      <c r="A299" s="285"/>
      <c r="B299" s="285"/>
      <c r="C299" s="285"/>
      <c r="D299" s="1125"/>
      <c r="E299" s="1125"/>
      <c r="F299" s="1125"/>
      <c r="G299" s="3"/>
    </row>
    <row r="300" spans="1:7">
      <c r="A300" s="285"/>
      <c r="B300" s="285"/>
      <c r="C300" s="285"/>
      <c r="D300" s="1125"/>
      <c r="E300" s="1125"/>
      <c r="F300" s="1125"/>
      <c r="G300" s="3"/>
    </row>
    <row r="301" spans="1:7">
      <c r="A301" s="285"/>
      <c r="B301" s="285"/>
      <c r="C301" s="285"/>
      <c r="D301" s="1125"/>
      <c r="E301" s="1125"/>
      <c r="F301" s="1125"/>
      <c r="G301" s="3"/>
    </row>
    <row r="302" spans="1:7">
      <c r="A302" s="285"/>
      <c r="B302" s="285"/>
      <c r="C302" s="285"/>
      <c r="D302" s="1125"/>
      <c r="E302" s="1125"/>
      <c r="F302" s="1125"/>
      <c r="G302" s="3"/>
    </row>
    <row r="303" spans="1:7">
      <c r="A303" s="285"/>
      <c r="B303" s="285"/>
      <c r="C303" s="285"/>
      <c r="D303" s="1125"/>
      <c r="E303" s="1125"/>
      <c r="F303" s="1125"/>
      <c r="G303" s="3"/>
    </row>
    <row r="304" spans="1:7">
      <c r="A304" s="285"/>
      <c r="B304" s="285"/>
      <c r="C304" s="285"/>
      <c r="D304" s="1125"/>
      <c r="E304" s="1125"/>
      <c r="F304" s="1125"/>
      <c r="G304" s="3"/>
    </row>
    <row r="305" spans="1:7">
      <c r="A305" s="285"/>
      <c r="B305" s="285"/>
      <c r="C305" s="285"/>
      <c r="D305" s="1125"/>
      <c r="E305" s="1125"/>
      <c r="F305" s="1125"/>
      <c r="G305" s="3"/>
    </row>
    <row r="306" spans="1:7">
      <c r="A306" s="285"/>
      <c r="B306" s="285"/>
      <c r="C306" s="285"/>
      <c r="D306" s="85"/>
      <c r="E306" s="85"/>
      <c r="F306" s="85"/>
      <c r="G306" s="3"/>
    </row>
    <row r="307" spans="1:7" ht="14.25">
      <c r="A307" s="124"/>
      <c r="B307" s="370" t="s">
        <v>294</v>
      </c>
      <c r="C307" s="285"/>
      <c r="D307" s="1125" t="s">
        <v>376</v>
      </c>
      <c r="E307" s="1125"/>
      <c r="F307" s="1125"/>
      <c r="G307" s="3"/>
    </row>
    <row r="308" spans="1:7">
      <c r="A308" s="285"/>
      <c r="B308" s="285"/>
      <c r="C308" s="285"/>
      <c r="D308" s="1125"/>
      <c r="E308" s="1125"/>
      <c r="F308" s="1125"/>
      <c r="G308"/>
    </row>
    <row r="309" spans="1:7">
      <c r="A309" s="285"/>
      <c r="B309" s="285"/>
      <c r="C309" s="285"/>
      <c r="D309" s="1125"/>
      <c r="E309" s="1125"/>
      <c r="F309" s="1125"/>
      <c r="G309"/>
    </row>
    <row r="310" spans="1:7">
      <c r="A310" s="285"/>
      <c r="B310" s="285"/>
      <c r="C310" s="285"/>
      <c r="D310" s="1125"/>
      <c r="E310" s="1125"/>
      <c r="F310" s="1125"/>
      <c r="G310"/>
    </row>
    <row r="311" spans="1:7">
      <c r="A311" s="285"/>
      <c r="B311" s="285"/>
      <c r="C311" s="285"/>
      <c r="D311" s="1125"/>
      <c r="E311" s="1125"/>
      <c r="F311" s="1125"/>
      <c r="G311"/>
    </row>
    <row r="312" spans="1:7">
      <c r="A312" s="285"/>
      <c r="B312" s="285"/>
      <c r="C312" s="285"/>
      <c r="D312" s="1125"/>
      <c r="E312" s="1125"/>
      <c r="F312" s="1125"/>
      <c r="G312"/>
    </row>
    <row r="313" spans="1:7">
      <c r="A313" s="285"/>
      <c r="B313" s="285"/>
      <c r="C313" s="285"/>
      <c r="D313" s="376"/>
      <c r="E313" s="376"/>
      <c r="F313" s="376"/>
      <c r="G313"/>
    </row>
    <row r="314" spans="1:7" ht="13.5" thickBot="1">
      <c r="A314" s="285"/>
      <c r="B314" s="285"/>
      <c r="C314" s="285"/>
      <c r="D314" s="1169" t="s">
        <v>377</v>
      </c>
      <c r="E314" s="1169"/>
      <c r="F314" s="1169"/>
      <c r="G314"/>
    </row>
    <row r="315" spans="1:7" ht="13.5" thickTop="1">
      <c r="A315" s="285"/>
      <c r="B315" s="285"/>
      <c r="C315" s="285"/>
      <c r="D315" s="1170" t="s">
        <v>378</v>
      </c>
      <c r="E315" s="1170"/>
      <c r="F315" s="1170"/>
      <c r="G315"/>
    </row>
    <row r="316" spans="1:7">
      <c r="A316" s="143"/>
      <c r="B316" s="143"/>
      <c r="C316" s="143"/>
      <c r="D316" s="145"/>
      <c r="E316" s="145"/>
      <c r="F316" s="85"/>
      <c r="G316"/>
    </row>
    <row r="317" spans="1:7" ht="14.25">
      <c r="A317" s="124"/>
      <c r="B317" s="370" t="s">
        <v>294</v>
      </c>
      <c r="C317" s="143"/>
      <c r="D317" s="1171" t="s">
        <v>379</v>
      </c>
      <c r="E317" s="1171"/>
      <c r="F317" s="1171"/>
      <c r="G317"/>
    </row>
    <row r="318" spans="1:7">
      <c r="A318" s="143"/>
      <c r="B318" s="143"/>
      <c r="C318" s="143"/>
      <c r="D318" s="145"/>
      <c r="E318" s="145"/>
      <c r="F318" s="85"/>
      <c r="G318"/>
    </row>
    <row r="319" spans="1:7">
      <c r="A319" s="143"/>
      <c r="B319" s="370" t="s">
        <v>294</v>
      </c>
      <c r="C319" s="143"/>
      <c r="D319" s="1127" t="s">
        <v>380</v>
      </c>
      <c r="E319" s="1127"/>
      <c r="F319" s="1127"/>
      <c r="G319"/>
    </row>
    <row r="320" spans="1:7">
      <c r="A320" s="143"/>
      <c r="B320" s="143"/>
      <c r="C320" s="143"/>
      <c r="D320" s="1127"/>
      <c r="E320" s="1127"/>
      <c r="F320" s="1127"/>
      <c r="G320"/>
    </row>
    <row r="321" spans="1:7">
      <c r="A321" s="143"/>
      <c r="B321" s="143"/>
      <c r="C321" s="143"/>
      <c r="D321" s="1127"/>
      <c r="E321" s="1127"/>
      <c r="F321" s="1127"/>
      <c r="G321"/>
    </row>
    <row r="322" spans="1:7">
      <c r="A322" s="143"/>
      <c r="B322" s="143"/>
      <c r="C322" s="143"/>
      <c r="D322" s="1127"/>
      <c r="E322" s="1127"/>
      <c r="F322" s="1127"/>
      <c r="G322"/>
    </row>
    <row r="323" spans="1:7">
      <c r="A323" s="143"/>
      <c r="B323" s="143"/>
      <c r="C323" s="143"/>
      <c r="D323" s="1127"/>
      <c r="E323" s="1127"/>
      <c r="F323" s="1127"/>
      <c r="G323"/>
    </row>
    <row r="324" spans="1:7">
      <c r="A324" s="143"/>
      <c r="B324" s="143"/>
      <c r="C324" s="143"/>
      <c r="D324" s="1127"/>
      <c r="E324" s="1127"/>
      <c r="F324" s="1127"/>
      <c r="G324"/>
    </row>
    <row r="325" spans="1:7">
      <c r="A325" s="143"/>
      <c r="B325" s="143"/>
      <c r="C325" s="143"/>
      <c r="D325" s="1127"/>
      <c r="E325" s="1127"/>
      <c r="F325" s="1127"/>
      <c r="G325"/>
    </row>
    <row r="326" spans="1:7">
      <c r="A326" s="143"/>
      <c r="B326" s="143"/>
      <c r="C326" s="143"/>
      <c r="D326" s="1127"/>
      <c r="E326" s="1127"/>
      <c r="F326" s="1127"/>
      <c r="G326"/>
    </row>
    <row r="327" spans="1:7">
      <c r="A327" s="143"/>
      <c r="B327" s="143"/>
      <c r="C327" s="143"/>
      <c r="D327" s="1127"/>
      <c r="E327" s="1127"/>
      <c r="F327" s="1127"/>
      <c r="G327"/>
    </row>
    <row r="328" spans="1:7">
      <c r="A328" s="143"/>
      <c r="B328" s="143"/>
      <c r="C328" s="143"/>
      <c r="D328" s="1127"/>
      <c r="E328" s="1127"/>
      <c r="F328" s="1127"/>
      <c r="G328"/>
    </row>
    <row r="329" spans="1:7">
      <c r="A329" s="143"/>
      <c r="B329" s="143"/>
      <c r="C329" s="143"/>
      <c r="D329" s="1127"/>
      <c r="E329" s="1127"/>
      <c r="F329" s="1127"/>
      <c r="G329"/>
    </row>
    <row r="330" spans="1:7">
      <c r="A330" s="143"/>
      <c r="B330" s="143"/>
      <c r="C330" s="143"/>
      <c r="D330"/>
      <c r="E330" s="145"/>
      <c r="F330" s="85"/>
      <c r="G330"/>
    </row>
    <row r="331" spans="1:7" ht="14.25">
      <c r="A331" s="124"/>
      <c r="B331" s="370" t="s">
        <v>294</v>
      </c>
      <c r="C331" s="143"/>
      <c r="D331" s="1127" t="s">
        <v>381</v>
      </c>
      <c r="E331" s="1127"/>
      <c r="F331" s="1127"/>
      <c r="G331"/>
    </row>
    <row r="332" spans="1:7">
      <c r="A332" s="143"/>
      <c r="B332" s="143"/>
      <c r="C332" s="143"/>
      <c r="D332" s="1127"/>
      <c r="E332" s="1127"/>
      <c r="F332" s="1127"/>
      <c r="G332"/>
    </row>
    <row r="333" spans="1:7">
      <c r="A333" s="143"/>
      <c r="B333" s="143"/>
      <c r="C333" s="143"/>
      <c r="D333" s="1127"/>
      <c r="E333" s="1127"/>
      <c r="F333" s="1127"/>
      <c r="G333"/>
    </row>
    <row r="334" spans="1:7">
      <c r="A334" s="143"/>
      <c r="B334" s="143"/>
      <c r="C334" s="143"/>
      <c r="D334" s="1127"/>
      <c r="E334" s="1127"/>
      <c r="F334" s="1127"/>
      <c r="G334"/>
    </row>
    <row r="335" spans="1:7">
      <c r="A335" s="143"/>
      <c r="B335" s="143"/>
      <c r="C335" s="143"/>
      <c r="D335" s="145"/>
      <c r="E335" s="145"/>
      <c r="F335" s="85"/>
      <c r="G335"/>
    </row>
    <row r="336" spans="1:7">
      <c r="A336" s="143"/>
      <c r="B336" s="143"/>
      <c r="C336" s="143"/>
      <c r="D336" s="1127" t="s">
        <v>382</v>
      </c>
      <c r="E336" s="1127"/>
      <c r="F336" s="1127"/>
      <c r="G336"/>
    </row>
    <row r="337" spans="1:7">
      <c r="A337" s="143"/>
      <c r="B337" s="143"/>
      <c r="C337" s="143"/>
      <c r="D337" s="1127"/>
      <c r="E337" s="1127"/>
      <c r="F337" s="1127"/>
      <c r="G337"/>
    </row>
    <row r="338" spans="1:7">
      <c r="A338" s="143"/>
      <c r="B338" s="143"/>
      <c r="C338" s="143"/>
      <c r="D338" s="1127"/>
      <c r="E338" s="1127"/>
      <c r="F338" s="1127"/>
      <c r="G338"/>
    </row>
    <row r="339" spans="1:7">
      <c r="A339" s="143"/>
      <c r="B339" s="143"/>
      <c r="C339" s="143"/>
      <c r="D339" s="1127"/>
      <c r="E339" s="1127"/>
      <c r="F339" s="1127"/>
      <c r="G339"/>
    </row>
    <row r="340" spans="1:7" ht="18" customHeight="1">
      <c r="A340" s="143"/>
      <c r="B340" s="143"/>
      <c r="C340" s="143"/>
      <c r="D340" s="1127"/>
      <c r="E340" s="1127"/>
      <c r="F340" s="1127"/>
      <c r="G340"/>
    </row>
    <row r="341" spans="1:7">
      <c r="A341" s="143"/>
      <c r="B341" s="143"/>
      <c r="C341" s="143"/>
      <c r="D341" s="1127"/>
      <c r="E341" s="1127"/>
      <c r="F341" s="1127"/>
      <c r="G341"/>
    </row>
    <row r="342" spans="1:7">
      <c r="A342" s="143"/>
      <c r="B342" s="143"/>
      <c r="C342" s="143"/>
      <c r="D342" s="1127"/>
      <c r="E342" s="1127"/>
      <c r="F342" s="1127"/>
      <c r="G342"/>
    </row>
    <row r="343" spans="1:7">
      <c r="A343" s="143"/>
      <c r="B343" s="143"/>
      <c r="C343" s="143"/>
      <c r="D343" s="1127"/>
      <c r="E343" s="1127"/>
      <c r="F343" s="1127"/>
      <c r="G343"/>
    </row>
    <row r="344" spans="1:7" ht="8.25" customHeight="1">
      <c r="A344" s="143"/>
      <c r="B344" s="143"/>
      <c r="C344" s="143"/>
      <c r="D344" s="1127"/>
      <c r="E344" s="1127"/>
      <c r="F344" s="1127"/>
      <c r="G344"/>
    </row>
    <row r="345" spans="1:7" ht="13.15" customHeight="1">
      <c r="A345" s="143"/>
      <c r="B345" s="143"/>
      <c r="C345" s="143"/>
      <c r="D345" s="1127" t="s">
        <v>383</v>
      </c>
      <c r="E345" s="1127"/>
      <c r="F345" s="1127"/>
      <c r="G345"/>
    </row>
    <row r="346" spans="1:7">
      <c r="A346" s="143"/>
      <c r="B346" s="143"/>
      <c r="C346" s="143"/>
      <c r="D346" s="1127"/>
      <c r="E346" s="1127"/>
      <c r="F346" s="1127"/>
      <c r="G346"/>
    </row>
    <row r="347" spans="1:7">
      <c r="A347" s="143"/>
      <c r="B347" s="143"/>
      <c r="C347" s="143"/>
      <c r="D347" s="1127"/>
      <c r="E347" s="1127"/>
      <c r="F347" s="1127"/>
      <c r="G347"/>
    </row>
    <row r="348" spans="1:7">
      <c r="A348" s="143"/>
      <c r="B348" s="143"/>
      <c r="C348" s="143"/>
      <c r="D348" s="1127"/>
      <c r="E348" s="1127"/>
      <c r="F348" s="1127"/>
      <c r="G348"/>
    </row>
    <row r="349" spans="1:7">
      <c r="A349" s="143"/>
      <c r="B349" s="143"/>
      <c r="C349" s="143"/>
      <c r="D349" s="1127"/>
      <c r="E349" s="1127"/>
      <c r="F349" s="1127"/>
      <c r="G349"/>
    </row>
    <row r="350" spans="1:7">
      <c r="A350" s="143"/>
      <c r="B350" s="143"/>
      <c r="C350" s="143"/>
      <c r="D350" s="1127"/>
      <c r="E350" s="1127"/>
      <c r="F350" s="1127"/>
      <c r="G350"/>
    </row>
    <row r="351" spans="1:7">
      <c r="A351" s="143"/>
      <c r="B351" s="143"/>
      <c r="C351" s="143"/>
      <c r="D351" s="1127"/>
      <c r="E351" s="1127"/>
      <c r="F351" s="1127"/>
      <c r="G351"/>
    </row>
    <row r="352" spans="1:7">
      <c r="A352" s="143"/>
      <c r="B352" s="143"/>
      <c r="C352" s="143"/>
      <c r="D352" s="1127"/>
      <c r="E352" s="1127"/>
      <c r="F352" s="1127"/>
      <c r="G352"/>
    </row>
    <row r="353" spans="1:7">
      <c r="A353" s="143"/>
      <c r="B353" s="143"/>
      <c r="C353" s="143"/>
      <c r="D353" s="1127"/>
      <c r="E353" s="1127"/>
      <c r="F353" s="1127"/>
      <c r="G353"/>
    </row>
    <row r="354" spans="1:7">
      <c r="A354" s="143"/>
      <c r="B354" s="143"/>
      <c r="C354" s="143"/>
      <c r="D354" s="1127"/>
      <c r="E354" s="1127"/>
      <c r="F354" s="1127"/>
      <c r="G354"/>
    </row>
    <row r="355" spans="1:7">
      <c r="A355" s="143"/>
      <c r="B355" s="143"/>
      <c r="C355" s="143"/>
      <c r="D355" s="1127"/>
      <c r="E355" s="1127"/>
      <c r="F355" s="1127"/>
      <c r="G355"/>
    </row>
    <row r="356" spans="1:7">
      <c r="A356" s="143"/>
      <c r="B356" s="143"/>
      <c r="C356" s="143"/>
      <c r="D356" s="1127"/>
      <c r="E356" s="1127"/>
      <c r="F356" s="1127"/>
      <c r="G356"/>
    </row>
    <row r="357" spans="1:7">
      <c r="A357" s="143"/>
      <c r="B357" s="143"/>
      <c r="C357" s="249"/>
      <c r="D357" s="1127"/>
      <c r="E357" s="1127"/>
      <c r="F357" s="1127"/>
      <c r="G357"/>
    </row>
    <row r="358" spans="1:7">
      <c r="A358" s="143"/>
      <c r="B358" s="143"/>
      <c r="C358" s="249"/>
      <c r="D358" s="1127"/>
      <c r="E358" s="1127"/>
      <c r="F358" s="1127"/>
      <c r="G358"/>
    </row>
    <row r="359" spans="1:7">
      <c r="A359" s="143"/>
      <c r="B359" s="143"/>
      <c r="C359" s="143"/>
      <c r="D359" s="1127"/>
      <c r="E359" s="1127"/>
      <c r="F359" s="1127"/>
      <c r="G359"/>
    </row>
    <row r="360" spans="1:7">
      <c r="A360" s="143"/>
      <c r="B360" s="143"/>
      <c r="C360" s="249"/>
      <c r="D360" s="1127"/>
      <c r="E360" s="1127"/>
      <c r="F360" s="1127"/>
      <c r="G360"/>
    </row>
    <row r="361" spans="1:7">
      <c r="A361" s="143"/>
      <c r="B361" s="143"/>
      <c r="C361" s="249"/>
      <c r="D361" s="1127"/>
      <c r="E361" s="1127"/>
      <c r="F361" s="1127"/>
      <c r="G361"/>
    </row>
    <row r="362" spans="1:7">
      <c r="A362" s="143"/>
      <c r="B362" s="143"/>
      <c r="C362" s="249"/>
      <c r="D362" s="1127"/>
      <c r="E362" s="1127"/>
      <c r="F362" s="1127"/>
      <c r="G362"/>
    </row>
    <row r="363" spans="1:7">
      <c r="A363" s="143"/>
      <c r="B363" s="143"/>
      <c r="C363" s="143"/>
      <c r="D363" s="145"/>
      <c r="E363" s="145"/>
      <c r="F363" s="85"/>
      <c r="G363"/>
    </row>
    <row r="364" spans="1:7">
      <c r="A364" s="143"/>
      <c r="B364" s="370" t="s">
        <v>294</v>
      </c>
      <c r="C364" s="143"/>
      <c r="D364" s="1127" t="s">
        <v>384</v>
      </c>
      <c r="E364" s="1127"/>
      <c r="F364" s="1127"/>
      <c r="G364"/>
    </row>
    <row r="365" spans="1:7">
      <c r="A365" s="143"/>
      <c r="B365" s="143"/>
      <c r="C365" s="143"/>
      <c r="D365" s="1127"/>
      <c r="E365" s="1127"/>
      <c r="F365" s="1127"/>
      <c r="G365"/>
    </row>
    <row r="366" spans="1:7">
      <c r="A366" s="143"/>
      <c r="B366" s="143"/>
      <c r="C366" s="143"/>
      <c r="D366" s="145"/>
      <c r="E366" s="145"/>
      <c r="F366" s="85"/>
      <c r="G366"/>
    </row>
    <row r="367" spans="1:7" ht="14.25">
      <c r="A367" s="124"/>
      <c r="B367" s="370" t="s">
        <v>294</v>
      </c>
      <c r="C367" s="143"/>
      <c r="D367" s="1127" t="s">
        <v>385</v>
      </c>
      <c r="E367" s="1127"/>
      <c r="F367" s="1127"/>
      <c r="G367"/>
    </row>
    <row r="368" spans="1:7" ht="14.25">
      <c r="A368" s="248"/>
      <c r="B368" s="248"/>
      <c r="C368" s="143"/>
      <c r="D368" s="1127"/>
      <c r="E368" s="1127"/>
      <c r="F368" s="1127"/>
      <c r="G368"/>
    </row>
    <row r="369" spans="1:7" ht="14.25">
      <c r="A369" s="248"/>
      <c r="B369" s="248"/>
      <c r="C369" s="143"/>
      <c r="D369" s="1127"/>
      <c r="E369" s="1127"/>
      <c r="F369" s="1127"/>
      <c r="G369"/>
    </row>
    <row r="370" spans="1:7" ht="14.25">
      <c r="A370" s="248"/>
      <c r="B370" s="248"/>
      <c r="C370" s="143"/>
      <c r="D370" s="1127"/>
      <c r="E370" s="1127"/>
      <c r="F370" s="1127"/>
      <c r="G370"/>
    </row>
    <row r="371" spans="1:7" ht="14.25">
      <c r="A371" s="248"/>
      <c r="B371" s="248"/>
      <c r="C371" s="143"/>
      <c r="D371" s="1127"/>
      <c r="E371" s="1127"/>
      <c r="F371" s="1127"/>
      <c r="G371"/>
    </row>
    <row r="372" spans="1:7">
      <c r="A372" s="285"/>
      <c r="B372" s="285"/>
      <c r="C372" s="285"/>
      <c r="D372" s="85"/>
      <c r="E372" s="85"/>
      <c r="F372" s="85"/>
      <c r="G372"/>
    </row>
    <row r="373" spans="1:7" ht="14.25">
      <c r="A373" s="124"/>
      <c r="B373" s="370" t="s">
        <v>294</v>
      </c>
      <c r="C373" s="950"/>
      <c r="D373" s="1125" t="s">
        <v>386</v>
      </c>
      <c r="E373" s="1125"/>
      <c r="F373" s="1125"/>
      <c r="G373"/>
    </row>
    <row r="374" spans="1:7" ht="14.25">
      <c r="A374" s="124"/>
      <c r="B374" s="124"/>
      <c r="C374" s="285"/>
      <c r="D374" s="1125"/>
      <c r="E374" s="1125"/>
      <c r="F374" s="1125"/>
      <c r="G374"/>
    </row>
    <row r="375" spans="1:7">
      <c r="A375" s="285"/>
      <c r="B375" s="285"/>
      <c r="C375" s="285"/>
      <c r="D375" s="1125"/>
      <c r="E375" s="1125"/>
      <c r="F375" s="1125"/>
      <c r="G375"/>
    </row>
    <row r="376" spans="1:7">
      <c r="A376" s="285"/>
      <c r="B376" s="285"/>
      <c r="C376" s="285"/>
      <c r="D376" s="1125"/>
      <c r="E376" s="1125"/>
      <c r="F376" s="1125"/>
      <c r="G376"/>
    </row>
    <row r="377" spans="1:7">
      <c r="A377" s="285"/>
      <c r="B377" s="285"/>
      <c r="C377" s="285"/>
      <c r="D377" s="1125"/>
      <c r="E377" s="1125"/>
      <c r="F377" s="1125"/>
      <c r="G377"/>
    </row>
    <row r="378" spans="1:7">
      <c r="A378" s="285"/>
      <c r="B378" s="285"/>
      <c r="C378" s="285"/>
      <c r="D378" s="1125"/>
      <c r="E378" s="1125"/>
      <c r="F378" s="1125"/>
      <c r="G378"/>
    </row>
    <row r="379" spans="1:7">
      <c r="A379" s="285"/>
      <c r="B379" s="285"/>
      <c r="C379" s="285"/>
      <c r="D379" s="1125"/>
      <c r="E379" s="1125"/>
      <c r="F379" s="1125"/>
      <c r="G379"/>
    </row>
    <row r="380" spans="1:7">
      <c r="A380" s="285"/>
      <c r="B380" s="285"/>
      <c r="C380" s="285"/>
      <c r="D380" s="1125"/>
      <c r="E380" s="1125"/>
      <c r="F380" s="1125"/>
      <c r="G380"/>
    </row>
    <row r="381" spans="1:7">
      <c r="A381" s="285"/>
      <c r="B381" s="285"/>
      <c r="C381" s="285"/>
      <c r="D381" s="1125"/>
      <c r="E381" s="1125"/>
      <c r="F381" s="1125"/>
      <c r="G381"/>
    </row>
    <row r="382" spans="1:7">
      <c r="A382" s="285"/>
      <c r="B382" s="285"/>
      <c r="C382" s="285"/>
      <c r="D382" s="1125"/>
      <c r="E382" s="1125"/>
      <c r="F382" s="1125"/>
      <c r="G382"/>
    </row>
    <row r="383" spans="1:7">
      <c r="A383" s="285"/>
      <c r="B383" s="285"/>
      <c r="C383" s="285"/>
      <c r="D383" s="1125"/>
      <c r="E383" s="1125"/>
      <c r="F383" s="1125"/>
      <c r="G383"/>
    </row>
    <row r="384" spans="1:7">
      <c r="A384" s="285"/>
      <c r="B384" s="285"/>
      <c r="C384" s="285"/>
      <c r="D384" s="1125"/>
      <c r="E384" s="1125"/>
      <c r="F384" s="1125"/>
      <c r="G384"/>
    </row>
    <row r="385" spans="1:7">
      <c r="A385" s="285"/>
      <c r="B385" s="285"/>
      <c r="C385" s="285"/>
      <c r="D385" s="1125"/>
      <c r="E385" s="1125"/>
      <c r="F385" s="1125"/>
      <c r="G385"/>
    </row>
    <row r="386" spans="1:7">
      <c r="A386"/>
      <c r="B386"/>
      <c r="C386"/>
      <c r="D386" s="1125"/>
      <c r="E386" s="1125"/>
      <c r="F386" s="1125"/>
      <c r="G386"/>
    </row>
    <row r="387" spans="1:7">
      <c r="A387"/>
      <c r="B387"/>
      <c r="C387"/>
      <c r="D387" s="1125"/>
      <c r="E387" s="1125"/>
      <c r="F387" s="1125"/>
      <c r="G387"/>
    </row>
    <row r="388" spans="1:7">
      <c r="A388"/>
      <c r="B388"/>
      <c r="C388"/>
      <c r="D388" s="1125"/>
      <c r="E388" s="1125"/>
      <c r="F388" s="1125"/>
      <c r="G388"/>
    </row>
    <row r="389" spans="1:7">
      <c r="A389"/>
      <c r="B389"/>
      <c r="C389"/>
      <c r="D389" s="1125"/>
      <c r="E389" s="1125"/>
      <c r="F389" s="1125"/>
      <c r="G389"/>
    </row>
    <row r="390" spans="1:7">
      <c r="A390"/>
      <c r="B390"/>
      <c r="C390"/>
      <c r="D390" s="1125"/>
      <c r="E390" s="1125"/>
      <c r="F390" s="1125"/>
      <c r="G390"/>
    </row>
    <row r="391" spans="1:7">
      <c r="A391"/>
      <c r="B391"/>
      <c r="C391"/>
      <c r="D391" s="1125"/>
      <c r="E391" s="1125"/>
      <c r="F391" s="1125"/>
      <c r="G391"/>
    </row>
    <row r="392" spans="1:7">
      <c r="A392"/>
      <c r="B392"/>
      <c r="C392"/>
      <c r="D392" s="1125"/>
      <c r="E392" s="1125"/>
      <c r="F392" s="1125"/>
      <c r="G392"/>
    </row>
    <row r="393" spans="1:7">
      <c r="A393"/>
      <c r="B393"/>
      <c r="C393"/>
      <c r="D393" s="1125"/>
      <c r="E393" s="1125"/>
      <c r="F393" s="1125"/>
      <c r="G393"/>
    </row>
    <row r="394" spans="1:7">
      <c r="A394"/>
      <c r="B394"/>
      <c r="C394"/>
      <c r="D394" s="1125"/>
      <c r="E394" s="1125"/>
      <c r="F394" s="1125"/>
      <c r="G394"/>
    </row>
    <row r="395" spans="1:7">
      <c r="A395"/>
      <c r="B395"/>
      <c r="C395"/>
      <c r="D395" s="1125"/>
      <c r="E395" s="1125"/>
      <c r="F395" s="1125"/>
      <c r="G395"/>
    </row>
    <row r="396" spans="1:7">
      <c r="A396"/>
      <c r="B396"/>
      <c r="C396"/>
      <c r="D396" s="1125"/>
      <c r="E396" s="1125"/>
      <c r="F396" s="1125"/>
      <c r="G396"/>
    </row>
    <row r="397" spans="1:7">
      <c r="A397"/>
      <c r="B397"/>
      <c r="C397"/>
      <c r="D397" s="1125"/>
      <c r="E397" s="1125"/>
      <c r="F397" s="1125"/>
      <c r="G397"/>
    </row>
    <row r="398" spans="1:7">
      <c r="A398"/>
      <c r="B398"/>
      <c r="C398"/>
      <c r="D398" s="1125"/>
      <c r="E398" s="1125"/>
      <c r="F398" s="1125"/>
      <c r="G398"/>
    </row>
    <row r="399" spans="1:7">
      <c r="A399"/>
      <c r="B399"/>
      <c r="C399"/>
      <c r="D399" s="1125"/>
      <c r="E399" s="1125"/>
      <c r="F399" s="1125"/>
      <c r="G399"/>
    </row>
    <row r="400" spans="1:7">
      <c r="A400"/>
      <c r="B400"/>
      <c r="C400"/>
      <c r="D400" s="1125"/>
      <c r="E400" s="1125"/>
      <c r="F400" s="1125"/>
      <c r="G400"/>
    </row>
    <row r="401" spans="1:7">
      <c r="A401"/>
      <c r="B401"/>
      <c r="C401"/>
      <c r="D401" s="1125"/>
      <c r="E401" s="1125"/>
      <c r="F401" s="1125"/>
      <c r="G401"/>
    </row>
    <row r="402" spans="1:7">
      <c r="A402" s="285"/>
      <c r="B402" s="285"/>
      <c r="C402" s="285"/>
      <c r="D402" s="1125"/>
      <c r="E402" s="1125"/>
      <c r="F402" s="1125"/>
      <c r="G402" s="3"/>
    </row>
    <row r="403" spans="1:7" ht="40.700000000000003" customHeight="1">
      <c r="A403" s="285"/>
      <c r="B403" s="285"/>
      <c r="C403" s="285"/>
      <c r="D403" s="1125"/>
      <c r="E403" s="1125"/>
      <c r="F403" s="1125"/>
      <c r="G403" s="3"/>
    </row>
    <row r="404" spans="1:7">
      <c r="A404" s="285"/>
      <c r="B404" s="285"/>
      <c r="C404" s="285"/>
      <c r="D404" s="85"/>
      <c r="E404" s="85"/>
      <c r="F404" s="85"/>
      <c r="G404" s="3"/>
    </row>
    <row r="405" spans="1:7" ht="14.25">
      <c r="A405" s="124"/>
      <c r="B405" s="370" t="s">
        <v>294</v>
      </c>
      <c r="C405" s="950"/>
      <c r="D405" s="1144" t="s">
        <v>387</v>
      </c>
      <c r="E405" s="1144"/>
      <c r="F405" s="1144"/>
      <c r="G405" s="3"/>
    </row>
    <row r="406" spans="1:7">
      <c r="A406" s="285"/>
      <c r="B406" s="285"/>
      <c r="C406" s="285"/>
      <c r="D406" s="1168" t="s">
        <v>388</v>
      </c>
      <c r="E406" s="1168"/>
      <c r="F406" s="1168"/>
      <c r="G406" s="3"/>
    </row>
    <row r="407" spans="1:7">
      <c r="A407" s="285"/>
      <c r="B407" s="285"/>
      <c r="C407" s="285"/>
      <c r="D407" s="1125" t="s">
        <v>389</v>
      </c>
      <c r="E407" s="1125"/>
      <c r="F407" s="1125"/>
      <c r="G407" s="3"/>
    </row>
    <row r="408" spans="1:7">
      <c r="A408" s="285"/>
      <c r="B408" s="285"/>
      <c r="C408" s="285"/>
      <c r="D408" s="1125"/>
      <c r="E408" s="1125"/>
      <c r="F408" s="1125"/>
      <c r="G408" s="3"/>
    </row>
    <row r="409" spans="1:7">
      <c r="A409" s="285"/>
      <c r="B409" s="285"/>
      <c r="C409" s="285"/>
      <c r="D409" s="1125"/>
      <c r="E409" s="1125"/>
      <c r="F409" s="1125"/>
      <c r="G409" s="3"/>
    </row>
    <row r="410" spans="1:7">
      <c r="A410" s="285"/>
      <c r="B410" s="285"/>
      <c r="C410" s="285"/>
      <c r="D410" s="1125"/>
      <c r="E410" s="1125"/>
      <c r="F410" s="1125"/>
      <c r="G410" s="3"/>
    </row>
    <row r="411" spans="1:7">
      <c r="A411" s="285"/>
      <c r="B411" s="285"/>
      <c r="C411" s="285"/>
      <c r="D411" s="85"/>
      <c r="E411" s="85"/>
      <c r="F411" s="85"/>
      <c r="G411"/>
    </row>
    <row r="412" spans="1:7" ht="14.25">
      <c r="A412" s="124"/>
      <c r="B412" s="370" t="s">
        <v>294</v>
      </c>
      <c r="C412" s="950"/>
      <c r="D412" s="1125" t="s">
        <v>390</v>
      </c>
      <c r="E412" s="1125"/>
      <c r="F412" s="1125"/>
      <c r="G412"/>
    </row>
    <row r="413" spans="1:7">
      <c r="A413" s="285"/>
      <c r="B413" s="285"/>
      <c r="C413" s="285"/>
      <c r="D413" s="1125"/>
      <c r="E413" s="1125"/>
      <c r="F413" s="1125"/>
      <c r="G413"/>
    </row>
    <row r="414" spans="1:7">
      <c r="A414" s="285"/>
      <c r="B414" s="285"/>
      <c r="C414" s="285"/>
      <c r="D414" s="1125"/>
      <c r="E414" s="1125"/>
      <c r="F414" s="1125"/>
      <c r="G414"/>
    </row>
    <row r="415" spans="1:7">
      <c r="A415" s="285"/>
      <c r="B415" s="285"/>
      <c r="C415" s="285"/>
      <c r="D415" s="376"/>
      <c r="E415" s="376"/>
      <c r="F415" s="376"/>
      <c r="G415"/>
    </row>
    <row r="416" spans="1:7" ht="14.25">
      <c r="A416" s="285"/>
      <c r="B416" s="370" t="s">
        <v>294</v>
      </c>
      <c r="C416" s="124"/>
      <c r="D416" s="1125" t="s">
        <v>391</v>
      </c>
      <c r="E416" s="1125"/>
      <c r="F416" s="1125"/>
      <c r="G416"/>
    </row>
    <row r="417" spans="1:7">
      <c r="A417" s="285"/>
      <c r="B417" s="285"/>
      <c r="C417" s="285"/>
      <c r="D417" s="1125"/>
      <c r="E417" s="1125"/>
      <c r="F417" s="1125"/>
      <c r="G417"/>
    </row>
    <row r="418" spans="1:7">
      <c r="A418" s="285"/>
      <c r="B418" s="285"/>
      <c r="C418" s="285"/>
      <c r="D418" s="85"/>
      <c r="E418" s="85"/>
      <c r="F418" s="85"/>
      <c r="G418"/>
    </row>
    <row r="419" spans="1:7" ht="14.25">
      <c r="A419" s="285"/>
      <c r="B419" s="370" t="s">
        <v>294</v>
      </c>
      <c r="C419" s="124"/>
      <c r="D419" s="1125" t="s">
        <v>392</v>
      </c>
      <c r="E419" s="1125"/>
      <c r="F419" s="1125"/>
      <c r="G419"/>
    </row>
    <row r="420" spans="1:7">
      <c r="A420" s="285"/>
      <c r="B420" s="285"/>
      <c r="C420" s="285"/>
      <c r="D420" s="1125"/>
      <c r="E420" s="1125"/>
      <c r="F420" s="1125"/>
      <c r="G420"/>
    </row>
    <row r="421" spans="1:7">
      <c r="A421" s="285"/>
      <c r="B421" s="285"/>
      <c r="C421" s="285"/>
      <c r="D421" s="1125"/>
      <c r="E421" s="1125"/>
      <c r="F421" s="1125"/>
      <c r="G421"/>
    </row>
    <row r="422" spans="1:7">
      <c r="A422" s="285"/>
      <c r="B422" s="285"/>
      <c r="C422" s="285"/>
      <c r="D422" s="1125"/>
      <c r="E422" s="1125"/>
      <c r="F422" s="1125"/>
      <c r="G422"/>
    </row>
    <row r="423" spans="1:7">
      <c r="A423" s="285"/>
      <c r="B423" s="370" t="s">
        <v>294</v>
      </c>
      <c r="C423" s="285"/>
      <c r="D423" s="1125"/>
      <c r="E423" s="1125"/>
      <c r="F423" s="1125"/>
      <c r="G423"/>
    </row>
    <row r="424" spans="1:7">
      <c r="A424"/>
      <c r="B424"/>
      <c r="C424"/>
      <c r="D424" s="1125"/>
      <c r="E424" s="1125"/>
      <c r="F424" s="1125"/>
      <c r="G424"/>
    </row>
    <row r="425" spans="1:7">
      <c r="A425"/>
      <c r="B425" s="285"/>
      <c r="C425"/>
      <c r="D425" s="1125"/>
      <c r="E425" s="1125"/>
      <c r="F425" s="1125"/>
      <c r="G425"/>
    </row>
    <row r="426" spans="1:7">
      <c r="A426"/>
      <c r="B426" s="370" t="s">
        <v>294</v>
      </c>
      <c r="C426"/>
      <c r="D426" s="1125"/>
      <c r="E426" s="1125"/>
      <c r="F426" s="1125"/>
      <c r="G426"/>
    </row>
    <row r="427" spans="1:7">
      <c r="A427"/>
      <c r="B427"/>
      <c r="C427"/>
      <c r="D427" s="1125"/>
      <c r="E427" s="1125"/>
      <c r="F427" s="1125"/>
      <c r="G427"/>
    </row>
    <row r="428" spans="1:7">
      <c r="A428"/>
      <c r="B428" s="285"/>
      <c r="C428"/>
      <c r="D428" s="1125"/>
      <c r="E428" s="1125"/>
      <c r="F428" s="1125"/>
      <c r="G428"/>
    </row>
    <row r="429" spans="1:7">
      <c r="A429"/>
      <c r="B429" s="285"/>
      <c r="C429"/>
      <c r="D429" s="1125"/>
      <c r="E429" s="1125"/>
      <c r="F429" s="1125"/>
      <c r="G429"/>
    </row>
    <row r="430" spans="1:7">
      <c r="A430"/>
      <c r="B430" s="370" t="s">
        <v>294</v>
      </c>
      <c r="C430"/>
      <c r="D430" s="1125"/>
      <c r="E430" s="1125"/>
      <c r="F430" s="1125"/>
      <c r="G430"/>
    </row>
    <row r="431" spans="1:7">
      <c r="A431"/>
      <c r="B431"/>
      <c r="C431"/>
      <c r="D431" s="1125"/>
      <c r="E431" s="1125"/>
      <c r="F431" s="1125"/>
      <c r="G431"/>
    </row>
    <row r="432" spans="1:7">
      <c r="A432"/>
      <c r="B432" s="370" t="s">
        <v>294</v>
      </c>
      <c r="C432"/>
      <c r="D432" s="1125"/>
      <c r="E432" s="1125"/>
      <c r="F432" s="1125"/>
      <c r="G432"/>
    </row>
    <row r="433" spans="1:7">
      <c r="A433"/>
      <c r="B433"/>
      <c r="C433"/>
      <c r="D433" s="376"/>
      <c r="E433" s="376"/>
      <c r="F433" s="376"/>
      <c r="G433"/>
    </row>
    <row r="434" spans="1:7">
      <c r="A434"/>
      <c r="B434" s="370" t="s">
        <v>294</v>
      </c>
      <c r="C434"/>
      <c r="D434" s="1125" t="s">
        <v>393</v>
      </c>
      <c r="E434" s="1125"/>
      <c r="F434" s="1125"/>
      <c r="G434"/>
    </row>
    <row r="435" spans="1:7">
      <c r="A435"/>
      <c r="B435"/>
      <c r="C435"/>
      <c r="D435" s="1125"/>
      <c r="E435" s="1125"/>
      <c r="F435" s="1125"/>
      <c r="G435"/>
    </row>
    <row r="436" spans="1:7">
      <c r="A436"/>
      <c r="B436"/>
      <c r="C436"/>
      <c r="D436" s="1125"/>
      <c r="E436" s="1125"/>
      <c r="F436" s="1125"/>
      <c r="G436"/>
    </row>
    <row r="437" spans="1:7">
      <c r="A437"/>
      <c r="B437"/>
      <c r="C437"/>
      <c r="D437" s="1125"/>
      <c r="E437" s="1125"/>
      <c r="F437" s="1125"/>
      <c r="G437"/>
    </row>
    <row r="438" spans="1:7">
      <c r="A438" s="285"/>
      <c r="B438" s="285"/>
      <c r="C438" s="285"/>
      <c r="D438" s="1125"/>
      <c r="E438" s="1125"/>
      <c r="F438" s="1125"/>
      <c r="G438" s="3"/>
    </row>
    <row r="439" spans="1:7">
      <c r="A439" s="285"/>
      <c r="B439" s="285"/>
      <c r="C439" s="285"/>
      <c r="D439" s="85"/>
      <c r="E439" s="85"/>
      <c r="F439" s="85"/>
      <c r="G439" s="3"/>
    </row>
    <row r="440" spans="1:7">
      <c r="A440" s="285"/>
      <c r="B440" s="370" t="s">
        <v>294</v>
      </c>
      <c r="C440" s="285"/>
      <c r="D440" s="1144" t="s">
        <v>394</v>
      </c>
      <c r="E440" s="1144"/>
      <c r="F440" s="1144"/>
      <c r="G440" s="3"/>
    </row>
    <row r="441" spans="1:7">
      <c r="A441" s="85"/>
      <c r="B441" s="85"/>
      <c r="C441" s="285"/>
      <c r="D441" s="3"/>
      <c r="E441" s="3"/>
      <c r="F441" s="3"/>
      <c r="G441" s="3"/>
    </row>
    <row r="442" spans="1:7">
      <c r="A442" s="1145" t="s">
        <v>395</v>
      </c>
      <c r="B442" s="1145"/>
      <c r="C442" s="1145"/>
      <c r="D442" s="1145"/>
      <c r="E442" s="1145"/>
      <c r="F442" s="1145"/>
      <c r="G442" s="1145"/>
    </row>
    <row r="443" spans="1:7">
      <c r="A443" s="85"/>
      <c r="B443" s="85"/>
      <c r="C443" s="285"/>
      <c r="D443" s="3"/>
      <c r="E443" s="3"/>
      <c r="F443" s="3"/>
      <c r="G443" s="3"/>
    </row>
    <row r="444" spans="1:7">
      <c r="A444" s="285"/>
      <c r="B444" s="285"/>
      <c r="C444" s="285"/>
      <c r="D444" s="1174" t="s">
        <v>396</v>
      </c>
      <c r="E444" s="1174"/>
      <c r="F444" s="1174"/>
      <c r="G444" s="3"/>
    </row>
    <row r="445" spans="1:7" ht="14.25">
      <c r="A445" s="124"/>
      <c r="B445" s="124"/>
      <c r="C445" s="285"/>
      <c r="D445" s="1171" t="s">
        <v>397</v>
      </c>
      <c r="E445" s="1171"/>
      <c r="F445" s="1171"/>
      <c r="G445" s="3"/>
    </row>
    <row r="446" spans="1:7" ht="14.25">
      <c r="A446" s="124"/>
      <c r="B446" s="124"/>
      <c r="C446" s="285"/>
      <c r="D446" s="382"/>
      <c r="E446" s="3"/>
      <c r="F446" s="3"/>
      <c r="G446" s="3"/>
    </row>
    <row r="447" spans="1:7" ht="14.25">
      <c r="A447" s="124"/>
      <c r="B447" s="370" t="s">
        <v>294</v>
      </c>
      <c r="C447" s="285"/>
      <c r="D447" s="1127" t="s">
        <v>398</v>
      </c>
      <c r="E447" s="1127"/>
      <c r="F447" s="1127"/>
      <c r="G447" s="3"/>
    </row>
    <row r="448" spans="1:7" ht="14.25">
      <c r="A448" s="124"/>
      <c r="B448" s="124"/>
      <c r="C448" s="285"/>
      <c r="D448" s="1127"/>
      <c r="E448" s="1127"/>
      <c r="F448" s="1127"/>
      <c r="G448" s="3"/>
    </row>
    <row r="449" spans="1:7" ht="14.25">
      <c r="A449" s="124"/>
      <c r="B449" s="124"/>
      <c r="C449" s="285"/>
      <c r="D449" s="85"/>
      <c r="E449" s="3"/>
      <c r="F449" s="3"/>
      <c r="G449" s="3"/>
    </row>
    <row r="450" spans="1:7">
      <c r="A450" s="285"/>
      <c r="B450" s="370" t="s">
        <v>294</v>
      </c>
      <c r="C450" s="285"/>
      <c r="D450" s="1159" t="s">
        <v>399</v>
      </c>
      <c r="E450" s="1159"/>
      <c r="F450" s="1159"/>
      <c r="G450" s="3"/>
    </row>
    <row r="451" spans="1:7" ht="14.25">
      <c r="A451" s="124"/>
      <c r="B451" s="285"/>
      <c r="C451" s="285"/>
      <c r="D451" s="1159"/>
      <c r="E451" s="1159"/>
      <c r="F451" s="1159"/>
      <c r="G451" s="3"/>
    </row>
    <row r="452" spans="1:7" ht="14.25">
      <c r="A452" s="124"/>
      <c r="B452" s="124"/>
      <c r="C452" s="285"/>
      <c r="D452" s="1159"/>
      <c r="E452" s="1159"/>
      <c r="F452" s="1159"/>
      <c r="G452" s="3"/>
    </row>
    <row r="453" spans="1:7" ht="14.25">
      <c r="A453" s="124"/>
      <c r="B453" s="124"/>
      <c r="C453" s="285"/>
      <c r="D453" s="1159"/>
      <c r="E453" s="1159"/>
      <c r="F453" s="1159"/>
      <c r="G453" s="3"/>
    </row>
    <row r="454" spans="1:7">
      <c r="A454" s="285"/>
      <c r="B454" s="285"/>
      <c r="C454" s="285"/>
      <c r="D454" s="3"/>
      <c r="E454" s="3"/>
      <c r="F454" s="3"/>
      <c r="G454"/>
    </row>
    <row r="455" spans="1:7" ht="14.25">
      <c r="A455" s="124"/>
      <c r="B455" s="370" t="s">
        <v>294</v>
      </c>
      <c r="C455" s="285"/>
      <c r="D455" s="1125" t="s">
        <v>400</v>
      </c>
      <c r="E455" s="1125"/>
      <c r="F455" s="1125"/>
      <c r="G455"/>
    </row>
    <row r="456" spans="1:7" ht="14.25">
      <c r="A456" s="124"/>
      <c r="B456" s="124"/>
      <c r="C456" s="285"/>
      <c r="D456" s="1125"/>
      <c r="E456" s="1125"/>
      <c r="F456" s="1125"/>
      <c r="G456"/>
    </row>
    <row r="457" spans="1:7" ht="14.25">
      <c r="A457" s="124"/>
      <c r="B457" s="285"/>
      <c r="C457" s="285"/>
      <c r="D457" s="1125"/>
      <c r="E457" s="1125"/>
      <c r="F457" s="1125"/>
      <c r="G457"/>
    </row>
    <row r="458" spans="1:7" ht="14.25">
      <c r="A458" s="124"/>
      <c r="B458" s="124"/>
      <c r="C458" s="285"/>
      <c r="D458" s="3"/>
      <c r="E458" s="3"/>
      <c r="F458" s="3"/>
      <c r="G458"/>
    </row>
    <row r="459" spans="1:7" ht="14.25">
      <c r="A459" s="124"/>
      <c r="B459" s="370" t="s">
        <v>294</v>
      </c>
      <c r="C459" s="285"/>
      <c r="D459" s="1144" t="s">
        <v>401</v>
      </c>
      <c r="E459" s="1144"/>
      <c r="F459" s="1144"/>
      <c r="G459"/>
    </row>
    <row r="460" spans="1:7" ht="14.25">
      <c r="A460" s="124"/>
      <c r="B460" s="124"/>
      <c r="C460" s="285"/>
      <c r="D460" s="85"/>
      <c r="E460" s="3"/>
      <c r="F460" s="3"/>
      <c r="G460"/>
    </row>
    <row r="461" spans="1:7" ht="14.25">
      <c r="A461" s="124"/>
      <c r="B461" s="370" t="s">
        <v>294</v>
      </c>
      <c r="C461" s="285"/>
      <c r="D461" s="1125" t="s">
        <v>402</v>
      </c>
      <c r="E461" s="1125"/>
      <c r="F461" s="1125"/>
      <c r="G461"/>
    </row>
    <row r="462" spans="1:7" ht="14.25">
      <c r="A462" s="124"/>
      <c r="B462" s="285"/>
      <c r="C462" s="285"/>
      <c r="D462" s="1125"/>
      <c r="E462" s="1125"/>
      <c r="F462" s="1125"/>
      <c r="G462"/>
    </row>
    <row r="463" spans="1:7">
      <c r="A463" s="13"/>
      <c r="B463" s="13"/>
      <c r="C463" s="285"/>
      <c r="D463" s="382"/>
      <c r="E463" s="3"/>
      <c r="F463" s="3"/>
      <c r="G463"/>
    </row>
    <row r="464" spans="1:7">
      <c r="A464" s="13"/>
      <c r="B464" s="370" t="s">
        <v>294</v>
      </c>
      <c r="C464" s="285"/>
      <c r="D464" s="1144" t="s">
        <v>403</v>
      </c>
      <c r="E464" s="1144"/>
      <c r="F464" s="1144"/>
      <c r="G464"/>
    </row>
    <row r="465" spans="1:7" ht="14.25">
      <c r="A465" s="124"/>
      <c r="B465" s="124"/>
      <c r="C465" s="285"/>
      <c r="D465" s="85"/>
      <c r="E465" s="3"/>
      <c r="F465" s="3"/>
      <c r="G465" s="3"/>
    </row>
    <row r="466" spans="1:7">
      <c r="A466" s="1145" t="s">
        <v>404</v>
      </c>
      <c r="B466" s="1145"/>
      <c r="C466" s="1145"/>
      <c r="D466" s="1145"/>
      <c r="E466" s="1145"/>
      <c r="F466" s="1145"/>
      <c r="G466" s="1145"/>
    </row>
    <row r="467" spans="1:7" ht="12" customHeight="1">
      <c r="A467" s="124"/>
      <c r="B467" s="124"/>
      <c r="C467" s="285"/>
      <c r="D467" s="85"/>
      <c r="E467" s="3"/>
      <c r="F467" s="3"/>
      <c r="G467" s="3"/>
    </row>
    <row r="468" spans="1:7">
      <c r="A468" s="285"/>
      <c r="B468" s="285"/>
      <c r="C468" s="120"/>
      <c r="D468" s="1143" t="s">
        <v>405</v>
      </c>
      <c r="E468" s="1143"/>
      <c r="F468" s="1143"/>
      <c r="G468" s="3"/>
    </row>
    <row r="469" spans="1:7" ht="13.15" customHeight="1">
      <c r="A469" s="123"/>
      <c r="B469" s="123"/>
      <c r="C469" s="123"/>
      <c r="D469" s="1175" t="s">
        <v>406</v>
      </c>
      <c r="E469" s="1175"/>
      <c r="F469" s="1175"/>
      <c r="G469" s="3"/>
    </row>
    <row r="470" spans="1:7">
      <c r="A470" s="123"/>
      <c r="B470" s="123"/>
      <c r="C470" s="123"/>
      <c r="D470" s="1175"/>
      <c r="E470" s="1175"/>
      <c r="F470" s="1175"/>
      <c r="G470" s="3"/>
    </row>
    <row r="471" spans="1:7">
      <c r="A471" s="123"/>
      <c r="B471" s="123"/>
      <c r="C471" s="123"/>
      <c r="D471" s="1175"/>
      <c r="E471" s="1175"/>
      <c r="F471" s="1175"/>
      <c r="G471" s="3"/>
    </row>
    <row r="472" spans="1:7">
      <c r="A472" s="123"/>
      <c r="B472" s="123"/>
      <c r="C472" s="123"/>
      <c r="D472" s="1175"/>
      <c r="E472" s="1175"/>
      <c r="F472" s="1175"/>
      <c r="G472" s="3"/>
    </row>
    <row r="473" spans="1:7">
      <c r="A473" s="123"/>
      <c r="B473" s="123"/>
      <c r="C473" s="123"/>
      <c r="D473" s="1175"/>
      <c r="E473" s="1175"/>
      <c r="F473" s="1175"/>
      <c r="G473" s="3"/>
    </row>
    <row r="474" spans="1:7">
      <c r="A474" s="123"/>
      <c r="B474" s="123"/>
      <c r="C474" s="123"/>
      <c r="D474" s="229"/>
      <c r="E474" s="3"/>
      <c r="F474" s="85"/>
      <c r="G474" s="3"/>
    </row>
    <row r="475" spans="1:7" ht="14.45" customHeight="1">
      <c r="A475" s="124"/>
      <c r="B475" s="370" t="s">
        <v>294</v>
      </c>
      <c r="C475" s="123"/>
      <c r="D475" s="1158" t="s">
        <v>407</v>
      </c>
      <c r="E475" s="1158"/>
      <c r="F475" s="1158"/>
      <c r="G475" s="3"/>
    </row>
    <row r="476" spans="1:7">
      <c r="A476" s="123"/>
      <c r="B476" s="123"/>
      <c r="C476" s="123"/>
      <c r="D476" s="1158"/>
      <c r="E476" s="1158"/>
      <c r="F476" s="1158"/>
      <c r="G476" s="3"/>
    </row>
    <row r="477" spans="1:7">
      <c r="A477" s="123"/>
      <c r="B477" s="123"/>
      <c r="C477" s="123"/>
      <c r="D477" s="1158"/>
      <c r="E477" s="1158"/>
      <c r="F477" s="1158"/>
      <c r="G477" s="3"/>
    </row>
    <row r="478" spans="1:7">
      <c r="A478" s="123"/>
      <c r="B478" s="123"/>
      <c r="C478" s="123"/>
      <c r="D478" s="1158"/>
      <c r="E478" s="1158"/>
      <c r="F478" s="1158"/>
      <c r="G478" s="3"/>
    </row>
    <row r="479" spans="1:7">
      <c r="A479" s="123"/>
      <c r="B479" s="123"/>
      <c r="C479" s="123"/>
      <c r="D479" s="1158"/>
      <c r="E479" s="1158"/>
      <c r="F479" s="1158"/>
      <c r="G479" s="3"/>
    </row>
    <row r="480" spans="1:7">
      <c r="A480" s="123"/>
      <c r="B480" s="123"/>
      <c r="C480" s="123"/>
      <c r="D480" s="145"/>
      <c r="E480" s="3"/>
      <c r="F480" s="85"/>
      <c r="G480" s="3"/>
    </row>
    <row r="481" spans="1:7" ht="14.45" customHeight="1">
      <c r="A481" s="124"/>
      <c r="B481" s="370" t="s">
        <v>294</v>
      </c>
      <c r="C481" s="123"/>
      <c r="D481" s="1158" t="s">
        <v>408</v>
      </c>
      <c r="E481" s="1158"/>
      <c r="F481" s="1158"/>
      <c r="G481" s="3"/>
    </row>
    <row r="482" spans="1:7">
      <c r="A482" s="123"/>
      <c r="B482" s="123"/>
      <c r="C482" s="123"/>
      <c r="D482" s="1158"/>
      <c r="E482" s="1158"/>
      <c r="F482" s="1158"/>
      <c r="G482" s="3"/>
    </row>
    <row r="483" spans="1:7">
      <c r="A483" s="123"/>
      <c r="B483" s="123"/>
      <c r="C483" s="123"/>
      <c r="D483" s="1158"/>
      <c r="E483" s="1158"/>
      <c r="F483" s="1158"/>
      <c r="G483" s="3"/>
    </row>
    <row r="484" spans="1:7">
      <c r="A484" s="123"/>
      <c r="B484" s="123"/>
      <c r="C484" s="123"/>
      <c r="D484" s="1158"/>
      <c r="E484" s="1158"/>
      <c r="F484" s="1158"/>
      <c r="G484" s="3"/>
    </row>
    <row r="485" spans="1:7" ht="9.9499999999999993" customHeight="1">
      <c r="A485" s="123"/>
      <c r="B485" s="123"/>
      <c r="C485" s="123"/>
      <c r="D485" s="145"/>
      <c r="E485" s="3"/>
      <c r="F485" s="85"/>
      <c r="G485" s="3"/>
    </row>
    <row r="486" spans="1:7" ht="14.45" customHeight="1">
      <c r="A486" s="124"/>
      <c r="B486" s="370" t="s">
        <v>294</v>
      </c>
      <c r="C486" s="123"/>
      <c r="D486" s="1158" t="s">
        <v>409</v>
      </c>
      <c r="E486" s="1158"/>
      <c r="F486" s="1158"/>
      <c r="G486" s="3"/>
    </row>
    <row r="487" spans="1:7">
      <c r="A487" s="123"/>
      <c r="B487" s="123"/>
      <c r="C487" s="123"/>
      <c r="D487" s="1158"/>
      <c r="E487" s="1158"/>
      <c r="F487" s="1158"/>
      <c r="G487" s="3"/>
    </row>
    <row r="488" spans="1:7">
      <c r="A488" s="123"/>
      <c r="B488" s="123"/>
      <c r="C488" s="123"/>
      <c r="D488" s="1158"/>
      <c r="E488" s="1158"/>
      <c r="F488" s="1158"/>
      <c r="G488" s="3"/>
    </row>
    <row r="489" spans="1:7">
      <c r="A489" s="123"/>
      <c r="B489" s="123"/>
      <c r="C489" s="123"/>
      <c r="D489" s="377"/>
      <c r="E489" s="377"/>
      <c r="F489" s="377"/>
      <c r="G489" s="3"/>
    </row>
    <row r="490" spans="1:7" ht="14.45" customHeight="1">
      <c r="A490" s="124"/>
      <c r="B490" s="370" t="s">
        <v>294</v>
      </c>
      <c r="C490" s="123"/>
      <c r="D490" s="1158" t="s">
        <v>410</v>
      </c>
      <c r="E490" s="1158"/>
      <c r="F490" s="1158"/>
      <c r="G490" s="3"/>
    </row>
    <row r="491" spans="1:7">
      <c r="A491" s="123"/>
      <c r="B491" s="123"/>
      <c r="C491" s="123"/>
      <c r="D491" s="1158"/>
      <c r="E491" s="1158"/>
      <c r="F491" s="1158"/>
      <c r="G491" s="3"/>
    </row>
    <row r="492" spans="1:7">
      <c r="A492" s="123"/>
      <c r="B492" s="123"/>
      <c r="C492" s="123"/>
      <c r="D492" s="1158"/>
      <c r="E492" s="1158"/>
      <c r="F492" s="1158"/>
      <c r="G492" s="3"/>
    </row>
    <row r="493" spans="1:7">
      <c r="A493" s="123"/>
      <c r="B493" s="123"/>
      <c r="C493" s="123"/>
      <c r="D493" s="1158"/>
      <c r="E493" s="1158"/>
      <c r="F493" s="1158"/>
      <c r="G493" s="3"/>
    </row>
    <row r="494" spans="1:7">
      <c r="A494" s="123"/>
      <c r="B494" s="123"/>
      <c r="C494" s="123"/>
      <c r="D494" s="1158"/>
      <c r="E494" s="1158"/>
      <c r="F494" s="1158"/>
      <c r="G494" s="3"/>
    </row>
    <row r="495" spans="1:7">
      <c r="A495" s="123"/>
      <c r="B495" s="123"/>
      <c r="C495" s="123"/>
      <c r="D495" s="1158"/>
      <c r="E495" s="1158"/>
      <c r="F495" s="1158"/>
      <c r="G495" s="3"/>
    </row>
    <row r="496" spans="1:7">
      <c r="A496" s="123"/>
      <c r="B496" s="123"/>
      <c r="C496" s="123"/>
      <c r="D496" s="1158"/>
      <c r="E496" s="1158"/>
      <c r="F496" s="1158"/>
      <c r="G496" s="3"/>
    </row>
    <row r="497" spans="1:7">
      <c r="A497" s="123"/>
      <c r="B497" s="123"/>
      <c r="C497" s="123"/>
      <c r="D497" s="1158"/>
      <c r="E497" s="1158"/>
      <c r="F497" s="1158"/>
      <c r="G497" s="3"/>
    </row>
    <row r="498" spans="1:7">
      <c r="A498" s="123"/>
      <c r="B498" s="123"/>
      <c r="C498" s="123"/>
      <c r="D498" s="1158"/>
      <c r="E498" s="1158"/>
      <c r="F498" s="1158"/>
      <c r="G498" s="3"/>
    </row>
    <row r="499" spans="1:7">
      <c r="A499" s="123"/>
      <c r="B499" s="123"/>
      <c r="C499" s="123"/>
      <c r="D499" s="145"/>
      <c r="E499" s="3"/>
      <c r="F499" s="85"/>
      <c r="G499" s="3"/>
    </row>
    <row r="500" spans="1:7" ht="13.15" customHeight="1">
      <c r="A500" s="123"/>
      <c r="B500" s="370" t="s">
        <v>294</v>
      </c>
      <c r="C500" s="123"/>
      <c r="D500" s="1127" t="s">
        <v>411</v>
      </c>
      <c r="E500" s="1127"/>
      <c r="F500" s="1127"/>
      <c r="G500" s="3"/>
    </row>
    <row r="501" spans="1:7">
      <c r="A501" s="123"/>
      <c r="B501" s="123"/>
      <c r="C501" s="123"/>
      <c r="D501" s="1127"/>
      <c r="E501" s="1127"/>
      <c r="F501" s="1127"/>
      <c r="G501" s="3"/>
    </row>
    <row r="502" spans="1:7">
      <c r="A502" s="123"/>
      <c r="B502" s="123"/>
      <c r="C502" s="123"/>
      <c r="D502" s="1127"/>
      <c r="E502" s="1127"/>
      <c r="F502" s="1127"/>
      <c r="G502" s="3"/>
    </row>
    <row r="503" spans="1:7">
      <c r="A503" s="123"/>
      <c r="B503" s="123"/>
      <c r="C503" s="123"/>
      <c r="D503" s="1127"/>
      <c r="E503" s="1127"/>
      <c r="F503" s="1127"/>
      <c r="G503" s="3"/>
    </row>
    <row r="504" spans="1:7">
      <c r="A504" s="123"/>
      <c r="B504" s="123"/>
      <c r="C504" s="123"/>
      <c r="D504" s="1127"/>
      <c r="E504" s="1127"/>
      <c r="F504" s="1127"/>
      <c r="G504" s="3"/>
    </row>
    <row r="505" spans="1:7">
      <c r="A505" s="123"/>
      <c r="B505" s="123"/>
      <c r="C505" s="123"/>
      <c r="D505" s="386"/>
      <c r="E505" s="386"/>
      <c r="F505" s="386"/>
      <c r="G505" s="3"/>
    </row>
    <row r="506" spans="1:7" ht="14.45" customHeight="1">
      <c r="A506" s="124"/>
      <c r="B506" s="370" t="s">
        <v>294</v>
      </c>
      <c r="C506" s="285"/>
      <c r="D506" s="1158" t="s">
        <v>412</v>
      </c>
      <c r="E506" s="1158"/>
      <c r="F506" s="1158"/>
      <c r="G506" s="3"/>
    </row>
    <row r="507" spans="1:7">
      <c r="A507" s="285"/>
      <c r="B507" s="285"/>
      <c r="C507" s="285"/>
      <c r="D507" s="1158"/>
      <c r="E507" s="1158"/>
      <c r="F507" s="1158"/>
      <c r="G507" s="3"/>
    </row>
    <row r="508" spans="1:7">
      <c r="A508" s="285"/>
      <c r="B508" s="285"/>
      <c r="C508" s="285"/>
      <c r="D508" s="1158"/>
      <c r="E508" s="1158"/>
      <c r="F508" s="1158"/>
      <c r="G508" s="3"/>
    </row>
    <row r="509" spans="1:7" ht="12" customHeight="1">
      <c r="A509" s="85"/>
      <c r="B509" s="85"/>
      <c r="C509" s="950"/>
      <c r="D509" s="85"/>
      <c r="E509" s="3"/>
      <c r="F509" s="50"/>
      <c r="G509" s="3"/>
    </row>
    <row r="510" spans="1:7">
      <c r="A510" s="1145" t="s">
        <v>413</v>
      </c>
      <c r="B510" s="1145"/>
      <c r="C510" s="1145"/>
      <c r="D510" s="1145"/>
      <c r="E510" s="1145"/>
      <c r="F510" s="1145"/>
      <c r="G510" s="1145"/>
    </row>
    <row r="511" spans="1:7">
      <c r="A511" s="85"/>
      <c r="B511" s="85"/>
      <c r="C511" s="950"/>
      <c r="D511" s="3"/>
      <c r="E511" s="3"/>
      <c r="F511" s="50"/>
      <c r="G511" s="3"/>
    </row>
    <row r="512" spans="1:7">
      <c r="A512" s="285"/>
      <c r="B512" s="1142" t="s">
        <v>334</v>
      </c>
      <c r="C512" s="1142"/>
      <c r="D512" s="1142"/>
      <c r="E512" s="1142"/>
      <c r="F512" s="1142"/>
      <c r="G512" s="3"/>
    </row>
    <row r="513" spans="1:7">
      <c r="A513" s="85"/>
      <c r="B513" s="85"/>
      <c r="C513" s="950"/>
      <c r="D513" s="85"/>
      <c r="E513" s="3"/>
      <c r="F513" s="85"/>
      <c r="G513" s="3"/>
    </row>
    <row r="514" spans="1:7">
      <c r="A514" s="1146" t="s">
        <v>414</v>
      </c>
      <c r="B514" s="1146"/>
      <c r="C514" s="1146"/>
      <c r="D514" s="1146"/>
      <c r="E514" s="1146"/>
      <c r="F514" s="1146"/>
      <c r="G514" s="1146"/>
    </row>
    <row r="515" spans="1:7">
      <c r="A515" s="85"/>
      <c r="B515" s="85"/>
      <c r="C515" s="950"/>
      <c r="D515" s="85"/>
      <c r="E515" s="3"/>
      <c r="F515" s="85"/>
      <c r="G515" s="3"/>
    </row>
    <row r="516" spans="1:7">
      <c r="A516" s="285"/>
      <c r="B516" s="285"/>
      <c r="C516" s="950"/>
      <c r="D516" s="1143" t="s">
        <v>415</v>
      </c>
      <c r="E516" s="1143"/>
      <c r="F516" s="1143"/>
      <c r="G516" s="3"/>
    </row>
    <row r="517" spans="1:7">
      <c r="A517" s="285"/>
      <c r="B517" s="285"/>
      <c r="C517" s="950"/>
      <c r="D517" s="1144" t="s">
        <v>416</v>
      </c>
      <c r="E517" s="1144"/>
      <c r="F517" s="1144"/>
      <c r="G517" s="3"/>
    </row>
    <row r="518" spans="1:7">
      <c r="A518" s="285"/>
      <c r="B518" s="285"/>
      <c r="C518" s="950"/>
      <c r="D518" s="85"/>
      <c r="E518" s="85"/>
      <c r="F518" s="85"/>
      <c r="G518" s="3"/>
    </row>
    <row r="519" spans="1:7" ht="13.15" customHeight="1">
      <c r="A519" s="124"/>
      <c r="B519" s="370" t="s">
        <v>294</v>
      </c>
      <c r="C519" s="950"/>
      <c r="D519" s="1144" t="s">
        <v>417</v>
      </c>
      <c r="E519" s="1144"/>
      <c r="F519" s="1144"/>
      <c r="G519"/>
    </row>
    <row r="520" spans="1:7" ht="13.15" customHeight="1">
      <c r="A520" s="950"/>
      <c r="B520" s="950"/>
      <c r="C520" s="950"/>
      <c r="D520" s="85"/>
      <c r="E520"/>
      <c r="F520"/>
      <c r="G520"/>
    </row>
    <row r="521" spans="1:7" ht="14.25">
      <c r="A521" s="124"/>
      <c r="B521" s="370" t="s">
        <v>294</v>
      </c>
      <c r="C521" s="950"/>
      <c r="D521" s="1125" t="s">
        <v>418</v>
      </c>
      <c r="E521" s="1125"/>
      <c r="F521" s="1125"/>
      <c r="G521"/>
    </row>
    <row r="522" spans="1:7">
      <c r="A522" s="950"/>
      <c r="B522" s="950"/>
      <c r="C522" s="950"/>
      <c r="D522" s="1125"/>
      <c r="E522" s="1125"/>
      <c r="F522" s="1125"/>
      <c r="G522"/>
    </row>
    <row r="523" spans="1:7">
      <c r="A523" s="950"/>
      <c r="B523" s="950"/>
      <c r="C523" s="950"/>
      <c r="D523" s="85"/>
      <c r="E523" s="85"/>
      <c r="F523" s="85"/>
      <c r="G523"/>
    </row>
    <row r="524" spans="1:7" ht="14.25">
      <c r="A524" s="124"/>
      <c r="B524" s="370" t="s">
        <v>294</v>
      </c>
      <c r="C524" s="950"/>
      <c r="D524" s="1125" t="s">
        <v>419</v>
      </c>
      <c r="E524" s="1125"/>
      <c r="F524" s="1125"/>
      <c r="G524"/>
    </row>
    <row r="525" spans="1:7">
      <c r="A525" s="950"/>
      <c r="B525" s="950"/>
      <c r="C525" s="950"/>
      <c r="D525" s="1125"/>
      <c r="E525" s="1125"/>
      <c r="F525" s="1125"/>
      <c r="G525"/>
    </row>
    <row r="526" spans="1:7">
      <c r="A526" s="950"/>
      <c r="B526" s="950"/>
      <c r="C526" s="950"/>
      <c r="D526" s="85"/>
      <c r="E526" s="85"/>
      <c r="F526" s="85"/>
      <c r="G526"/>
    </row>
    <row r="527" spans="1:7" ht="14.25">
      <c r="A527" s="124"/>
      <c r="B527" s="370" t="s">
        <v>294</v>
      </c>
      <c r="C527" s="950"/>
      <c r="D527" s="1125" t="s">
        <v>420</v>
      </c>
      <c r="E527" s="1125"/>
      <c r="F527" s="1125"/>
      <c r="G527"/>
    </row>
    <row r="528" spans="1:7">
      <c r="A528" s="950"/>
      <c r="B528" s="950"/>
      <c r="C528" s="950"/>
      <c r="D528" s="1125"/>
      <c r="E528" s="1125"/>
      <c r="F528" s="1125"/>
      <c r="G528"/>
    </row>
    <row r="529" spans="1:7">
      <c r="A529" s="950"/>
      <c r="B529" s="950"/>
      <c r="C529" s="950"/>
      <c r="D529" s="85"/>
      <c r="E529" s="85"/>
      <c r="F529" s="85"/>
      <c r="G529"/>
    </row>
    <row r="530" spans="1:7" ht="14.25">
      <c r="A530" s="124"/>
      <c r="B530" s="370" t="s">
        <v>294</v>
      </c>
      <c r="C530" s="950"/>
      <c r="D530" s="1125" t="s">
        <v>421</v>
      </c>
      <c r="E530" s="1125"/>
      <c r="F530" s="1125"/>
      <c r="G530"/>
    </row>
    <row r="531" spans="1:7">
      <c r="A531" s="950"/>
      <c r="B531" s="950"/>
      <c r="C531" s="950"/>
      <c r="D531" s="1125"/>
      <c r="E531" s="1125"/>
      <c r="F531" s="1125"/>
      <c r="G531"/>
    </row>
    <row r="532" spans="1:7">
      <c r="A532" s="950"/>
      <c r="B532" s="950"/>
      <c r="C532" s="950"/>
      <c r="D532" s="1125"/>
      <c r="E532" s="1125"/>
      <c r="F532" s="1125"/>
      <c r="G532"/>
    </row>
    <row r="533" spans="1:7">
      <c r="A533" s="950"/>
      <c r="B533" s="950"/>
      <c r="C533" s="950"/>
      <c r="D533" s="85"/>
      <c r="E533" s="85"/>
      <c r="F533" s="85"/>
      <c r="G533" s="3"/>
    </row>
    <row r="534" spans="1:7" ht="14.25">
      <c r="A534" s="124"/>
      <c r="B534" s="370" t="s">
        <v>294</v>
      </c>
      <c r="C534" s="950"/>
      <c r="D534" s="1125" t="s">
        <v>422</v>
      </c>
      <c r="E534" s="1125"/>
      <c r="F534" s="1125"/>
      <c r="G534" s="3"/>
    </row>
    <row r="535" spans="1:7">
      <c r="A535" s="950"/>
      <c r="B535" s="950"/>
      <c r="C535" s="950"/>
      <c r="D535" s="1125"/>
      <c r="E535" s="1125"/>
      <c r="F535" s="1125"/>
      <c r="G535" s="3"/>
    </row>
    <row r="536" spans="1:7">
      <c r="A536" s="950"/>
      <c r="B536" s="950"/>
      <c r="C536" s="950"/>
      <c r="D536" s="85"/>
      <c r="E536" s="85"/>
      <c r="F536" s="85"/>
      <c r="G536" s="3"/>
    </row>
    <row r="537" spans="1:7" ht="14.25">
      <c r="A537" s="124"/>
      <c r="B537" s="370" t="s">
        <v>294</v>
      </c>
      <c r="C537" s="950"/>
      <c r="D537" s="1125" t="s">
        <v>423</v>
      </c>
      <c r="E537" s="1125"/>
      <c r="F537" s="1125"/>
      <c r="G537" s="3"/>
    </row>
    <row r="538" spans="1:7">
      <c r="A538" s="950"/>
      <c r="B538" s="950"/>
      <c r="C538" s="950"/>
      <c r="D538" s="1125"/>
      <c r="E538" s="1125"/>
      <c r="F538" s="1125"/>
      <c r="G538" s="3"/>
    </row>
    <row r="539" spans="1:7">
      <c r="A539" s="950"/>
      <c r="B539" s="950"/>
      <c r="C539" s="950"/>
      <c r="D539" s="85"/>
      <c r="E539" s="85"/>
      <c r="F539" s="85"/>
      <c r="G539" s="3"/>
    </row>
    <row r="540" spans="1:7" ht="14.25">
      <c r="A540" s="124"/>
      <c r="B540" s="370" t="s">
        <v>294</v>
      </c>
      <c r="C540" s="950"/>
      <c r="D540" s="1125" t="s">
        <v>424</v>
      </c>
      <c r="E540" s="1125"/>
      <c r="F540" s="1125"/>
      <c r="G540" s="3"/>
    </row>
    <row r="541" spans="1:7">
      <c r="A541" s="950"/>
      <c r="B541" s="950"/>
      <c r="C541" s="950"/>
      <c r="D541" s="1125"/>
      <c r="E541" s="1125"/>
      <c r="F541" s="1125"/>
      <c r="G541" s="3"/>
    </row>
    <row r="542" spans="1:7">
      <c r="A542" s="950"/>
      <c r="B542" s="950"/>
      <c r="C542" s="950"/>
      <c r="D542" s="85"/>
      <c r="E542" s="85"/>
      <c r="F542" s="85"/>
      <c r="G542" s="3"/>
    </row>
    <row r="543" spans="1:7" ht="14.25">
      <c r="A543" s="124"/>
      <c r="B543" s="370" t="s">
        <v>294</v>
      </c>
      <c r="C543" s="950"/>
      <c r="D543" s="1144" t="s">
        <v>425</v>
      </c>
      <c r="E543" s="1144"/>
      <c r="F543" s="1144"/>
      <c r="G543" s="3"/>
    </row>
    <row r="544" spans="1:7">
      <c r="A544" s="13"/>
      <c r="B544" s="13"/>
      <c r="C544" s="950"/>
      <c r="D544" s="1144" t="s">
        <v>426</v>
      </c>
      <c r="E544" s="1144"/>
      <c r="F544" s="1144"/>
      <c r="G544" s="3"/>
    </row>
    <row r="545" spans="1:7">
      <c r="A545" s="13"/>
      <c r="B545" s="13"/>
      <c r="C545" s="950"/>
      <c r="D545" s="3"/>
      <c r="E545" s="1148" t="s">
        <v>427</v>
      </c>
      <c r="F545" s="1148"/>
      <c r="G545" s="3"/>
    </row>
    <row r="546" spans="1:7" ht="14.25">
      <c r="A546" s="124"/>
      <c r="B546" s="124"/>
      <c r="C546" s="950"/>
      <c r="D546" s="3"/>
      <c r="E546" s="85"/>
      <c r="F546" s="85"/>
      <c r="G546" s="3"/>
    </row>
    <row r="547" spans="1:7" ht="14.25">
      <c r="A547" s="124"/>
      <c r="B547" s="370" t="s">
        <v>294</v>
      </c>
      <c r="C547" s="950"/>
      <c r="D547" s="1144" t="s">
        <v>428</v>
      </c>
      <c r="E547" s="1144"/>
      <c r="F547" s="1144"/>
      <c r="G547" s="3"/>
    </row>
    <row r="548" spans="1:7">
      <c r="A548" s="285"/>
      <c r="B548" s="285"/>
      <c r="C548" s="950"/>
      <c r="D548" s="1125" t="s">
        <v>429</v>
      </c>
      <c r="E548" s="1125"/>
      <c r="F548" s="1125"/>
      <c r="G548" s="3"/>
    </row>
    <row r="549" spans="1:7">
      <c r="A549" s="950"/>
      <c r="B549" s="950"/>
      <c r="C549" s="950"/>
      <c r="D549" s="1125"/>
      <c r="E549" s="1125"/>
      <c r="F549" s="1125"/>
      <c r="G549" s="3"/>
    </row>
    <row r="550" spans="1:7">
      <c r="A550" s="950"/>
      <c r="B550" s="950"/>
      <c r="C550" s="950"/>
      <c r="D550" s="1125"/>
      <c r="E550" s="1125"/>
      <c r="F550" s="1125"/>
      <c r="G550" s="3"/>
    </row>
    <row r="551" spans="1:7">
      <c r="A551" s="950"/>
      <c r="B551" s="950"/>
      <c r="C551" s="950"/>
      <c r="D551" s="85"/>
      <c r="E551" s="85"/>
      <c r="F551" s="85"/>
      <c r="G551" s="3"/>
    </row>
    <row r="552" spans="1:7" ht="14.25">
      <c r="A552" s="124"/>
      <c r="B552" s="370" t="s">
        <v>294</v>
      </c>
      <c r="C552" s="950"/>
      <c r="D552" s="1125" t="s">
        <v>430</v>
      </c>
      <c r="E552" s="1125"/>
      <c r="F552" s="1125"/>
      <c r="G552" s="3"/>
    </row>
    <row r="553" spans="1:7" ht="14.25">
      <c r="A553" s="124"/>
      <c r="B553" s="124"/>
      <c r="C553" s="950"/>
      <c r="D553" s="1125"/>
      <c r="E553" s="1125"/>
      <c r="F553" s="1125"/>
      <c r="G553" s="3"/>
    </row>
    <row r="554" spans="1:7" ht="14.25">
      <c r="A554" s="124"/>
      <c r="B554" s="124"/>
      <c r="C554" s="950"/>
      <c r="D554" s="1125"/>
      <c r="E554" s="1125"/>
      <c r="F554" s="1125"/>
      <c r="G554" s="3"/>
    </row>
    <row r="555" spans="1:7" ht="14.25">
      <c r="A555" s="124"/>
      <c r="B555" s="124"/>
      <c r="C555" s="950"/>
      <c r="D555" s="1125"/>
      <c r="E555" s="1125"/>
      <c r="F555" s="1125"/>
      <c r="G555" s="3"/>
    </row>
    <row r="556" spans="1:7" ht="14.25">
      <c r="A556" s="124"/>
      <c r="B556" s="124"/>
      <c r="C556" s="950"/>
      <c r="D556" s="85"/>
      <c r="E556" s="85"/>
      <c r="F556" s="85"/>
      <c r="G556" s="3"/>
    </row>
    <row r="557" spans="1:7">
      <c r="A557" s="1145" t="s">
        <v>431</v>
      </c>
      <c r="B557" s="1145"/>
      <c r="C557" s="1145"/>
      <c r="D557" s="1145"/>
      <c r="E557" s="1145"/>
      <c r="F557" s="1145"/>
      <c r="G557" s="1145"/>
    </row>
    <row r="558" spans="1:7">
      <c r="A558" s="950"/>
      <c r="B558" s="950"/>
      <c r="C558" s="950"/>
      <c r="D558" s="3"/>
      <c r="E558" s="85"/>
      <c r="F558" s="85"/>
      <c r="G558" s="3"/>
    </row>
    <row r="559" spans="1:7" ht="12.75" customHeight="1">
      <c r="A559" s="285"/>
      <c r="B559" s="285"/>
      <c r="C559" s="120"/>
      <c r="D559" s="1154" t="s">
        <v>432</v>
      </c>
      <c r="E559" s="1154"/>
      <c r="F559" s="1154"/>
      <c r="G559" s="3"/>
    </row>
    <row r="560" spans="1:7">
      <c r="A560" s="123"/>
      <c r="B560" s="123"/>
      <c r="C560" s="123"/>
      <c r="D560" s="1159" t="s">
        <v>433</v>
      </c>
      <c r="E560" s="1159"/>
      <c r="F560" s="1159"/>
      <c r="G560" s="3"/>
    </row>
    <row r="561" spans="1:7">
      <c r="A561"/>
      <c r="B561"/>
      <c r="C561" s="123"/>
      <c r="D561" s="178"/>
      <c r="E561" s="3"/>
      <c r="F561" s="3"/>
      <c r="G561" s="3"/>
    </row>
    <row r="562" spans="1:7">
      <c r="A562" s="123"/>
      <c r="B562" s="370" t="s">
        <v>294</v>
      </c>
      <c r="C562" s="285"/>
      <c r="D562" s="1159" t="s">
        <v>434</v>
      </c>
      <c r="E562" s="1159"/>
      <c r="F562" s="1159"/>
      <c r="G562" s="3"/>
    </row>
    <row r="563" spans="1:7">
      <c r="A563" s="13"/>
      <c r="B563" s="13"/>
      <c r="C563" s="285"/>
      <c r="D563" s="143"/>
      <c r="E563" s="3"/>
      <c r="F563" s="3"/>
      <c r="G563" s="3"/>
    </row>
    <row r="564" spans="1:7">
      <c r="A564" s="13"/>
      <c r="B564" s="370" t="s">
        <v>294</v>
      </c>
      <c r="C564" s="285"/>
      <c r="D564" s="1159" t="s">
        <v>435</v>
      </c>
      <c r="E564" s="1159"/>
      <c r="F564" s="1159"/>
      <c r="G564" s="3"/>
    </row>
    <row r="565" spans="1:7">
      <c r="A565" s="13"/>
      <c r="B565" s="13"/>
      <c r="C565" s="285"/>
      <c r="D565" s="1159"/>
      <c r="E565" s="1159"/>
      <c r="F565" s="1159"/>
      <c r="G565" s="3"/>
    </row>
    <row r="566" spans="1:7">
      <c r="A566" s="13"/>
      <c r="B566" s="13"/>
      <c r="C566" s="285"/>
      <c r="D566" s="1159"/>
      <c r="E566" s="1159"/>
      <c r="F566" s="1159"/>
      <c r="G566" s="3"/>
    </row>
    <row r="567" spans="1:7">
      <c r="A567" s="13"/>
      <c r="B567" s="13"/>
      <c r="C567" s="285"/>
      <c r="D567" s="178"/>
      <c r="E567" s="3"/>
      <c r="F567" s="3"/>
      <c r="G567" s="3"/>
    </row>
    <row r="568" spans="1:7">
      <c r="A568" s="13"/>
      <c r="B568" s="370" t="s">
        <v>294</v>
      </c>
      <c r="C568" s="285"/>
      <c r="D568" s="1159" t="s">
        <v>436</v>
      </c>
      <c r="E568" s="1159"/>
      <c r="F568" s="1159"/>
      <c r="G568" s="3"/>
    </row>
    <row r="569" spans="1:7">
      <c r="A569" s="13"/>
      <c r="B569" s="13"/>
      <c r="C569" s="285"/>
      <c r="D569" s="1159"/>
      <c r="E569" s="1159"/>
      <c r="F569" s="1159"/>
      <c r="G569" s="3"/>
    </row>
    <row r="570" spans="1:7">
      <c r="A570" s="13"/>
      <c r="B570" s="13"/>
      <c r="C570" s="285"/>
      <c r="D570" s="1159"/>
      <c r="E570" s="1159"/>
      <c r="F570" s="1159"/>
      <c r="G570" s="3"/>
    </row>
    <row r="571" spans="1:7">
      <c r="A571" s="13"/>
      <c r="B571" s="13"/>
      <c r="C571" s="285"/>
      <c r="D571" s="1159"/>
      <c r="E571" s="1159"/>
      <c r="F571" s="1159"/>
      <c r="G571" s="3"/>
    </row>
    <row r="572" spans="1:7">
      <c r="A572" s="13"/>
      <c r="B572" s="13"/>
      <c r="C572" s="285"/>
      <c r="D572" s="375"/>
      <c r="E572" s="375"/>
      <c r="F572" s="375"/>
      <c r="G572" s="3"/>
    </row>
    <row r="573" spans="1:7">
      <c r="A573" s="13"/>
      <c r="B573" s="370" t="s">
        <v>294</v>
      </c>
      <c r="C573" s="285"/>
      <c r="D573" s="1159" t="s">
        <v>437</v>
      </c>
      <c r="E573" s="1159"/>
      <c r="F573" s="1159"/>
      <c r="G573" s="3"/>
    </row>
    <row r="574" spans="1:7">
      <c r="A574" s="13"/>
      <c r="B574" s="13"/>
      <c r="C574" s="285"/>
      <c r="D574" s="1159"/>
      <c r="E574" s="1159"/>
      <c r="F574" s="1159"/>
      <c r="G574" s="3"/>
    </row>
    <row r="575" spans="1:7">
      <c r="A575" s="13"/>
      <c r="B575" s="13"/>
      <c r="C575" s="285"/>
      <c r="D575" s="178"/>
      <c r="E575" s="3"/>
      <c r="F575" s="3"/>
      <c r="G575" s="3"/>
    </row>
    <row r="576" spans="1:7">
      <c r="A576" s="13"/>
      <c r="B576" s="370" t="s">
        <v>294</v>
      </c>
      <c r="C576" s="285"/>
      <c r="D576" s="1159" t="s">
        <v>438</v>
      </c>
      <c r="E576" s="1159"/>
      <c r="F576" s="1159"/>
      <c r="G576" s="3"/>
    </row>
    <row r="577" spans="1:7">
      <c r="A577" s="13"/>
      <c r="B577" s="13"/>
      <c r="C577" s="285"/>
      <c r="D577" s="1159"/>
      <c r="E577" s="1159"/>
      <c r="F577" s="1159"/>
      <c r="G577" s="3"/>
    </row>
    <row r="578" spans="1:7">
      <c r="A578" s="13"/>
      <c r="B578" s="13"/>
      <c r="C578" s="285"/>
      <c r="D578" s="178"/>
      <c r="E578" s="3"/>
      <c r="F578" s="3"/>
      <c r="G578" s="3"/>
    </row>
    <row r="579" spans="1:7" ht="14.25">
      <c r="A579" s="124"/>
      <c r="B579" s="370" t="s">
        <v>294</v>
      </c>
      <c r="C579" s="285"/>
      <c r="D579" s="1159" t="s">
        <v>439</v>
      </c>
      <c r="E579" s="1159"/>
      <c r="F579" s="1159"/>
      <c r="G579" s="3"/>
    </row>
    <row r="580" spans="1:7" ht="14.25">
      <c r="A580" s="124"/>
      <c r="B580" s="124"/>
      <c r="C580" s="285"/>
      <c r="D580" s="178"/>
      <c r="E580" s="3"/>
      <c r="F580" s="3"/>
      <c r="G580" s="3"/>
    </row>
    <row r="581" spans="1:7" ht="14.25">
      <c r="A581" s="124"/>
      <c r="B581" s="370" t="s">
        <v>294</v>
      </c>
      <c r="C581" s="285"/>
      <c r="D581" s="1159" t="s">
        <v>440</v>
      </c>
      <c r="E581" s="1159"/>
      <c r="F581" s="1159"/>
      <c r="G581" s="3"/>
    </row>
    <row r="582" spans="1:7" ht="14.25">
      <c r="A582" s="124"/>
      <c r="B582" s="124"/>
      <c r="C582" s="285"/>
      <c r="D582" s="1159"/>
      <c r="E582" s="1159"/>
      <c r="F582" s="1159"/>
      <c r="G582" s="3"/>
    </row>
    <row r="583" spans="1:7">
      <c r="A583" s="285"/>
      <c r="B583" s="285"/>
      <c r="C583" s="285"/>
      <c r="D583" s="1159"/>
      <c r="E583" s="1159"/>
      <c r="F583" s="1159"/>
      <c r="G583" s="3"/>
    </row>
    <row r="584" spans="1:7">
      <c r="A584" s="285"/>
      <c r="B584" s="285"/>
      <c r="C584" s="285"/>
      <c r="D584" s="1159"/>
      <c r="E584" s="1159"/>
      <c r="F584" s="1159"/>
      <c r="G584" s="3"/>
    </row>
    <row r="585" spans="1:7">
      <c r="A585" s="285"/>
      <c r="B585" s="285"/>
      <c r="C585" s="285"/>
      <c r="D585" s="1159"/>
      <c r="E585" s="1159"/>
      <c r="F585" s="1159"/>
      <c r="G585" s="3"/>
    </row>
    <row r="586" spans="1:7">
      <c r="A586" s="285"/>
      <c r="B586" s="285"/>
      <c r="C586" s="285"/>
      <c r="D586" s="1159"/>
      <c r="E586" s="1159"/>
      <c r="F586" s="1159"/>
      <c r="G586" s="3"/>
    </row>
    <row r="587" spans="1:7">
      <c r="A587" s="285"/>
      <c r="B587" s="285"/>
      <c r="C587" s="285"/>
      <c r="D587" s="3"/>
      <c r="E587" s="3"/>
      <c r="F587" s="3"/>
      <c r="G587" s="3"/>
    </row>
    <row r="588" spans="1:7">
      <c r="A588" s="1145" t="s">
        <v>441</v>
      </c>
      <c r="B588" s="1145"/>
      <c r="C588" s="1145"/>
      <c r="D588" s="1145"/>
      <c r="E588" s="1145"/>
      <c r="F588" s="1145"/>
      <c r="G588" s="1145"/>
    </row>
    <row r="589" spans="1:7">
      <c r="A589" s="285"/>
      <c r="B589" s="285"/>
      <c r="C589" s="285"/>
      <c r="D589" s="3"/>
      <c r="E589" s="3"/>
      <c r="F589" s="3"/>
      <c r="G589" s="3"/>
    </row>
    <row r="590" spans="1:7">
      <c r="A590" s="285"/>
      <c r="B590" s="285"/>
      <c r="C590" s="285"/>
      <c r="D590" s="1137" t="s">
        <v>442</v>
      </c>
      <c r="E590" s="1137"/>
      <c r="F590" s="1137"/>
      <c r="G590" s="3"/>
    </row>
    <row r="591" spans="1:7">
      <c r="A591" s="285"/>
      <c r="B591" s="285"/>
      <c r="C591" s="285"/>
      <c r="D591" s="1138" t="s">
        <v>443</v>
      </c>
      <c r="E591" s="1138"/>
      <c r="F591" s="1138"/>
      <c r="G591" s="3"/>
    </row>
    <row r="592" spans="1:7">
      <c r="A592" s="285"/>
      <c r="B592" s="285"/>
      <c r="C592" s="285"/>
      <c r="D592" s="379"/>
      <c r="E592" s="333"/>
      <c r="F592" s="333"/>
      <c r="G592" s="3"/>
    </row>
    <row r="593" spans="1:7" ht="14.25">
      <c r="A593" s="124"/>
      <c r="B593" s="370" t="s">
        <v>294</v>
      </c>
      <c r="C593" s="285"/>
      <c r="D593" s="1139" t="s">
        <v>444</v>
      </c>
      <c r="E593" s="1139"/>
      <c r="F593" s="1139"/>
      <c r="G593" s="3"/>
    </row>
    <row r="594" spans="1:7">
      <c r="A594" s="285"/>
      <c r="B594" s="285"/>
      <c r="C594" s="285"/>
      <c r="D594" s="1139"/>
      <c r="E594" s="1139"/>
      <c r="F594" s="1139"/>
      <c r="G594" s="3"/>
    </row>
    <row r="595" spans="1:7">
      <c r="A595" s="285"/>
      <c r="B595" s="285"/>
      <c r="C595" s="285"/>
      <c r="D595" s="1139"/>
      <c r="E595" s="1139"/>
      <c r="F595" s="1139"/>
      <c r="G595" s="3"/>
    </row>
    <row r="596" spans="1:7">
      <c r="A596" s="285"/>
      <c r="B596" s="285"/>
      <c r="C596" s="285"/>
      <c r="D596" s="3"/>
      <c r="E596" s="3"/>
      <c r="F596" s="3"/>
      <c r="G596" s="3"/>
    </row>
    <row r="597" spans="1:7">
      <c r="A597" s="1145" t="s">
        <v>445</v>
      </c>
      <c r="B597" s="1145"/>
      <c r="C597" s="1145"/>
      <c r="D597" s="1145"/>
      <c r="E597" s="1145"/>
      <c r="F597" s="1145"/>
      <c r="G597" s="1145"/>
    </row>
    <row r="598" spans="1:7">
      <c r="A598" s="85"/>
      <c r="B598" s="85"/>
      <c r="C598" s="285"/>
      <c r="D598" s="3"/>
      <c r="E598" s="3"/>
      <c r="F598" s="3"/>
      <c r="G598" s="3"/>
    </row>
    <row r="599" spans="1:7">
      <c r="A599" s="120"/>
      <c r="B599" s="120"/>
      <c r="C599" s="120"/>
      <c r="D599" s="1140" t="s">
        <v>446</v>
      </c>
      <c r="E599" s="1140"/>
      <c r="F599" s="1140"/>
      <c r="G599" s="3"/>
    </row>
    <row r="600" spans="1:7">
      <c r="A600" s="120"/>
      <c r="B600" s="120"/>
      <c r="C600" s="120"/>
      <c r="D600" s="1140"/>
      <c r="E600" s="1140"/>
      <c r="F600" s="1140"/>
      <c r="G600" s="3"/>
    </row>
    <row r="601" spans="1:7">
      <c r="A601" s="285"/>
      <c r="B601" s="285"/>
      <c r="C601" s="123"/>
      <c r="D601" s="1138" t="s">
        <v>447</v>
      </c>
      <c r="E601" s="1138"/>
      <c r="F601" s="1138"/>
      <c r="G601" s="3"/>
    </row>
    <row r="602" spans="1:7">
      <c r="A602" s="285"/>
      <c r="B602" s="285"/>
      <c r="C602" s="123"/>
      <c r="D602" s="379"/>
      <c r="E602" s="379"/>
      <c r="F602" s="379"/>
      <c r="G602" s="3"/>
    </row>
    <row r="603" spans="1:7">
      <c r="A603" s="13"/>
      <c r="B603" s="370" t="s">
        <v>294</v>
      </c>
      <c r="C603" s="285"/>
      <c r="D603" s="1138" t="s">
        <v>448</v>
      </c>
      <c r="E603" s="1138"/>
      <c r="F603" s="1138"/>
      <c r="G603" s="3"/>
    </row>
    <row r="604" spans="1:7">
      <c r="A604" s="285"/>
      <c r="B604" s="285"/>
      <c r="C604" s="125"/>
      <c r="D604" s="3"/>
      <c r="E604"/>
      <c r="F604" s="3"/>
      <c r="G604" s="3"/>
    </row>
    <row r="605" spans="1:7">
      <c r="A605" s="13"/>
      <c r="B605" s="370" t="s">
        <v>294</v>
      </c>
      <c r="C605" s="285"/>
      <c r="D605" s="1141" t="s">
        <v>449</v>
      </c>
      <c r="E605" s="1141"/>
      <c r="F605" s="1141"/>
      <c r="G605" s="3"/>
    </row>
    <row r="606" spans="1:7">
      <c r="A606" s="285"/>
      <c r="B606" s="285"/>
      <c r="C606" s="285"/>
      <c r="D606" s="1141"/>
      <c r="E606" s="1141"/>
      <c r="F606" s="1141"/>
      <c r="G606" s="3"/>
    </row>
    <row r="607" spans="1:7">
      <c r="A607" s="285"/>
      <c r="B607" s="285"/>
      <c r="C607" s="285"/>
      <c r="D607"/>
      <c r="E607" s="3"/>
      <c r="F607" s="3"/>
      <c r="G607" s="3"/>
    </row>
    <row r="608" spans="1:7">
      <c r="A608" s="285"/>
      <c r="B608" s="370" t="s">
        <v>294</v>
      </c>
      <c r="C608" s="285"/>
      <c r="D608" s="1141" t="s">
        <v>450</v>
      </c>
      <c r="E608" s="1141"/>
      <c r="F608" s="1141"/>
      <c r="G608" s="3"/>
    </row>
    <row r="609" spans="1:7">
      <c r="A609" s="285"/>
      <c r="B609" s="285"/>
      <c r="C609" s="125"/>
      <c r="D609" s="1141"/>
      <c r="E609" s="1141"/>
      <c r="F609" s="1141"/>
      <c r="G609" s="3"/>
    </row>
    <row r="610" spans="1:7">
      <c r="A610" s="285"/>
      <c r="B610" s="285"/>
      <c r="C610" s="125"/>
      <c r="D610" s="3"/>
      <c r="E610" s="3"/>
      <c r="F610" s="3"/>
      <c r="G610" s="3"/>
    </row>
    <row r="611" spans="1:7">
      <c r="A611" s="285"/>
      <c r="B611" s="370" t="s">
        <v>294</v>
      </c>
      <c r="C611" s="125"/>
      <c r="D611" s="1141" t="s">
        <v>451</v>
      </c>
      <c r="E611" s="1141"/>
      <c r="F611" s="1141"/>
      <c r="G611" s="3"/>
    </row>
    <row r="612" spans="1:7">
      <c r="A612" s="285"/>
      <c r="B612" s="285"/>
      <c r="C612" s="125"/>
      <c r="D612" s="1141"/>
      <c r="E612" s="1141"/>
      <c r="F612" s="1141"/>
      <c r="G612" s="3"/>
    </row>
    <row r="613" spans="1:7">
      <c r="A613" s="285"/>
      <c r="B613" s="285"/>
      <c r="C613" s="125"/>
      <c r="D613" s="3"/>
      <c r="E613" s="3"/>
      <c r="F613" s="3"/>
      <c r="G613" s="3"/>
    </row>
    <row r="614" spans="1:7">
      <c r="A614" s="1145" t="s">
        <v>452</v>
      </c>
      <c r="B614" s="1145"/>
      <c r="C614" s="1145"/>
      <c r="D614" s="1145"/>
      <c r="E614" s="1145"/>
      <c r="F614" s="1145"/>
      <c r="G614" s="1145"/>
    </row>
    <row r="615" spans="1:7">
      <c r="A615" s="120"/>
      <c r="B615" s="120"/>
      <c r="C615" s="120"/>
      <c r="D615" s="3"/>
      <c r="E615" s="3"/>
      <c r="F615" s="3"/>
      <c r="G615" s="3"/>
    </row>
    <row r="616" spans="1:7">
      <c r="A616" s="285"/>
      <c r="B616" s="285"/>
      <c r="C616" s="13"/>
      <c r="D616" s="1137" t="s">
        <v>453</v>
      </c>
      <c r="E616" s="1137"/>
      <c r="F616" s="1137"/>
      <c r="G616" s="3"/>
    </row>
    <row r="617" spans="1:7">
      <c r="A617" s="13"/>
      <c r="B617" s="13"/>
      <c r="C617" s="285"/>
      <c r="D617" s="2"/>
      <c r="E617" s="3"/>
      <c r="F617" s="3"/>
      <c r="G617" s="3"/>
    </row>
    <row r="618" spans="1:7" ht="14.25">
      <c r="A618" s="124"/>
      <c r="B618" s="370" t="s">
        <v>294</v>
      </c>
      <c r="C618" s="285"/>
      <c r="D618" s="1139" t="s">
        <v>454</v>
      </c>
      <c r="E618" s="1139"/>
      <c r="F618" s="1139"/>
      <c r="G618" s="3"/>
    </row>
    <row r="619" spans="1:7">
      <c r="A619" s="285"/>
      <c r="B619" s="285"/>
      <c r="C619" s="285"/>
      <c r="D619" s="1139"/>
      <c r="E619" s="1139"/>
      <c r="F619" s="1139"/>
      <c r="G619" s="3"/>
    </row>
    <row r="620" spans="1:7">
      <c r="A620" s="285"/>
      <c r="B620" s="285"/>
      <c r="C620" s="285"/>
      <c r="D620" s="1139"/>
      <c r="E620" s="1139"/>
      <c r="F620" s="1139"/>
      <c r="G620" s="3"/>
    </row>
    <row r="621" spans="1:7">
      <c r="A621" s="285"/>
      <c r="B621" s="285"/>
      <c r="C621" s="285"/>
      <c r="D621" s="1139"/>
      <c r="E621" s="1139"/>
      <c r="F621" s="1139"/>
      <c r="G621" s="3"/>
    </row>
    <row r="622" spans="1:7">
      <c r="A622" s="285"/>
      <c r="B622" s="285"/>
      <c r="C622" s="285"/>
      <c r="D622" s="1139"/>
      <c r="E622" s="1139"/>
      <c r="F622" s="1139"/>
      <c r="G622" s="3"/>
    </row>
    <row r="623" spans="1:7">
      <c r="A623" s="285"/>
      <c r="B623" s="285"/>
      <c r="C623" s="285"/>
      <c r="D623" s="1139"/>
      <c r="E623" s="1139"/>
      <c r="F623" s="1139"/>
      <c r="G623" s="3"/>
    </row>
    <row r="624" spans="1:7">
      <c r="A624" s="285"/>
      <c r="B624" s="285"/>
      <c r="C624" s="285"/>
      <c r="D624" s="380"/>
      <c r="E624" s="380"/>
      <c r="F624" s="380"/>
      <c r="G624" s="3"/>
    </row>
    <row r="625" spans="1:7" ht="14.25">
      <c r="A625" s="124"/>
      <c r="B625" s="370" t="s">
        <v>294</v>
      </c>
      <c r="C625" s="285"/>
      <c r="D625" s="1139" t="s">
        <v>455</v>
      </c>
      <c r="E625" s="1139"/>
      <c r="F625" s="1139"/>
      <c r="G625" s="3"/>
    </row>
    <row r="626" spans="1:7">
      <c r="A626" s="950"/>
      <c r="B626" s="950"/>
      <c r="C626" s="950"/>
      <c r="D626" s="1139"/>
      <c r="E626" s="1139"/>
      <c r="F626" s="1139"/>
      <c r="G626" s="3"/>
    </row>
    <row r="627" spans="1:7">
      <c r="A627" s="950"/>
      <c r="B627" s="950"/>
      <c r="C627" s="950"/>
      <c r="D627" s="85"/>
      <c r="E627" s="85"/>
      <c r="F627" s="85"/>
      <c r="G627" s="3"/>
    </row>
    <row r="628" spans="1:7" ht="14.25">
      <c r="A628" s="124"/>
      <c r="B628" s="370" t="s">
        <v>294</v>
      </c>
      <c r="C628" s="950"/>
      <c r="D628" s="1139" t="s">
        <v>456</v>
      </c>
      <c r="E628" s="1139"/>
      <c r="F628" s="1139"/>
      <c r="G628" s="3"/>
    </row>
    <row r="629" spans="1:7" ht="14.25">
      <c r="A629" s="124"/>
      <c r="B629" s="124"/>
      <c r="C629" s="950"/>
      <c r="D629" s="1139"/>
      <c r="E629" s="1139"/>
      <c r="F629" s="1139"/>
      <c r="G629" s="3"/>
    </row>
    <row r="630" spans="1:7" ht="14.25">
      <c r="A630" s="124"/>
      <c r="B630" s="124"/>
      <c r="C630" s="950"/>
      <c r="D630" s="1139"/>
      <c r="E630" s="1139"/>
      <c r="F630" s="1139"/>
      <c r="G630" s="3"/>
    </row>
    <row r="631" spans="1:7">
      <c r="A631" s="950"/>
      <c r="B631" s="950"/>
      <c r="C631" s="950"/>
      <c r="D631" s="1139"/>
      <c r="E631" s="1139"/>
      <c r="F631" s="1139"/>
      <c r="G631" s="3"/>
    </row>
    <row r="632" spans="1:7">
      <c r="A632" s="950"/>
      <c r="B632" s="950"/>
      <c r="C632" s="950"/>
      <c r="D632" s="380"/>
      <c r="E632" s="380"/>
      <c r="F632" s="380"/>
      <c r="G632" s="3"/>
    </row>
    <row r="633" spans="1:7">
      <c r="A633" s="950"/>
      <c r="B633" s="370" t="s">
        <v>294</v>
      </c>
      <c r="C633" s="950"/>
      <c r="D633" s="1167" t="s">
        <v>457</v>
      </c>
      <c r="E633" s="1167"/>
      <c r="F633" s="1167"/>
      <c r="G633" s="3"/>
    </row>
    <row r="634" spans="1:7">
      <c r="A634" s="950"/>
      <c r="B634" s="950"/>
      <c r="C634" s="950"/>
      <c r="D634" s="381"/>
      <c r="E634" s="381"/>
      <c r="F634" s="381"/>
      <c r="G634" s="3"/>
    </row>
    <row r="635" spans="1:7">
      <c r="A635" s="1145" t="s">
        <v>458</v>
      </c>
      <c r="B635" s="1145"/>
      <c r="C635" s="1145"/>
      <c r="D635" s="1145"/>
      <c r="E635" s="1145"/>
      <c r="F635" s="1145"/>
      <c r="G635" s="1145"/>
    </row>
    <row r="636" spans="1:7">
      <c r="A636" s="85"/>
      <c r="B636" s="85"/>
      <c r="C636" s="950"/>
      <c r="D636" s="85"/>
      <c r="E636" s="85"/>
      <c r="F636" s="85"/>
      <c r="G636" s="3"/>
    </row>
    <row r="637" spans="1:7">
      <c r="A637" s="285"/>
      <c r="B637" s="285"/>
      <c r="C637" s="120"/>
      <c r="D637" s="1143" t="s">
        <v>459</v>
      </c>
      <c r="E637" s="1143"/>
      <c r="F637" s="1143"/>
      <c r="G637" s="3"/>
    </row>
    <row r="638" spans="1:7">
      <c r="A638" s="123"/>
      <c r="B638" s="123"/>
      <c r="C638" s="123"/>
      <c r="D638" s="1144" t="s">
        <v>460</v>
      </c>
      <c r="E638" s="1144"/>
      <c r="F638" s="1144"/>
      <c r="G638" s="3"/>
    </row>
    <row r="639" spans="1:7">
      <c r="A639" s="123"/>
      <c r="B639" s="123"/>
      <c r="C639" s="123"/>
      <c r="D639" s="85"/>
      <c r="E639" s="85"/>
      <c r="F639" s="85"/>
      <c r="G639" s="3"/>
    </row>
    <row r="640" spans="1:7" ht="14.45" customHeight="1">
      <c r="A640" s="124"/>
      <c r="B640" s="370" t="s">
        <v>294</v>
      </c>
      <c r="C640" s="950"/>
      <c r="D640" s="1125" t="s">
        <v>461</v>
      </c>
      <c r="E640" s="1125"/>
      <c r="F640" s="1125"/>
      <c r="G640" s="3"/>
    </row>
    <row r="641" spans="1:11" ht="14.25">
      <c r="A641" s="124"/>
      <c r="B641" s="124"/>
      <c r="C641" s="950"/>
      <c r="D641" s="1125"/>
      <c r="E641" s="1125"/>
      <c r="F641" s="1125"/>
      <c r="G641" s="3"/>
    </row>
    <row r="642" spans="1:11" ht="14.25">
      <c r="A642" s="124"/>
      <c r="B642" s="124"/>
      <c r="C642" s="950"/>
      <c r="D642" s="1125"/>
      <c r="E642" s="1125"/>
      <c r="F642" s="1125"/>
      <c r="G642" s="3"/>
    </row>
    <row r="643" spans="1:11" ht="14.25">
      <c r="A643" s="124"/>
      <c r="B643" s="124"/>
      <c r="C643" s="950"/>
      <c r="D643" s="1125"/>
      <c r="E643" s="1125"/>
      <c r="F643" s="1125"/>
      <c r="G643" s="3"/>
    </row>
    <row r="644" spans="1:11" ht="14.25">
      <c r="A644" s="124"/>
      <c r="B644" s="124"/>
      <c r="C644" s="950"/>
      <c r="D644" s="1125"/>
      <c r="E644" s="1125"/>
      <c r="F644" s="1125"/>
      <c r="G644" s="3"/>
    </row>
    <row r="645" spans="1:11" ht="14.25">
      <c r="A645" s="124"/>
      <c r="B645" s="124"/>
      <c r="C645" s="950"/>
      <c r="D645" s="376"/>
      <c r="E645" s="376"/>
      <c r="F645" s="376"/>
      <c r="G645" s="3"/>
    </row>
    <row r="646" spans="1:11" ht="14.25">
      <c r="A646" s="124"/>
      <c r="B646" s="370" t="s">
        <v>294</v>
      </c>
      <c r="C646" s="950"/>
      <c r="D646" s="1156" t="s">
        <v>462</v>
      </c>
      <c r="E646" s="1156"/>
      <c r="F646" s="1156"/>
      <c r="G646" s="3"/>
    </row>
    <row r="647" spans="1:11" ht="14.25">
      <c r="A647" s="124"/>
      <c r="B647" s="124"/>
      <c r="C647" s="950"/>
      <c r="D647" s="1155" t="s">
        <v>463</v>
      </c>
      <c r="E647" s="1155"/>
      <c r="F647" s="1155"/>
      <c r="G647" s="3"/>
    </row>
    <row r="648" spans="1:11" ht="14.25">
      <c r="A648" s="124"/>
      <c r="B648" s="124"/>
      <c r="C648" s="950"/>
      <c r="D648" s="1155"/>
      <c r="E648" s="1155"/>
      <c r="F648" s="1155"/>
      <c r="G648" s="3"/>
    </row>
    <row r="649" spans="1:11" ht="14.25">
      <c r="A649" s="124"/>
      <c r="B649" s="124"/>
      <c r="C649" s="950"/>
      <c r="D649" s="1155"/>
      <c r="E649" s="1155"/>
      <c r="F649" s="1155"/>
      <c r="G649" s="3"/>
    </row>
    <row r="650" spans="1:11" ht="14.25">
      <c r="A650" s="124"/>
      <c r="B650" s="124"/>
      <c r="C650" s="950"/>
      <c r="D650" s="1155"/>
      <c r="E650" s="1155"/>
      <c r="F650" s="1155"/>
      <c r="G650" s="3"/>
    </row>
    <row r="651" spans="1:11" ht="14.25">
      <c r="A651" s="124"/>
      <c r="B651" s="124"/>
      <c r="C651" s="950"/>
      <c r="D651" s="1155"/>
      <c r="E651" s="1155"/>
      <c r="F651" s="1155"/>
      <c r="G651" s="3"/>
    </row>
    <row r="652" spans="1:11" ht="14.25">
      <c r="A652" s="124"/>
      <c r="B652" s="124"/>
      <c r="C652" s="950"/>
      <c r="D652" s="1157" t="s">
        <v>464</v>
      </c>
      <c r="E652" s="1157"/>
      <c r="F652" s="1157"/>
      <c r="G652" s="3"/>
    </row>
    <row r="653" spans="1:11">
      <c r="A653" s="950"/>
      <c r="B653" s="950"/>
      <c r="C653" s="950"/>
      <c r="D653" s="85"/>
      <c r="E653" s="85"/>
      <c r="F653" s="85"/>
      <c r="G653" s="3"/>
    </row>
    <row r="654" spans="1:11">
      <c r="A654" s="1145" t="s">
        <v>465</v>
      </c>
      <c r="B654" s="1145"/>
      <c r="C654" s="1145"/>
      <c r="D654" s="1145"/>
      <c r="E654" s="1145"/>
      <c r="F654" s="1145"/>
      <c r="G654" s="1145"/>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3" t="s">
        <v>466</v>
      </c>
      <c r="E656" s="1143"/>
      <c r="F656" s="1143"/>
      <c r="G656" s="3"/>
      <c r="H656" s="126"/>
      <c r="I656" s="126"/>
      <c r="J656" s="126"/>
      <c r="K656" s="126"/>
    </row>
    <row r="657" spans="1:11">
      <c r="A657" s="120"/>
      <c r="B657" s="120"/>
      <c r="C657" s="120"/>
      <c r="D657" s="1143" t="s">
        <v>467</v>
      </c>
      <c r="E657" s="1143"/>
      <c r="F657" s="1143"/>
      <c r="G657" s="3"/>
      <c r="H657" s="126"/>
      <c r="I657" s="126"/>
      <c r="J657" s="126"/>
      <c r="K657" s="126"/>
    </row>
    <row r="658" spans="1:11">
      <c r="A658" s="123"/>
      <c r="B658" s="123"/>
      <c r="C658" s="123"/>
      <c r="D658" s="1144" t="s">
        <v>468</v>
      </c>
      <c r="E658" s="1144"/>
      <c r="F658" s="1144"/>
      <c r="G658" s="3"/>
      <c r="H658" s="126"/>
      <c r="I658" s="126"/>
      <c r="J658" s="126"/>
      <c r="K658" s="126"/>
    </row>
    <row r="659" spans="1:11">
      <c r="A659" s="123"/>
      <c r="B659" s="123"/>
      <c r="C659" s="123"/>
      <c r="D659" s="3"/>
      <c r="E659" s="3"/>
      <c r="F659" s="3"/>
      <c r="G659" s="3"/>
      <c r="H659" s="126"/>
      <c r="I659" s="126"/>
      <c r="J659" s="126"/>
      <c r="K659" s="126"/>
    </row>
    <row r="660" spans="1:11" ht="14.25">
      <c r="A660" s="124"/>
      <c r="B660" s="370" t="s">
        <v>294</v>
      </c>
      <c r="C660" s="123"/>
      <c r="D660" s="1144" t="s">
        <v>469</v>
      </c>
      <c r="E660" s="1144"/>
      <c r="F660" s="1144"/>
      <c r="G660" s="3"/>
      <c r="H660" s="126"/>
      <c r="I660" s="126"/>
      <c r="J660" s="126"/>
      <c r="K660" s="126"/>
    </row>
    <row r="661" spans="1:11">
      <c r="A661" s="123"/>
      <c r="B661" s="123"/>
      <c r="C661" s="123"/>
      <c r="D661" s="1144" t="s">
        <v>470</v>
      </c>
      <c r="E661" s="1144"/>
      <c r="F661" s="1144"/>
      <c r="G661" s="3"/>
      <c r="H661" s="126"/>
      <c r="I661" s="126"/>
      <c r="J661" s="126"/>
      <c r="K661" s="126"/>
    </row>
    <row r="662" spans="1:11">
      <c r="A662" s="123"/>
      <c r="B662" s="123"/>
      <c r="C662" s="123"/>
      <c r="D662" s="3"/>
      <c r="E662" s="1128" t="s">
        <v>471</v>
      </c>
      <c r="F662" s="1128"/>
      <c r="G662" s="3"/>
      <c r="H662" s="126"/>
      <c r="I662" s="126"/>
      <c r="J662" s="126"/>
      <c r="K662" s="126"/>
    </row>
    <row r="663" spans="1:11">
      <c r="A663" s="123"/>
      <c r="B663" s="123"/>
      <c r="C663" s="123"/>
      <c r="D663" s="3"/>
      <c r="E663" s="1128"/>
      <c r="F663" s="1128"/>
      <c r="G663" s="3"/>
      <c r="H663" s="126"/>
      <c r="I663" s="126"/>
      <c r="J663" s="126"/>
      <c r="K663" s="126"/>
    </row>
    <row r="664" spans="1:11">
      <c r="A664" s="123"/>
      <c r="B664" s="123"/>
      <c r="C664" s="123"/>
      <c r="D664" s="127"/>
      <c r="E664" s="85"/>
      <c r="F664" s="3"/>
      <c r="G664" s="3"/>
      <c r="H664" s="126"/>
      <c r="I664" s="126"/>
      <c r="J664" s="126"/>
      <c r="K664" s="126"/>
    </row>
    <row r="665" spans="1:11" ht="14.25">
      <c r="A665" s="124"/>
      <c r="B665" s="370" t="s">
        <v>294</v>
      </c>
      <c r="C665" s="123"/>
      <c r="D665" s="1125" t="s">
        <v>472</v>
      </c>
      <c r="E665" s="1125"/>
      <c r="F665" s="1125"/>
      <c r="G665" s="3"/>
      <c r="H665" s="126"/>
      <c r="I665" s="126"/>
      <c r="J665" s="126"/>
      <c r="K665" s="126"/>
    </row>
    <row r="666" spans="1:11">
      <c r="A666" s="13"/>
      <c r="B666" s="13"/>
      <c r="C666" s="123"/>
      <c r="D666" s="1125"/>
      <c r="E666" s="1125"/>
      <c r="F666" s="1125"/>
      <c r="G666" s="3"/>
      <c r="H666" s="126"/>
      <c r="I666" s="126"/>
      <c r="J666" s="126"/>
      <c r="K666" s="126"/>
    </row>
    <row r="667" spans="1:11">
      <c r="A667" s="123"/>
      <c r="B667" s="123"/>
      <c r="C667" s="123"/>
      <c r="D667" s="1125"/>
      <c r="E667" s="1125"/>
      <c r="F667" s="1125"/>
      <c r="G667" s="3"/>
      <c r="H667" s="126"/>
      <c r="I667" s="126"/>
      <c r="J667" s="126"/>
      <c r="K667" s="126"/>
    </row>
    <row r="668" spans="1:11">
      <c r="A668" s="123"/>
      <c r="B668" s="123"/>
      <c r="C668" s="123"/>
      <c r="D668" s="3"/>
      <c r="E668" s="3"/>
      <c r="F668" s="3"/>
      <c r="G668" s="3"/>
      <c r="H668" s="126"/>
      <c r="I668" s="126"/>
      <c r="J668" s="126"/>
      <c r="K668" s="126"/>
    </row>
    <row r="669" spans="1:11" ht="14.25">
      <c r="A669" s="124"/>
      <c r="B669" s="370" t="s">
        <v>294</v>
      </c>
      <c r="C669" s="123"/>
      <c r="D669" s="1144" t="s">
        <v>473</v>
      </c>
      <c r="E669" s="1144"/>
      <c r="F669" s="1144"/>
      <c r="G669" s="3"/>
      <c r="H669" s="126"/>
      <c r="I669" s="126"/>
      <c r="J669" s="126"/>
      <c r="K669" s="126"/>
    </row>
    <row r="670" spans="1:11" ht="14.25">
      <c r="A670" s="124"/>
      <c r="B670" s="124"/>
      <c r="C670" s="123"/>
      <c r="D670" s="1144" t="s">
        <v>470</v>
      </c>
      <c r="E670" s="1144"/>
      <c r="F670" s="1144"/>
      <c r="G670" s="3"/>
      <c r="H670" s="126"/>
      <c r="I670" s="126"/>
      <c r="J670" s="126"/>
      <c r="K670" s="126"/>
    </row>
    <row r="671" spans="1:11">
      <c r="A671" s="123"/>
      <c r="B671" s="123"/>
      <c r="C671" s="123"/>
      <c r="D671" s="3"/>
      <c r="E671" s="1148" t="s">
        <v>474</v>
      </c>
      <c r="F671" s="1148"/>
      <c r="G671" s="3"/>
      <c r="H671" s="126"/>
      <c r="I671" s="126"/>
      <c r="J671" s="126"/>
      <c r="K671" s="126"/>
    </row>
    <row r="672" spans="1:11">
      <c r="A672" s="123"/>
      <c r="B672" s="123"/>
      <c r="C672" s="123"/>
      <c r="D672" s="2"/>
      <c r="E672" s="3"/>
      <c r="F672" s="3"/>
      <c r="G672" s="3"/>
      <c r="H672" s="126"/>
      <c r="I672" s="126"/>
      <c r="J672" s="126"/>
      <c r="K672" s="126"/>
    </row>
    <row r="673" spans="1:11" ht="14.25">
      <c r="A673" s="124"/>
      <c r="B673" s="370" t="s">
        <v>294</v>
      </c>
      <c r="C673" s="123"/>
      <c r="D673" s="1125" t="s">
        <v>475</v>
      </c>
      <c r="E673" s="1125"/>
      <c r="F673" s="1125"/>
      <c r="G673" s="3"/>
      <c r="H673" s="126"/>
      <c r="I673" s="126"/>
      <c r="J673" s="126"/>
      <c r="K673" s="126"/>
    </row>
    <row r="674" spans="1:11">
      <c r="A674" s="123"/>
      <c r="B674" s="123"/>
      <c r="C674" s="123"/>
      <c r="D674" s="1125"/>
      <c r="E674" s="1125"/>
      <c r="F674" s="1125"/>
      <c r="G674" s="3"/>
      <c r="H674" s="126"/>
      <c r="I674" s="126"/>
      <c r="J674" s="126"/>
      <c r="K674" s="126"/>
    </row>
    <row r="675" spans="1:11">
      <c r="A675" s="123"/>
      <c r="B675" s="123"/>
      <c r="C675" s="123"/>
      <c r="D675" s="1125"/>
      <c r="E675" s="1125"/>
      <c r="F675" s="1125"/>
      <c r="G675" s="3"/>
      <c r="H675" s="126"/>
      <c r="I675" s="126"/>
      <c r="J675" s="126"/>
      <c r="K675" s="126"/>
    </row>
    <row r="676" spans="1:11">
      <c r="A676" s="123"/>
      <c r="B676" s="123"/>
      <c r="C676" s="123"/>
      <c r="D676" s="1125"/>
      <c r="E676" s="1125"/>
      <c r="F676" s="1125"/>
      <c r="G676" s="3"/>
      <c r="H676" s="126"/>
      <c r="I676" s="126"/>
      <c r="J676" s="126"/>
      <c r="K676" s="126"/>
    </row>
    <row r="677" spans="1:11">
      <c r="A677" s="123"/>
      <c r="B677" s="123"/>
      <c r="C677" s="123"/>
      <c r="D677" s="1125"/>
      <c r="E677" s="1125"/>
      <c r="F677" s="1125"/>
      <c r="G677" s="3"/>
      <c r="H677" s="126"/>
      <c r="I677" s="126"/>
      <c r="J677" s="126"/>
      <c r="K677" s="126"/>
    </row>
    <row r="678" spans="1:11">
      <c r="A678" s="123"/>
      <c r="B678" s="123"/>
      <c r="C678" s="123"/>
      <c r="D678" s="1125"/>
      <c r="E678" s="1125"/>
      <c r="F678" s="1125"/>
      <c r="G678" s="3"/>
      <c r="H678" s="126"/>
      <c r="I678" s="126"/>
      <c r="J678" s="126"/>
      <c r="K678" s="126"/>
    </row>
    <row r="679" spans="1:11">
      <c r="A679" s="123"/>
      <c r="B679" s="123"/>
      <c r="C679" s="123"/>
      <c r="D679" s="376"/>
      <c r="E679" s="376"/>
      <c r="F679" s="376"/>
      <c r="G679" s="3"/>
      <c r="H679" s="126"/>
      <c r="I679" s="126"/>
      <c r="J679" s="126"/>
      <c r="K679" s="126"/>
    </row>
    <row r="680" spans="1:11" ht="14.25">
      <c r="A680" s="124"/>
      <c r="B680" s="370" t="s">
        <v>294</v>
      </c>
      <c r="C680" s="123"/>
      <c r="D680" s="1125" t="s">
        <v>476</v>
      </c>
      <c r="E680" s="1125"/>
      <c r="F680" s="1125"/>
      <c r="G680" s="3"/>
      <c r="H680" s="126"/>
      <c r="I680" s="126"/>
      <c r="J680" s="126"/>
      <c r="K680" s="126"/>
    </row>
    <row r="681" spans="1:11">
      <c r="A681" s="123"/>
      <c r="B681" s="123"/>
      <c r="C681" s="123"/>
      <c r="D681" s="1125"/>
      <c r="E681" s="1125"/>
      <c r="F681" s="1125"/>
      <c r="G681" s="3"/>
      <c r="H681" s="126"/>
      <c r="I681" s="126"/>
      <c r="J681" s="126"/>
      <c r="K681" s="126"/>
    </row>
    <row r="682" spans="1:11">
      <c r="A682" s="123"/>
      <c r="B682" s="123"/>
      <c r="C682" s="123"/>
      <c r="D682" s="1125"/>
      <c r="E682" s="1125"/>
      <c r="F682" s="1125"/>
      <c r="G682" s="3"/>
      <c r="H682" s="126"/>
      <c r="I682" s="126"/>
      <c r="J682" s="126"/>
      <c r="K682" s="126"/>
    </row>
    <row r="683" spans="1:11" ht="15" customHeight="1">
      <c r="A683" s="123"/>
      <c r="B683" s="123"/>
      <c r="C683" s="123"/>
      <c r="D683" s="1125"/>
      <c r="E683" s="1125"/>
      <c r="F683" s="1125"/>
      <c r="G683" s="3"/>
      <c r="H683" s="126"/>
      <c r="I683" s="126"/>
      <c r="J683" s="126"/>
      <c r="K683" s="126"/>
    </row>
    <row r="684" spans="1:11" ht="15" customHeight="1">
      <c r="A684" s="123"/>
      <c r="B684" s="123"/>
      <c r="C684" s="123"/>
      <c r="D684" s="1125"/>
      <c r="E684" s="1125"/>
      <c r="F684" s="1125"/>
      <c r="G684" s="3"/>
      <c r="H684" s="126"/>
      <c r="I684" s="126"/>
      <c r="J684" s="126"/>
      <c r="K684" s="126"/>
    </row>
    <row r="685" spans="1:11">
      <c r="A685" s="123"/>
      <c r="B685" s="123"/>
      <c r="C685" s="123"/>
      <c r="D685" s="1125"/>
      <c r="E685" s="1125"/>
      <c r="F685" s="1125"/>
      <c r="G685" s="3"/>
      <c r="H685" s="126"/>
      <c r="I685" s="126"/>
      <c r="J685" s="126"/>
      <c r="K685" s="126"/>
    </row>
    <row r="686" spans="1:11">
      <c r="A686" s="123"/>
      <c r="B686" s="123"/>
      <c r="C686" s="123"/>
      <c r="D686" s="1125"/>
      <c r="E686" s="1125"/>
      <c r="F686" s="1125"/>
      <c r="G686" s="3"/>
      <c r="H686" s="126"/>
      <c r="I686" s="126"/>
      <c r="J686" s="126"/>
      <c r="K686" s="126"/>
    </row>
    <row r="687" spans="1:11">
      <c r="A687" s="123"/>
      <c r="B687" s="123"/>
      <c r="C687" s="123"/>
      <c r="D687" s="1125"/>
      <c r="E687" s="1125"/>
      <c r="F687" s="1125"/>
      <c r="G687" s="3"/>
      <c r="H687" s="126"/>
      <c r="I687" s="126"/>
      <c r="J687" s="126"/>
      <c r="K687" s="126"/>
    </row>
    <row r="688" spans="1:11" ht="15" customHeight="1">
      <c r="A688" s="123"/>
      <c r="B688" s="123"/>
      <c r="C688" s="123"/>
      <c r="D688" s="1125"/>
      <c r="E688" s="1125"/>
      <c r="F688" s="1125"/>
      <c r="G688" s="3"/>
      <c r="H688" s="126"/>
      <c r="I688" s="126"/>
      <c r="J688" s="126"/>
      <c r="K688" s="126"/>
    </row>
    <row r="689" spans="1:11">
      <c r="A689" s="123"/>
      <c r="B689" s="123"/>
      <c r="C689" s="123"/>
      <c r="D689" s="1125"/>
      <c r="E689" s="1125"/>
      <c r="F689" s="1125"/>
      <c r="G689" s="3"/>
      <c r="H689" s="126"/>
      <c r="I689" s="126"/>
      <c r="J689" s="126"/>
      <c r="K689" s="126"/>
    </row>
    <row r="690" spans="1:11">
      <c r="A690" s="123"/>
      <c r="B690" s="123"/>
      <c r="C690" s="123"/>
      <c r="D690" s="1125"/>
      <c r="E690" s="1125"/>
      <c r="F690" s="1125"/>
      <c r="G690" s="3"/>
      <c r="H690" s="126"/>
      <c r="I690" s="126"/>
      <c r="J690" s="126"/>
      <c r="K690" s="126"/>
    </row>
    <row r="691" spans="1:11">
      <c r="A691" s="123"/>
      <c r="B691" s="123"/>
      <c r="C691" s="123"/>
      <c r="D691" s="1125"/>
      <c r="E691" s="1125"/>
      <c r="F691" s="1125"/>
      <c r="G691" s="3"/>
      <c r="H691" s="126"/>
      <c r="I691" s="126"/>
      <c r="J691" s="126"/>
      <c r="K691" s="126"/>
    </row>
    <row r="692" spans="1:11">
      <c r="A692" s="123"/>
      <c r="B692" s="123"/>
      <c r="C692" s="123"/>
      <c r="D692" s="376"/>
      <c r="E692" s="376"/>
      <c r="F692" s="376"/>
      <c r="G692" s="3"/>
      <c r="H692" s="126"/>
      <c r="I692" s="126"/>
      <c r="J692" s="126"/>
      <c r="K692" s="126"/>
    </row>
    <row r="693" spans="1:11" ht="14.25">
      <c r="A693" s="124"/>
      <c r="B693" s="370" t="s">
        <v>294</v>
      </c>
      <c r="C693" s="123"/>
      <c r="D693" s="1125" t="s">
        <v>477</v>
      </c>
      <c r="E693" s="1125"/>
      <c r="F693" s="1125"/>
      <c r="G693" s="3"/>
      <c r="H693" s="126"/>
      <c r="I693" s="126"/>
      <c r="J693" s="126"/>
      <c r="K693" s="126"/>
    </row>
    <row r="694" spans="1:11">
      <c r="A694" s="123"/>
      <c r="B694" s="123"/>
      <c r="C694" s="123"/>
      <c r="D694" s="1125"/>
      <c r="E694" s="1125"/>
      <c r="F694" s="1125"/>
      <c r="G694" s="3"/>
      <c r="H694" s="126"/>
      <c r="I694" s="126"/>
      <c r="J694" s="126"/>
      <c r="K694" s="126"/>
    </row>
    <row r="695" spans="1:11">
      <c r="A695" s="123"/>
      <c r="B695" s="123"/>
      <c r="C695" s="123"/>
      <c r="D695" s="1125"/>
      <c r="E695" s="1125"/>
      <c r="F695" s="1125"/>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5" t="s">
        <v>478</v>
      </c>
      <c r="E697" s="1125"/>
      <c r="F697" s="1125"/>
      <c r="G697" s="3"/>
      <c r="H697" s="126"/>
      <c r="I697" s="126"/>
      <c r="J697" s="126"/>
      <c r="K697" s="126"/>
    </row>
    <row r="698" spans="1:11">
      <c r="A698" s="123"/>
      <c r="B698" s="123"/>
      <c r="C698" s="123"/>
      <c r="D698" s="1125"/>
      <c r="E698" s="1125"/>
      <c r="F698" s="1125"/>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5" t="s">
        <v>479</v>
      </c>
      <c r="E700" s="1125"/>
      <c r="F700" s="1125"/>
      <c r="G700" s="3"/>
      <c r="H700" s="126"/>
      <c r="I700" s="126"/>
      <c r="J700" s="126"/>
      <c r="K700" s="126"/>
    </row>
    <row r="701" spans="1:11">
      <c r="A701" s="123"/>
      <c r="B701" s="123"/>
      <c r="C701" s="123"/>
      <c r="D701" s="1125"/>
      <c r="E701" s="1125"/>
      <c r="F701" s="1125"/>
      <c r="G701" s="3"/>
      <c r="H701" s="126"/>
      <c r="I701" s="126"/>
      <c r="J701" s="126"/>
      <c r="K701" s="126"/>
    </row>
    <row r="702" spans="1:11">
      <c r="A702" s="123"/>
      <c r="B702" s="123"/>
      <c r="C702" s="123"/>
      <c r="D702" s="1125"/>
      <c r="E702" s="1125"/>
      <c r="F702" s="1125"/>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5" t="s">
        <v>480</v>
      </c>
      <c r="E704" s="1125"/>
      <c r="F704" s="1125"/>
      <c r="G704" s="3"/>
      <c r="H704" s="126"/>
      <c r="I704" s="126"/>
      <c r="J704" s="126"/>
      <c r="K704" s="126"/>
    </row>
    <row r="705" spans="1:11">
      <c r="A705" s="123"/>
      <c r="B705" s="123"/>
      <c r="C705" s="123"/>
      <c r="D705" s="1125"/>
      <c r="E705" s="1125"/>
      <c r="F705" s="1125"/>
      <c r="G705" s="3"/>
      <c r="H705" s="126"/>
      <c r="I705" s="126"/>
      <c r="J705" s="126"/>
      <c r="K705" s="126"/>
    </row>
    <row r="706" spans="1:11">
      <c r="A706" s="123"/>
      <c r="B706" s="123"/>
      <c r="C706" s="123"/>
      <c r="D706" s="1125"/>
      <c r="E706" s="1125"/>
      <c r="F706" s="1125"/>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5" t="s">
        <v>481</v>
      </c>
      <c r="E708" s="1125"/>
      <c r="F708" s="1125"/>
      <c r="G708" s="3"/>
      <c r="H708" s="126"/>
      <c r="I708" s="126"/>
      <c r="J708" s="126"/>
      <c r="K708" s="126"/>
    </row>
    <row r="709" spans="1:11">
      <c r="A709" s="123"/>
      <c r="B709" s="123"/>
      <c r="C709" s="123"/>
      <c r="D709" s="1125"/>
      <c r="E709" s="1125"/>
      <c r="F709" s="1125"/>
      <c r="G709" s="3"/>
      <c r="H709" s="126"/>
      <c r="I709" s="126"/>
      <c r="J709" s="126"/>
      <c r="K709" s="126"/>
    </row>
    <row r="710" spans="1:11">
      <c r="A710" s="123"/>
      <c r="B710" s="123"/>
      <c r="C710" s="123"/>
      <c r="D710" s="1125"/>
      <c r="E710" s="1125"/>
      <c r="F710" s="1125"/>
      <c r="G710" s="3"/>
      <c r="H710" s="126"/>
      <c r="I710" s="126"/>
      <c r="J710" s="126"/>
      <c r="K710" s="126"/>
    </row>
    <row r="711" spans="1:11">
      <c r="A711" s="123"/>
      <c r="B711" s="123"/>
      <c r="C711" s="123"/>
      <c r="D711"/>
      <c r="E711" s="3"/>
      <c r="F711" s="3"/>
      <c r="G711" s="3"/>
      <c r="H711" s="126"/>
      <c r="I711" s="126"/>
      <c r="J711" s="126"/>
      <c r="K711" s="126"/>
    </row>
    <row r="712" spans="1:11" ht="14.25">
      <c r="A712" s="124"/>
      <c r="B712" s="370" t="s">
        <v>294</v>
      </c>
      <c r="C712" s="123"/>
      <c r="D712" s="1125" t="s">
        <v>482</v>
      </c>
      <c r="E712" s="1125"/>
      <c r="F712" s="1125"/>
      <c r="G712" s="3"/>
      <c r="H712" s="126"/>
      <c r="I712" s="126"/>
      <c r="J712" s="126"/>
      <c r="K712" s="126"/>
    </row>
    <row r="713" spans="1:11">
      <c r="A713" s="123"/>
      <c r="B713" s="123"/>
      <c r="C713" s="123"/>
      <c r="D713" s="1125"/>
      <c r="E713" s="1125"/>
      <c r="F713" s="1125"/>
      <c r="G713" s="3"/>
      <c r="H713" s="126"/>
      <c r="I713" s="126"/>
      <c r="J713" s="126"/>
      <c r="K713" s="126"/>
    </row>
    <row r="714" spans="1:11">
      <c r="A714" s="123"/>
      <c r="B714" s="123"/>
      <c r="C714" s="123"/>
      <c r="D714" s="1125"/>
      <c r="E714" s="1125"/>
      <c r="F714" s="1125"/>
      <c r="G714" s="3"/>
      <c r="H714" s="126"/>
      <c r="I714" s="126"/>
      <c r="J714" s="126"/>
      <c r="K714" s="126"/>
    </row>
    <row r="715" spans="1:11">
      <c r="A715" s="123"/>
      <c r="B715" s="123"/>
      <c r="C715" s="123"/>
      <c r="D715" s="1125"/>
      <c r="E715" s="1125"/>
      <c r="F715" s="1125"/>
      <c r="G715" s="3"/>
      <c r="H715" s="126"/>
      <c r="I715" s="126"/>
      <c r="J715" s="126"/>
      <c r="K715" s="126"/>
    </row>
    <row r="716" spans="1:11">
      <c r="A716" s="123"/>
      <c r="B716" s="123"/>
      <c r="C716" s="123"/>
      <c r="D716" s="955"/>
      <c r="E716" s="3"/>
      <c r="F716" s="3"/>
      <c r="G716" s="3"/>
      <c r="H716" s="126"/>
      <c r="I716" s="126"/>
      <c r="J716" s="126"/>
      <c r="K716" s="126"/>
    </row>
    <row r="717" spans="1:11" ht="14.25">
      <c r="A717" s="124"/>
      <c r="B717" s="370" t="s">
        <v>294</v>
      </c>
      <c r="C717" s="123"/>
      <c r="D717" s="1125" t="s">
        <v>483</v>
      </c>
      <c r="E717" s="1125"/>
      <c r="F717" s="1125"/>
      <c r="G717" s="3"/>
      <c r="H717" s="126"/>
      <c r="I717" s="126"/>
      <c r="J717" s="126"/>
      <c r="K717" s="126"/>
    </row>
    <row r="718" spans="1:11">
      <c r="A718" s="123"/>
      <c r="B718" s="123"/>
      <c r="C718" s="123"/>
      <c r="D718" s="1125"/>
      <c r="E718" s="1125"/>
      <c r="F718" s="1125"/>
      <c r="G718" s="3"/>
      <c r="H718" s="126"/>
      <c r="I718" s="126"/>
      <c r="J718" s="126"/>
      <c r="K718" s="126"/>
    </row>
    <row r="719" spans="1:11">
      <c r="A719" s="123"/>
      <c r="B719" s="123"/>
      <c r="C719" s="123"/>
      <c r="D719" s="1125"/>
      <c r="E719" s="1125"/>
      <c r="F719" s="1125"/>
      <c r="G719" s="3"/>
      <c r="H719" s="126"/>
      <c r="I719" s="126"/>
      <c r="J719" s="126"/>
      <c r="K719" s="126"/>
    </row>
    <row r="720" spans="1:11">
      <c r="A720" s="123"/>
      <c r="B720" s="123"/>
      <c r="C720" s="123"/>
      <c r="D720" s="1125"/>
      <c r="E720" s="1125"/>
      <c r="F720" s="1125"/>
      <c r="G720" s="3"/>
      <c r="H720" s="126"/>
      <c r="I720" s="126"/>
      <c r="J720" s="126"/>
      <c r="K720" s="126"/>
    </row>
    <row r="721" spans="1:11">
      <c r="A721" s="123"/>
      <c r="B721" s="123"/>
      <c r="C721" s="123"/>
      <c r="D721" s="1125"/>
      <c r="E721" s="1125"/>
      <c r="F721" s="1125"/>
      <c r="G721" s="3"/>
      <c r="H721" s="126"/>
      <c r="I721" s="126"/>
      <c r="J721" s="126"/>
      <c r="K721" s="126"/>
    </row>
    <row r="722" spans="1:11">
      <c r="A722" s="123"/>
      <c r="B722" s="123"/>
      <c r="C722" s="123"/>
      <c r="D722" s="1125"/>
      <c r="E722" s="1125"/>
      <c r="F722" s="1125"/>
      <c r="G722" s="3"/>
      <c r="H722" s="126"/>
      <c r="I722" s="126"/>
      <c r="J722" s="126"/>
      <c r="K722" s="126"/>
    </row>
    <row r="723" spans="1:11">
      <c r="A723" s="123"/>
      <c r="B723" s="123"/>
      <c r="C723" s="123"/>
      <c r="D723" s="1125"/>
      <c r="E723" s="1125"/>
      <c r="F723" s="1125"/>
      <c r="G723" s="3"/>
      <c r="H723" s="126"/>
      <c r="I723" s="126"/>
      <c r="J723" s="126"/>
      <c r="K723" s="126"/>
    </row>
    <row r="724" spans="1:11">
      <c r="A724" s="123"/>
      <c r="B724" s="123"/>
      <c r="C724" s="123"/>
      <c r="D724" s="1149" t="s">
        <v>484</v>
      </c>
      <c r="E724" s="1149"/>
      <c r="F724" s="1149"/>
      <c r="G724" s="3"/>
      <c r="H724" s="126"/>
      <c r="I724" s="126"/>
      <c r="J724" s="126"/>
      <c r="K724" s="126"/>
    </row>
    <row r="725" spans="1:11">
      <c r="A725" s="123"/>
      <c r="B725" s="123"/>
      <c r="C725" s="123"/>
      <c r="D725" s="269"/>
      <c r="E725" s="3"/>
      <c r="F725" s="3"/>
      <c r="G725" s="3"/>
      <c r="H725" s="126"/>
      <c r="I725" s="126"/>
      <c r="J725" s="126"/>
      <c r="K725" s="126"/>
    </row>
    <row r="726" spans="1:11">
      <c r="A726" s="1146" t="s">
        <v>485</v>
      </c>
      <c r="B726" s="1146"/>
      <c r="C726" s="1146"/>
      <c r="D726" s="1146"/>
      <c r="E726" s="1146"/>
      <c r="F726" s="1146"/>
      <c r="G726" s="1146"/>
      <c r="H726" s="126"/>
      <c r="I726" s="126"/>
      <c r="J726" s="126"/>
      <c r="K726" s="126"/>
    </row>
    <row r="727" spans="1:11">
      <c r="A727" s="123"/>
      <c r="B727" s="123"/>
      <c r="C727" s="123"/>
      <c r="D727" s="955"/>
      <c r="E727" s="3"/>
      <c r="F727" s="3"/>
      <c r="G727" s="949"/>
      <c r="H727" s="126"/>
      <c r="I727" s="126"/>
      <c r="J727" s="126"/>
      <c r="K727" s="126"/>
    </row>
    <row r="728" spans="1:11" ht="13.15" customHeight="1">
      <c r="A728" s="285"/>
      <c r="B728" s="285"/>
      <c r="C728" s="123"/>
      <c r="D728" s="1154" t="s">
        <v>486</v>
      </c>
      <c r="E728" s="1154"/>
      <c r="F728" s="1154"/>
      <c r="G728" s="949"/>
      <c r="H728" s="126"/>
      <c r="I728" s="126"/>
      <c r="J728" s="126"/>
      <c r="K728" s="126"/>
    </row>
    <row r="729" spans="1:11">
      <c r="A729" s="123"/>
      <c r="B729" s="123"/>
      <c r="C729" s="123"/>
      <c r="D729" s="1142" t="s">
        <v>487</v>
      </c>
      <c r="E729" s="1142"/>
      <c r="F729" s="1142"/>
      <c r="G729" s="949"/>
      <c r="H729" s="126"/>
      <c r="I729" s="126"/>
      <c r="J729" s="126"/>
      <c r="K729" s="126"/>
    </row>
    <row r="730" spans="1:11">
      <c r="A730" s="123"/>
      <c r="B730" s="123"/>
      <c r="C730" s="123"/>
      <c r="D730" s="3"/>
      <c r="E730" s="3"/>
      <c r="F730" s="3"/>
      <c r="G730" s="949"/>
      <c r="H730" s="126"/>
      <c r="I730" s="126"/>
      <c r="J730" s="126"/>
      <c r="K730" s="126"/>
    </row>
    <row r="731" spans="1:11" ht="14.25">
      <c r="A731" s="124"/>
      <c r="B731" s="370" t="s">
        <v>294</v>
      </c>
      <c r="C731" s="285"/>
      <c r="D731" s="1125" t="s">
        <v>488</v>
      </c>
      <c r="E731" s="1125"/>
      <c r="F731" s="1125"/>
      <c r="G731" s="949"/>
      <c r="H731" s="126"/>
      <c r="I731" s="126"/>
      <c r="J731" s="126"/>
      <c r="K731" s="126"/>
    </row>
    <row r="732" spans="1:11" ht="10.5" customHeight="1">
      <c r="A732" s="285"/>
      <c r="B732" s="285"/>
      <c r="C732" s="285"/>
      <c r="D732" s="1125"/>
      <c r="E732" s="1125"/>
      <c r="F732" s="1125"/>
      <c r="G732" s="949"/>
      <c r="H732" s="126"/>
      <c r="I732" s="126"/>
      <c r="J732" s="126"/>
      <c r="K732" s="126"/>
    </row>
    <row r="733" spans="1:11">
      <c r="A733" s="285"/>
      <c r="B733" s="285"/>
      <c r="C733" s="285"/>
      <c r="D733" s="1125"/>
      <c r="E733" s="1125"/>
      <c r="F733" s="1125"/>
      <c r="G733" s="949"/>
      <c r="H733" s="126"/>
      <c r="I733" s="126"/>
      <c r="J733" s="126"/>
      <c r="K733" s="126"/>
    </row>
    <row r="734" spans="1:11">
      <c r="A734" s="285"/>
      <c r="B734" s="285"/>
      <c r="C734" s="285"/>
      <c r="D734" s="1125"/>
      <c r="E734" s="1125"/>
      <c r="F734" s="1125"/>
      <c r="G734" s="949"/>
      <c r="H734" s="126"/>
      <c r="I734" s="126"/>
      <c r="J734" s="126"/>
      <c r="K734" s="126"/>
    </row>
    <row r="735" spans="1:11">
      <c r="A735" s="285"/>
      <c r="B735" s="285"/>
      <c r="C735" s="285"/>
      <c r="D735" s="1125"/>
      <c r="E735" s="1125"/>
      <c r="F735" s="1125"/>
      <c r="G735" s="949"/>
      <c r="H735" s="126"/>
      <c r="I735" s="126"/>
      <c r="J735" s="126"/>
      <c r="K735" s="126"/>
    </row>
    <row r="736" spans="1:11" ht="15.6" customHeight="1">
      <c r="A736" s="285"/>
      <c r="B736" s="285"/>
      <c r="C736" s="285"/>
      <c r="D736" s="1125"/>
      <c r="E736" s="1125"/>
      <c r="F736" s="1125"/>
      <c r="G736" s="949"/>
      <c r="H736" s="126"/>
      <c r="I736" s="126"/>
      <c r="J736" s="126"/>
      <c r="K736" s="126"/>
    </row>
    <row r="737" spans="1:11">
      <c r="A737" s="285"/>
      <c r="B737" s="285"/>
      <c r="C737" s="285"/>
      <c r="D737" s="178"/>
      <c r="E737" s="85"/>
      <c r="F737" s="85"/>
      <c r="G737" s="949"/>
      <c r="H737" s="126"/>
      <c r="I737" s="126"/>
      <c r="J737" s="126"/>
      <c r="K737" s="126"/>
    </row>
    <row r="738" spans="1:11" s="185" customFormat="1" ht="14.25">
      <c r="A738" s="184"/>
      <c r="B738" s="370" t="s">
        <v>294</v>
      </c>
      <c r="C738" s="961"/>
      <c r="D738" s="1125" t="s">
        <v>489</v>
      </c>
      <c r="E738" s="1125"/>
      <c r="F738" s="1125"/>
      <c r="G738" s="962"/>
    </row>
    <row r="739" spans="1:11" s="185" customFormat="1">
      <c r="A739" s="961"/>
      <c r="B739" s="961"/>
      <c r="C739" s="961"/>
      <c r="D739" s="1125"/>
      <c r="E739" s="1125"/>
      <c r="F739" s="1125"/>
      <c r="G739" s="962"/>
    </row>
    <row r="740" spans="1:11" s="185" customFormat="1">
      <c r="A740" s="961"/>
      <c r="B740" s="961"/>
      <c r="C740" s="961"/>
      <c r="D740" s="1125"/>
      <c r="E740" s="1125"/>
      <c r="F740" s="1125"/>
      <c r="G740" s="962"/>
    </row>
    <row r="741" spans="1:11" s="185" customFormat="1">
      <c r="A741" s="961"/>
      <c r="B741" s="961"/>
      <c r="C741" s="961"/>
      <c r="D741" s="1125"/>
      <c r="E741" s="1125"/>
      <c r="F741" s="1125"/>
      <c r="G741" s="962"/>
    </row>
    <row r="742" spans="1:11" s="185" customFormat="1">
      <c r="A742" s="961"/>
      <c r="B742" s="961"/>
      <c r="C742" s="961"/>
      <c r="D742" s="178"/>
      <c r="E742" s="962"/>
      <c r="F742" s="962"/>
      <c r="G742" s="962"/>
    </row>
    <row r="743" spans="1:11" s="185" customFormat="1" ht="14.25">
      <c r="A743" s="124"/>
      <c r="B743" s="370" t="s">
        <v>294</v>
      </c>
      <c r="C743" s="961"/>
      <c r="D743" s="1155" t="s">
        <v>490</v>
      </c>
      <c r="E743" s="1155"/>
      <c r="F743" s="1155"/>
      <c r="G743" s="962"/>
    </row>
    <row r="744" spans="1:11" s="185" customFormat="1">
      <c r="A744" s="961"/>
      <c r="B744" s="961"/>
      <c r="C744" s="961"/>
      <c r="D744" s="1155"/>
      <c r="E744" s="1155"/>
      <c r="F744" s="1155"/>
      <c r="G744" s="962"/>
    </row>
    <row r="745" spans="1:11" s="185" customFormat="1">
      <c r="A745" s="961"/>
      <c r="B745" s="961"/>
      <c r="C745" s="961"/>
      <c r="D745" s="1155"/>
      <c r="E745" s="1155"/>
      <c r="F745" s="1155"/>
      <c r="G745" s="962"/>
    </row>
    <row r="746" spans="1:11">
      <c r="A746" s="285"/>
      <c r="B746" s="285"/>
      <c r="C746" s="285"/>
      <c r="D746" s="178"/>
      <c r="E746" s="85"/>
      <c r="F746" s="85"/>
      <c r="G746" s="949"/>
      <c r="H746" s="126"/>
      <c r="I746" s="126"/>
      <c r="J746" s="126"/>
      <c r="K746" s="126"/>
    </row>
    <row r="747" spans="1:11" ht="14.25">
      <c r="A747" s="124"/>
      <c r="B747" s="370" t="s">
        <v>294</v>
      </c>
      <c r="C747" s="285"/>
      <c r="D747" s="1125" t="s">
        <v>491</v>
      </c>
      <c r="E747" s="1125"/>
      <c r="F747" s="1125"/>
      <c r="G747" s="949"/>
      <c r="H747" s="126"/>
      <c r="I747" s="126"/>
      <c r="J747" s="126"/>
      <c r="K747" s="126"/>
    </row>
    <row r="748" spans="1:11">
      <c r="A748" s="285"/>
      <c r="B748" s="285"/>
      <c r="C748" s="285"/>
      <c r="D748" s="1125"/>
      <c r="E748" s="1125"/>
      <c r="F748" s="1125"/>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5" t="s">
        <v>492</v>
      </c>
      <c r="E750" s="1125"/>
      <c r="F750" s="1125"/>
      <c r="G750" s="949"/>
      <c r="H750" s="126"/>
      <c r="I750" s="126"/>
      <c r="J750" s="126"/>
      <c r="K750" s="126"/>
    </row>
    <row r="751" spans="1:11">
      <c r="A751" s="285"/>
      <c r="B751" s="285"/>
      <c r="C751" s="285"/>
      <c r="D751" s="1125"/>
      <c r="E751" s="1125"/>
      <c r="F751" s="1125"/>
      <c r="G751" s="949"/>
      <c r="H751" s="126"/>
      <c r="I751" s="126"/>
      <c r="J751" s="126"/>
      <c r="K751" s="126"/>
    </row>
    <row r="752" spans="1:11">
      <c r="A752" s="285"/>
      <c r="B752" s="285"/>
      <c r="C752" s="285"/>
      <c r="D752" s="1125"/>
      <c r="E752" s="1125"/>
      <c r="F752" s="1125"/>
      <c r="G752" s="949"/>
      <c r="H752" s="126"/>
      <c r="I752" s="126"/>
      <c r="J752" s="126"/>
      <c r="K752" s="126"/>
    </row>
    <row r="753" spans="1:11">
      <c r="A753" s="285"/>
      <c r="B753" s="285"/>
      <c r="C753" s="285"/>
      <c r="D753" s="376"/>
      <c r="E753" s="376"/>
      <c r="F753" s="376"/>
      <c r="G753" s="949"/>
      <c r="H753" s="126"/>
      <c r="I753" s="126"/>
      <c r="J753" s="126"/>
      <c r="K753" s="126"/>
    </row>
    <row r="754" spans="1:11">
      <c r="A754" s="1145" t="s">
        <v>493</v>
      </c>
      <c r="B754" s="1145"/>
      <c r="C754" s="1145"/>
      <c r="D754" s="1145"/>
      <c r="E754" s="1145"/>
      <c r="F754" s="1145"/>
      <c r="G754" s="1145"/>
    </row>
    <row r="755" spans="1:11">
      <c r="A755" s="123"/>
      <c r="B755" s="123"/>
      <c r="C755" s="123"/>
      <c r="D755" s="128"/>
      <c r="E755" s="3"/>
      <c r="F755" s="85"/>
      <c r="G755" s="949"/>
    </row>
    <row r="756" spans="1:11">
      <c r="A756" s="285"/>
      <c r="B756" s="285"/>
      <c r="C756" s="285"/>
      <c r="D756" s="1151" t="s">
        <v>494</v>
      </c>
      <c r="E756" s="1151"/>
      <c r="F756" s="1151"/>
      <c r="G756" s="949"/>
    </row>
    <row r="757" spans="1:11">
      <c r="A757" s="247"/>
      <c r="B757" s="247"/>
      <c r="C757" s="247"/>
      <c r="D757" s="1152" t="s">
        <v>495</v>
      </c>
      <c r="E757" s="1152"/>
      <c r="F757" s="1152"/>
      <c r="G757" s="949"/>
    </row>
    <row r="758" spans="1:11">
      <c r="A758" s="285"/>
      <c r="B758" s="285"/>
      <c r="C758" s="285"/>
      <c r="D758" s="333"/>
      <c r="E758" s="333"/>
      <c r="F758" s="333"/>
      <c r="G758" s="949"/>
    </row>
    <row r="759" spans="1:11" ht="14.25">
      <c r="A759" s="124"/>
      <c r="B759" s="370" t="s">
        <v>294</v>
      </c>
      <c r="C759" s="285"/>
      <c r="D759" s="1152" t="s">
        <v>496</v>
      </c>
      <c r="E759" s="1152"/>
      <c r="F759" s="1152"/>
      <c r="G759" s="949"/>
    </row>
    <row r="760" spans="1:11">
      <c r="A760" s="285"/>
      <c r="B760" s="285"/>
      <c r="C760" s="285"/>
      <c r="D760" s="333"/>
      <c r="E760" s="1153" t="s">
        <v>497</v>
      </c>
      <c r="F760" s="1153"/>
      <c r="G760" s="949"/>
    </row>
    <row r="761" spans="1:11">
      <c r="A761" s="120"/>
      <c r="B761" s="120"/>
      <c r="C761" s="120"/>
      <c r="D761" s="85"/>
      <c r="E761" s="3"/>
      <c r="F761" s="3"/>
      <c r="G761" s="949"/>
    </row>
    <row r="762" spans="1:11">
      <c r="A762" s="1150" t="s">
        <v>498</v>
      </c>
      <c r="B762" s="1150"/>
      <c r="C762" s="1150"/>
      <c r="D762" s="1150"/>
      <c r="E762" s="1150"/>
      <c r="F762" s="1150"/>
      <c r="G762" s="1150"/>
    </row>
    <row r="763" spans="1:11">
      <c r="A763" s="120"/>
      <c r="B763" s="120"/>
      <c r="C763" s="950"/>
      <c r="D763" s="949"/>
      <c r="E763" s="949"/>
      <c r="F763" s="949"/>
      <c r="G763" s="949"/>
    </row>
    <row r="764" spans="1:11">
      <c r="A764" s="85"/>
      <c r="B764" s="1142" t="s">
        <v>499</v>
      </c>
      <c r="C764" s="1142"/>
      <c r="D764" s="1142"/>
      <c r="E764" s="1142"/>
      <c r="F764" s="1142"/>
      <c r="G764" s="949"/>
    </row>
    <row r="765" spans="1:11">
      <c r="A765" s="13"/>
      <c r="B765" s="13"/>
      <c r="C765" s="285"/>
      <c r="D765" s="3"/>
      <c r="E765" s="3"/>
      <c r="F765" s="3"/>
      <c r="G765" s="949"/>
    </row>
    <row r="766" spans="1:11">
      <c r="A766" s="1150" t="s">
        <v>500</v>
      </c>
      <c r="B766" s="1150"/>
      <c r="C766" s="1150"/>
      <c r="D766" s="1150"/>
      <c r="E766" s="1150"/>
      <c r="F766" s="1150"/>
      <c r="G766" s="1150"/>
    </row>
    <row r="767" spans="1:11">
      <c r="A767" s="120"/>
      <c r="B767" s="120"/>
      <c r="C767" s="120"/>
      <c r="D767" s="955"/>
      <c r="E767" s="3"/>
      <c r="F767" s="3"/>
      <c r="G767" s="949"/>
    </row>
    <row r="768" spans="1:11">
      <c r="A768" s="85"/>
      <c r="B768" s="1144" t="s">
        <v>334</v>
      </c>
      <c r="C768" s="1144"/>
      <c r="D768" s="1144"/>
      <c r="E768" s="1144"/>
      <c r="F768" s="1144"/>
      <c r="G768" s="949"/>
    </row>
    <row r="769" spans="1:7" ht="14.25">
      <c r="A769" s="124"/>
      <c r="B769" s="124"/>
      <c r="C769" s="285"/>
      <c r="D769" s="85"/>
      <c r="E769" s="85"/>
      <c r="F769" s="949"/>
      <c r="G769" s="949"/>
    </row>
    <row r="770" spans="1:7">
      <c r="A770" s="1150" t="s">
        <v>501</v>
      </c>
      <c r="B770" s="1150"/>
      <c r="C770" s="1150"/>
      <c r="D770" s="1150"/>
      <c r="E770" s="1150"/>
      <c r="F770" s="1150"/>
      <c r="G770" s="1150"/>
    </row>
    <row r="771" spans="1:7">
      <c r="A771" s="285"/>
      <c r="B771" s="285"/>
      <c r="C771" s="123"/>
      <c r="D771" s="121"/>
      <c r="E771" s="85"/>
      <c r="F771" s="949"/>
      <c r="G771" s="949"/>
    </row>
    <row r="772" spans="1:7">
      <c r="A772" s="85"/>
      <c r="B772" s="1144" t="s">
        <v>334</v>
      </c>
      <c r="C772" s="1144"/>
      <c r="D772" s="1144"/>
      <c r="E772" s="1144"/>
      <c r="F772" s="1144"/>
      <c r="G772" s="949"/>
    </row>
    <row r="773" spans="1:7">
      <c r="A773" s="85"/>
      <c r="B773" s="85"/>
      <c r="C773" s="950"/>
      <c r="D773" s="949"/>
      <c r="E773" s="949"/>
      <c r="F773" s="949"/>
      <c r="G773" s="949"/>
    </row>
    <row r="774" spans="1:7">
      <c r="A774" s="1150" t="s">
        <v>502</v>
      </c>
      <c r="B774" s="1150"/>
      <c r="C774" s="1150"/>
      <c r="D774" s="1150"/>
      <c r="E774" s="1150"/>
      <c r="F774" s="1150"/>
      <c r="G774" s="1150"/>
    </row>
    <row r="775" spans="1:7">
      <c r="A775" s="85"/>
      <c r="B775" s="85"/>
      <c r="C775" s="285"/>
      <c r="D775" s="3"/>
      <c r="E775" s="3"/>
      <c r="F775" s="3"/>
      <c r="G775" s="3"/>
    </row>
    <row r="776" spans="1:7">
      <c r="A776" s="85"/>
      <c r="B776" s="1144" t="s">
        <v>334</v>
      </c>
      <c r="C776" s="1144"/>
      <c r="D776" s="1144"/>
      <c r="E776" s="1144"/>
      <c r="F776" s="1144"/>
      <c r="G776" s="3"/>
    </row>
    <row r="777" spans="1:7">
      <c r="A777" s="950"/>
      <c r="B777" s="950"/>
      <c r="C777" s="950"/>
      <c r="D777" s="122"/>
      <c r="E777" s="3"/>
      <c r="F777" s="949"/>
      <c r="G777" s="3"/>
    </row>
    <row r="778" spans="1:7">
      <c r="A778" s="1150" t="s">
        <v>503</v>
      </c>
      <c r="B778" s="1150"/>
      <c r="C778" s="1150"/>
      <c r="D778" s="1150"/>
      <c r="E778" s="1150"/>
      <c r="F778" s="1150"/>
      <c r="G778" s="1150"/>
    </row>
    <row r="779" spans="1:7">
      <c r="A779" s="85"/>
      <c r="B779" s="85"/>
      <c r="C779" s="285"/>
      <c r="D779" s="3"/>
      <c r="E779" s="3"/>
      <c r="F779" s="3"/>
      <c r="G779" s="3"/>
    </row>
    <row r="780" spans="1:7">
      <c r="A780" s="85"/>
      <c r="B780" s="1144" t="s">
        <v>334</v>
      </c>
      <c r="C780" s="1144"/>
      <c r="D780" s="1144"/>
      <c r="E780" s="1144"/>
      <c r="F780" s="1144"/>
      <c r="G780" s="3"/>
    </row>
    <row r="781" spans="1:7">
      <c r="A781" s="950"/>
      <c r="B781" s="950"/>
      <c r="C781" s="950"/>
      <c r="D781" s="122"/>
      <c r="E781" s="3"/>
      <c r="F781" s="949"/>
      <c r="G781" s="3"/>
    </row>
    <row r="782" spans="1:7">
      <c r="A782" s="1150" t="s">
        <v>504</v>
      </c>
      <c r="B782" s="1150"/>
      <c r="C782" s="1150"/>
      <c r="D782" s="1150"/>
      <c r="E782" s="1150"/>
      <c r="F782" s="1150"/>
      <c r="G782" s="1150"/>
    </row>
    <row r="783" spans="1:7">
      <c r="A783" s="85"/>
      <c r="B783" s="85"/>
      <c r="C783" s="285"/>
      <c r="D783" s="3"/>
      <c r="E783" s="3"/>
      <c r="F783" s="3"/>
      <c r="G783" s="3"/>
    </row>
    <row r="784" spans="1:7">
      <c r="A784" s="85"/>
      <c r="B784" s="1144" t="s">
        <v>334</v>
      </c>
      <c r="C784" s="1144"/>
      <c r="D784" s="1144"/>
      <c r="E784" s="1144"/>
      <c r="F784" s="1144"/>
      <c r="G784" s="3"/>
    </row>
    <row r="785" spans="1:7">
      <c r="A785" s="285"/>
      <c r="B785" s="285"/>
      <c r="C785" s="285"/>
      <c r="D785" s="122"/>
      <c r="E785" s="3"/>
      <c r="F785" s="3"/>
      <c r="G785" s="3"/>
    </row>
    <row r="786" spans="1:7">
      <c r="A786" s="1150" t="s">
        <v>505</v>
      </c>
      <c r="B786" s="1150"/>
      <c r="C786" s="1150"/>
      <c r="D786" s="1150"/>
      <c r="E786" s="1150"/>
      <c r="F786" s="1150"/>
      <c r="G786" s="1150"/>
    </row>
    <row r="787" spans="1:7">
      <c r="A787" s="85"/>
      <c r="B787" s="85"/>
      <c r="C787" s="285"/>
      <c r="D787" s="3"/>
      <c r="E787" s="3"/>
      <c r="F787" s="3"/>
      <c r="G787" s="3"/>
    </row>
    <row r="788" spans="1:7">
      <c r="A788" s="85"/>
      <c r="B788" s="1144" t="s">
        <v>334</v>
      </c>
      <c r="C788" s="1144"/>
      <c r="D788" s="1144"/>
      <c r="E788" s="1144"/>
      <c r="F788" s="1144"/>
      <c r="G788" s="3"/>
    </row>
    <row r="789" spans="1:7">
      <c r="A789" s="85"/>
      <c r="B789" s="85"/>
      <c r="C789" s="285"/>
      <c r="D789" s="122"/>
      <c r="E789" s="3"/>
      <c r="F789" s="3"/>
      <c r="G789" s="3"/>
    </row>
    <row r="790" spans="1:7">
      <c r="A790" s="1150" t="s">
        <v>506</v>
      </c>
      <c r="B790" s="1150"/>
      <c r="C790" s="1150"/>
      <c r="D790" s="1150"/>
      <c r="E790" s="1150"/>
      <c r="F790" s="1150"/>
      <c r="G790" s="1150"/>
    </row>
    <row r="791" spans="1:7">
      <c r="A791" s="85"/>
      <c r="B791" s="85"/>
      <c r="C791" s="285"/>
      <c r="D791" s="3"/>
      <c r="E791" s="3"/>
      <c r="F791" s="3"/>
      <c r="G791" s="3"/>
    </row>
    <row r="792" spans="1:7">
      <c r="A792" s="85"/>
      <c r="B792" s="1144" t="s">
        <v>334</v>
      </c>
      <c r="C792" s="1144"/>
      <c r="D792" s="1144"/>
      <c r="E792" s="1144"/>
      <c r="F792" s="1144"/>
      <c r="G792"/>
    </row>
    <row r="793" spans="1:7">
      <c r="A793" s="120"/>
      <c r="B793" s="120"/>
      <c r="C793" s="120"/>
      <c r="D793" s="3"/>
      <c r="E793"/>
      <c r="F793"/>
      <c r="G793"/>
    </row>
    <row r="794" spans="1:7" ht="14.2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
    </sheetView>
  </sheetViews>
  <sheetFormatPr defaultColWidth="0" defaultRowHeight="12.4" customHeight="1" zeroHeight="1"/>
  <cols>
    <col min="1" max="10" width="10.7109375" style="333" customWidth="1"/>
    <col min="11" max="16384" width="8.85546875" style="333" hidden="1"/>
  </cols>
  <sheetData>
    <row r="1" spans="1:10" ht="14.25" customHeight="1"/>
    <row r="2" spans="1:10" ht="15.75">
      <c r="A2" s="1176" t="s">
        <v>507</v>
      </c>
      <c r="B2" s="1177"/>
      <c r="C2" s="1177"/>
      <c r="D2" s="1177"/>
      <c r="E2" s="1177"/>
      <c r="F2" s="1177"/>
      <c r="G2" s="1177"/>
      <c r="H2" s="1177"/>
      <c r="I2" s="1177"/>
      <c r="J2" s="1177"/>
    </row>
    <row r="3" spans="1:10" ht="15">
      <c r="A3" s="1180" t="s">
        <v>508</v>
      </c>
      <c r="B3" s="1181"/>
      <c r="C3" s="1181"/>
      <c r="D3" s="1181"/>
      <c r="E3" s="1181"/>
      <c r="F3" s="1181"/>
      <c r="G3" s="1181"/>
      <c r="H3" s="1181"/>
      <c r="I3" s="1181"/>
      <c r="J3" s="1181"/>
    </row>
    <row r="4" spans="1:10" ht="12.75"/>
    <row r="5" spans="1:10" ht="12.75" customHeight="1">
      <c r="A5" s="1178" t="s">
        <v>509</v>
      </c>
      <c r="B5" s="1178"/>
      <c r="C5" s="1178"/>
      <c r="D5" s="1178"/>
      <c r="E5" s="1178"/>
      <c r="F5" s="1178"/>
      <c r="G5" s="1178"/>
      <c r="H5" s="1178"/>
      <c r="I5" s="1178"/>
      <c r="J5" s="1178"/>
    </row>
    <row r="6" spans="1:10" ht="12.75">
      <c r="A6" s="1178"/>
      <c r="B6" s="1178"/>
      <c r="C6" s="1178"/>
      <c r="D6" s="1178"/>
      <c r="E6" s="1178"/>
      <c r="F6" s="1178"/>
      <c r="G6" s="1178"/>
      <c r="H6" s="1178"/>
      <c r="I6" s="1178"/>
      <c r="J6" s="1178"/>
    </row>
    <row r="7" spans="1:10" ht="30" customHeight="1">
      <c r="A7" s="1178"/>
      <c r="B7" s="1178"/>
      <c r="C7" s="1178"/>
      <c r="D7" s="1178"/>
      <c r="E7" s="1178"/>
      <c r="F7" s="1178"/>
      <c r="G7" s="1178"/>
      <c r="H7" s="1178"/>
      <c r="I7" s="1178"/>
      <c r="J7" s="1178"/>
    </row>
    <row r="8" spans="1:10" ht="12.7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75"/>
    <row r="11" spans="1:10" ht="12.75" customHeight="1">
      <c r="A11" s="1182" t="s">
        <v>511</v>
      </c>
      <c r="B11" s="1182"/>
      <c r="C11" s="1182"/>
      <c r="D11" s="1182"/>
      <c r="E11" s="1182"/>
      <c r="F11" s="1182"/>
      <c r="G11" s="1182"/>
      <c r="H11" s="1182"/>
      <c r="I11" s="1182"/>
      <c r="J11" s="1182"/>
    </row>
    <row r="12" spans="1:10" ht="12.75">
      <c r="A12" s="1182"/>
      <c r="B12" s="1182"/>
      <c r="C12" s="1182"/>
      <c r="D12" s="1182"/>
      <c r="E12" s="1182"/>
      <c r="F12" s="1182"/>
      <c r="G12" s="1182"/>
      <c r="H12" s="1182"/>
      <c r="I12" s="1182"/>
      <c r="J12" s="1182"/>
    </row>
    <row r="13" spans="1:10" ht="12.75">
      <c r="A13" s="1182"/>
      <c r="B13" s="1182"/>
      <c r="C13" s="1182"/>
      <c r="D13" s="1182"/>
      <c r="E13" s="1182"/>
      <c r="F13" s="1182"/>
      <c r="G13" s="1182"/>
      <c r="H13" s="1182"/>
      <c r="I13" s="1182"/>
      <c r="J13" s="1182"/>
    </row>
    <row r="14" spans="1:10" ht="12.75">
      <c r="A14" s="1182"/>
      <c r="B14" s="1182"/>
      <c r="C14" s="1182"/>
      <c r="D14" s="1182"/>
      <c r="E14" s="1182"/>
      <c r="F14" s="1182"/>
      <c r="G14" s="1182"/>
      <c r="H14" s="1182"/>
      <c r="I14" s="1182"/>
      <c r="J14" s="1182"/>
    </row>
    <row r="15" spans="1:10" ht="12.75">
      <c r="A15" s="1182"/>
      <c r="B15" s="1182"/>
      <c r="C15" s="1182"/>
      <c r="D15" s="1182"/>
      <c r="E15" s="1182"/>
      <c r="F15" s="1182"/>
      <c r="G15" s="1182"/>
      <c r="H15" s="1182"/>
      <c r="I15" s="1182"/>
      <c r="J15" s="1182"/>
    </row>
    <row r="16" spans="1:10" ht="12.75">
      <c r="A16" s="1182"/>
      <c r="B16" s="1182"/>
      <c r="C16" s="1182"/>
      <c r="D16" s="1182"/>
      <c r="E16" s="1182"/>
      <c r="F16" s="1182"/>
      <c r="G16" s="1182"/>
      <c r="H16" s="1182"/>
      <c r="I16" s="1182"/>
      <c r="J16" s="1182"/>
    </row>
    <row r="17" spans="1:10" ht="12.75">
      <c r="A17" s="457"/>
      <c r="B17" s="457"/>
      <c r="C17" s="457"/>
      <c r="D17" s="457"/>
      <c r="E17" s="457"/>
      <c r="F17" s="457"/>
      <c r="G17" s="457"/>
      <c r="H17" s="457"/>
      <c r="I17" s="457"/>
      <c r="J17" s="457"/>
    </row>
    <row r="18" spans="1:10" ht="12.75">
      <c r="A18" s="410" t="s">
        <v>512</v>
      </c>
      <c r="B18" s="347"/>
      <c r="C18" s="347"/>
      <c r="D18" s="347"/>
      <c r="E18" s="347"/>
      <c r="F18" s="347"/>
      <c r="G18" s="347"/>
      <c r="H18" s="347"/>
      <c r="I18" s="347"/>
      <c r="J18" s="347"/>
    </row>
    <row r="19" spans="1:10" ht="12.75">
      <c r="A19" s="347" t="s">
        <v>253</v>
      </c>
      <c r="B19" s="347"/>
      <c r="C19" s="347"/>
      <c r="D19" s="347"/>
      <c r="E19" s="347"/>
      <c r="F19" s="347"/>
      <c r="G19" s="347"/>
      <c r="H19" s="347"/>
      <c r="I19" s="347"/>
      <c r="J19" s="347"/>
    </row>
    <row r="20" spans="1:10" ht="12.75">
      <c r="A20" s="1181" t="s">
        <v>513</v>
      </c>
      <c r="B20" s="1181"/>
      <c r="C20" s="1181"/>
      <c r="D20" s="1181"/>
      <c r="E20" s="11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178" t="s">
        <v>514</v>
      </c>
      <c r="B57" s="1178"/>
      <c r="C57" s="1178"/>
      <c r="D57" s="1178"/>
      <c r="E57" s="1178"/>
      <c r="F57" s="1178"/>
      <c r="G57" s="1178"/>
      <c r="H57" s="1178"/>
      <c r="I57" s="1178"/>
      <c r="J57" s="1178"/>
    </row>
    <row r="58" spans="1:10" ht="12.75">
      <c r="A58" s="1178"/>
      <c r="B58" s="1178"/>
      <c r="C58" s="1178"/>
      <c r="D58" s="1178"/>
      <c r="E58" s="1178"/>
      <c r="F58" s="1178"/>
      <c r="G58" s="1178"/>
      <c r="H58" s="1178"/>
      <c r="I58" s="1178"/>
      <c r="J58" s="1178"/>
    </row>
    <row r="59" spans="1:10" ht="12.75">
      <c r="A59" s="1178"/>
      <c r="B59" s="1178"/>
      <c r="C59" s="1178"/>
      <c r="D59" s="1178"/>
      <c r="E59" s="1178"/>
      <c r="F59" s="1178"/>
      <c r="G59" s="1178"/>
      <c r="H59" s="1178"/>
      <c r="I59" s="1178"/>
      <c r="J59" s="1178"/>
    </row>
    <row r="60" spans="1:10" ht="12.75"/>
    <row r="61" spans="1:10" ht="12.75">
      <c r="A61" s="333"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179" t="s">
        <v>515</v>
      </c>
      <c r="B72" s="1179"/>
      <c r="C72" s="1179"/>
      <c r="D72" s="1179"/>
      <c r="E72" s="1179"/>
      <c r="F72" s="1179"/>
      <c r="G72" s="1179"/>
      <c r="H72" s="1179"/>
      <c r="I72" s="1179"/>
    </row>
    <row r="73" spans="1:9" ht="12.75">
      <c r="A73" s="1131" t="s">
        <v>13</v>
      </c>
      <c r="B73" s="1131"/>
      <c r="C73" s="1131"/>
      <c r="D73" s="1131"/>
      <c r="E73" s="1131"/>
    </row>
    <row r="74" spans="1:9" ht="12.75">
      <c r="A74" s="1131" t="s">
        <v>14</v>
      </c>
      <c r="B74" s="1131"/>
      <c r="C74" s="1131"/>
      <c r="D74" s="1131"/>
      <c r="E74" s="1131"/>
    </row>
    <row r="75" spans="1:9" ht="12.75">
      <c r="A75" s="1131" t="s">
        <v>516</v>
      </c>
      <c r="B75" s="1131"/>
      <c r="C75" s="1131"/>
      <c r="D75" s="1131"/>
      <c r="E75" s="113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598" zoomScaleNormal="100" zoomScaleSheetLayoutView="100" workbookViewId="0">
      <selection activeCell="B619" sqref="B619"/>
    </sheetView>
  </sheetViews>
  <sheetFormatPr defaultColWidth="0" defaultRowHeight="12.7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 width="0" style="333" hidden="1" customWidth="1"/>
    <col min="17" max="16384" width="8.85546875" style="333" hidden="1"/>
  </cols>
  <sheetData>
    <row r="1" spans="1:13"/>
    <row r="2" spans="1:13">
      <c r="A2" s="1183" t="s">
        <v>517</v>
      </c>
      <c r="B2" s="1183"/>
      <c r="C2" s="1183"/>
      <c r="D2" s="1183"/>
      <c r="E2" s="1183"/>
      <c r="F2" s="1183"/>
      <c r="G2" s="1183"/>
      <c r="H2" s="1183"/>
      <c r="I2" s="1183"/>
    </row>
    <row r="3" spans="1:13">
      <c r="A3" s="1184" t="s">
        <v>518</v>
      </c>
      <c r="B3" s="1184"/>
      <c r="C3" s="1184"/>
      <c r="D3" s="1184"/>
      <c r="E3" s="1184"/>
      <c r="F3" s="1184"/>
      <c r="G3" s="1184"/>
      <c r="H3" s="1184"/>
      <c r="I3" s="1184"/>
    </row>
    <row r="4" spans="1:13">
      <c r="A4" s="1184"/>
      <c r="B4" s="1184"/>
      <c r="C4" s="1181"/>
      <c r="D4" s="1181"/>
      <c r="E4" s="1181"/>
      <c r="F4" s="1181"/>
      <c r="G4" s="1181"/>
    </row>
    <row r="5" spans="1:13">
      <c r="A5" s="1184"/>
      <c r="B5" s="1184"/>
      <c r="C5" s="1181"/>
      <c r="D5" s="1181"/>
      <c r="E5" s="1181"/>
      <c r="F5" s="1181"/>
      <c r="G5" s="1181"/>
    </row>
    <row r="6" spans="1:13">
      <c r="A6" s="1183" t="s">
        <v>300</v>
      </c>
      <c r="B6" s="1183"/>
      <c r="C6" s="1195"/>
      <c r="D6" s="1195"/>
      <c r="E6" s="1195"/>
      <c r="F6" s="1195"/>
      <c r="G6" s="1195"/>
      <c r="I6" s="424" t="s">
        <v>519</v>
      </c>
    </row>
    <row r="7" spans="1:13">
      <c r="A7" s="1183" t="s">
        <v>301</v>
      </c>
      <c r="B7" s="1183"/>
      <c r="C7" s="1195"/>
      <c r="D7" s="1195"/>
      <c r="E7" s="1195"/>
      <c r="F7" s="1195"/>
      <c r="G7" s="1195"/>
      <c r="I7" s="424" t="s">
        <v>520</v>
      </c>
    </row>
    <row r="8" spans="1:13">
      <c r="A8" s="415"/>
      <c r="B8" s="415"/>
      <c r="C8" s="416"/>
      <c r="D8" s="416"/>
      <c r="E8" s="416"/>
      <c r="F8" s="416"/>
    </row>
    <row r="9" spans="1:13">
      <c r="A9" s="1145" t="s">
        <v>302</v>
      </c>
      <c r="B9" s="1145"/>
      <c r="C9" s="1145"/>
      <c r="D9" s="1145"/>
      <c r="E9" s="1145"/>
      <c r="F9" s="1145"/>
      <c r="G9" s="1145"/>
      <c r="H9" s="993"/>
      <c r="I9" s="994"/>
    </row>
    <row r="10" spans="1:13">
      <c r="A10" s="416"/>
      <c r="B10" s="416"/>
      <c r="E10" s="335"/>
    </row>
    <row r="11" spans="1:13" ht="13.7" customHeight="1">
      <c r="C11" s="416"/>
      <c r="D11" s="1196" t="s">
        <v>303</v>
      </c>
      <c r="E11" s="1196"/>
      <c r="F11" s="1196"/>
    </row>
    <row r="12" spans="1:13">
      <c r="C12" s="416"/>
      <c r="D12" s="1196"/>
      <c r="E12" s="1196"/>
      <c r="F12" s="1196"/>
    </row>
    <row r="13" spans="1:13">
      <c r="A13" s="417"/>
      <c r="B13" s="417"/>
      <c r="C13" s="417"/>
      <c r="D13" s="1167" t="s">
        <v>304</v>
      </c>
      <c r="E13" s="1167"/>
      <c r="F13" s="1167"/>
      <c r="M13" s="72"/>
    </row>
    <row r="14" spans="1:13">
      <c r="A14" s="417"/>
      <c r="B14" s="417"/>
      <c r="C14" s="417"/>
      <c r="D14" s="410"/>
      <c r="L14" s="241"/>
    </row>
    <row r="15" spans="1:13" ht="14.25">
      <c r="A15" s="418"/>
      <c r="B15" s="419" t="s">
        <v>521</v>
      </c>
      <c r="C15" s="417"/>
      <c r="D15" s="1139" t="s">
        <v>522</v>
      </c>
      <c r="E15" s="1139"/>
      <c r="F15" s="1139"/>
      <c r="I15" s="335" t="s">
        <v>523</v>
      </c>
    </row>
    <row r="16" spans="1:13">
      <c r="A16" s="417"/>
      <c r="B16" s="417"/>
      <c r="C16" s="417"/>
      <c r="D16" s="1139"/>
      <c r="E16" s="1139"/>
      <c r="F16" s="1139"/>
    </row>
    <row r="17" spans="1:9">
      <c r="A17" s="417"/>
      <c r="B17" s="417"/>
      <c r="C17" s="417"/>
      <c r="D17" s="1139"/>
      <c r="E17" s="1139"/>
      <c r="F17" s="1139"/>
    </row>
    <row r="18" spans="1:9">
      <c r="A18" s="417"/>
      <c r="B18" s="417"/>
      <c r="C18" s="417"/>
      <c r="D18" s="380"/>
      <c r="E18" s="241" t="s">
        <v>524</v>
      </c>
      <c r="F18" s="380"/>
    </row>
    <row r="19" spans="1:9">
      <c r="A19" s="417"/>
      <c r="B19" s="417"/>
      <c r="C19" s="417"/>
    </row>
    <row r="20" spans="1:9" ht="14.25">
      <c r="A20" s="418"/>
      <c r="B20" s="419" t="s">
        <v>525</v>
      </c>
      <c r="D20" s="1139" t="s">
        <v>526</v>
      </c>
      <c r="E20" s="1139"/>
      <c r="F20" s="1139"/>
      <c r="I20" s="335" t="s">
        <v>527</v>
      </c>
    </row>
    <row r="21" spans="1:9" ht="14.25">
      <c r="A21" s="418"/>
      <c r="D21" s="1139"/>
      <c r="E21" s="1139"/>
      <c r="F21" s="1139"/>
    </row>
    <row r="22" spans="1:9" ht="14.25">
      <c r="A22" s="418"/>
      <c r="D22" s="323"/>
      <c r="E22" s="72" t="s">
        <v>528</v>
      </c>
      <c r="F22" s="323"/>
    </row>
    <row r="23" spans="1:9" ht="14.25">
      <c r="A23" s="418"/>
      <c r="B23" s="418"/>
      <c r="D23" s="381"/>
    </row>
    <row r="24" spans="1:9" ht="14.25">
      <c r="A24" s="418"/>
      <c r="B24" s="419" t="s">
        <v>521</v>
      </c>
      <c r="D24" s="1139" t="s">
        <v>307</v>
      </c>
      <c r="E24" s="1139"/>
      <c r="F24" s="1139"/>
      <c r="I24" s="335" t="s">
        <v>527</v>
      </c>
    </row>
    <row r="25" spans="1:9" ht="14.25">
      <c r="A25" s="418"/>
      <c r="B25" s="418"/>
      <c r="D25" s="1139"/>
      <c r="E25" s="1139"/>
      <c r="F25" s="1139"/>
    </row>
    <row r="26" spans="1:9"/>
    <row r="27" spans="1:9" ht="14.25">
      <c r="A27" s="418"/>
      <c r="B27" s="419" t="s">
        <v>525</v>
      </c>
      <c r="D27" s="1139" t="s">
        <v>529</v>
      </c>
      <c r="E27" s="1139"/>
      <c r="F27" s="1139"/>
      <c r="I27" s="335" t="s">
        <v>530</v>
      </c>
    </row>
    <row r="28" spans="1:9">
      <c r="D28" s="1139"/>
      <c r="E28" s="1139"/>
      <c r="F28" s="1139"/>
    </row>
    <row r="29" spans="1:9">
      <c r="D29" s="1139"/>
      <c r="E29" s="1139"/>
      <c r="F29" s="1139"/>
    </row>
    <row r="30" spans="1:9">
      <c r="D30" s="1139"/>
      <c r="E30" s="1139"/>
      <c r="F30" s="1139"/>
    </row>
    <row r="31" spans="1:9">
      <c r="D31" s="1139"/>
      <c r="E31" s="1139"/>
      <c r="F31" s="1139"/>
    </row>
    <row r="32" spans="1:9">
      <c r="D32" s="382"/>
    </row>
    <row r="33" spans="1:9">
      <c r="B33" s="419" t="s">
        <v>521</v>
      </c>
      <c r="D33" s="1139" t="s">
        <v>309</v>
      </c>
      <c r="E33" s="1139"/>
      <c r="F33" s="1139"/>
      <c r="I33" s="335" t="s">
        <v>523</v>
      </c>
    </row>
    <row r="34" spans="1:9">
      <c r="D34" s="1139"/>
      <c r="E34" s="1139"/>
      <c r="F34" s="1139"/>
    </row>
    <row r="35" spans="1:9" ht="14.25">
      <c r="A35" s="418"/>
      <c r="B35" s="418"/>
      <c r="D35" s="382"/>
    </row>
    <row r="36" spans="1:9" ht="14.45" customHeight="1">
      <c r="A36" s="418"/>
      <c r="B36" s="419" t="s">
        <v>521</v>
      </c>
      <c r="D36" s="1139" t="s">
        <v>531</v>
      </c>
      <c r="E36" s="1139"/>
      <c r="F36" s="1139"/>
      <c r="I36" s="335" t="s">
        <v>532</v>
      </c>
    </row>
    <row r="37" spans="1:9" ht="14.25">
      <c r="A37" s="418"/>
      <c r="B37" s="418"/>
      <c r="D37" s="1139"/>
      <c r="E37" s="1139"/>
      <c r="F37" s="1139"/>
    </row>
    <row r="38" spans="1:9" ht="14.25">
      <c r="A38" s="418"/>
      <c r="B38" s="418"/>
      <c r="D38" s="1139"/>
      <c r="E38" s="1139"/>
      <c r="F38" s="1139"/>
    </row>
    <row r="39" spans="1:9" ht="14.25">
      <c r="A39" s="418"/>
      <c r="B39" s="418"/>
      <c r="D39" s="1139"/>
      <c r="E39" s="1139"/>
      <c r="F39" s="1139"/>
    </row>
    <row r="40" spans="1:9" ht="14.25">
      <c r="A40" s="418"/>
      <c r="B40" s="418"/>
    </row>
    <row r="41" spans="1:9" ht="14.25">
      <c r="A41" s="418"/>
      <c r="B41" s="419" t="s">
        <v>521</v>
      </c>
      <c r="D41" s="1139" t="s">
        <v>311</v>
      </c>
      <c r="E41" s="1139"/>
      <c r="F41" s="1139"/>
    </row>
    <row r="42" spans="1:9" ht="14.25">
      <c r="A42" s="418"/>
      <c r="B42" s="418"/>
      <c r="D42" s="1139"/>
      <c r="E42" s="1139"/>
      <c r="F42" s="1139"/>
    </row>
    <row r="43" spans="1:9" ht="14.25">
      <c r="A43" s="418"/>
      <c r="B43" s="418"/>
      <c r="D43" s="1139"/>
      <c r="E43" s="1139"/>
      <c r="F43" s="1139"/>
    </row>
    <row r="44" spans="1:9" ht="14.25">
      <c r="A44" s="418"/>
      <c r="B44" s="418"/>
      <c r="D44" s="1139"/>
      <c r="E44" s="1139"/>
      <c r="F44" s="1139"/>
    </row>
    <row r="45" spans="1:9" ht="14.25">
      <c r="A45" s="418"/>
      <c r="B45" s="418"/>
      <c r="D45" s="1139"/>
      <c r="E45" s="1139"/>
      <c r="F45" s="1139"/>
    </row>
    <row r="46" spans="1:9" ht="14.25">
      <c r="A46" s="418"/>
      <c r="B46" s="418"/>
      <c r="D46" s="380"/>
      <c r="E46" s="380"/>
      <c r="F46" s="380"/>
    </row>
    <row r="47" spans="1:9" ht="14.25">
      <c r="A47" s="418"/>
      <c r="B47" s="419" t="s">
        <v>521</v>
      </c>
      <c r="D47" s="1139" t="s">
        <v>312</v>
      </c>
      <c r="E47" s="1139"/>
      <c r="F47" s="1139"/>
      <c r="I47" s="335" t="s">
        <v>532</v>
      </c>
    </row>
    <row r="48" spans="1:9" ht="14.25">
      <c r="A48" s="418"/>
      <c r="B48" s="418"/>
      <c r="D48" s="1139"/>
      <c r="E48" s="1139"/>
      <c r="F48" s="1139"/>
    </row>
    <row r="49" spans="1:9" ht="14.25">
      <c r="A49" s="418"/>
      <c r="B49" s="418"/>
      <c r="D49" s="1139"/>
      <c r="E49" s="1139"/>
      <c r="F49" s="1139"/>
    </row>
    <row r="50" spans="1:9" ht="23.25" customHeight="1">
      <c r="A50" s="418"/>
      <c r="B50" s="418"/>
      <c r="D50" s="1139"/>
      <c r="E50" s="1139"/>
      <c r="F50" s="1139"/>
    </row>
    <row r="51" spans="1:9" ht="14.25">
      <c r="A51" s="418"/>
      <c r="B51" s="418"/>
      <c r="D51" s="381"/>
    </row>
    <row r="52" spans="1:9" ht="14.45" customHeight="1">
      <c r="A52" s="418"/>
      <c r="B52" s="419" t="s">
        <v>521</v>
      </c>
      <c r="D52" s="1139" t="s">
        <v>313</v>
      </c>
      <c r="E52" s="1139"/>
      <c r="F52" s="1139"/>
      <c r="I52" s="335" t="s">
        <v>532</v>
      </c>
    </row>
    <row r="53" spans="1:9" ht="14.25">
      <c r="A53" s="418"/>
      <c r="B53" s="418"/>
      <c r="D53" s="1139"/>
      <c r="E53" s="1139"/>
      <c r="F53" s="1139"/>
    </row>
    <row r="54" spans="1:9" ht="14.25">
      <c r="A54" s="418"/>
      <c r="B54" s="418"/>
      <c r="D54" s="1139"/>
      <c r="E54" s="1139"/>
      <c r="F54" s="1139"/>
    </row>
    <row r="55" spans="1:9" ht="14.25">
      <c r="A55" s="418"/>
      <c r="B55" s="418"/>
    </row>
    <row r="56" spans="1:9" ht="14.25">
      <c r="A56" s="418"/>
      <c r="B56" s="419" t="s">
        <v>525</v>
      </c>
      <c r="D56" s="1197" t="s">
        <v>314</v>
      </c>
      <c r="E56" s="1197"/>
      <c r="F56" s="1197"/>
    </row>
    <row r="57" spans="1:9" ht="14.25">
      <c r="A57" s="418"/>
      <c r="B57" s="418"/>
      <c r="D57" s="1197"/>
      <c r="E57" s="1197"/>
      <c r="F57" s="1197"/>
    </row>
    <row r="58" spans="1:9" ht="14.25">
      <c r="A58" s="418"/>
      <c r="B58" s="418"/>
      <c r="D58" s="323" t="s">
        <v>533</v>
      </c>
      <c r="E58" s="380"/>
      <c r="F58" s="380"/>
    </row>
    <row r="59" spans="1:9" ht="14.25">
      <c r="A59" s="418"/>
      <c r="B59" s="418"/>
      <c r="D59" s="380"/>
      <c r="E59" s="241" t="s">
        <v>524</v>
      </c>
      <c r="F59" s="380"/>
    </row>
    <row r="60" spans="1:9">
      <c r="D60" s="382"/>
    </row>
    <row r="61" spans="1:9" ht="14.25">
      <c r="A61" s="418"/>
      <c r="B61" s="419" t="s">
        <v>521</v>
      </c>
      <c r="D61" s="1139" t="s">
        <v>315</v>
      </c>
      <c r="E61" s="1139"/>
      <c r="F61" s="1139"/>
      <c r="I61" s="335" t="s">
        <v>534</v>
      </c>
    </row>
    <row r="62" spans="1:9">
      <c r="D62" s="1139"/>
      <c r="E62" s="1139"/>
      <c r="F62" s="1139"/>
    </row>
    <row r="63" spans="1:9">
      <c r="D63" s="1139"/>
      <c r="E63" s="1139"/>
      <c r="F63" s="1139"/>
    </row>
    <row r="64" spans="1:9"/>
    <row r="65" spans="1:9" ht="14.25">
      <c r="A65" s="418"/>
      <c r="B65" s="419" t="s">
        <v>521</v>
      </c>
      <c r="D65" s="1139" t="s">
        <v>316</v>
      </c>
      <c r="E65" s="1139"/>
      <c r="F65" s="1139"/>
      <c r="I65" s="335" t="s">
        <v>535</v>
      </c>
    </row>
    <row r="66" spans="1:9">
      <c r="D66" s="1139"/>
      <c r="E66" s="1139"/>
      <c r="F66" s="1139"/>
    </row>
    <row r="67" spans="1:9"/>
    <row r="68" spans="1:9" ht="14.25">
      <c r="A68" s="418"/>
      <c r="B68" s="419" t="s">
        <v>525</v>
      </c>
      <c r="D68" s="1139" t="s">
        <v>317</v>
      </c>
      <c r="E68" s="1139"/>
      <c r="F68" s="1139"/>
    </row>
    <row r="69" spans="1:9">
      <c r="D69" s="1139"/>
      <c r="E69" s="1139"/>
      <c r="F69" s="1139"/>
      <c r="I69" s="335" t="s">
        <v>530</v>
      </c>
    </row>
    <row r="70" spans="1:9">
      <c r="D70" s="1139"/>
      <c r="E70" s="1139"/>
      <c r="F70" s="1139"/>
    </row>
    <row r="71" spans="1:9"/>
    <row r="72" spans="1:9" ht="14.25">
      <c r="A72" s="418"/>
      <c r="B72" s="419" t="s">
        <v>525</v>
      </c>
      <c r="D72" s="1139" t="s">
        <v>318</v>
      </c>
      <c r="E72" s="1139"/>
      <c r="F72" s="1139"/>
      <c r="I72" s="335" t="s">
        <v>530</v>
      </c>
    </row>
    <row r="73" spans="1:9">
      <c r="D73" s="1139"/>
      <c r="E73" s="1139"/>
      <c r="F73" s="1139"/>
    </row>
    <row r="74" spans="1:9" ht="14.25">
      <c r="A74" s="418"/>
      <c r="B74" s="418"/>
      <c r="D74" s="381"/>
    </row>
    <row r="75" spans="1:9">
      <c r="A75" s="1145" t="s">
        <v>319</v>
      </c>
      <c r="B75" s="1145"/>
      <c r="C75" s="1145"/>
      <c r="D75" s="1145"/>
      <c r="E75" s="1145"/>
      <c r="F75" s="1145"/>
      <c r="G75" s="1145"/>
      <c r="H75" s="993"/>
      <c r="I75" s="994"/>
    </row>
    <row r="76" spans="1:9"/>
    <row r="77" spans="1:9">
      <c r="C77" s="420"/>
      <c r="D77" s="1166" t="s">
        <v>320</v>
      </c>
      <c r="E77" s="1166"/>
      <c r="F77" s="1166"/>
    </row>
    <row r="78" spans="1:9">
      <c r="A78" s="381"/>
      <c r="B78" s="381"/>
      <c r="D78" s="1139" t="s">
        <v>321</v>
      </c>
      <c r="E78" s="1139"/>
      <c r="F78" s="1139"/>
    </row>
    <row r="79" spans="1:9">
      <c r="A79" s="381"/>
      <c r="B79" s="381"/>
    </row>
    <row r="80" spans="1:9" ht="13.7" customHeight="1">
      <c r="A80" s="418"/>
      <c r="B80" s="419" t="s">
        <v>525</v>
      </c>
      <c r="D80" s="1139" t="s">
        <v>536</v>
      </c>
      <c r="E80" s="1139"/>
      <c r="F80" s="1139"/>
      <c r="I80" s="335" t="s">
        <v>537</v>
      </c>
    </row>
    <row r="81" spans="1:9" ht="14.25">
      <c r="A81" s="418"/>
      <c r="B81" s="418"/>
      <c r="D81" s="1139"/>
      <c r="E81" s="1139"/>
      <c r="F81" s="1139"/>
    </row>
    <row r="82" spans="1:9" ht="14.25">
      <c r="A82" s="418"/>
      <c r="B82" s="418"/>
      <c r="D82" s="1139"/>
      <c r="E82" s="1139"/>
      <c r="F82" s="1139"/>
    </row>
    <row r="83" spans="1:9" ht="14.25">
      <c r="A83" s="418"/>
      <c r="B83" s="418"/>
      <c r="D83" s="1139"/>
      <c r="E83" s="1139"/>
      <c r="F83" s="1139"/>
    </row>
    <row r="84" spans="1:9" ht="14.25">
      <c r="A84" s="418"/>
      <c r="B84" s="418"/>
      <c r="D84" s="1139"/>
      <c r="E84" s="1139"/>
      <c r="F84" s="1139"/>
    </row>
    <row r="85" spans="1:9" ht="14.25">
      <c r="A85" s="418"/>
      <c r="B85" s="418"/>
      <c r="D85" s="1139"/>
      <c r="E85" s="1139"/>
      <c r="F85" s="1139"/>
    </row>
    <row r="86" spans="1:9" ht="14.25">
      <c r="A86" s="418"/>
      <c r="B86" s="418"/>
      <c r="D86" s="1139"/>
      <c r="E86" s="1139"/>
      <c r="F86" s="1139"/>
    </row>
    <row r="87" spans="1:9" ht="14.25">
      <c r="A87" s="418"/>
      <c r="B87" s="418"/>
      <c r="D87" s="1139"/>
      <c r="E87" s="1139"/>
      <c r="F87" s="1139"/>
    </row>
    <row r="88" spans="1:9" ht="14.25">
      <c r="A88" s="418"/>
      <c r="B88" s="418"/>
      <c r="D88" s="316"/>
      <c r="E88" s="316"/>
      <c r="F88" s="316"/>
    </row>
    <row r="89" spans="1:9" ht="15" customHeight="1">
      <c r="A89" s="418"/>
      <c r="B89" s="419" t="s">
        <v>525</v>
      </c>
      <c r="D89" s="1139" t="s">
        <v>538</v>
      </c>
      <c r="E89" s="1139"/>
      <c r="F89" s="1139"/>
      <c r="I89" s="335" t="s">
        <v>539</v>
      </c>
    </row>
    <row r="90" spans="1:9" ht="14.25">
      <c r="A90" s="418"/>
      <c r="B90" s="418"/>
      <c r="D90" s="1139"/>
      <c r="E90" s="1139"/>
      <c r="F90" s="1139"/>
    </row>
    <row r="91" spans="1:9" ht="14.25">
      <c r="A91" s="418"/>
      <c r="B91" s="418"/>
      <c r="D91" s="380"/>
      <c r="E91" s="380"/>
      <c r="F91" s="380"/>
    </row>
    <row r="92" spans="1:9" ht="14.25">
      <c r="A92" s="418"/>
      <c r="B92" s="419" t="s">
        <v>525</v>
      </c>
      <c r="D92" s="1139" t="s">
        <v>540</v>
      </c>
      <c r="E92" s="1139"/>
      <c r="F92" s="1139"/>
      <c r="I92" s="335" t="s">
        <v>541</v>
      </c>
    </row>
    <row r="93" spans="1:9" ht="14.25">
      <c r="A93" s="418"/>
      <c r="B93" s="418"/>
      <c r="D93" s="1139"/>
      <c r="E93" s="1139"/>
      <c r="F93" s="1139"/>
    </row>
    <row r="94" spans="1:9" ht="14.25">
      <c r="A94" s="418"/>
      <c r="B94" s="418"/>
      <c r="D94" s="1139"/>
      <c r="E94" s="1139"/>
      <c r="F94" s="1139"/>
    </row>
    <row r="95" spans="1:9" ht="14.25">
      <c r="A95" s="418"/>
      <c r="B95" s="418"/>
      <c r="D95" s="380"/>
      <c r="E95" s="380"/>
      <c r="F95" s="380"/>
    </row>
    <row r="96" spans="1:9" ht="14.25">
      <c r="A96" s="418"/>
      <c r="B96" s="419" t="s">
        <v>525</v>
      </c>
      <c r="D96" s="1139" t="s">
        <v>542</v>
      </c>
      <c r="E96" s="1139"/>
      <c r="F96" s="1139"/>
      <c r="I96" s="335" t="s">
        <v>543</v>
      </c>
    </row>
    <row r="97" spans="1:9" s="948" customFormat="1" ht="14.25">
      <c r="A97" s="946"/>
      <c r="B97" s="946"/>
      <c r="C97" s="947"/>
      <c r="D97" s="1139"/>
      <c r="E97" s="1139"/>
      <c r="F97" s="1139"/>
      <c r="I97" s="985"/>
    </row>
    <row r="98" spans="1:9" ht="14.25">
      <c r="A98" s="418"/>
      <c r="B98" s="418"/>
      <c r="D98" s="323"/>
      <c r="E98" s="241" t="s">
        <v>544</v>
      </c>
      <c r="F98" s="380"/>
    </row>
    <row r="99" spans="1:9" ht="14.25">
      <c r="A99" s="418"/>
      <c r="B99" s="418"/>
      <c r="D99" s="316"/>
      <c r="E99" s="316"/>
      <c r="F99" s="316"/>
    </row>
    <row r="100" spans="1:9" ht="14.25">
      <c r="A100" s="418"/>
      <c r="B100" s="419" t="s">
        <v>521</v>
      </c>
      <c r="D100" s="1139" t="s">
        <v>545</v>
      </c>
      <c r="E100" s="1139"/>
      <c r="F100" s="1139"/>
      <c r="I100" s="335" t="s">
        <v>546</v>
      </c>
    </row>
    <row r="101" spans="1:9" ht="14.25">
      <c r="A101" s="418"/>
      <c r="B101" s="418"/>
      <c r="D101" s="1139"/>
      <c r="E101" s="1139"/>
      <c r="F101" s="1139"/>
    </row>
    <row r="102" spans="1:9" ht="14.25">
      <c r="A102" s="418"/>
      <c r="B102" s="418"/>
      <c r="D102" s="380"/>
      <c r="E102" s="380"/>
      <c r="F102" s="380"/>
    </row>
    <row r="103" spans="1:9" ht="14.45" customHeight="1">
      <c r="A103" s="418"/>
      <c r="B103" s="419" t="s">
        <v>521</v>
      </c>
      <c r="D103" s="1139" t="s">
        <v>547</v>
      </c>
      <c r="E103" s="1139"/>
      <c r="F103" s="1139"/>
      <c r="I103" s="335" t="s">
        <v>548</v>
      </c>
    </row>
    <row r="104" spans="1:9" ht="14.25">
      <c r="A104" s="418"/>
      <c r="B104" s="418"/>
      <c r="D104" s="1139"/>
      <c r="E104" s="1139"/>
      <c r="F104" s="1139"/>
    </row>
    <row r="105" spans="1:9" ht="14.25">
      <c r="A105" s="418"/>
      <c r="B105" s="418"/>
      <c r="D105" s="1139"/>
      <c r="E105" s="1139"/>
      <c r="F105" s="1139"/>
    </row>
    <row r="106" spans="1:9" ht="14.25">
      <c r="A106" s="418"/>
      <c r="B106" s="418"/>
      <c r="D106" s="1139"/>
      <c r="E106" s="1139"/>
      <c r="F106" s="1139"/>
    </row>
    <row r="107" spans="1:9" ht="14.25">
      <c r="A107" s="418"/>
      <c r="B107" s="418"/>
      <c r="D107" s="1139"/>
      <c r="E107" s="1139"/>
      <c r="F107" s="1139"/>
    </row>
    <row r="108" spans="1:9" ht="14.25">
      <c r="A108" s="418"/>
      <c r="B108" s="418"/>
      <c r="D108" s="1139"/>
      <c r="E108" s="1139"/>
      <c r="F108" s="1139"/>
    </row>
    <row r="109" spans="1:9" ht="14.25">
      <c r="A109" s="418"/>
      <c r="B109" s="418"/>
      <c r="D109" s="1139"/>
      <c r="E109" s="1139"/>
      <c r="F109" s="1139"/>
    </row>
    <row r="110" spans="1:9" ht="14.25">
      <c r="A110" s="418"/>
      <c r="B110" s="418"/>
      <c r="D110" s="1139"/>
      <c r="E110" s="1139"/>
      <c r="F110" s="1139"/>
    </row>
    <row r="111" spans="1:9" ht="14.25">
      <c r="A111" s="418"/>
      <c r="B111" s="418"/>
      <c r="D111" s="1139"/>
      <c r="E111" s="1139"/>
      <c r="F111" s="1139"/>
    </row>
    <row r="112" spans="1:9" ht="14.25">
      <c r="A112" s="418"/>
      <c r="B112" s="418"/>
      <c r="D112" s="1139"/>
      <c r="E112" s="1139"/>
      <c r="F112" s="1139"/>
    </row>
    <row r="113" spans="1:9" ht="14.25">
      <c r="A113" s="418"/>
      <c r="B113" s="418"/>
      <c r="D113" s="1139"/>
      <c r="E113" s="1139"/>
      <c r="F113" s="1139"/>
    </row>
    <row r="114" spans="1:9" ht="14.25">
      <c r="A114" s="418"/>
      <c r="B114" s="418"/>
      <c r="D114" s="1139"/>
      <c r="E114" s="1139"/>
      <c r="F114" s="1139"/>
    </row>
    <row r="115" spans="1:9" ht="14.25">
      <c r="A115" s="418"/>
      <c r="B115" s="418"/>
      <c r="D115" s="1139"/>
      <c r="E115" s="1139"/>
      <c r="F115" s="1139"/>
    </row>
    <row r="116" spans="1:9" ht="14.25">
      <c r="A116" s="418"/>
      <c r="B116" s="418"/>
      <c r="D116" s="1139"/>
      <c r="E116" s="1139"/>
      <c r="F116" s="1139"/>
    </row>
    <row r="117" spans="1:9" ht="14.25">
      <c r="A117" s="418"/>
      <c r="B117" s="418"/>
      <c r="D117" s="1139"/>
      <c r="E117" s="1139"/>
      <c r="F117" s="1139"/>
    </row>
    <row r="118" spans="1:9" ht="14.25">
      <c r="A118" s="418"/>
      <c r="B118" s="418"/>
      <c r="D118" s="457"/>
      <c r="E118" s="457"/>
      <c r="F118" s="457"/>
    </row>
    <row r="119" spans="1:9" ht="14.25" customHeight="1">
      <c r="A119" s="418"/>
      <c r="B119" s="419" t="s">
        <v>521</v>
      </c>
      <c r="D119" s="1165" t="s">
        <v>324</v>
      </c>
      <c r="E119" s="1165"/>
      <c r="F119" s="1165"/>
    </row>
    <row r="120" spans="1:9" ht="14.25">
      <c r="A120" s="418"/>
      <c r="B120" s="418"/>
      <c r="D120" s="1165"/>
      <c r="E120" s="1165"/>
      <c r="F120" s="1165"/>
    </row>
    <row r="121" spans="1:9" ht="14.25">
      <c r="A121" s="418"/>
      <c r="B121" s="418"/>
      <c r="D121" s="1165"/>
      <c r="E121" s="1165"/>
      <c r="F121" s="1165"/>
    </row>
    <row r="122" spans="1:9" ht="14.25">
      <c r="A122" s="418"/>
      <c r="B122" s="418"/>
      <c r="D122" s="1165"/>
      <c r="E122" s="1165"/>
      <c r="F122" s="1165"/>
    </row>
    <row r="123" spans="1:9" ht="14.25">
      <c r="A123" s="418"/>
      <c r="B123" s="418"/>
      <c r="D123" s="1165"/>
      <c r="E123" s="1165"/>
      <c r="F123" s="1165"/>
    </row>
    <row r="124" spans="1:9" ht="14.25">
      <c r="A124" s="418"/>
      <c r="B124" s="418"/>
      <c r="D124" s="1165"/>
      <c r="E124" s="1165"/>
      <c r="F124" s="1165"/>
    </row>
    <row r="125" spans="1:9" ht="14.25">
      <c r="A125" s="418"/>
      <c r="B125" s="418"/>
      <c r="D125" s="1165"/>
      <c r="E125" s="1165"/>
      <c r="F125" s="1165"/>
    </row>
    <row r="126" spans="1:9" ht="14.25">
      <c r="A126" s="418"/>
      <c r="B126" s="418"/>
      <c r="D126" s="1165"/>
      <c r="E126" s="1165"/>
      <c r="F126" s="1165"/>
    </row>
    <row r="127" spans="1:9">
      <c r="C127" s="333"/>
      <c r="D127" s="458"/>
      <c r="E127" s="458"/>
      <c r="F127" s="458"/>
    </row>
    <row r="128" spans="1:9" ht="14.25">
      <c r="A128" s="418"/>
      <c r="B128" s="419" t="s">
        <v>525</v>
      </c>
      <c r="C128" s="333"/>
      <c r="D128" s="1165" t="s">
        <v>326</v>
      </c>
      <c r="E128" s="1165"/>
      <c r="F128" s="1165"/>
      <c r="I128" s="335" t="s">
        <v>549</v>
      </c>
    </row>
    <row r="129" spans="1:9" ht="14.25">
      <c r="A129" s="418"/>
      <c r="B129" s="418"/>
      <c r="C129" s="333"/>
      <c r="D129" s="1165"/>
      <c r="E129" s="1165"/>
      <c r="F129" s="1165"/>
    </row>
    <row r="130" spans="1:9"/>
    <row r="131" spans="1:9" ht="14.25">
      <c r="A131" s="418"/>
      <c r="B131" s="419" t="s">
        <v>525</v>
      </c>
      <c r="D131" s="1139" t="s">
        <v>327</v>
      </c>
      <c r="E131" s="1139"/>
      <c r="F131" s="1139"/>
      <c r="I131" s="335" t="s">
        <v>549</v>
      </c>
    </row>
    <row r="132" spans="1:9">
      <c r="D132" s="1139"/>
      <c r="E132" s="1139"/>
      <c r="F132" s="1139"/>
    </row>
    <row r="133" spans="1:9">
      <c r="D133" s="1139"/>
      <c r="E133" s="1139"/>
      <c r="F133" s="1139"/>
    </row>
    <row r="134" spans="1:9">
      <c r="D134" s="1139"/>
      <c r="E134" s="1139"/>
      <c r="F134" s="1139"/>
    </row>
    <row r="135" spans="1:9">
      <c r="D135" s="1139"/>
      <c r="E135" s="1139"/>
      <c r="F135" s="1139"/>
    </row>
    <row r="136" spans="1:9"/>
    <row r="137" spans="1:9" ht="14.25">
      <c r="A137" s="418"/>
      <c r="B137" s="419" t="s">
        <v>521</v>
      </c>
      <c r="D137" s="1139" t="s">
        <v>328</v>
      </c>
      <c r="E137" s="1139"/>
      <c r="F137" s="1139"/>
      <c r="I137" s="335" t="s">
        <v>550</v>
      </c>
    </row>
    <row r="138" spans="1:9" s="348" customFormat="1" ht="13.7" customHeight="1">
      <c r="A138" s="422"/>
      <c r="B138" s="422"/>
      <c r="C138" s="422"/>
      <c r="D138" s="1139"/>
      <c r="E138" s="1139"/>
      <c r="F138" s="1139"/>
      <c r="I138" s="986"/>
    </row>
    <row r="139" spans="1:9" ht="13.7" customHeight="1">
      <c r="D139" s="1139"/>
      <c r="E139" s="1139"/>
      <c r="F139" s="1139"/>
    </row>
    <row r="140" spans="1:9" ht="13.7" customHeight="1">
      <c r="D140" s="1139"/>
      <c r="E140" s="1139"/>
      <c r="F140" s="1139"/>
    </row>
    <row r="141" spans="1:9" ht="13.7" customHeight="1">
      <c r="D141" s="1139"/>
      <c r="E141" s="1139"/>
      <c r="F141" s="1139"/>
    </row>
    <row r="142" spans="1:9" ht="13.7" customHeight="1">
      <c r="A142" s="423"/>
      <c r="B142" s="423"/>
      <c r="D142" s="1139"/>
      <c r="E142" s="1139"/>
      <c r="F142" s="1139"/>
    </row>
    <row r="143" spans="1:9" ht="13.7" customHeight="1">
      <c r="D143" s="1139"/>
      <c r="E143" s="1139"/>
      <c r="F143" s="1139"/>
    </row>
    <row r="144" spans="1:9" ht="13.7" customHeight="1">
      <c r="D144" s="1139"/>
      <c r="E144" s="1139"/>
      <c r="F144" s="1139"/>
    </row>
    <row r="145" spans="2:9" ht="13.7" customHeight="1">
      <c r="D145" s="1139"/>
      <c r="E145" s="1139"/>
      <c r="F145" s="1139"/>
    </row>
    <row r="146" spans="2:9" ht="13.7" customHeight="1">
      <c r="D146" s="1139"/>
      <c r="E146" s="1139"/>
      <c r="F146" s="1139"/>
    </row>
    <row r="147" spans="2:9" ht="13.7" customHeight="1">
      <c r="D147" s="1139"/>
      <c r="E147" s="1139"/>
      <c r="F147" s="1139"/>
    </row>
    <row r="148" spans="2:9" ht="13.7" customHeight="1">
      <c r="D148" s="1139"/>
      <c r="E148" s="1139"/>
      <c r="F148" s="1139"/>
    </row>
    <row r="149" spans="2:9" ht="13.7" customHeight="1">
      <c r="D149" s="1139"/>
      <c r="E149" s="1139"/>
      <c r="F149" s="1139"/>
    </row>
    <row r="150" spans="2:9" ht="13.7" customHeight="1">
      <c r="D150" s="410"/>
      <c r="E150" s="381"/>
      <c r="F150" s="381"/>
    </row>
    <row r="151" spans="2:9" ht="13.7" customHeight="1">
      <c r="B151" s="419" t="s">
        <v>525</v>
      </c>
      <c r="D151" s="1139" t="s">
        <v>329</v>
      </c>
      <c r="E151" s="1139"/>
      <c r="F151" s="1139"/>
      <c r="I151" s="335" t="s">
        <v>551</v>
      </c>
    </row>
    <row r="152" spans="2:9" ht="13.7" customHeight="1">
      <c r="D152" s="1139"/>
      <c r="E152" s="1139"/>
      <c r="F152" s="1139"/>
    </row>
    <row r="153" spans="2:9" ht="13.7" customHeight="1">
      <c r="D153" s="1139"/>
      <c r="E153" s="1139"/>
      <c r="F153" s="1139"/>
    </row>
    <row r="154" spans="2:9" ht="13.7" customHeight="1">
      <c r="D154" s="1139"/>
      <c r="E154" s="1139"/>
      <c r="F154" s="1139"/>
    </row>
    <row r="155" spans="2:9" ht="13.7" customHeight="1">
      <c r="D155" s="1139"/>
      <c r="E155" s="1139"/>
      <c r="F155" s="1139"/>
    </row>
    <row r="156" spans="2:9" ht="13.7" customHeight="1">
      <c r="D156" s="1139"/>
      <c r="E156" s="1139"/>
      <c r="F156" s="1139"/>
    </row>
    <row r="157" spans="2:9" ht="13.7" customHeight="1">
      <c r="D157" s="1139"/>
      <c r="E157" s="1139"/>
      <c r="F157" s="1139"/>
    </row>
    <row r="158" spans="2:9" ht="13.7" customHeight="1">
      <c r="D158" s="1139"/>
      <c r="E158" s="1139"/>
      <c r="F158" s="1139"/>
    </row>
    <row r="159" spans="2:9" ht="13.7" customHeight="1">
      <c r="D159" s="1139"/>
      <c r="E159" s="1139"/>
      <c r="F159" s="1139"/>
    </row>
    <row r="160" spans="2:9" ht="13.7" customHeight="1">
      <c r="D160" s="1139"/>
      <c r="E160" s="1139"/>
      <c r="F160" s="1139"/>
    </row>
    <row r="161" spans="1:9" ht="13.7" customHeight="1">
      <c r="D161" s="1139"/>
      <c r="E161" s="1139"/>
      <c r="F161" s="1139"/>
    </row>
    <row r="162" spans="1:9" ht="13.7" customHeight="1">
      <c r="D162" s="1139"/>
      <c r="E162" s="1139"/>
      <c r="F162" s="1139"/>
    </row>
    <row r="163" spans="1:9" ht="13.7" customHeight="1">
      <c r="D163" s="1139"/>
      <c r="E163" s="1139"/>
      <c r="F163" s="1139"/>
    </row>
    <row r="164" spans="1:9" ht="13.7" customHeight="1">
      <c r="D164" s="1139"/>
      <c r="E164" s="1139"/>
      <c r="F164" s="1139"/>
    </row>
    <row r="165" spans="1:9" ht="13.7" customHeight="1">
      <c r="D165" s="1139"/>
      <c r="E165" s="1139"/>
      <c r="F165" s="1139"/>
    </row>
    <row r="166" spans="1:9" ht="13.7" customHeight="1">
      <c r="D166" s="1139"/>
      <c r="E166" s="1139"/>
      <c r="F166" s="1139"/>
    </row>
    <row r="167" spans="1:9" ht="13.7" customHeight="1">
      <c r="D167" s="1139"/>
      <c r="E167" s="1139"/>
      <c r="F167" s="1139"/>
    </row>
    <row r="168" spans="1:9" ht="13.7" customHeight="1">
      <c r="D168" s="1139"/>
      <c r="E168" s="1139"/>
      <c r="F168" s="1139"/>
    </row>
    <row r="169" spans="1:9" ht="13.7" customHeight="1">
      <c r="D169" s="1198" t="s">
        <v>552</v>
      </c>
      <c r="E169" s="1198"/>
      <c r="F169" s="1198"/>
      <c r="G169" s="441"/>
    </row>
    <row r="170" spans="1:9" ht="13.7" customHeight="1">
      <c r="D170" s="1171"/>
      <c r="E170" s="1171"/>
      <c r="F170" s="1171"/>
      <c r="G170" s="1171"/>
    </row>
    <row r="171" spans="1:9" ht="14.45" customHeight="1">
      <c r="A171" s="423"/>
      <c r="B171" s="419" t="s">
        <v>525</v>
      </c>
      <c r="C171" s="410"/>
      <c r="D171" s="1127" t="s">
        <v>553</v>
      </c>
      <c r="E171" s="1127"/>
      <c r="F171" s="1127"/>
      <c r="G171" s="410"/>
      <c r="I171" s="335" t="s">
        <v>541</v>
      </c>
    </row>
    <row r="172" spans="1:9" ht="14.45" customHeight="1">
      <c r="A172" s="423"/>
      <c r="B172" s="423"/>
      <c r="C172" s="410"/>
      <c r="D172" s="1127"/>
      <c r="E172" s="1127"/>
      <c r="F172" s="1127"/>
      <c r="G172" s="410"/>
    </row>
    <row r="173" spans="1:9" ht="13.7" customHeight="1">
      <c r="A173" s="423"/>
      <c r="B173" s="423"/>
      <c r="C173" s="410"/>
      <c r="D173" s="1127"/>
      <c r="E173" s="1127"/>
      <c r="F173" s="1127"/>
      <c r="G173" s="410"/>
    </row>
    <row r="174" spans="1:9" ht="13.7" customHeight="1">
      <c r="A174" s="423"/>
      <c r="B174" s="423"/>
      <c r="C174" s="410"/>
      <c r="D174" s="410"/>
      <c r="E174" s="410"/>
      <c r="F174" s="410"/>
      <c r="G174" s="410"/>
    </row>
    <row r="175" spans="1:9" ht="13.7" customHeight="1">
      <c r="A175" s="423"/>
      <c r="B175" s="419" t="s">
        <v>525</v>
      </c>
      <c r="C175" s="410"/>
      <c r="D175" s="1127" t="s">
        <v>331</v>
      </c>
      <c r="E175" s="1127"/>
      <c r="F175" s="1127"/>
      <c r="G175" s="410"/>
      <c r="I175" s="335" t="s">
        <v>554</v>
      </c>
    </row>
    <row r="176" spans="1:9" ht="13.7" customHeight="1">
      <c r="A176" s="423"/>
      <c r="B176" s="423"/>
      <c r="C176" s="410"/>
      <c r="D176" s="1127"/>
      <c r="E176" s="1127"/>
      <c r="F176" s="1127"/>
      <c r="G176" s="410"/>
    </row>
    <row r="177" spans="1:9" ht="13.7" customHeight="1">
      <c r="A177" s="423"/>
      <c r="B177" s="423"/>
      <c r="C177" s="410"/>
      <c r="D177" s="1127"/>
      <c r="E177" s="1127"/>
      <c r="F177" s="1127"/>
      <c r="G177" s="410"/>
    </row>
    <row r="178" spans="1:9" ht="13.7" customHeight="1">
      <c r="A178" s="423"/>
      <c r="B178" s="423"/>
      <c r="C178" s="410"/>
      <c r="D178" s="1127"/>
      <c r="E178" s="1127"/>
      <c r="F178" s="1127"/>
      <c r="G178" s="410"/>
    </row>
    <row r="179" spans="1:9" ht="13.7" customHeight="1">
      <c r="D179" s="381"/>
      <c r="E179" s="381"/>
      <c r="F179" s="381"/>
    </row>
    <row r="180" spans="1:9" ht="13.7" customHeight="1">
      <c r="B180" s="419" t="s">
        <v>521</v>
      </c>
      <c r="D180" s="1159" t="s">
        <v>332</v>
      </c>
      <c r="E180" s="1159"/>
      <c r="F180" s="1159"/>
      <c r="I180" s="335" t="s">
        <v>555</v>
      </c>
    </row>
    <row r="181" spans="1:9" ht="13.7" customHeight="1">
      <c r="D181" s="1159"/>
      <c r="E181" s="1159"/>
      <c r="F181" s="1159"/>
    </row>
    <row r="182" spans="1:9" ht="13.7" customHeight="1">
      <c r="D182" s="1159"/>
      <c r="E182" s="1159"/>
      <c r="F182" s="1159"/>
    </row>
    <row r="183" spans="1:9" ht="13.7" customHeight="1">
      <c r="A183" s="424"/>
      <c r="B183" s="424"/>
      <c r="E183" s="381"/>
      <c r="F183" s="381"/>
    </row>
    <row r="184" spans="1:9">
      <c r="A184" s="1145" t="s">
        <v>556</v>
      </c>
      <c r="B184" s="1145"/>
      <c r="C184" s="1145"/>
      <c r="D184" s="1145"/>
      <c r="E184" s="1145"/>
      <c r="F184" s="1145"/>
      <c r="G184" s="1145"/>
      <c r="H184" s="993"/>
      <c r="I184" s="994"/>
    </row>
    <row r="185" spans="1:9" ht="12" customHeight="1">
      <c r="D185" s="381"/>
      <c r="E185" s="381"/>
      <c r="F185" s="381"/>
    </row>
    <row r="186" spans="1:9">
      <c r="B186" s="1152" t="s">
        <v>334</v>
      </c>
      <c r="C186" s="1152"/>
      <c r="D186" s="1152"/>
      <c r="E186" s="1152"/>
      <c r="F186" s="1152"/>
    </row>
    <row r="187" spans="1:9">
      <c r="B187" s="323" t="s">
        <v>557</v>
      </c>
      <c r="C187" s="323"/>
      <c r="D187" s="323"/>
      <c r="E187" s="323"/>
      <c r="F187" s="323"/>
    </row>
    <row r="188" spans="1:9" ht="12" customHeight="1">
      <c r="A188" s="416"/>
      <c r="B188" s="416"/>
      <c r="C188" s="416"/>
    </row>
    <row r="189" spans="1:9">
      <c r="A189" s="1145" t="s">
        <v>335</v>
      </c>
      <c r="B189" s="1145"/>
      <c r="C189" s="1145"/>
      <c r="D189" s="1145"/>
      <c r="E189" s="1145"/>
      <c r="F189" s="1145"/>
      <c r="G189" s="1145"/>
      <c r="H189" s="993"/>
      <c r="I189" s="994"/>
    </row>
    <row r="190" spans="1:9" ht="12" customHeight="1">
      <c r="A190" s="335"/>
      <c r="B190" s="335"/>
      <c r="E190" s="335"/>
    </row>
    <row r="191" spans="1:9" ht="13.7" customHeight="1">
      <c r="A191" s="335"/>
      <c r="B191" s="335"/>
      <c r="D191" s="1166" t="s">
        <v>558</v>
      </c>
      <c r="E191" s="1166"/>
      <c r="F191" s="1166"/>
    </row>
    <row r="192" spans="1:9">
      <c r="A192" s="335"/>
      <c r="B192" s="335"/>
      <c r="D192" s="1166"/>
      <c r="E192" s="1166"/>
      <c r="F192" s="1166"/>
    </row>
    <row r="193" spans="1:9">
      <c r="A193" s="335"/>
      <c r="B193" s="335"/>
      <c r="D193" s="1152" t="s">
        <v>559</v>
      </c>
      <c r="E193" s="1152"/>
      <c r="F193" s="1152"/>
    </row>
    <row r="194" spans="1:9">
      <c r="A194" s="335"/>
      <c r="B194" s="335"/>
      <c r="D194" s="323"/>
      <c r="E194" s="323"/>
      <c r="F194" s="323"/>
    </row>
    <row r="195" spans="1:9">
      <c r="A195" s="335"/>
      <c r="B195" s="419" t="s">
        <v>525</v>
      </c>
      <c r="D195" s="1144" t="s">
        <v>560</v>
      </c>
      <c r="E195" s="1144"/>
      <c r="F195" s="1144"/>
      <c r="I195" s="335" t="s">
        <v>561</v>
      </c>
    </row>
    <row r="196" spans="1:9">
      <c r="A196" s="335"/>
      <c r="B196" s="335"/>
      <c r="D196" s="1142" t="s">
        <v>562</v>
      </c>
      <c r="E196" s="1142"/>
      <c r="F196" s="1142"/>
    </row>
    <row r="197" spans="1:9">
      <c r="A197" s="335"/>
      <c r="B197" s="335"/>
      <c r="D197" s="72" t="s">
        <v>563</v>
      </c>
      <c r="E197" s="1194" t="s">
        <v>564</v>
      </c>
      <c r="F197" s="1194"/>
    </row>
    <row r="198" spans="1:9">
      <c r="A198" s="335"/>
      <c r="B198" s="335"/>
      <c r="D198" s="3"/>
      <c r="E198" s="3"/>
      <c r="F198" s="3"/>
    </row>
    <row r="199" spans="1:9">
      <c r="A199" s="335"/>
      <c r="B199" s="419" t="s">
        <v>521</v>
      </c>
      <c r="D199" s="1142" t="s">
        <v>565</v>
      </c>
      <c r="E199" s="1142"/>
      <c r="F199" s="1142"/>
      <c r="I199" s="335" t="s">
        <v>566</v>
      </c>
    </row>
    <row r="200" spans="1:9">
      <c r="A200" s="335"/>
      <c r="B200" s="335"/>
      <c r="D200" s="1144" t="s">
        <v>562</v>
      </c>
      <c r="E200" s="1144"/>
      <c r="F200" s="1144"/>
    </row>
    <row r="201" spans="1:9">
      <c r="A201" s="335"/>
      <c r="B201" s="335"/>
      <c r="D201" s="50" t="s">
        <v>567</v>
      </c>
      <c r="E201" s="1194" t="s">
        <v>568</v>
      </c>
      <c r="F201" s="1194"/>
    </row>
    <row r="202" spans="1:9">
      <c r="A202" s="335"/>
      <c r="B202" s="335"/>
      <c r="D202" s="3"/>
      <c r="E202" s="3"/>
      <c r="F202" s="3"/>
    </row>
    <row r="203" spans="1:9">
      <c r="A203" s="335"/>
      <c r="B203" s="419" t="s">
        <v>521</v>
      </c>
      <c r="D203" s="1142" t="s">
        <v>569</v>
      </c>
      <c r="E203" s="1142"/>
      <c r="F203" s="1142"/>
      <c r="I203" s="335" t="s">
        <v>570</v>
      </c>
    </row>
    <row r="204" spans="1:9">
      <c r="A204" s="335"/>
      <c r="B204" s="335"/>
      <c r="D204" s="1144" t="s">
        <v>562</v>
      </c>
      <c r="E204" s="1144"/>
      <c r="F204" s="1144"/>
    </row>
    <row r="205" spans="1:9">
      <c r="A205" s="335"/>
      <c r="B205" s="335"/>
      <c r="D205" s="50" t="s">
        <v>563</v>
      </c>
      <c r="E205" s="1194" t="s">
        <v>571</v>
      </c>
      <c r="F205" s="1194"/>
    </row>
    <row r="206" spans="1:9">
      <c r="A206" s="335"/>
      <c r="B206" s="335"/>
      <c r="D206" s="323"/>
      <c r="E206" s="323"/>
      <c r="F206" s="323"/>
    </row>
    <row r="207" spans="1:9" ht="14.25" customHeight="1">
      <c r="A207" s="418"/>
      <c r="B207" s="419" t="s">
        <v>521</v>
      </c>
      <c r="D207" s="317" t="s">
        <v>572</v>
      </c>
      <c r="E207" s="316"/>
      <c r="F207" s="316"/>
      <c r="I207" s="335" t="s">
        <v>573</v>
      </c>
    </row>
    <row r="208" spans="1:9" ht="14.25">
      <c r="A208" s="418"/>
      <c r="B208" s="418"/>
      <c r="D208" s="1144" t="s">
        <v>562</v>
      </c>
      <c r="E208" s="1144"/>
      <c r="F208" s="1144"/>
    </row>
    <row r="209" spans="1:9">
      <c r="D209" s="316"/>
      <c r="E209" s="1194" t="s">
        <v>574</v>
      </c>
      <c r="F209" s="1194"/>
    </row>
    <row r="210" spans="1:9">
      <c r="D210" s="382"/>
    </row>
    <row r="211" spans="1:9">
      <c r="B211" s="419" t="s">
        <v>521</v>
      </c>
      <c r="D211" s="1142" t="s">
        <v>575</v>
      </c>
      <c r="E211" s="1142"/>
      <c r="F211" s="1142"/>
      <c r="I211" s="335" t="s">
        <v>576</v>
      </c>
    </row>
    <row r="212" spans="1:9">
      <c r="D212" s="1144" t="s">
        <v>562</v>
      </c>
      <c r="E212" s="1144"/>
      <c r="F212" s="1144"/>
    </row>
    <row r="213" spans="1:9">
      <c r="D213" s="50" t="s">
        <v>563</v>
      </c>
      <c r="E213" s="1194" t="s">
        <v>577</v>
      </c>
      <c r="F213" s="1194"/>
    </row>
    <row r="214" spans="1:9">
      <c r="D214" s="386"/>
      <c r="E214" s="386"/>
      <c r="F214" s="386"/>
    </row>
    <row r="215" spans="1:9" ht="14.25">
      <c r="A215" s="418"/>
      <c r="B215" s="419" t="s">
        <v>521</v>
      </c>
      <c r="D215" s="1139" t="s">
        <v>578</v>
      </c>
      <c r="E215" s="1139"/>
      <c r="F215" s="1139"/>
    </row>
    <row r="216" spans="1:9" ht="14.45" customHeight="1">
      <c r="A216" s="418"/>
      <c r="B216" s="333"/>
      <c r="D216" s="1139"/>
      <c r="E216" s="1139"/>
      <c r="F216" s="1139"/>
    </row>
    <row r="217" spans="1:9" ht="14.25">
      <c r="A217" s="418"/>
      <c r="D217" s="1139"/>
      <c r="E217" s="1139"/>
      <c r="F217" s="1139"/>
    </row>
    <row r="218" spans="1:9" ht="14.25">
      <c r="A218" s="418"/>
      <c r="D218" s="1139"/>
      <c r="E218" s="1139"/>
      <c r="F218" s="1139"/>
    </row>
    <row r="219" spans="1:9">
      <c r="D219" s="386"/>
      <c r="E219" s="386"/>
      <c r="F219" s="386"/>
    </row>
    <row r="220" spans="1:9">
      <c r="A220" s="1145" t="s">
        <v>341</v>
      </c>
      <c r="B220" s="1145"/>
      <c r="C220" s="1145"/>
      <c r="D220" s="1145"/>
      <c r="E220" s="1145"/>
      <c r="F220" s="1145"/>
      <c r="G220" s="1145"/>
      <c r="H220" s="993"/>
      <c r="I220" s="994"/>
    </row>
    <row r="221" spans="1:9" ht="12" customHeight="1">
      <c r="D221" s="381"/>
      <c r="E221" s="381"/>
      <c r="F221" s="381"/>
    </row>
    <row r="222" spans="1:9">
      <c r="C222" s="420"/>
      <c r="D222" s="1137" t="s">
        <v>342</v>
      </c>
      <c r="E222" s="1137"/>
      <c r="F222" s="1137"/>
    </row>
    <row r="223" spans="1:9">
      <c r="A223" s="416"/>
      <c r="B223" s="416"/>
      <c r="C223" s="416"/>
      <c r="D223" s="1167" t="s">
        <v>343</v>
      </c>
      <c r="E223" s="1167"/>
      <c r="F223" s="1167"/>
    </row>
    <row r="224" spans="1:9" ht="12" customHeight="1">
      <c r="A224" s="424"/>
      <c r="B224" s="424"/>
      <c r="C224" s="424"/>
    </row>
    <row r="225" spans="1:9" ht="13.7" customHeight="1">
      <c r="A225" s="424"/>
      <c r="C225" s="424"/>
      <c r="D225" s="1137" t="s">
        <v>344</v>
      </c>
      <c r="E225" s="1137"/>
      <c r="F225" s="1137"/>
      <c r="I225" s="335" t="s">
        <v>579</v>
      </c>
    </row>
    <row r="226" spans="1:9" ht="14.25">
      <c r="A226" s="418"/>
      <c r="B226" s="419" t="s">
        <v>525</v>
      </c>
      <c r="D226" s="1139" t="s">
        <v>580</v>
      </c>
      <c r="E226" s="1139"/>
      <c r="F226" s="1139"/>
    </row>
    <row r="227" spans="1:9" ht="14.25" customHeight="1">
      <c r="A227" s="418"/>
      <c r="B227" s="418"/>
      <c r="D227" s="1139"/>
      <c r="E227" s="1139"/>
      <c r="F227" s="1139"/>
    </row>
    <row r="228" spans="1:9" ht="14.25" customHeight="1">
      <c r="A228" s="418"/>
      <c r="B228" s="418"/>
      <c r="D228" s="1139"/>
      <c r="E228" s="1139"/>
      <c r="F228" s="1139"/>
    </row>
    <row r="229" spans="1:9" ht="14.25">
      <c r="A229" s="418"/>
      <c r="B229" s="418"/>
      <c r="D229" s="1139"/>
      <c r="E229" s="1139"/>
      <c r="F229" s="1139"/>
    </row>
    <row r="230" spans="1:9" ht="14.25">
      <c r="A230" s="418"/>
      <c r="B230" s="418"/>
      <c r="D230" s="380"/>
      <c r="E230" s="380"/>
      <c r="F230" s="380"/>
    </row>
    <row r="231" spans="1:9" ht="14.25">
      <c r="A231" s="418"/>
      <c r="B231" s="419" t="s">
        <v>525</v>
      </c>
      <c r="D231" s="1139" t="s">
        <v>581</v>
      </c>
      <c r="E231" s="1139"/>
      <c r="F231" s="1139"/>
      <c r="I231" s="335" t="s">
        <v>582</v>
      </c>
    </row>
    <row r="232" spans="1:9" ht="14.25">
      <c r="A232" s="418"/>
      <c r="B232" s="418"/>
      <c r="D232" s="1139"/>
      <c r="E232" s="1139"/>
      <c r="F232" s="1139"/>
    </row>
    <row r="233" spans="1:9" ht="14.25">
      <c r="A233" s="418"/>
      <c r="B233" s="418"/>
      <c r="D233" s="1139"/>
      <c r="E233" s="1139"/>
      <c r="F233" s="1139"/>
    </row>
    <row r="234" spans="1:9" ht="14.25">
      <c r="A234" s="418"/>
      <c r="B234" s="418"/>
      <c r="D234" s="1139"/>
      <c r="E234" s="1139"/>
      <c r="F234" s="1139"/>
    </row>
    <row r="235" spans="1:9" ht="14.25" customHeight="1">
      <c r="A235" s="418"/>
      <c r="B235" s="418"/>
      <c r="D235" s="1139"/>
      <c r="E235" s="1139"/>
      <c r="F235" s="1139"/>
    </row>
    <row r="236" spans="1:9" ht="14.25" customHeight="1">
      <c r="A236" s="418"/>
      <c r="B236" s="418"/>
      <c r="D236" s="380"/>
      <c r="E236" s="380"/>
      <c r="F236" s="380"/>
    </row>
    <row r="237" spans="1:9" ht="14.25">
      <c r="A237" s="418"/>
      <c r="B237" s="418"/>
      <c r="D237" s="1139" t="s">
        <v>347</v>
      </c>
      <c r="E237" s="1139"/>
      <c r="F237" s="1139"/>
      <c r="I237" s="335" t="s">
        <v>579</v>
      </c>
    </row>
    <row r="238" spans="1:9" ht="14.25">
      <c r="A238" s="418"/>
      <c r="B238" s="418"/>
      <c r="D238" s="1139"/>
      <c r="E238" s="1139"/>
      <c r="F238" s="1139"/>
    </row>
    <row r="239" spans="1:9" ht="14.25">
      <c r="A239" s="418"/>
      <c r="B239" s="418"/>
      <c r="D239" s="1139"/>
      <c r="E239" s="1139"/>
      <c r="F239" s="1139"/>
    </row>
    <row r="240" spans="1:9" ht="14.25">
      <c r="A240" s="418"/>
      <c r="B240" s="418"/>
      <c r="D240" s="1139"/>
      <c r="E240" s="1139"/>
      <c r="F240" s="1139"/>
    </row>
    <row r="241" spans="1:9" ht="14.25">
      <c r="A241" s="418"/>
      <c r="B241" s="418"/>
      <c r="D241" s="1139"/>
      <c r="E241" s="1139"/>
      <c r="F241" s="1139"/>
    </row>
    <row r="242" spans="1:9" ht="14.25">
      <c r="A242" s="418"/>
      <c r="B242" s="418"/>
      <c r="D242" s="381"/>
      <c r="E242" s="381"/>
      <c r="F242" s="381"/>
    </row>
    <row r="243" spans="1:9" ht="14.25">
      <c r="A243" s="418"/>
      <c r="B243" s="419" t="s">
        <v>525</v>
      </c>
      <c r="D243" s="1139" t="s">
        <v>583</v>
      </c>
      <c r="E243" s="1139"/>
      <c r="F243" s="1139"/>
      <c r="I243" s="335" t="s">
        <v>584</v>
      </c>
    </row>
    <row r="244" spans="1:9" ht="14.25">
      <c r="A244" s="418"/>
      <c r="B244" s="418"/>
      <c r="D244" s="1139"/>
      <c r="E244" s="1139"/>
      <c r="F244" s="1139"/>
    </row>
    <row r="245" spans="1:9" ht="14.25">
      <c r="A245" s="418"/>
      <c r="B245" s="418"/>
      <c r="D245" s="1139"/>
      <c r="E245" s="1139"/>
      <c r="F245" s="1139"/>
    </row>
    <row r="246" spans="1:9" ht="14.25">
      <c r="A246" s="418"/>
      <c r="B246" s="418"/>
      <c r="E246" s="1043" t="s">
        <v>585</v>
      </c>
    </row>
    <row r="247" spans="1:9" ht="14.25">
      <c r="A247" s="418"/>
      <c r="B247" s="418"/>
      <c r="D247" s="381"/>
      <c r="E247" s="381"/>
      <c r="F247" s="381"/>
    </row>
    <row r="248" spans="1:9" ht="14.45" customHeight="1">
      <c r="A248" s="418"/>
      <c r="B248" s="419" t="s">
        <v>521</v>
      </c>
      <c r="D248" s="1139" t="s">
        <v>350</v>
      </c>
      <c r="E248" s="1139"/>
      <c r="F248" s="1139"/>
      <c r="I248" s="335" t="s">
        <v>586</v>
      </c>
    </row>
    <row r="249" spans="1:9" ht="14.25">
      <c r="A249" s="418"/>
      <c r="B249" s="418"/>
      <c r="D249" s="1139"/>
      <c r="E249" s="1139"/>
      <c r="F249" s="1139"/>
    </row>
    <row r="250" spans="1:9" ht="14.25">
      <c r="A250" s="418"/>
      <c r="B250" s="418"/>
      <c r="D250" s="1139"/>
      <c r="E250" s="1139"/>
      <c r="F250" s="1139"/>
    </row>
    <row r="251" spans="1:9" ht="14.25">
      <c r="A251" s="418"/>
      <c r="B251" s="418"/>
      <c r="D251" s="1139"/>
      <c r="E251" s="1139"/>
      <c r="F251" s="1139"/>
    </row>
    <row r="252" spans="1:9" ht="14.25">
      <c r="A252" s="418"/>
      <c r="B252" s="418"/>
      <c r="D252" s="1139"/>
      <c r="E252" s="1139"/>
      <c r="F252" s="1139"/>
    </row>
    <row r="253" spans="1:9" ht="14.25">
      <c r="A253" s="418"/>
      <c r="B253" s="418"/>
      <c r="D253" s="380"/>
      <c r="E253" s="380"/>
      <c r="F253" s="380"/>
    </row>
    <row r="254" spans="1:9" ht="14.25">
      <c r="A254" s="418"/>
      <c r="B254" s="419" t="s">
        <v>525</v>
      </c>
      <c r="D254" s="323" t="s">
        <v>587</v>
      </c>
      <c r="E254" s="380"/>
      <c r="F254" s="380"/>
      <c r="I254" s="335" t="s">
        <v>588</v>
      </c>
    </row>
    <row r="255" spans="1:9" ht="14.25">
      <c r="A255" s="418"/>
      <c r="B255" s="418"/>
      <c r="E255" s="1043" t="s">
        <v>589</v>
      </c>
    </row>
    <row r="256" spans="1:9">
      <c r="D256" s="381"/>
      <c r="E256" s="381"/>
      <c r="F256" s="381"/>
    </row>
    <row r="257" spans="1:9" ht="14.25">
      <c r="A257" s="418"/>
      <c r="B257" s="419" t="s">
        <v>525</v>
      </c>
      <c r="D257" s="1139" t="s">
        <v>351</v>
      </c>
      <c r="E257" s="1139"/>
      <c r="F257" s="1139"/>
    </row>
    <row r="258" spans="1:9" ht="14.25">
      <c r="A258" s="418"/>
      <c r="B258" s="418"/>
      <c r="D258" s="1139"/>
      <c r="E258" s="1139"/>
      <c r="F258" s="1139"/>
    </row>
    <row r="259" spans="1:9">
      <c r="D259" s="425"/>
    </row>
    <row r="260" spans="1:9">
      <c r="A260" s="1145" t="s">
        <v>352</v>
      </c>
      <c r="B260" s="1145"/>
      <c r="C260" s="1145"/>
      <c r="D260" s="1145"/>
      <c r="E260" s="1145"/>
      <c r="F260" s="1145"/>
      <c r="G260" s="1145"/>
      <c r="H260" s="993"/>
      <c r="I260" s="994"/>
    </row>
    <row r="261" spans="1:9">
      <c r="D261" s="425"/>
    </row>
    <row r="262" spans="1:9">
      <c r="C262" s="420"/>
      <c r="D262" s="1137" t="s">
        <v>353</v>
      </c>
      <c r="E262" s="1137"/>
      <c r="F262" s="1137"/>
    </row>
    <row r="263" spans="1:9">
      <c r="A263" s="416"/>
      <c r="B263" s="416"/>
      <c r="C263" s="416"/>
      <c r="D263" s="381"/>
      <c r="E263" s="381"/>
      <c r="F263" s="381"/>
    </row>
    <row r="264" spans="1:9">
      <c r="A264" s="417"/>
      <c r="B264" s="417"/>
      <c r="C264" s="417"/>
      <c r="D264" s="1137" t="s">
        <v>354</v>
      </c>
      <c r="E264" s="1137"/>
      <c r="F264" s="1137"/>
      <c r="I264" s="335" t="s">
        <v>590</v>
      </c>
    </row>
    <row r="265" spans="1:9" ht="14.45" customHeight="1">
      <c r="A265" s="418"/>
      <c r="B265" s="419" t="s">
        <v>525</v>
      </c>
      <c r="D265" s="1139" t="s">
        <v>591</v>
      </c>
      <c r="E265" s="1139"/>
      <c r="F265" s="1139"/>
    </row>
    <row r="266" spans="1:9">
      <c r="D266" s="1139"/>
      <c r="E266" s="1139"/>
      <c r="F266" s="1139"/>
    </row>
    <row r="267" spans="1:9">
      <c r="E267" s="1043" t="s">
        <v>592</v>
      </c>
    </row>
    <row r="268" spans="1:9">
      <c r="D268" s="381"/>
      <c r="E268" s="381"/>
      <c r="F268" s="381"/>
    </row>
    <row r="269" spans="1:9" ht="14.45" customHeight="1">
      <c r="A269" s="418"/>
      <c r="B269" s="419" t="s">
        <v>521</v>
      </c>
      <c r="D269" s="1139" t="s">
        <v>593</v>
      </c>
      <c r="E269" s="1139"/>
      <c r="F269" s="1139"/>
      <c r="I269" s="335" t="s">
        <v>594</v>
      </c>
    </row>
    <row r="270" spans="1:9">
      <c r="D270" s="1139"/>
      <c r="E270" s="1139"/>
      <c r="F270" s="1139"/>
    </row>
    <row r="271" spans="1:9">
      <c r="D271" s="1139"/>
      <c r="E271" s="1139"/>
      <c r="F271" s="1139"/>
    </row>
    <row r="272" spans="1:9">
      <c r="D272" s="1139"/>
      <c r="E272" s="1139"/>
      <c r="F272" s="1139"/>
    </row>
    <row r="273" spans="1:9">
      <c r="D273" s="1139"/>
      <c r="E273" s="1139"/>
      <c r="F273" s="1139"/>
    </row>
    <row r="274" spans="1:9">
      <c r="D274" s="1139"/>
      <c r="E274" s="1139"/>
      <c r="F274" s="1139"/>
    </row>
    <row r="275" spans="1:9">
      <c r="D275" s="381"/>
      <c r="E275" s="381"/>
      <c r="F275" s="381"/>
    </row>
    <row r="276" spans="1:9" ht="14.25">
      <c r="A276" s="418"/>
      <c r="B276" s="419" t="s">
        <v>521</v>
      </c>
      <c r="D276" s="1139" t="s">
        <v>359</v>
      </c>
      <c r="E276" s="1139"/>
      <c r="F276" s="1139"/>
    </row>
    <row r="277" spans="1:9">
      <c r="D277" s="1139"/>
      <c r="E277" s="1139"/>
      <c r="F277" s="1139"/>
    </row>
    <row r="278" spans="1:9">
      <c r="D278" s="1139"/>
      <c r="E278" s="1139"/>
      <c r="F278" s="1139"/>
    </row>
    <row r="279" spans="1:9">
      <c r="D279" s="426"/>
      <c r="E279" s="381"/>
      <c r="F279" s="381"/>
    </row>
    <row r="280" spans="1:9">
      <c r="A280" s="1145" t="s">
        <v>360</v>
      </c>
      <c r="B280" s="1145"/>
      <c r="C280" s="1145"/>
      <c r="D280" s="1145"/>
      <c r="E280" s="1145"/>
      <c r="F280" s="1145"/>
      <c r="G280" s="1145"/>
      <c r="H280" s="993"/>
      <c r="I280" s="994"/>
    </row>
    <row r="281" spans="1:9">
      <c r="D281" s="426"/>
      <c r="E281" s="381"/>
      <c r="F281" s="381"/>
    </row>
    <row r="282" spans="1:9">
      <c r="C282" s="416"/>
      <c r="D282" s="1166" t="s">
        <v>361</v>
      </c>
      <c r="E282" s="1166"/>
      <c r="F282" s="1166"/>
    </row>
    <row r="283" spans="1:9">
      <c r="C283" s="416"/>
      <c r="D283" s="1166"/>
      <c r="E283" s="1166"/>
      <c r="F283" s="1166"/>
    </row>
    <row r="284" spans="1:9">
      <c r="A284" s="417"/>
      <c r="B284" s="417"/>
      <c r="C284" s="417"/>
      <c r="D284" s="335"/>
    </row>
    <row r="285" spans="1:9">
      <c r="C285" s="417"/>
      <c r="D285" s="1137" t="s">
        <v>362</v>
      </c>
      <c r="E285" s="1137"/>
      <c r="F285" s="1137"/>
    </row>
    <row r="286" spans="1:9" ht="15.75" customHeight="1">
      <c r="A286" s="418"/>
      <c r="B286" s="418"/>
      <c r="D286" s="1191" t="s">
        <v>363</v>
      </c>
      <c r="E286" s="1191"/>
      <c r="F286" s="1191"/>
    </row>
    <row r="287" spans="1:9">
      <c r="E287" s="381"/>
      <c r="F287" s="381"/>
    </row>
    <row r="288" spans="1:9" ht="14.25">
      <c r="A288" s="418"/>
      <c r="B288" s="419" t="s">
        <v>521</v>
      </c>
      <c r="D288" s="1139" t="s">
        <v>364</v>
      </c>
      <c r="E288" s="1139"/>
      <c r="F288" s="1139"/>
      <c r="I288" s="335" t="s">
        <v>595</v>
      </c>
    </row>
    <row r="289" spans="1:9" ht="14.25">
      <c r="A289" s="418"/>
      <c r="B289" s="418"/>
      <c r="D289" s="1139"/>
      <c r="E289" s="1139"/>
      <c r="F289" s="1139"/>
    </row>
    <row r="290" spans="1:9">
      <c r="D290" s="381"/>
      <c r="E290" s="381"/>
      <c r="F290" s="381"/>
    </row>
    <row r="291" spans="1:9" ht="14.25">
      <c r="A291" s="418"/>
      <c r="B291" s="419" t="s">
        <v>521</v>
      </c>
      <c r="D291" s="1139" t="s">
        <v>365</v>
      </c>
      <c r="E291" s="1139"/>
      <c r="F291" s="1139"/>
      <c r="I291" s="335" t="s">
        <v>595</v>
      </c>
    </row>
    <row r="292" spans="1:9" ht="14.25">
      <c r="A292" s="418"/>
      <c r="B292" s="418"/>
      <c r="D292" s="1139"/>
      <c r="E292" s="1139"/>
      <c r="F292" s="1139"/>
    </row>
    <row r="293" spans="1:9" ht="14.25">
      <c r="A293" s="418"/>
      <c r="B293" s="418"/>
      <c r="D293" s="1139"/>
      <c r="E293" s="1139"/>
      <c r="F293" s="1139"/>
    </row>
    <row r="294" spans="1:9">
      <c r="D294" s="381"/>
      <c r="E294" s="381"/>
      <c r="F294" s="381"/>
    </row>
    <row r="295" spans="1:9" ht="14.25">
      <c r="A295" s="418"/>
      <c r="B295" s="419" t="s">
        <v>521</v>
      </c>
      <c r="D295" s="1139" t="s">
        <v>366</v>
      </c>
      <c r="E295" s="1139"/>
      <c r="F295" s="1139"/>
      <c r="I295" s="335" t="s">
        <v>595</v>
      </c>
    </row>
    <row r="296" spans="1:9" ht="14.25">
      <c r="A296" s="418"/>
      <c r="B296" s="418"/>
      <c r="D296" s="1139"/>
      <c r="E296" s="1139"/>
      <c r="F296" s="1139"/>
    </row>
    <row r="297" spans="1:9">
      <c r="A297" s="424"/>
      <c r="B297" s="424"/>
      <c r="E297" s="381"/>
      <c r="F297" s="381"/>
    </row>
    <row r="298" spans="1:9">
      <c r="A298" s="1145" t="s">
        <v>367</v>
      </c>
      <c r="B298" s="1145"/>
      <c r="C298" s="1145"/>
      <c r="D298" s="1145"/>
      <c r="E298" s="1145"/>
      <c r="F298" s="1145"/>
      <c r="G298" s="1145"/>
      <c r="H298" s="993"/>
      <c r="I298" s="994"/>
    </row>
    <row r="299" spans="1:9">
      <c r="A299" s="424"/>
      <c r="B299" s="424"/>
      <c r="D299" s="381"/>
      <c r="E299" s="381"/>
      <c r="F299" s="381"/>
    </row>
    <row r="300" spans="1:9">
      <c r="C300" s="424"/>
      <c r="D300" s="1137" t="s">
        <v>368</v>
      </c>
      <c r="E300" s="1137"/>
      <c r="F300" s="1137"/>
    </row>
    <row r="301" spans="1:9">
      <c r="C301" s="424"/>
      <c r="D301" s="1167" t="s">
        <v>369</v>
      </c>
      <c r="E301" s="1167"/>
      <c r="F301" s="1167"/>
    </row>
    <row r="302" spans="1:9">
      <c r="C302" s="424"/>
      <c r="D302" s="427"/>
    </row>
    <row r="303" spans="1:9">
      <c r="B303" s="419" t="s">
        <v>521</v>
      </c>
      <c r="D303" s="1167" t="s">
        <v>370</v>
      </c>
      <c r="E303" s="1167"/>
      <c r="F303" s="1167"/>
      <c r="I303" s="335" t="s">
        <v>596</v>
      </c>
    </row>
    <row r="304" spans="1:9" ht="14.25">
      <c r="A304" s="418"/>
      <c r="B304" s="418"/>
      <c r="D304" s="428"/>
      <c r="E304" s="429"/>
      <c r="F304" s="429"/>
    </row>
    <row r="305" spans="1:9" ht="13.7" customHeight="1">
      <c r="B305" s="419" t="s">
        <v>521</v>
      </c>
      <c r="D305" s="1188" t="s">
        <v>597</v>
      </c>
      <c r="E305" s="1188"/>
      <c r="F305" s="1188"/>
      <c r="I305" s="335" t="s">
        <v>596</v>
      </c>
    </row>
    <row r="306" spans="1:9" ht="14.25">
      <c r="A306" s="418"/>
      <c r="B306" s="418"/>
      <c r="D306" s="1188"/>
      <c r="E306" s="1188"/>
      <c r="F306" s="1188"/>
    </row>
    <row r="307" spans="1:9" ht="14.25">
      <c r="A307" s="418"/>
      <c r="B307" s="418"/>
      <c r="D307" s="1188"/>
      <c r="E307" s="1188"/>
      <c r="F307" s="1188"/>
    </row>
    <row r="308" spans="1:9" ht="14.25">
      <c r="A308" s="418"/>
      <c r="B308" s="418"/>
      <c r="D308" s="1188"/>
      <c r="E308" s="1188"/>
      <c r="F308" s="1188"/>
    </row>
    <row r="309" spans="1:9" ht="14.25">
      <c r="A309" s="418"/>
      <c r="B309" s="418"/>
      <c r="D309" s="1188"/>
      <c r="E309" s="1188"/>
      <c r="F309" s="1188"/>
    </row>
    <row r="310" spans="1:9" ht="14.25">
      <c r="A310" s="418"/>
      <c r="B310" s="418"/>
      <c r="D310" s="428"/>
      <c r="E310" s="429"/>
      <c r="F310" s="429"/>
    </row>
    <row r="311" spans="1:9" ht="13.7" customHeight="1">
      <c r="B311" s="419" t="s">
        <v>521</v>
      </c>
      <c r="D311" s="1188" t="s">
        <v>372</v>
      </c>
      <c r="E311" s="1188"/>
      <c r="F311" s="1188"/>
      <c r="I311" s="335" t="s">
        <v>596</v>
      </c>
    </row>
    <row r="312" spans="1:9">
      <c r="D312" s="1188"/>
      <c r="E312" s="1188"/>
      <c r="F312" s="1188"/>
    </row>
    <row r="313" spans="1:9" ht="14.25">
      <c r="A313" s="418"/>
      <c r="B313" s="418"/>
      <c r="D313" s="428"/>
      <c r="E313" s="429"/>
      <c r="F313" s="429"/>
    </row>
    <row r="314" spans="1:9">
      <c r="B314" s="419" t="s">
        <v>521</v>
      </c>
      <c r="D314" s="1167" t="s">
        <v>373</v>
      </c>
      <c r="E314" s="1167"/>
      <c r="F314" s="1167"/>
      <c r="I314" s="335" t="s">
        <v>530</v>
      </c>
    </row>
    <row r="315" spans="1:9">
      <c r="E315" s="381"/>
      <c r="F315" s="381"/>
    </row>
    <row r="316" spans="1:9" ht="14.25">
      <c r="A316" s="418"/>
      <c r="B316" s="419" t="s">
        <v>521</v>
      </c>
      <c r="D316" s="1139" t="s">
        <v>598</v>
      </c>
      <c r="E316" s="1139"/>
      <c r="F316" s="1139"/>
      <c r="I316" s="335" t="s">
        <v>599</v>
      </c>
    </row>
    <row r="317" spans="1:9" ht="14.25">
      <c r="A317" s="418"/>
      <c r="B317" s="418"/>
      <c r="D317" s="1139"/>
      <c r="E317" s="1139"/>
      <c r="F317" s="1139"/>
    </row>
    <row r="318" spans="1:9" ht="14.25">
      <c r="A318" s="418"/>
      <c r="B318" s="418"/>
      <c r="D318" s="1139"/>
      <c r="E318" s="1139"/>
      <c r="F318" s="1139"/>
    </row>
    <row r="319" spans="1:9" ht="14.25">
      <c r="A319" s="418"/>
      <c r="B319" s="418"/>
      <c r="D319" s="1139"/>
      <c r="E319" s="1139"/>
      <c r="F319" s="1139"/>
    </row>
    <row r="320" spans="1:9" ht="14.25">
      <c r="A320" s="418"/>
      <c r="B320" s="418"/>
      <c r="D320" s="1139"/>
      <c r="E320" s="1139"/>
      <c r="F320" s="1139"/>
    </row>
    <row r="321" spans="1:9" ht="14.25">
      <c r="A321" s="418"/>
      <c r="B321" s="418"/>
      <c r="D321" s="1139"/>
      <c r="E321" s="1139"/>
      <c r="F321" s="1139"/>
    </row>
    <row r="322" spans="1:9" ht="14.25">
      <c r="A322" s="418"/>
      <c r="B322" s="418"/>
      <c r="D322" s="1139"/>
      <c r="E322" s="1139"/>
      <c r="F322" s="1139"/>
    </row>
    <row r="323" spans="1:9" ht="14.25">
      <c r="A323" s="418"/>
      <c r="B323" s="418"/>
      <c r="D323" s="1139"/>
      <c r="E323" s="1139"/>
      <c r="F323" s="1139"/>
    </row>
    <row r="324" spans="1:9" ht="14.25">
      <c r="A324" s="418"/>
      <c r="B324" s="418"/>
      <c r="D324" s="1139"/>
      <c r="E324" s="1139"/>
      <c r="F324" s="1139"/>
    </row>
    <row r="325" spans="1:9" ht="14.25">
      <c r="A325" s="418"/>
      <c r="B325" s="418"/>
      <c r="D325" s="1139"/>
      <c r="E325" s="1139"/>
      <c r="F325" s="1139"/>
    </row>
    <row r="326" spans="1:9" ht="14.25">
      <c r="A326" s="418"/>
      <c r="B326" s="418"/>
      <c r="D326" s="1139"/>
      <c r="E326" s="1139"/>
      <c r="F326" s="1139"/>
    </row>
    <row r="327" spans="1:9" ht="14.25">
      <c r="A327" s="418"/>
      <c r="B327" s="418"/>
      <c r="D327" s="1139"/>
      <c r="E327" s="1139"/>
      <c r="F327" s="1139"/>
    </row>
    <row r="328" spans="1:9" ht="14.25">
      <c r="A328" s="418"/>
      <c r="B328" s="418"/>
      <c r="D328" s="1139"/>
      <c r="E328" s="1139"/>
      <c r="F328" s="1139"/>
    </row>
    <row r="329" spans="1:9" ht="14.25">
      <c r="A329" s="418"/>
      <c r="B329" s="418"/>
      <c r="D329" s="1139"/>
      <c r="E329" s="1139"/>
      <c r="F329" s="1139"/>
    </row>
    <row r="330" spans="1:9" ht="14.25">
      <c r="A330" s="418"/>
      <c r="B330" s="418"/>
      <c r="D330" s="1139"/>
      <c r="E330" s="1139"/>
      <c r="F330" s="1139"/>
    </row>
    <row r="331" spans="1:9">
      <c r="D331" s="381"/>
      <c r="E331" s="381"/>
      <c r="F331" s="381"/>
    </row>
    <row r="332" spans="1:9" ht="14.25">
      <c r="A332" s="418"/>
      <c r="B332" s="419" t="s">
        <v>521</v>
      </c>
      <c r="D332" s="1139" t="s">
        <v>375</v>
      </c>
      <c r="E332" s="1139"/>
      <c r="F332" s="1139"/>
      <c r="I332" s="335" t="s">
        <v>599</v>
      </c>
    </row>
    <row r="333" spans="1:9">
      <c r="D333" s="1139"/>
      <c r="E333" s="1139"/>
      <c r="F333" s="1139"/>
    </row>
    <row r="334" spans="1:9">
      <c r="D334" s="1139"/>
      <c r="E334" s="1139"/>
      <c r="F334" s="1139"/>
    </row>
    <row r="335" spans="1:9">
      <c r="D335" s="1139"/>
      <c r="E335" s="1139"/>
      <c r="F335" s="1139"/>
    </row>
    <row r="336" spans="1:9">
      <c r="D336" s="1139"/>
      <c r="E336" s="1139"/>
      <c r="F336" s="1139"/>
    </row>
    <row r="337" spans="1:9">
      <c r="D337" s="1139"/>
      <c r="E337" s="1139"/>
      <c r="F337" s="1139"/>
    </row>
    <row r="338" spans="1:9">
      <c r="D338" s="1139"/>
      <c r="E338" s="1139"/>
      <c r="F338" s="1139"/>
    </row>
    <row r="339" spans="1:9">
      <c r="D339" s="1139"/>
      <c r="E339" s="1139"/>
      <c r="F339" s="1139"/>
    </row>
    <row r="340" spans="1:9">
      <c r="D340" s="1139"/>
      <c r="E340" s="1139"/>
      <c r="F340" s="1139"/>
    </row>
    <row r="341" spans="1:9">
      <c r="D341" s="381"/>
      <c r="E341" s="381"/>
      <c r="F341" s="381"/>
    </row>
    <row r="342" spans="1:9" ht="14.25" customHeight="1">
      <c r="A342" s="418"/>
      <c r="B342" s="419" t="s">
        <v>521</v>
      </c>
      <c r="D342" s="1139" t="s">
        <v>600</v>
      </c>
      <c r="E342" s="1139"/>
      <c r="F342" s="1139"/>
      <c r="I342" s="335" t="s">
        <v>601</v>
      </c>
    </row>
    <row r="343" spans="1:9">
      <c r="D343" s="1139"/>
      <c r="E343" s="1139"/>
      <c r="F343" s="1139"/>
    </row>
    <row r="344" spans="1:9">
      <c r="D344" s="1139"/>
      <c r="E344" s="1139"/>
      <c r="F344" s="1139"/>
    </row>
    <row r="345" spans="1:9">
      <c r="D345" s="1139"/>
      <c r="E345" s="1139"/>
      <c r="F345" s="1139"/>
    </row>
    <row r="346" spans="1:9">
      <c r="D346" s="317" t="s">
        <v>562</v>
      </c>
      <c r="E346" s="316"/>
      <c r="F346" s="316"/>
    </row>
    <row r="347" spans="1:9">
      <c r="D347" s="316"/>
      <c r="E347" s="72" t="s">
        <v>602</v>
      </c>
      <c r="G347" s="72"/>
    </row>
    <row r="348" spans="1:9">
      <c r="D348" s="380"/>
      <c r="E348" s="380"/>
      <c r="F348" s="380"/>
    </row>
    <row r="349" spans="1:9" ht="13.5" thickBot="1">
      <c r="A349" s="981"/>
      <c r="B349" s="981"/>
      <c r="C349" s="981"/>
      <c r="D349" s="1199" t="s">
        <v>377</v>
      </c>
      <c r="E349" s="1199"/>
      <c r="F349" s="1199"/>
      <c r="G349" s="991"/>
      <c r="H349" s="991"/>
      <c r="I349" s="992"/>
    </row>
    <row r="350" spans="1:9" ht="13.5" thickTop="1">
      <c r="D350" s="1189" t="s">
        <v>378</v>
      </c>
      <c r="E350" s="1189"/>
      <c r="F350" s="1189"/>
    </row>
    <row r="351" spans="1:9">
      <c r="D351" s="381"/>
      <c r="E351" s="381"/>
      <c r="F351" s="381"/>
    </row>
    <row r="352" spans="1:9">
      <c r="A352" s="410"/>
      <c r="B352" s="410"/>
      <c r="C352" s="410"/>
      <c r="D352" s="382"/>
      <c r="E352" s="382"/>
      <c r="F352" s="381"/>
      <c r="I352" s="335" t="s">
        <v>603</v>
      </c>
    </row>
    <row r="353" spans="1:9" ht="14.25">
      <c r="A353" s="418"/>
      <c r="B353" s="419" t="s">
        <v>521</v>
      </c>
      <c r="C353" s="421"/>
      <c r="D353" s="1167" t="s">
        <v>604</v>
      </c>
      <c r="E353" s="1167"/>
      <c r="F353" s="1167"/>
      <c r="I353" s="1185" t="s">
        <v>605</v>
      </c>
    </row>
    <row r="354" spans="1:9" ht="12.75" customHeight="1">
      <c r="D354" s="1044"/>
      <c r="E354" s="72" t="s">
        <v>606</v>
      </c>
      <c r="F354" s="1044"/>
      <c r="I354" s="1186"/>
    </row>
    <row r="355" spans="1:9">
      <c r="D355" s="1139" t="s">
        <v>607</v>
      </c>
      <c r="E355" s="1139"/>
      <c r="F355" s="1139"/>
      <c r="I355" s="1186"/>
    </row>
    <row r="356" spans="1:9">
      <c r="D356" s="1139"/>
      <c r="E356" s="1139"/>
      <c r="F356" s="1139"/>
      <c r="I356" s="1186"/>
    </row>
    <row r="357" spans="1:9">
      <c r="D357" s="1139"/>
      <c r="E357" s="1139"/>
      <c r="F357" s="1139"/>
      <c r="I357" s="1187"/>
    </row>
    <row r="358" spans="1:9" ht="14.25">
      <c r="A358" s="418"/>
      <c r="B358" s="419" t="s">
        <v>521</v>
      </c>
      <c r="C358" s="410"/>
      <c r="D358" s="1171" t="s">
        <v>379</v>
      </c>
      <c r="E358" s="1171"/>
      <c r="F358" s="1171"/>
      <c r="I358" s="333"/>
    </row>
    <row r="359" spans="1:9">
      <c r="A359" s="410"/>
      <c r="B359" s="410"/>
      <c r="C359" s="410"/>
      <c r="D359" s="382"/>
      <c r="E359" s="382"/>
      <c r="F359" s="381"/>
    </row>
    <row r="360" spans="1:9">
      <c r="A360" s="410"/>
      <c r="B360" s="419" t="s">
        <v>521</v>
      </c>
      <c r="C360" s="410"/>
      <c r="D360" s="1127" t="s">
        <v>608</v>
      </c>
      <c r="E360" s="1127"/>
      <c r="F360" s="1127"/>
    </row>
    <row r="361" spans="1:9">
      <c r="A361" s="410"/>
      <c r="B361" s="410"/>
      <c r="C361" s="410"/>
      <c r="D361" s="1127"/>
      <c r="E361" s="1127"/>
      <c r="F361" s="1127"/>
    </row>
    <row r="362" spans="1:9">
      <c r="A362" s="410"/>
      <c r="B362" s="410"/>
      <c r="C362" s="410"/>
      <c r="D362" s="1127"/>
      <c r="E362" s="1127"/>
      <c r="F362" s="1127"/>
    </row>
    <row r="363" spans="1:9">
      <c r="A363" s="410"/>
      <c r="B363" s="410"/>
      <c r="C363" s="410"/>
      <c r="D363" s="1127"/>
      <c r="E363" s="1127"/>
      <c r="F363" s="1127"/>
    </row>
    <row r="364" spans="1:9">
      <c r="A364" s="410"/>
      <c r="B364" s="410"/>
      <c r="C364" s="410"/>
      <c r="D364" s="1127"/>
      <c r="E364" s="1127"/>
      <c r="F364" s="1127"/>
    </row>
    <row r="365" spans="1:9">
      <c r="A365" s="410"/>
      <c r="B365" s="410"/>
      <c r="C365" s="410"/>
      <c r="D365" s="1127"/>
      <c r="E365" s="1127"/>
      <c r="F365" s="1127"/>
    </row>
    <row r="366" spans="1:9">
      <c r="A366" s="410"/>
      <c r="B366" s="410"/>
      <c r="C366" s="410"/>
      <c r="D366" s="1127"/>
      <c r="E366" s="1127"/>
      <c r="F366" s="1127"/>
    </row>
    <row r="367" spans="1:9">
      <c r="A367" s="410"/>
      <c r="B367" s="410"/>
      <c r="C367" s="410"/>
      <c r="D367" s="1127"/>
      <c r="E367" s="1127"/>
      <c r="F367" s="1127"/>
    </row>
    <row r="368" spans="1:9">
      <c r="A368" s="410"/>
      <c r="B368" s="410"/>
      <c r="C368" s="410"/>
      <c r="D368" s="1127"/>
      <c r="E368" s="1127"/>
      <c r="F368" s="1127"/>
    </row>
    <row r="369" spans="1:6">
      <c r="A369" s="410"/>
      <c r="B369" s="410"/>
      <c r="C369" s="410"/>
      <c r="D369" s="1127"/>
      <c r="E369" s="1127"/>
      <c r="F369" s="1127"/>
    </row>
    <row r="370" spans="1:6">
      <c r="A370" s="410"/>
      <c r="B370" s="410"/>
      <c r="C370" s="410"/>
      <c r="D370" s="1127"/>
      <c r="E370" s="1127"/>
      <c r="F370" s="1127"/>
    </row>
    <row r="371" spans="1:6">
      <c r="A371" s="410"/>
      <c r="B371" s="410"/>
      <c r="C371" s="410"/>
      <c r="D371" s="1127"/>
      <c r="E371" s="1127"/>
      <c r="F371" s="1127"/>
    </row>
    <row r="372" spans="1:6">
      <c r="A372" s="410"/>
      <c r="B372" s="410"/>
      <c r="C372" s="410"/>
      <c r="D372" s="386"/>
      <c r="E372" s="386"/>
      <c r="F372" s="386"/>
    </row>
    <row r="373" spans="1:6" ht="12.4" customHeight="1">
      <c r="A373" s="410"/>
      <c r="B373" s="419" t="s">
        <v>521</v>
      </c>
      <c r="C373" s="410"/>
      <c r="D373" s="1182" t="s">
        <v>609</v>
      </c>
      <c r="E373" s="1182"/>
      <c r="F373" s="1182"/>
    </row>
    <row r="374" spans="1:6">
      <c r="A374" s="410"/>
      <c r="B374" s="410"/>
      <c r="C374" s="410"/>
      <c r="D374" s="1182"/>
      <c r="E374" s="1182"/>
      <c r="F374" s="1182"/>
    </row>
    <row r="375" spans="1:6">
      <c r="A375" s="410"/>
      <c r="B375" s="410"/>
      <c r="C375" s="410"/>
      <c r="D375" s="1182"/>
      <c r="E375" s="1182"/>
      <c r="F375" s="1182"/>
    </row>
    <row r="376" spans="1:6">
      <c r="A376" s="410"/>
      <c r="B376" s="410"/>
      <c r="C376" s="410"/>
      <c r="D376" s="1182"/>
      <c r="E376" s="1182"/>
      <c r="F376" s="1182"/>
    </row>
    <row r="377" spans="1:6">
      <c r="A377" s="410"/>
      <c r="B377" s="410"/>
      <c r="C377" s="410"/>
      <c r="D377" s="457"/>
      <c r="E377" s="457"/>
      <c r="F377" s="457"/>
    </row>
    <row r="378" spans="1:6">
      <c r="A378" s="410"/>
      <c r="B378" s="419" t="s">
        <v>521</v>
      </c>
      <c r="C378" s="410"/>
      <c r="D378" s="333" t="s">
        <v>610</v>
      </c>
      <c r="E378" s="457"/>
      <c r="F378" s="457"/>
    </row>
    <row r="379" spans="1:6">
      <c r="A379" s="410"/>
      <c r="B379" s="410"/>
      <c r="C379" s="410"/>
      <c r="D379" s="333" t="s">
        <v>611</v>
      </c>
      <c r="E379" s="457"/>
      <c r="F379" s="457"/>
    </row>
    <row r="380" spans="1:6">
      <c r="A380" s="410"/>
      <c r="B380" s="410"/>
      <c r="C380" s="410"/>
      <c r="D380" s="333" t="s">
        <v>612</v>
      </c>
      <c r="E380" s="457"/>
      <c r="F380" s="457"/>
    </row>
    <row r="381" spans="1:6">
      <c r="A381" s="410"/>
      <c r="B381" s="410"/>
      <c r="C381" s="410"/>
      <c r="D381" s="333" t="s">
        <v>613</v>
      </c>
      <c r="E381" s="457"/>
      <c r="F381" s="457"/>
    </row>
    <row r="382" spans="1:6">
      <c r="A382" s="410"/>
      <c r="B382" s="410"/>
      <c r="C382" s="410"/>
      <c r="D382" s="333" t="s">
        <v>614</v>
      </c>
      <c r="E382" s="457"/>
      <c r="F382" s="457"/>
    </row>
    <row r="383" spans="1:6">
      <c r="A383" s="410"/>
      <c r="B383" s="410"/>
      <c r="C383" s="410"/>
      <c r="D383" s="333" t="s">
        <v>615</v>
      </c>
      <c r="E383" s="457"/>
      <c r="F383" s="457"/>
    </row>
    <row r="384" spans="1:6">
      <c r="A384" s="410"/>
      <c r="B384" s="410"/>
      <c r="C384" s="410"/>
      <c r="E384" s="382"/>
      <c r="F384" s="381"/>
    </row>
    <row r="385" spans="1:6" ht="14.25">
      <c r="A385" s="418"/>
      <c r="B385" s="419" t="s">
        <v>521</v>
      </c>
      <c r="C385" s="410"/>
      <c r="D385" s="1127" t="s">
        <v>381</v>
      </c>
      <c r="E385" s="1127"/>
      <c r="F385" s="1127"/>
    </row>
    <row r="386" spans="1:6">
      <c r="A386" s="410"/>
      <c r="B386" s="410"/>
      <c r="C386" s="410"/>
      <c r="D386" s="1127"/>
      <c r="E386" s="1127"/>
      <c r="F386" s="1127"/>
    </row>
    <row r="387" spans="1:6">
      <c r="A387" s="410"/>
      <c r="B387" s="410"/>
      <c r="C387" s="410"/>
      <c r="D387" s="1127"/>
      <c r="E387" s="1127"/>
      <c r="F387" s="1127"/>
    </row>
    <row r="388" spans="1:6">
      <c r="A388" s="410"/>
      <c r="B388" s="410"/>
      <c r="C388" s="410"/>
      <c r="D388" s="1127"/>
      <c r="E388" s="1127"/>
      <c r="F388" s="1127"/>
    </row>
    <row r="389" spans="1:6">
      <c r="A389" s="410"/>
      <c r="B389" s="410"/>
      <c r="C389" s="410"/>
      <c r="D389" s="382"/>
      <c r="E389" s="382"/>
      <c r="F389" s="381"/>
    </row>
    <row r="390" spans="1:6">
      <c r="A390" s="410"/>
      <c r="B390" s="410"/>
      <c r="C390" s="410"/>
      <c r="D390" s="1127" t="s">
        <v>382</v>
      </c>
      <c r="E390" s="1127"/>
      <c r="F390" s="1127"/>
    </row>
    <row r="391" spans="1:6">
      <c r="A391" s="410"/>
      <c r="B391" s="410"/>
      <c r="C391" s="410"/>
      <c r="D391" s="1127"/>
      <c r="E391" s="1127"/>
      <c r="F391" s="1127"/>
    </row>
    <row r="392" spans="1:6">
      <c r="A392" s="410"/>
      <c r="B392" s="410"/>
      <c r="C392" s="410"/>
      <c r="D392" s="1127"/>
      <c r="E392" s="1127"/>
      <c r="F392" s="1127"/>
    </row>
    <row r="393" spans="1:6">
      <c r="A393" s="410"/>
      <c r="B393" s="410"/>
      <c r="C393" s="410"/>
      <c r="D393" s="1127"/>
      <c r="E393" s="1127"/>
      <c r="F393" s="1127"/>
    </row>
    <row r="394" spans="1:6" ht="18" customHeight="1">
      <c r="A394" s="410"/>
      <c r="B394" s="410"/>
      <c r="C394" s="410"/>
      <c r="D394" s="1127"/>
      <c r="E394" s="1127"/>
      <c r="F394" s="1127"/>
    </row>
    <row r="395" spans="1:6">
      <c r="A395" s="410"/>
      <c r="B395" s="410"/>
      <c r="C395" s="410"/>
      <c r="D395" s="1127"/>
      <c r="E395" s="1127"/>
      <c r="F395" s="1127"/>
    </row>
    <row r="396" spans="1:6">
      <c r="A396" s="410"/>
      <c r="B396" s="410"/>
      <c r="C396" s="410"/>
      <c r="D396" s="1127"/>
      <c r="E396" s="1127"/>
      <c r="F396" s="1127"/>
    </row>
    <row r="397" spans="1:6">
      <c r="A397" s="410"/>
      <c r="B397" s="410"/>
      <c r="C397" s="410"/>
      <c r="D397" s="1127"/>
      <c r="E397" s="1127"/>
      <c r="F397" s="1127"/>
    </row>
    <row r="398" spans="1:6" ht="8.25" customHeight="1">
      <c r="A398" s="410"/>
      <c r="B398" s="410"/>
      <c r="C398" s="410"/>
      <c r="D398" s="1127"/>
      <c r="E398" s="1127"/>
      <c r="F398" s="1127"/>
    </row>
    <row r="399" spans="1:6" ht="13.7" customHeight="1">
      <c r="A399" s="410"/>
      <c r="B399" s="410"/>
      <c r="C399" s="410"/>
      <c r="D399" s="1127" t="s">
        <v>383</v>
      </c>
      <c r="E399" s="1127"/>
      <c r="F399" s="1127"/>
    </row>
    <row r="400" spans="1:6">
      <c r="A400" s="410"/>
      <c r="B400" s="410"/>
      <c r="C400" s="410"/>
      <c r="D400" s="1127"/>
      <c r="E400" s="1127"/>
      <c r="F400" s="1127"/>
    </row>
    <row r="401" spans="1:6">
      <c r="A401" s="410"/>
      <c r="B401" s="410"/>
      <c r="C401" s="410"/>
      <c r="D401" s="1127"/>
      <c r="E401" s="1127"/>
      <c r="F401" s="1127"/>
    </row>
    <row r="402" spans="1:6">
      <c r="A402" s="410"/>
      <c r="B402" s="410"/>
      <c r="C402" s="410"/>
      <c r="D402" s="1127"/>
      <c r="E402" s="1127"/>
      <c r="F402" s="1127"/>
    </row>
    <row r="403" spans="1:6">
      <c r="A403" s="410"/>
      <c r="B403" s="410"/>
      <c r="C403" s="410"/>
      <c r="D403" s="1127"/>
      <c r="E403" s="1127"/>
      <c r="F403" s="1127"/>
    </row>
    <row r="404" spans="1:6">
      <c r="A404" s="410"/>
      <c r="B404" s="410"/>
      <c r="C404" s="410"/>
      <c r="D404" s="1127"/>
      <c r="E404" s="1127"/>
      <c r="F404" s="1127"/>
    </row>
    <row r="405" spans="1:6">
      <c r="A405" s="410"/>
      <c r="B405" s="410"/>
      <c r="C405" s="410"/>
      <c r="D405" s="1127"/>
      <c r="E405" s="1127"/>
      <c r="F405" s="1127"/>
    </row>
    <row r="406" spans="1:6">
      <c r="A406" s="410"/>
      <c r="B406" s="410"/>
      <c r="C406" s="410"/>
      <c r="D406" s="1127"/>
      <c r="E406" s="1127"/>
      <c r="F406" s="1127"/>
    </row>
    <row r="407" spans="1:6">
      <c r="A407" s="410"/>
      <c r="B407" s="410"/>
      <c r="C407" s="410"/>
      <c r="D407" s="1127"/>
      <c r="E407" s="1127"/>
      <c r="F407" s="1127"/>
    </row>
    <row r="408" spans="1:6">
      <c r="A408" s="410"/>
      <c r="B408" s="410"/>
      <c r="C408" s="410"/>
      <c r="D408" s="1127"/>
      <c r="E408" s="1127"/>
      <c r="F408" s="1127"/>
    </row>
    <row r="409" spans="1:6">
      <c r="A409" s="410"/>
      <c r="B409" s="410"/>
      <c r="C409" s="410"/>
      <c r="D409" s="1127"/>
      <c r="E409" s="1127"/>
      <c r="F409" s="1127"/>
    </row>
    <row r="410" spans="1:6">
      <c r="A410" s="410"/>
      <c r="B410" s="410"/>
      <c r="C410" s="410"/>
      <c r="D410" s="1127"/>
      <c r="E410" s="1127"/>
      <c r="F410" s="1127"/>
    </row>
    <row r="411" spans="1:6">
      <c r="A411" s="410"/>
      <c r="B411" s="410"/>
      <c r="C411" s="430"/>
      <c r="D411" s="1127"/>
      <c r="E411" s="1127"/>
      <c r="F411" s="1127"/>
    </row>
    <row r="412" spans="1:6">
      <c r="A412" s="410"/>
      <c r="B412" s="410"/>
      <c r="C412" s="430"/>
      <c r="D412" s="1127"/>
      <c r="E412" s="1127"/>
      <c r="F412" s="1127"/>
    </row>
    <row r="413" spans="1:6">
      <c r="A413" s="410"/>
      <c r="B413" s="410"/>
      <c r="C413" s="410"/>
      <c r="D413" s="1127"/>
      <c r="E413" s="1127"/>
      <c r="F413" s="1127"/>
    </row>
    <row r="414" spans="1:6">
      <c r="A414" s="410"/>
      <c r="B414" s="410"/>
      <c r="C414" s="430"/>
      <c r="D414" s="1127"/>
      <c r="E414" s="1127"/>
      <c r="F414" s="1127"/>
    </row>
    <row r="415" spans="1:6">
      <c r="A415" s="410"/>
      <c r="B415" s="410"/>
      <c r="C415" s="430"/>
      <c r="D415" s="1127"/>
      <c r="E415" s="1127"/>
      <c r="F415" s="1127"/>
    </row>
    <row r="416" spans="1:6">
      <c r="A416" s="410"/>
      <c r="B416" s="410"/>
      <c r="C416" s="430"/>
      <c r="D416" s="1127"/>
      <c r="E416" s="1127"/>
      <c r="F416" s="1127"/>
    </row>
    <row r="417" spans="1:6">
      <c r="A417" s="410"/>
      <c r="B417" s="410"/>
      <c r="C417" s="410"/>
      <c r="D417" s="382"/>
      <c r="E417" s="382"/>
      <c r="F417" s="381"/>
    </row>
    <row r="418" spans="1:6">
      <c r="A418" s="410"/>
      <c r="B418" s="419" t="s">
        <v>521</v>
      </c>
      <c r="C418" s="410"/>
      <c r="D418" s="1127" t="s">
        <v>384</v>
      </c>
      <c r="E418" s="1127"/>
      <c r="F418" s="1127"/>
    </row>
    <row r="419" spans="1:6">
      <c r="A419" s="410"/>
      <c r="B419" s="410"/>
      <c r="C419" s="410"/>
      <c r="D419" s="1127"/>
      <c r="E419" s="1127"/>
      <c r="F419" s="1127"/>
    </row>
    <row r="420" spans="1:6">
      <c r="A420" s="410"/>
      <c r="B420" s="410"/>
      <c r="C420" s="410"/>
      <c r="D420" s="386"/>
      <c r="E420" s="386"/>
      <c r="F420" s="386"/>
    </row>
    <row r="421" spans="1:6" ht="14.45" customHeight="1">
      <c r="A421" s="418"/>
      <c r="B421" s="419" t="s">
        <v>521</v>
      </c>
      <c r="D421" s="1127" t="s">
        <v>616</v>
      </c>
      <c r="E421" s="1127"/>
      <c r="F421" s="1127"/>
    </row>
    <row r="422" spans="1:6" ht="14.45" customHeight="1">
      <c r="A422" s="418"/>
      <c r="D422" s="1127"/>
      <c r="E422" s="1127"/>
      <c r="F422" s="1127"/>
    </row>
    <row r="423" spans="1:6" ht="14.45" customHeight="1">
      <c r="A423" s="418"/>
      <c r="D423" s="1127"/>
      <c r="E423" s="1127"/>
      <c r="F423" s="1127"/>
    </row>
    <row r="424" spans="1:6" ht="14.45" customHeight="1">
      <c r="A424" s="418"/>
      <c r="D424" s="1127"/>
      <c r="E424" s="1127"/>
      <c r="F424" s="1127"/>
    </row>
    <row r="425" spans="1:6" ht="14.45" customHeight="1">
      <c r="A425" s="418"/>
      <c r="D425" s="1127"/>
      <c r="E425" s="1127"/>
      <c r="F425" s="1127"/>
    </row>
    <row r="426" spans="1:6" ht="14.45" customHeight="1">
      <c r="A426" s="418"/>
      <c r="D426" s="316"/>
      <c r="E426" s="316"/>
      <c r="F426" s="316"/>
    </row>
    <row r="427" spans="1:6" ht="13.7" customHeight="1">
      <c r="A427" s="418"/>
      <c r="B427" s="419" t="s">
        <v>521</v>
      </c>
      <c r="C427" s="410"/>
      <c r="D427" s="1127" t="s">
        <v>617</v>
      </c>
      <c r="E427" s="1127"/>
      <c r="F427" s="1127"/>
    </row>
    <row r="428" spans="1:6" ht="14.25">
      <c r="A428" s="431"/>
      <c r="B428" s="431"/>
      <c r="C428" s="410"/>
      <c r="D428" s="1127"/>
      <c r="E428" s="1127"/>
      <c r="F428" s="1127"/>
    </row>
    <row r="429" spans="1:6" ht="14.25">
      <c r="A429" s="431"/>
      <c r="B429" s="431"/>
      <c r="C429" s="410"/>
      <c r="D429" s="1127"/>
      <c r="E429" s="1127"/>
      <c r="F429" s="1127"/>
    </row>
    <row r="430" spans="1:6" ht="14.25">
      <c r="A430" s="431"/>
      <c r="B430" s="431"/>
      <c r="C430" s="410"/>
      <c r="D430" s="1127"/>
      <c r="E430" s="1127"/>
      <c r="F430" s="1127"/>
    </row>
    <row r="431" spans="1:6" ht="15.75" customHeight="1">
      <c r="A431" s="431"/>
      <c r="B431" s="431"/>
      <c r="C431" s="410"/>
      <c r="D431" s="1190" t="s">
        <v>618</v>
      </c>
      <c r="E431" s="1127"/>
      <c r="F431" s="1127"/>
    </row>
    <row r="432" spans="1:6">
      <c r="D432" s="381"/>
      <c r="E432" s="381"/>
      <c r="F432" s="381"/>
    </row>
    <row r="433" spans="1:6" ht="14.25">
      <c r="A433" s="418"/>
      <c r="B433" s="419" t="s">
        <v>521</v>
      </c>
      <c r="C433" s="421"/>
      <c r="D433" s="1139" t="s">
        <v>386</v>
      </c>
      <c r="E433" s="1139"/>
      <c r="F433" s="1139"/>
    </row>
    <row r="434" spans="1:6" ht="14.25">
      <c r="A434" s="418"/>
      <c r="B434" s="418"/>
      <c r="D434" s="1139"/>
      <c r="E434" s="1139"/>
      <c r="F434" s="1139"/>
    </row>
    <row r="435" spans="1:6">
      <c r="D435" s="1139"/>
      <c r="E435" s="1139"/>
      <c r="F435" s="1139"/>
    </row>
    <row r="436" spans="1:6">
      <c r="D436" s="1139"/>
      <c r="E436" s="1139"/>
      <c r="F436" s="1139"/>
    </row>
    <row r="437" spans="1:6">
      <c r="D437" s="1139"/>
      <c r="E437" s="1139"/>
      <c r="F437" s="1139"/>
    </row>
    <row r="438" spans="1:6">
      <c r="D438" s="1139"/>
      <c r="E438" s="1139"/>
      <c r="F438" s="1139"/>
    </row>
    <row r="439" spans="1:6">
      <c r="D439" s="1139"/>
      <c r="E439" s="1139"/>
      <c r="F439" s="1139"/>
    </row>
    <row r="440" spans="1:6">
      <c r="D440" s="1139"/>
      <c r="E440" s="1139"/>
      <c r="F440" s="1139"/>
    </row>
    <row r="441" spans="1:6">
      <c r="D441" s="1139"/>
      <c r="E441" s="1139"/>
      <c r="F441" s="1139"/>
    </row>
    <row r="442" spans="1:6">
      <c r="D442" s="1139"/>
      <c r="E442" s="1139"/>
      <c r="F442" s="1139"/>
    </row>
    <row r="443" spans="1:6">
      <c r="D443" s="1139"/>
      <c r="E443" s="1139"/>
      <c r="F443" s="1139"/>
    </row>
    <row r="444" spans="1:6">
      <c r="D444" s="1139"/>
      <c r="E444" s="1139"/>
      <c r="F444" s="1139"/>
    </row>
    <row r="445" spans="1:6">
      <c r="D445" s="1139"/>
      <c r="E445" s="1139"/>
      <c r="F445" s="1139"/>
    </row>
    <row r="446" spans="1:6">
      <c r="A446" s="333"/>
      <c r="B446" s="333"/>
      <c r="C446" s="333"/>
      <c r="D446" s="1139"/>
      <c r="E446" s="1139"/>
      <c r="F446" s="1139"/>
    </row>
    <row r="447" spans="1:6">
      <c r="A447" s="333"/>
      <c r="B447" s="333"/>
      <c r="C447" s="333"/>
      <c r="D447" s="1139"/>
      <c r="E447" s="1139"/>
      <c r="F447" s="1139"/>
    </row>
    <row r="448" spans="1:6">
      <c r="A448" s="333"/>
      <c r="B448" s="333"/>
      <c r="C448" s="333"/>
      <c r="D448" s="1139"/>
      <c r="E448" s="1139"/>
      <c r="F448" s="1139"/>
    </row>
    <row r="449" spans="1:6">
      <c r="A449" s="333"/>
      <c r="B449" s="333"/>
      <c r="C449" s="333"/>
      <c r="D449" s="1139"/>
      <c r="E449" s="1139"/>
      <c r="F449" s="1139"/>
    </row>
    <row r="450" spans="1:6">
      <c r="A450" s="333"/>
      <c r="B450" s="333"/>
      <c r="C450" s="333"/>
      <c r="D450" s="1139"/>
      <c r="E450" s="1139"/>
      <c r="F450" s="1139"/>
    </row>
    <row r="451" spans="1:6">
      <c r="A451" s="333"/>
      <c r="B451" s="333"/>
      <c r="C451" s="333"/>
      <c r="D451" s="1139"/>
      <c r="E451" s="1139"/>
      <c r="F451" s="1139"/>
    </row>
    <row r="452" spans="1:6">
      <c r="A452" s="333"/>
      <c r="B452" s="333"/>
      <c r="C452" s="333"/>
      <c r="D452" s="1139"/>
      <c r="E452" s="1139"/>
      <c r="F452" s="1139"/>
    </row>
    <row r="453" spans="1:6">
      <c r="A453" s="333"/>
      <c r="B453" s="333"/>
      <c r="C453" s="333"/>
      <c r="D453" s="1139"/>
      <c r="E453" s="1139"/>
      <c r="F453" s="1139"/>
    </row>
    <row r="454" spans="1:6">
      <c r="A454" s="333"/>
      <c r="B454" s="333"/>
      <c r="C454" s="333"/>
      <c r="D454" s="1139"/>
      <c r="E454" s="1139"/>
      <c r="F454" s="1139"/>
    </row>
    <row r="455" spans="1:6">
      <c r="A455" s="333"/>
      <c r="B455" s="333"/>
      <c r="C455" s="333"/>
      <c r="D455" s="1139"/>
      <c r="E455" s="1139"/>
      <c r="F455" s="1139"/>
    </row>
    <row r="456" spans="1:6">
      <c r="A456" s="333"/>
      <c r="B456" s="333"/>
      <c r="C456" s="333"/>
      <c r="D456" s="1139"/>
      <c r="E456" s="1139"/>
      <c r="F456" s="1139"/>
    </row>
    <row r="457" spans="1:6">
      <c r="A457" s="333"/>
      <c r="B457" s="333"/>
      <c r="C457" s="333"/>
      <c r="D457" s="1139"/>
      <c r="E457" s="1139"/>
      <c r="F457" s="1139"/>
    </row>
    <row r="458" spans="1:6">
      <c r="A458" s="333"/>
      <c r="B458" s="333"/>
      <c r="C458" s="333"/>
      <c r="D458" s="1139"/>
      <c r="E458" s="1139"/>
      <c r="F458" s="1139"/>
    </row>
    <row r="459" spans="1:6">
      <c r="A459" s="333"/>
      <c r="B459" s="333"/>
      <c r="C459" s="333"/>
      <c r="D459" s="1139"/>
      <c r="E459" s="1139"/>
      <c r="F459" s="1139"/>
    </row>
    <row r="460" spans="1:6">
      <c r="A460" s="333"/>
      <c r="B460" s="333"/>
      <c r="C460" s="333"/>
      <c r="D460" s="1139"/>
      <c r="E460" s="1139"/>
      <c r="F460" s="1139"/>
    </row>
    <row r="461" spans="1:6">
      <c r="A461" s="333"/>
      <c r="B461" s="333"/>
      <c r="C461" s="333"/>
      <c r="D461" s="1139"/>
      <c r="E461" s="1139"/>
      <c r="F461" s="1139"/>
    </row>
    <row r="462" spans="1:6">
      <c r="D462" s="1139"/>
      <c r="E462" s="1139"/>
      <c r="F462" s="1139"/>
    </row>
    <row r="463" spans="1:6" ht="40.700000000000003" customHeight="1">
      <c r="D463" s="1139"/>
      <c r="E463" s="1139"/>
      <c r="F463" s="1139"/>
    </row>
    <row r="464" spans="1:6">
      <c r="D464" s="381"/>
      <c r="E464" s="381"/>
      <c r="F464" s="381"/>
    </row>
    <row r="465" spans="1:6" ht="14.25">
      <c r="A465" s="418"/>
      <c r="B465" s="419" t="s">
        <v>521</v>
      </c>
      <c r="C465" s="421"/>
      <c r="D465" s="1139" t="s">
        <v>390</v>
      </c>
      <c r="E465" s="1139"/>
      <c r="F465" s="1139"/>
    </row>
    <row r="466" spans="1:6">
      <c r="D466" s="1139"/>
      <c r="E466" s="1139"/>
      <c r="F466" s="1139"/>
    </row>
    <row r="467" spans="1:6">
      <c r="D467" s="1139"/>
      <c r="E467" s="1139"/>
      <c r="F467" s="1139"/>
    </row>
    <row r="468" spans="1:6">
      <c r="D468" s="380"/>
      <c r="E468" s="380"/>
      <c r="F468" s="380"/>
    </row>
    <row r="469" spans="1:6" ht="14.25">
      <c r="B469" s="419" t="s">
        <v>521</v>
      </c>
      <c r="C469" s="418"/>
      <c r="D469" s="1139" t="s">
        <v>619</v>
      </c>
      <c r="E469" s="1139"/>
      <c r="F469" s="1139"/>
    </row>
    <row r="470" spans="1:6">
      <c r="D470" s="1139"/>
      <c r="E470" s="1139"/>
      <c r="F470" s="1139"/>
    </row>
    <row r="471" spans="1:6">
      <c r="D471" s="381"/>
      <c r="E471" s="381"/>
      <c r="F471" s="381"/>
    </row>
    <row r="472" spans="1:6" ht="14.25">
      <c r="B472" s="419" t="s">
        <v>521</v>
      </c>
      <c r="C472" s="418"/>
      <c r="D472" s="1139" t="s">
        <v>392</v>
      </c>
      <c r="E472" s="1139"/>
      <c r="F472" s="1139"/>
    </row>
    <row r="473" spans="1:6">
      <c r="D473" s="1139"/>
      <c r="E473" s="1139"/>
      <c r="F473" s="1139"/>
    </row>
    <row r="474" spans="1:6">
      <c r="D474" s="1139"/>
      <c r="E474" s="1139"/>
      <c r="F474" s="1139"/>
    </row>
    <row r="475" spans="1:6">
      <c r="D475" s="1139"/>
      <c r="E475" s="1139"/>
      <c r="F475" s="1139"/>
    </row>
    <row r="476" spans="1:6">
      <c r="B476" s="419" t="s">
        <v>521</v>
      </c>
      <c r="D476" s="1139"/>
      <c r="E476" s="1139"/>
      <c r="F476" s="1139"/>
    </row>
    <row r="477" spans="1:6">
      <c r="A477" s="333"/>
      <c r="B477" s="333"/>
      <c r="C477" s="333"/>
      <c r="D477" s="1139"/>
      <c r="E477" s="1139"/>
      <c r="F477" s="1139"/>
    </row>
    <row r="478" spans="1:6">
      <c r="A478" s="333"/>
      <c r="C478" s="333"/>
      <c r="D478" s="1139"/>
      <c r="E478" s="1139"/>
      <c r="F478" s="1139"/>
    </row>
    <row r="479" spans="1:6">
      <c r="A479" s="333"/>
      <c r="B479" s="419" t="s">
        <v>521</v>
      </c>
      <c r="C479" s="333"/>
      <c r="D479" s="1139"/>
      <c r="E479" s="1139"/>
      <c r="F479" s="1139"/>
    </row>
    <row r="480" spans="1:6">
      <c r="A480" s="333"/>
      <c r="B480" s="333"/>
      <c r="C480" s="333"/>
      <c r="D480" s="1139"/>
      <c r="E480" s="1139"/>
      <c r="F480" s="1139"/>
    </row>
    <row r="481" spans="1:9">
      <c r="A481" s="333"/>
      <c r="C481" s="333"/>
      <c r="D481" s="1139"/>
      <c r="E481" s="1139"/>
      <c r="F481" s="1139"/>
    </row>
    <row r="482" spans="1:9">
      <c r="A482" s="333"/>
      <c r="C482" s="333"/>
      <c r="D482" s="1139"/>
      <c r="E482" s="1139"/>
      <c r="F482" s="1139"/>
    </row>
    <row r="483" spans="1:9">
      <c r="A483" s="333"/>
      <c r="C483" s="333"/>
      <c r="D483" s="1139"/>
      <c r="E483" s="1139"/>
      <c r="F483" s="1139"/>
    </row>
    <row r="484" spans="1:9">
      <c r="A484" s="333"/>
      <c r="B484" s="419" t="s">
        <v>521</v>
      </c>
      <c r="C484" s="333"/>
      <c r="D484" s="1139"/>
      <c r="E484" s="1139"/>
      <c r="F484" s="1139"/>
    </row>
    <row r="485" spans="1:9">
      <c r="A485" s="333"/>
      <c r="C485" s="333"/>
      <c r="D485" s="1139"/>
      <c r="E485" s="1139"/>
      <c r="F485" s="1139"/>
    </row>
    <row r="486" spans="1:9">
      <c r="A486" s="333"/>
      <c r="B486" s="419" t="s">
        <v>521</v>
      </c>
      <c r="C486" s="333"/>
      <c r="D486" s="1139" t="s">
        <v>393</v>
      </c>
      <c r="E486" s="1139"/>
      <c r="F486" s="1139"/>
    </row>
    <row r="487" spans="1:9">
      <c r="A487" s="333"/>
      <c r="B487" s="333"/>
      <c r="C487" s="333"/>
      <c r="D487" s="1139"/>
      <c r="E487" s="1139"/>
      <c r="F487" s="1139"/>
    </row>
    <row r="488" spans="1:9">
      <c r="A488" s="333"/>
      <c r="B488" s="333"/>
      <c r="C488" s="333"/>
      <c r="D488" s="1139"/>
      <c r="E488" s="1139"/>
      <c r="F488" s="1139"/>
    </row>
    <row r="489" spans="1:9">
      <c r="A489" s="333"/>
      <c r="B489" s="333"/>
      <c r="C489" s="333"/>
      <c r="D489" s="1139"/>
      <c r="E489" s="1139"/>
      <c r="F489" s="1139"/>
    </row>
    <row r="490" spans="1:9">
      <c r="D490" s="1139"/>
      <c r="E490" s="1139"/>
      <c r="F490" s="1139"/>
    </row>
    <row r="491" spans="1:9">
      <c r="D491" s="381"/>
      <c r="E491" s="381"/>
      <c r="F491" s="381"/>
    </row>
    <row r="492" spans="1:9">
      <c r="B492" s="419" t="s">
        <v>521</v>
      </c>
      <c r="D492" s="1167" t="s">
        <v>394</v>
      </c>
      <c r="E492" s="1167"/>
      <c r="F492" s="1167"/>
    </row>
    <row r="493" spans="1:9">
      <c r="A493" s="381"/>
      <c r="B493" s="381"/>
    </row>
    <row r="494" spans="1:9">
      <c r="A494" s="1145" t="s">
        <v>395</v>
      </c>
      <c r="B494" s="1145"/>
      <c r="C494" s="1145"/>
      <c r="D494" s="1145"/>
      <c r="E494" s="1145"/>
      <c r="F494" s="1145"/>
      <c r="G494" s="1145"/>
      <c r="H494" s="993"/>
      <c r="I494" s="994"/>
    </row>
    <row r="495" spans="1:9">
      <c r="A495" s="381"/>
      <c r="B495" s="381"/>
    </row>
    <row r="496" spans="1:9">
      <c r="D496" s="1174" t="s">
        <v>396</v>
      </c>
      <c r="E496" s="1174"/>
      <c r="F496" s="1174"/>
    </row>
    <row r="497" spans="1:9" ht="14.25">
      <c r="A497" s="418"/>
      <c r="B497" s="418"/>
      <c r="D497" s="1171" t="s">
        <v>397</v>
      </c>
      <c r="E497" s="1171"/>
      <c r="F497" s="1171"/>
    </row>
    <row r="498" spans="1:9" ht="14.25">
      <c r="A498" s="418"/>
      <c r="B498" s="418"/>
      <c r="D498" s="382"/>
    </row>
    <row r="499" spans="1:9" ht="14.25">
      <c r="A499" s="418"/>
      <c r="B499" s="419" t="s">
        <v>521</v>
      </c>
      <c r="D499" s="1127" t="s">
        <v>398</v>
      </c>
      <c r="E499" s="1127"/>
      <c r="F499" s="1127"/>
      <c r="I499" s="335" t="s">
        <v>620</v>
      </c>
    </row>
    <row r="500" spans="1:9" ht="14.25">
      <c r="A500" s="418"/>
      <c r="B500" s="418"/>
      <c r="D500" s="1127"/>
      <c r="E500" s="1127"/>
      <c r="F500" s="1127"/>
    </row>
    <row r="501" spans="1:9" ht="14.25">
      <c r="A501" s="418"/>
      <c r="B501" s="418"/>
      <c r="D501" s="381"/>
    </row>
    <row r="502" spans="1:9" ht="12.75" customHeight="1">
      <c r="B502" s="419" t="s">
        <v>521</v>
      </c>
      <c r="D502" s="1159" t="s">
        <v>621</v>
      </c>
      <c r="E502" s="1159"/>
      <c r="F502" s="1159"/>
      <c r="I502" s="335" t="s">
        <v>622</v>
      </c>
    </row>
    <row r="503" spans="1:9" ht="14.25">
      <c r="A503" s="418"/>
      <c r="D503" s="1159"/>
      <c r="E503" s="1159"/>
      <c r="F503" s="1159"/>
    </row>
    <row r="504" spans="1:9" ht="14.25">
      <c r="A504" s="418"/>
      <c r="B504" s="418"/>
      <c r="D504" s="1159"/>
      <c r="E504" s="1159"/>
      <c r="F504" s="1159"/>
    </row>
    <row r="505" spans="1:9" ht="14.25">
      <c r="A505" s="418"/>
      <c r="B505" s="418"/>
      <c r="D505" s="1159"/>
      <c r="E505" s="1159"/>
      <c r="F505" s="1159"/>
    </row>
    <row r="506" spans="1:9" ht="14.25">
      <c r="A506" s="418"/>
      <c r="D506" s="453"/>
      <c r="E506" s="453"/>
      <c r="F506" s="453"/>
    </row>
    <row r="507" spans="1:9" ht="14.25">
      <c r="A507" s="418"/>
      <c r="B507" s="419" t="s">
        <v>521</v>
      </c>
      <c r="D507" s="1167" t="s">
        <v>401</v>
      </c>
      <c r="E507" s="1167"/>
      <c r="F507" s="1167"/>
      <c r="I507" s="335" t="s">
        <v>623</v>
      </c>
    </row>
    <row r="508" spans="1:9" ht="14.25">
      <c r="A508" s="418"/>
      <c r="B508" s="418"/>
      <c r="D508" s="381"/>
    </row>
    <row r="509" spans="1:9" ht="14.25">
      <c r="A509" s="418"/>
      <c r="B509" s="419" t="s">
        <v>521</v>
      </c>
      <c r="D509" s="1139" t="s">
        <v>402</v>
      </c>
      <c r="E509" s="1139"/>
      <c r="F509" s="1139"/>
      <c r="I509" s="335" t="s">
        <v>623</v>
      </c>
    </row>
    <row r="510" spans="1:9" ht="14.25">
      <c r="A510" s="418"/>
      <c r="D510" s="1139"/>
      <c r="E510" s="1139"/>
      <c r="F510" s="1139"/>
    </row>
    <row r="511" spans="1:9">
      <c r="A511" s="424"/>
      <c r="B511" s="424"/>
      <c r="D511" s="382"/>
    </row>
    <row r="512" spans="1:9">
      <c r="A512" s="424"/>
      <c r="B512" s="419" t="s">
        <v>521</v>
      </c>
      <c r="D512" s="1167" t="s">
        <v>403</v>
      </c>
      <c r="E512" s="1167"/>
      <c r="F512" s="1167"/>
      <c r="I512" s="335" t="s">
        <v>624</v>
      </c>
    </row>
    <row r="513" spans="1:9" ht="14.25">
      <c r="A513" s="418"/>
      <c r="B513" s="418"/>
      <c r="D513" s="381"/>
    </row>
    <row r="514" spans="1:9">
      <c r="A514" s="1145" t="s">
        <v>404</v>
      </c>
      <c r="B514" s="1145"/>
      <c r="C514" s="1145"/>
      <c r="D514" s="1145"/>
      <c r="E514" s="1145"/>
      <c r="F514" s="1145"/>
      <c r="G514" s="1145"/>
      <c r="H514" s="993"/>
      <c r="I514" s="994"/>
    </row>
    <row r="515" spans="1:9" ht="12" customHeight="1">
      <c r="A515" s="418"/>
      <c r="B515" s="418"/>
      <c r="D515" s="381"/>
    </row>
    <row r="516" spans="1:9">
      <c r="C516" s="416"/>
      <c r="D516" s="1137" t="s">
        <v>405</v>
      </c>
      <c r="E516" s="1137"/>
      <c r="F516" s="1137"/>
    </row>
    <row r="517" spans="1:9">
      <c r="C517" s="416"/>
      <c r="D517" s="440" t="s">
        <v>625</v>
      </c>
      <c r="E517" s="440"/>
      <c r="F517" s="440"/>
    </row>
    <row r="518" spans="1:9">
      <c r="C518" s="416"/>
      <c r="D518" s="440" t="s">
        <v>626</v>
      </c>
      <c r="E518" s="440"/>
      <c r="F518" s="440"/>
    </row>
    <row r="519" spans="1:9">
      <c r="C519" s="416"/>
      <c r="D519" s="415"/>
      <c r="E519" s="415"/>
      <c r="F519" s="415"/>
    </row>
    <row r="520" spans="1:9" ht="13.7" customHeight="1">
      <c r="A520" s="417"/>
      <c r="B520" s="419" t="s">
        <v>525</v>
      </c>
      <c r="C520" s="417"/>
      <c r="D520" s="1127" t="s">
        <v>627</v>
      </c>
      <c r="E520" s="1127"/>
      <c r="F520" s="1127"/>
      <c r="I520" s="335" t="s">
        <v>628</v>
      </c>
    </row>
    <row r="521" spans="1:9">
      <c r="A521" s="417"/>
      <c r="B521" s="417"/>
      <c r="C521" s="417"/>
      <c r="D521" s="1127"/>
      <c r="E521" s="1127"/>
      <c r="F521" s="1127"/>
    </row>
    <row r="522" spans="1:9">
      <c r="A522" s="417"/>
      <c r="B522" s="417"/>
      <c r="C522" s="417"/>
      <c r="D522" s="386"/>
      <c r="E522" s="386"/>
      <c r="F522" s="386"/>
      <c r="I522" s="333"/>
    </row>
    <row r="523" spans="1:9" ht="12.75" customHeight="1">
      <c r="A523" s="417"/>
      <c r="B523" s="419" t="s">
        <v>521</v>
      </c>
      <c r="D523" s="317" t="s">
        <v>629</v>
      </c>
      <c r="E523" s="316"/>
      <c r="F523" s="316"/>
      <c r="I523" s="335" t="s">
        <v>630</v>
      </c>
    </row>
    <row r="524" spans="1:9">
      <c r="A524" s="417"/>
      <c r="B524" s="1045"/>
      <c r="D524" s="316"/>
      <c r="E524" s="72" t="s">
        <v>631</v>
      </c>
    </row>
    <row r="525" spans="1:9">
      <c r="A525" s="417"/>
      <c r="B525" s="417"/>
      <c r="D525" s="1182" t="s">
        <v>412</v>
      </c>
      <c r="E525" s="1182"/>
      <c r="F525" s="1182"/>
    </row>
    <row r="526" spans="1:9">
      <c r="A526" s="417"/>
      <c r="B526" s="417"/>
      <c r="D526" s="1182"/>
      <c r="E526" s="1182"/>
      <c r="F526" s="1182"/>
    </row>
    <row r="527" spans="1:9">
      <c r="A527" s="417"/>
      <c r="B527" s="417"/>
      <c r="C527" s="417"/>
      <c r="D527" s="1182"/>
      <c r="E527" s="1182"/>
      <c r="F527" s="1182"/>
    </row>
    <row r="528" spans="1:9">
      <c r="A528" s="417"/>
      <c r="B528" s="417"/>
      <c r="C528" s="417"/>
      <c r="D528" s="432"/>
      <c r="F528" s="381"/>
    </row>
    <row r="529" spans="1:9" ht="13.15" customHeight="1">
      <c r="A529" s="417"/>
      <c r="B529" s="419" t="s">
        <v>521</v>
      </c>
      <c r="C529" s="417"/>
      <c r="D529" s="1139" t="s">
        <v>423</v>
      </c>
      <c r="E529" s="1139"/>
      <c r="F529" s="1139"/>
      <c r="I529" s="335" t="s">
        <v>630</v>
      </c>
    </row>
    <row r="530" spans="1:9">
      <c r="A530" s="417"/>
      <c r="B530" s="417"/>
      <c r="C530" s="417"/>
      <c r="D530" s="1139"/>
      <c r="E530" s="1139"/>
      <c r="F530" s="1139"/>
    </row>
    <row r="531" spans="1:9" ht="12" customHeight="1">
      <c r="A531" s="381"/>
      <c r="B531" s="381"/>
      <c r="C531" s="421"/>
      <c r="D531" s="381"/>
      <c r="F531" s="383"/>
    </row>
    <row r="532" spans="1:9">
      <c r="A532" s="1145" t="s">
        <v>413</v>
      </c>
      <c r="B532" s="1145"/>
      <c r="C532" s="1145"/>
      <c r="D532" s="1145"/>
      <c r="E532" s="1145"/>
      <c r="F532" s="1145"/>
      <c r="G532" s="1145"/>
      <c r="H532" s="993"/>
      <c r="I532" s="994"/>
    </row>
    <row r="533" spans="1:9">
      <c r="A533" s="381"/>
      <c r="B533" s="381"/>
      <c r="C533" s="421"/>
      <c r="F533" s="383"/>
    </row>
    <row r="534" spans="1:9">
      <c r="B534" s="1152" t="s">
        <v>334</v>
      </c>
      <c r="C534" s="1152"/>
      <c r="D534" s="1152"/>
      <c r="E534" s="1152"/>
      <c r="F534" s="1152"/>
    </row>
    <row r="535" spans="1:9">
      <c r="A535" s="381"/>
      <c r="B535" s="381"/>
      <c r="C535" s="421"/>
      <c r="D535" s="381"/>
      <c r="F535" s="381"/>
    </row>
    <row r="536" spans="1:9">
      <c r="A536" s="1146" t="s">
        <v>414</v>
      </c>
      <c r="B536" s="1146"/>
      <c r="C536" s="1146"/>
      <c r="D536" s="1146"/>
      <c r="E536" s="1146"/>
      <c r="F536" s="1146"/>
      <c r="G536" s="1146"/>
      <c r="H536" s="993"/>
      <c r="I536" s="994"/>
    </row>
    <row r="537" spans="1:9">
      <c r="A537" s="381"/>
      <c r="B537" s="381"/>
      <c r="C537" s="421"/>
      <c r="D537" s="381"/>
      <c r="F537" s="381"/>
    </row>
    <row r="538" spans="1:9">
      <c r="C538" s="421"/>
      <c r="D538" s="1137" t="s">
        <v>415</v>
      </c>
      <c r="E538" s="1137"/>
      <c r="F538" s="1137"/>
    </row>
    <row r="539" spans="1:9">
      <c r="C539" s="421"/>
      <c r="D539" s="1167" t="s">
        <v>416</v>
      </c>
      <c r="E539" s="1167"/>
      <c r="F539" s="1167"/>
    </row>
    <row r="540" spans="1:9">
      <c r="C540" s="421"/>
      <c r="D540" s="381"/>
      <c r="E540" s="381"/>
      <c r="F540" s="381"/>
    </row>
    <row r="541" spans="1:9" ht="13.7" customHeight="1">
      <c r="A541" s="418"/>
      <c r="B541" s="419" t="s">
        <v>525</v>
      </c>
      <c r="C541" s="421"/>
      <c r="D541" s="1167" t="s">
        <v>417</v>
      </c>
      <c r="E541" s="1167"/>
      <c r="F541" s="1167"/>
      <c r="I541" s="335" t="s">
        <v>632</v>
      </c>
    </row>
    <row r="542" spans="1:9" ht="13.7" customHeight="1">
      <c r="A542" s="421"/>
      <c r="B542" s="421"/>
      <c r="C542" s="421"/>
      <c r="D542" s="381"/>
    </row>
    <row r="543" spans="1:9" ht="14.25">
      <c r="A543" s="418"/>
      <c r="B543" s="419" t="s">
        <v>525</v>
      </c>
      <c r="C543" s="421"/>
      <c r="D543" s="1139" t="s">
        <v>418</v>
      </c>
      <c r="E543" s="1139"/>
      <c r="F543" s="1139"/>
      <c r="I543" s="335" t="s">
        <v>632</v>
      </c>
    </row>
    <row r="544" spans="1:9">
      <c r="A544" s="421"/>
      <c r="B544" s="421"/>
      <c r="C544" s="421"/>
      <c r="D544" s="1139"/>
      <c r="E544" s="1139"/>
      <c r="F544" s="1139"/>
    </row>
    <row r="545" spans="1:9">
      <c r="A545" s="421"/>
      <c r="B545" s="421"/>
      <c r="C545" s="421"/>
      <c r="D545" s="381"/>
      <c r="E545" s="381"/>
      <c r="F545" s="381"/>
    </row>
    <row r="546" spans="1:9" ht="14.25">
      <c r="A546" s="418"/>
      <c r="B546" s="419" t="s">
        <v>525</v>
      </c>
      <c r="C546" s="421"/>
      <c r="D546" s="1139" t="s">
        <v>419</v>
      </c>
      <c r="E546" s="1139"/>
      <c r="F546" s="1139"/>
      <c r="I546" s="335" t="s">
        <v>633</v>
      </c>
    </row>
    <row r="547" spans="1:9">
      <c r="A547" s="421"/>
      <c r="B547" s="421"/>
      <c r="C547" s="421"/>
      <c r="D547" s="1139"/>
      <c r="E547" s="1139"/>
      <c r="F547" s="1139"/>
    </row>
    <row r="548" spans="1:9">
      <c r="A548" s="421"/>
      <c r="B548" s="421"/>
      <c r="C548" s="421"/>
      <c r="D548" s="381"/>
      <c r="E548" s="381"/>
      <c r="F548" s="381"/>
    </row>
    <row r="549" spans="1:9" ht="14.25">
      <c r="A549" s="418"/>
      <c r="B549" s="419" t="s">
        <v>525</v>
      </c>
      <c r="C549" s="421"/>
      <c r="D549" s="1139" t="s">
        <v>420</v>
      </c>
      <c r="E549" s="1139"/>
      <c r="F549" s="1139"/>
      <c r="I549" s="335" t="s">
        <v>634</v>
      </c>
    </row>
    <row r="550" spans="1:9">
      <c r="A550" s="421"/>
      <c r="B550" s="421"/>
      <c r="C550" s="421"/>
      <c r="D550" s="1139"/>
      <c r="E550" s="1139"/>
      <c r="F550" s="1139"/>
    </row>
    <row r="551" spans="1:9">
      <c r="A551" s="421"/>
      <c r="B551" s="421"/>
      <c r="C551" s="421"/>
      <c r="D551" s="381"/>
      <c r="E551" s="381"/>
      <c r="F551" s="381"/>
    </row>
    <row r="552" spans="1:9" ht="14.25">
      <c r="A552" s="418"/>
      <c r="B552" s="419" t="s">
        <v>525</v>
      </c>
      <c r="C552" s="421"/>
      <c r="D552" s="1139" t="s">
        <v>421</v>
      </c>
      <c r="E552" s="1139"/>
      <c r="F552" s="1139"/>
      <c r="I552" s="335" t="s">
        <v>635</v>
      </c>
    </row>
    <row r="553" spans="1:9">
      <c r="A553" s="421"/>
      <c r="B553" s="421"/>
      <c r="C553" s="421"/>
      <c r="D553" s="1139"/>
      <c r="E553" s="1139"/>
      <c r="F553" s="1139"/>
    </row>
    <row r="554" spans="1:9">
      <c r="A554" s="421"/>
      <c r="B554" s="421"/>
      <c r="C554" s="421"/>
      <c r="D554" s="1139"/>
      <c r="E554" s="1139"/>
      <c r="F554" s="1139"/>
    </row>
    <row r="555" spans="1:9">
      <c r="A555" s="421"/>
      <c r="B555" s="421"/>
      <c r="C555" s="421"/>
      <c r="D555" s="381"/>
      <c r="E555" s="381"/>
      <c r="F555" s="381"/>
    </row>
    <row r="556" spans="1:9" ht="14.25">
      <c r="A556" s="418"/>
      <c r="B556" s="419" t="s">
        <v>521</v>
      </c>
      <c r="C556" s="421"/>
      <c r="D556" s="1139" t="s">
        <v>422</v>
      </c>
      <c r="E556" s="1139"/>
      <c r="F556" s="1139"/>
      <c r="I556" s="335" t="s">
        <v>632</v>
      </c>
    </row>
    <row r="557" spans="1:9">
      <c r="A557" s="421"/>
      <c r="B557" s="421"/>
      <c r="C557" s="421"/>
      <c r="D557" s="1139"/>
      <c r="E557" s="1139"/>
      <c r="F557" s="1139"/>
    </row>
    <row r="558" spans="1:9">
      <c r="A558" s="421"/>
      <c r="B558" s="421"/>
      <c r="C558" s="421"/>
      <c r="D558" s="381"/>
      <c r="E558" s="381"/>
      <c r="F558" s="381"/>
    </row>
    <row r="559" spans="1:9" ht="14.25">
      <c r="A559" s="418"/>
      <c r="B559" s="419" t="s">
        <v>525</v>
      </c>
      <c r="C559" s="421"/>
      <c r="D559" s="1139" t="s">
        <v>424</v>
      </c>
      <c r="E559" s="1139"/>
      <c r="F559" s="1139"/>
      <c r="I559" s="335" t="s">
        <v>632</v>
      </c>
    </row>
    <row r="560" spans="1:9">
      <c r="A560" s="421"/>
      <c r="B560" s="421"/>
      <c r="C560" s="421"/>
      <c r="D560" s="1139"/>
      <c r="E560" s="1139"/>
      <c r="F560" s="1139"/>
    </row>
    <row r="561" spans="1:9">
      <c r="A561" s="421"/>
      <c r="B561" s="421"/>
      <c r="C561" s="421"/>
      <c r="D561" s="381"/>
      <c r="E561" s="381"/>
      <c r="F561" s="381"/>
    </row>
    <row r="562" spans="1:9" ht="14.25">
      <c r="A562" s="418"/>
      <c r="B562" s="419" t="s">
        <v>525</v>
      </c>
      <c r="C562" s="421"/>
      <c r="D562" s="1167" t="s">
        <v>425</v>
      </c>
      <c r="E562" s="1167"/>
      <c r="F562" s="1167"/>
      <c r="I562" s="335" t="s">
        <v>636</v>
      </c>
    </row>
    <row r="563" spans="1:9">
      <c r="A563" s="424"/>
      <c r="B563" s="424"/>
      <c r="C563" s="421"/>
      <c r="D563" s="1167" t="s">
        <v>637</v>
      </c>
      <c r="E563" s="1167"/>
      <c r="F563" s="1167"/>
    </row>
    <row r="564" spans="1:9">
      <c r="A564" s="424"/>
      <c r="B564" s="424"/>
      <c r="C564" s="421"/>
      <c r="E564" s="72" t="s">
        <v>638</v>
      </c>
      <c r="F564" s="335"/>
    </row>
    <row r="565" spans="1:9" ht="14.25">
      <c r="A565" s="418"/>
      <c r="B565" s="418"/>
      <c r="C565" s="421"/>
      <c r="E565" s="381"/>
      <c r="F565" s="381"/>
    </row>
    <row r="566" spans="1:9" ht="14.25">
      <c r="A566" s="418"/>
      <c r="B566" s="419" t="s">
        <v>525</v>
      </c>
      <c r="C566" s="421"/>
      <c r="D566" s="1167" t="s">
        <v>428</v>
      </c>
      <c r="E566" s="1167"/>
      <c r="F566" s="1167"/>
      <c r="I566" s="335" t="s">
        <v>639</v>
      </c>
    </row>
    <row r="567" spans="1:9">
      <c r="C567" s="421"/>
      <c r="D567" s="1139" t="s">
        <v>429</v>
      </c>
      <c r="E567" s="1139"/>
      <c r="F567" s="1139"/>
    </row>
    <row r="568" spans="1:9">
      <c r="A568" s="421"/>
      <c r="B568" s="421"/>
      <c r="C568" s="421"/>
      <c r="D568" s="1139"/>
      <c r="E568" s="1139"/>
      <c r="F568" s="1139"/>
    </row>
    <row r="569" spans="1:9">
      <c r="A569" s="421"/>
      <c r="B569" s="421"/>
      <c r="C569" s="421"/>
      <c r="D569" s="1139"/>
      <c r="E569" s="1139"/>
      <c r="F569" s="1139"/>
    </row>
    <row r="570" spans="1:9">
      <c r="A570" s="421"/>
      <c r="B570" s="421"/>
      <c r="C570" s="421"/>
      <c r="D570" s="381"/>
      <c r="E570" s="381"/>
      <c r="F570" s="381"/>
    </row>
    <row r="571" spans="1:9" ht="14.25">
      <c r="A571" s="418"/>
      <c r="B571" s="419" t="s">
        <v>525</v>
      </c>
      <c r="C571" s="421"/>
      <c r="D571" s="1139" t="s">
        <v>430</v>
      </c>
      <c r="E571" s="1139"/>
      <c r="F571" s="1139"/>
      <c r="I571" s="335" t="s">
        <v>640</v>
      </c>
    </row>
    <row r="572" spans="1:9" ht="14.25">
      <c r="A572" s="418"/>
      <c r="B572" s="418"/>
      <c r="C572" s="421"/>
      <c r="D572" s="1139"/>
      <c r="E572" s="1139"/>
      <c r="F572" s="1139"/>
    </row>
    <row r="573" spans="1:9" ht="14.25">
      <c r="A573" s="418"/>
      <c r="B573" s="418"/>
      <c r="C573" s="421"/>
      <c r="D573" s="1139"/>
      <c r="E573" s="1139"/>
      <c r="F573" s="1139"/>
    </row>
    <row r="574" spans="1:9" ht="14.25">
      <c r="A574" s="418"/>
      <c r="B574" s="418"/>
      <c r="C574" s="421"/>
      <c r="D574" s="1139"/>
      <c r="E574" s="1139"/>
      <c r="F574" s="1139"/>
    </row>
    <row r="575" spans="1:9" ht="14.25">
      <c r="A575" s="418"/>
      <c r="B575" s="418"/>
      <c r="C575" s="421"/>
      <c r="D575" s="381"/>
      <c r="E575" s="381"/>
      <c r="F575" s="381"/>
    </row>
    <row r="576" spans="1:9">
      <c r="A576" s="1145" t="s">
        <v>431</v>
      </c>
      <c r="B576" s="1145"/>
      <c r="C576" s="1145"/>
      <c r="D576" s="1145"/>
      <c r="E576" s="1145"/>
      <c r="F576" s="1145"/>
      <c r="G576" s="1145"/>
      <c r="H576" s="993"/>
      <c r="I576" s="994"/>
    </row>
    <row r="577" spans="1:9">
      <c r="A577" s="421"/>
      <c r="B577" s="421"/>
      <c r="C577" s="421"/>
      <c r="E577" s="381"/>
      <c r="F577" s="381"/>
    </row>
    <row r="578" spans="1:9" ht="12.75" customHeight="1">
      <c r="C578" s="416"/>
      <c r="D578" s="1166" t="s">
        <v>432</v>
      </c>
      <c r="E578" s="1166"/>
      <c r="F578" s="1166"/>
    </row>
    <row r="579" spans="1:9">
      <c r="A579" s="417"/>
      <c r="B579" s="417"/>
      <c r="C579" s="417"/>
      <c r="D579" s="1159" t="s">
        <v>433</v>
      </c>
      <c r="E579" s="1159"/>
      <c r="F579" s="1159"/>
    </row>
    <row r="580" spans="1:9">
      <c r="A580" s="333"/>
      <c r="B580" s="333"/>
      <c r="C580" s="417"/>
      <c r="D580" s="433"/>
      <c r="I580" s="335" t="s">
        <v>641</v>
      </c>
    </row>
    <row r="581" spans="1:9">
      <c r="A581" s="417"/>
      <c r="B581" s="419" t="s">
        <v>525</v>
      </c>
      <c r="D581" s="1159" t="s">
        <v>434</v>
      </c>
      <c r="E581" s="1159"/>
      <c r="F581" s="1159"/>
    </row>
    <row r="582" spans="1:9">
      <c r="A582" s="424"/>
      <c r="B582" s="424"/>
      <c r="D582" s="410"/>
    </row>
    <row r="583" spans="1:9">
      <c r="A583" s="424"/>
      <c r="B583" s="419" t="s">
        <v>525</v>
      </c>
      <c r="D583" s="1159" t="s">
        <v>435</v>
      </c>
      <c r="E583" s="1159"/>
      <c r="F583" s="1159"/>
      <c r="I583" s="335" t="s">
        <v>642</v>
      </c>
    </row>
    <row r="584" spans="1:9">
      <c r="A584" s="424"/>
      <c r="B584" s="424"/>
      <c r="D584" s="1159"/>
      <c r="E584" s="1159"/>
      <c r="F584" s="1159"/>
      <c r="I584" s="335" t="s">
        <v>643</v>
      </c>
    </row>
    <row r="585" spans="1:9">
      <c r="A585" s="424"/>
      <c r="B585" s="424"/>
      <c r="D585" s="1159"/>
      <c r="E585" s="1159"/>
      <c r="F585" s="1159"/>
    </row>
    <row r="586" spans="1:9">
      <c r="A586" s="424"/>
      <c r="B586" s="424"/>
      <c r="D586" s="1159"/>
      <c r="E586" s="1159"/>
      <c r="F586" s="1159"/>
    </row>
    <row r="587" spans="1:9">
      <c r="A587" s="424"/>
      <c r="B587" s="419" t="s">
        <v>521</v>
      </c>
      <c r="D587" s="1159" t="s">
        <v>436</v>
      </c>
      <c r="E587" s="1159"/>
      <c r="F587" s="1159"/>
    </row>
    <row r="588" spans="1:9">
      <c r="A588" s="424"/>
      <c r="B588" s="424"/>
      <c r="D588" s="1159"/>
      <c r="E588" s="1159"/>
      <c r="F588" s="1159"/>
    </row>
    <row r="589" spans="1:9">
      <c r="A589" s="424"/>
      <c r="B589" s="424"/>
      <c r="D589" s="1159"/>
      <c r="E589" s="1159"/>
      <c r="F589" s="1159"/>
    </row>
    <row r="590" spans="1:9">
      <c r="A590" s="424"/>
      <c r="B590" s="424"/>
      <c r="D590" s="1159"/>
      <c r="E590" s="1159"/>
      <c r="F590" s="1159"/>
    </row>
    <row r="591" spans="1:9">
      <c r="A591" s="424"/>
      <c r="B591" s="424"/>
      <c r="D591" s="375"/>
      <c r="E591" s="375"/>
      <c r="F591" s="375"/>
    </row>
    <row r="592" spans="1:9">
      <c r="A592" s="424"/>
      <c r="B592" s="419" t="s">
        <v>525</v>
      </c>
      <c r="D592" s="1159" t="s">
        <v>437</v>
      </c>
      <c r="E592" s="1159"/>
      <c r="F592" s="1159"/>
    </row>
    <row r="593" spans="1:9">
      <c r="A593" s="424"/>
      <c r="B593" s="424"/>
      <c r="D593" s="1159"/>
      <c r="E593" s="1159"/>
      <c r="F593" s="1159"/>
    </row>
    <row r="594" spans="1:9">
      <c r="A594" s="424"/>
      <c r="B594" s="424"/>
      <c r="D594" s="433"/>
    </row>
    <row r="595" spans="1:9">
      <c r="A595" s="424"/>
      <c r="B595" s="419" t="s">
        <v>521</v>
      </c>
      <c r="D595" s="1159" t="s">
        <v>438</v>
      </c>
      <c r="E595" s="1159"/>
      <c r="F595" s="1159"/>
      <c r="I595" s="335" t="s">
        <v>644</v>
      </c>
    </row>
    <row r="596" spans="1:9">
      <c r="A596" s="424"/>
      <c r="B596" s="424"/>
      <c r="D596" s="1159"/>
      <c r="E596" s="1159"/>
      <c r="F596" s="1159"/>
    </row>
    <row r="597" spans="1:9" ht="14.25">
      <c r="A597" s="418"/>
      <c r="B597" s="418"/>
      <c r="D597" s="433"/>
    </row>
    <row r="598" spans="1:9">
      <c r="A598" s="1145" t="s">
        <v>441</v>
      </c>
      <c r="B598" s="1145"/>
      <c r="C598" s="1145"/>
      <c r="D598" s="1145"/>
      <c r="E598" s="1145"/>
      <c r="F598" s="1145"/>
      <c r="G598" s="1145"/>
      <c r="H598" s="993"/>
      <c r="I598" s="994"/>
    </row>
    <row r="599" spans="1:9"/>
    <row r="600" spans="1:9">
      <c r="D600" s="1137" t="s">
        <v>442</v>
      </c>
      <c r="E600" s="1137"/>
      <c r="F600" s="1137"/>
    </row>
    <row r="601" spans="1:9">
      <c r="D601" s="1138" t="s">
        <v>443</v>
      </c>
      <c r="E601" s="1138"/>
      <c r="F601" s="1138"/>
    </row>
    <row r="602" spans="1:9">
      <c r="D602" s="379"/>
    </row>
    <row r="603" spans="1:9" ht="14.25" customHeight="1">
      <c r="A603" s="418"/>
      <c r="B603" s="419" t="s">
        <v>525</v>
      </c>
      <c r="D603" s="1200" t="s">
        <v>645</v>
      </c>
      <c r="E603" s="1200"/>
      <c r="F603" s="1200"/>
      <c r="I603" s="335" t="s">
        <v>646</v>
      </c>
    </row>
    <row r="604" spans="1:9">
      <c r="D604" s="1200"/>
      <c r="E604" s="1200"/>
      <c r="F604" s="1200"/>
    </row>
    <row r="605" spans="1:9">
      <c r="D605" s="316"/>
      <c r="E605" s="1043" t="s">
        <v>647</v>
      </c>
      <c r="F605" s="316"/>
    </row>
    <row r="606" spans="1:9"/>
    <row r="607" spans="1:9">
      <c r="A607" s="1145" t="s">
        <v>445</v>
      </c>
      <c r="B607" s="1145"/>
      <c r="C607" s="1145"/>
      <c r="D607" s="1145"/>
      <c r="E607" s="1145"/>
      <c r="F607" s="1145"/>
      <c r="G607" s="1145"/>
      <c r="H607" s="993"/>
      <c r="I607" s="994"/>
    </row>
    <row r="608" spans="1:9">
      <c r="A608" s="381"/>
      <c r="B608" s="381"/>
    </row>
    <row r="609" spans="1:9">
      <c r="A609" s="416"/>
      <c r="B609" s="416"/>
      <c r="C609" s="416"/>
      <c r="D609" s="1140" t="s">
        <v>446</v>
      </c>
      <c r="E609" s="1140"/>
      <c r="F609" s="1140"/>
    </row>
    <row r="610" spans="1:9">
      <c r="A610" s="416"/>
      <c r="B610" s="416"/>
      <c r="C610" s="416"/>
      <c r="D610" s="1140"/>
      <c r="E610" s="1140"/>
      <c r="F610" s="1140"/>
    </row>
    <row r="611" spans="1:9">
      <c r="C611" s="417"/>
      <c r="D611" s="1138" t="s">
        <v>447</v>
      </c>
      <c r="E611" s="1138"/>
      <c r="F611" s="1138"/>
    </row>
    <row r="612" spans="1:9">
      <c r="C612" s="417"/>
      <c r="D612" s="379"/>
      <c r="E612" s="379"/>
      <c r="F612" s="379"/>
    </row>
    <row r="613" spans="1:9" ht="12.75" customHeight="1">
      <c r="A613" s="424"/>
      <c r="B613" s="419" t="s">
        <v>525</v>
      </c>
      <c r="D613" s="1141" t="s">
        <v>449</v>
      </c>
      <c r="E613" s="1141"/>
      <c r="F613" s="1141"/>
      <c r="I613" s="335" t="s">
        <v>648</v>
      </c>
    </row>
    <row r="614" spans="1:9">
      <c r="D614" s="1141"/>
      <c r="E614" s="1141"/>
      <c r="F614" s="1141"/>
    </row>
    <row r="615" spans="1:9"/>
    <row r="616" spans="1:9">
      <c r="B616" s="419" t="s">
        <v>525</v>
      </c>
      <c r="D616" s="1141" t="s">
        <v>450</v>
      </c>
      <c r="E616" s="1141"/>
      <c r="F616" s="1141"/>
      <c r="I616" s="335" t="s">
        <v>649</v>
      </c>
    </row>
    <row r="617" spans="1:9">
      <c r="C617" s="434"/>
      <c r="D617" s="1141"/>
      <c r="E617" s="1141"/>
      <c r="F617" s="1141"/>
    </row>
    <row r="618" spans="1:9">
      <c r="C618" s="434"/>
    </row>
    <row r="619" spans="1:9">
      <c r="B619" s="419" t="s">
        <v>521</v>
      </c>
      <c r="C619" s="434"/>
      <c r="D619" s="1141" t="s">
        <v>451</v>
      </c>
      <c r="E619" s="1141"/>
      <c r="F619" s="1141"/>
      <c r="I619" s="335" t="s">
        <v>650</v>
      </c>
    </row>
    <row r="620" spans="1:9">
      <c r="C620" s="434"/>
      <c r="D620" s="1141"/>
      <c r="E620" s="1141"/>
      <c r="F620" s="1141"/>
      <c r="I620" s="990" t="s">
        <v>651</v>
      </c>
    </row>
    <row r="621" spans="1:9">
      <c r="C621" s="434"/>
    </row>
    <row r="622" spans="1:9">
      <c r="A622" s="1145" t="s">
        <v>452</v>
      </c>
      <c r="B622" s="1145"/>
      <c r="C622" s="1145"/>
      <c r="D622" s="1145"/>
      <c r="E622" s="1145"/>
      <c r="F622" s="1145"/>
      <c r="G622" s="1145"/>
      <c r="H622" s="993"/>
      <c r="I622" s="994"/>
    </row>
    <row r="623" spans="1:9">
      <c r="A623" s="416"/>
      <c r="B623" s="416"/>
      <c r="C623" s="416"/>
    </row>
    <row r="624" spans="1:9">
      <c r="C624" s="424"/>
      <c r="D624" s="1137" t="s">
        <v>453</v>
      </c>
      <c r="E624" s="1137"/>
      <c r="F624" s="1137"/>
    </row>
    <row r="625" spans="1:9">
      <c r="A625" s="424"/>
      <c r="B625" s="424"/>
      <c r="D625" s="335"/>
    </row>
    <row r="626" spans="1:9" ht="14.25" customHeight="1">
      <c r="A626" s="418"/>
      <c r="B626" s="419" t="s">
        <v>525</v>
      </c>
      <c r="D626" s="1200" t="s">
        <v>652</v>
      </c>
      <c r="E626" s="1200"/>
      <c r="F626" s="1200"/>
      <c r="I626" s="335" t="s">
        <v>653</v>
      </c>
    </row>
    <row r="627" spans="1:9">
      <c r="D627" s="1200"/>
      <c r="E627" s="1200"/>
      <c r="F627" s="1200"/>
    </row>
    <row r="628" spans="1:9">
      <c r="D628" s="316"/>
      <c r="E628" s="1043" t="s">
        <v>654</v>
      </c>
      <c r="F628" s="316"/>
    </row>
    <row r="629" spans="1:9">
      <c r="D629" s="1139" t="s">
        <v>655</v>
      </c>
      <c r="E629" s="1139"/>
      <c r="F629" s="1139"/>
    </row>
    <row r="630" spans="1:9">
      <c r="D630" s="1139"/>
      <c r="E630" s="1139"/>
      <c r="F630" s="1139"/>
    </row>
    <row r="631" spans="1:9">
      <c r="D631" s="1139"/>
      <c r="E631" s="1139"/>
      <c r="F631" s="1139"/>
    </row>
    <row r="632" spans="1:9">
      <c r="D632" s="380"/>
      <c r="E632" s="380"/>
      <c r="F632" s="380"/>
    </row>
    <row r="633" spans="1:9" ht="14.25">
      <c r="A633" s="418"/>
      <c r="B633" s="419" t="s">
        <v>525</v>
      </c>
      <c r="D633" s="1139" t="s">
        <v>455</v>
      </c>
      <c r="E633" s="1139"/>
      <c r="F633" s="1139"/>
      <c r="I633" s="335" t="s">
        <v>656</v>
      </c>
    </row>
    <row r="634" spans="1:9">
      <c r="A634" s="421"/>
      <c r="B634" s="421"/>
      <c r="C634" s="421"/>
      <c r="D634" s="1139"/>
      <c r="E634" s="1139"/>
      <c r="F634" s="1139"/>
    </row>
    <row r="635" spans="1:9">
      <c r="A635" s="421"/>
      <c r="B635" s="421"/>
      <c r="C635" s="421"/>
      <c r="D635" s="381"/>
      <c r="E635" s="381"/>
      <c r="F635" s="381"/>
    </row>
    <row r="636" spans="1:9" ht="14.25">
      <c r="A636" s="418"/>
      <c r="B636" s="419" t="s">
        <v>521</v>
      </c>
      <c r="C636" s="421"/>
      <c r="D636" s="1139" t="s">
        <v>657</v>
      </c>
      <c r="E636" s="1139"/>
      <c r="F636" s="1139"/>
      <c r="I636" s="335" t="s">
        <v>658</v>
      </c>
    </row>
    <row r="637" spans="1:9" ht="14.25">
      <c r="A637" s="418"/>
      <c r="B637" s="418"/>
      <c r="C637" s="421"/>
      <c r="D637" s="1139"/>
      <c r="E637" s="1139"/>
      <c r="F637" s="1139"/>
    </row>
    <row r="638" spans="1:9" ht="14.25">
      <c r="A638" s="418"/>
      <c r="B638" s="418"/>
      <c r="C638" s="421"/>
      <c r="D638" s="1139"/>
      <c r="E638" s="1139"/>
      <c r="F638" s="1139"/>
    </row>
    <row r="639" spans="1:9">
      <c r="A639" s="421"/>
      <c r="B639" s="419" t="s">
        <v>521</v>
      </c>
      <c r="C639" s="421"/>
      <c r="D639" s="1167" t="s">
        <v>457</v>
      </c>
      <c r="E639" s="1167"/>
      <c r="F639" s="1167"/>
      <c r="I639" s="335" t="s">
        <v>658</v>
      </c>
    </row>
    <row r="640" spans="1:9">
      <c r="A640" s="421"/>
      <c r="B640" s="421"/>
      <c r="C640" s="421"/>
      <c r="D640" s="381"/>
      <c r="E640" s="381"/>
      <c r="F640" s="381"/>
    </row>
    <row r="641" spans="1:9">
      <c r="A641" s="1145" t="s">
        <v>458</v>
      </c>
      <c r="B641" s="1145"/>
      <c r="C641" s="1145"/>
      <c r="D641" s="1145"/>
      <c r="E641" s="1145"/>
      <c r="F641" s="1145"/>
      <c r="G641" s="1145"/>
      <c r="H641" s="993"/>
      <c r="I641" s="994"/>
    </row>
    <row r="642" spans="1:9">
      <c r="A642" s="381"/>
      <c r="B642" s="381"/>
      <c r="C642" s="421"/>
      <c r="D642" s="381"/>
      <c r="E642" s="381"/>
      <c r="F642" s="381"/>
    </row>
    <row r="643" spans="1:9">
      <c r="C643" s="416"/>
      <c r="D643" s="1137" t="s">
        <v>459</v>
      </c>
      <c r="E643" s="1137"/>
      <c r="F643" s="1137"/>
    </row>
    <row r="644" spans="1:9">
      <c r="A644" s="417"/>
      <c r="B644" s="417"/>
      <c r="C644" s="417"/>
      <c r="D644" s="1167" t="s">
        <v>460</v>
      </c>
      <c r="E644" s="1167"/>
      <c r="F644" s="1167"/>
    </row>
    <row r="645" spans="1:9">
      <c r="A645" s="417"/>
      <c r="B645" s="417"/>
      <c r="C645" s="417"/>
      <c r="D645" s="381"/>
      <c r="E645" s="381"/>
      <c r="F645" s="381"/>
    </row>
    <row r="646" spans="1:9" ht="12.75" customHeight="1">
      <c r="B646" s="419" t="s">
        <v>521</v>
      </c>
      <c r="C646" s="421"/>
      <c r="D646" s="1139" t="s">
        <v>659</v>
      </c>
      <c r="E646" s="1139"/>
      <c r="F646" s="1139"/>
      <c r="I646" s="335" t="s">
        <v>660</v>
      </c>
    </row>
    <row r="647" spans="1:9">
      <c r="D647" s="1139"/>
      <c r="E647" s="1139"/>
      <c r="F647" s="1139"/>
    </row>
    <row r="648" spans="1:9">
      <c r="D648" s="1139"/>
      <c r="E648" s="1139"/>
      <c r="F648" s="1139"/>
    </row>
    <row r="649" spans="1:9">
      <c r="D649" s="1139"/>
      <c r="E649" s="1139"/>
      <c r="F649" s="1139"/>
    </row>
    <row r="650" spans="1:9" ht="14.45" customHeight="1">
      <c r="A650" s="418"/>
      <c r="B650" s="418"/>
      <c r="C650" s="421"/>
      <c r="D650" s="316"/>
      <c r="E650" s="316"/>
      <c r="F650" s="316"/>
    </row>
    <row r="651" spans="1:9" ht="12.75" customHeight="1">
      <c r="A651" s="417"/>
      <c r="B651" s="419" t="s">
        <v>521</v>
      </c>
      <c r="C651" s="421"/>
      <c r="D651" s="1139" t="s">
        <v>661</v>
      </c>
      <c r="E651" s="1139"/>
      <c r="F651" s="1139"/>
      <c r="I651" s="335" t="s">
        <v>660</v>
      </c>
    </row>
    <row r="652" spans="1:9" ht="14.25">
      <c r="A652" s="417"/>
      <c r="B652" s="418"/>
      <c r="C652" s="421"/>
      <c r="D652" s="1139"/>
      <c r="E652" s="1139"/>
      <c r="F652" s="1139"/>
    </row>
    <row r="653" spans="1:9" ht="14.25">
      <c r="A653" s="417"/>
      <c r="B653" s="418"/>
      <c r="C653" s="421"/>
      <c r="D653" s="1139"/>
      <c r="E653" s="1139"/>
      <c r="F653" s="1139"/>
    </row>
    <row r="654" spans="1:9" ht="14.25">
      <c r="A654" s="417"/>
      <c r="B654" s="418"/>
      <c r="C654" s="421"/>
      <c r="D654" s="1139"/>
      <c r="E654" s="1139"/>
      <c r="F654" s="1139"/>
    </row>
    <row r="655" spans="1:9" ht="14.25">
      <c r="A655" s="417"/>
      <c r="B655" s="418"/>
      <c r="C655" s="421"/>
      <c r="D655" s="1139"/>
      <c r="E655" s="1139"/>
      <c r="F655" s="1139"/>
    </row>
    <row r="656" spans="1:9" ht="14.25" customHeight="1">
      <c r="A656" s="417"/>
      <c r="B656" s="418"/>
      <c r="C656" s="421"/>
      <c r="F656" s="317"/>
    </row>
    <row r="657" spans="1:11" ht="12.75" customHeight="1">
      <c r="A657" s="417"/>
      <c r="B657" s="419" t="s">
        <v>521</v>
      </c>
      <c r="C657" s="421"/>
      <c r="D657" s="1139" t="s">
        <v>662</v>
      </c>
      <c r="E657" s="1139"/>
      <c r="F657" s="1139"/>
      <c r="I657" s="335" t="s">
        <v>660</v>
      </c>
    </row>
    <row r="658" spans="1:11" ht="14.25">
      <c r="A658" s="417"/>
      <c r="B658" s="418"/>
      <c r="C658" s="421"/>
      <c r="D658" s="1139"/>
      <c r="E658" s="1139"/>
      <c r="F658" s="1139"/>
    </row>
    <row r="659" spans="1:11" ht="14.25">
      <c r="A659" s="418"/>
      <c r="B659" s="418"/>
      <c r="C659" s="421"/>
      <c r="D659" s="1139"/>
      <c r="E659" s="1139"/>
      <c r="F659" s="1139"/>
    </row>
    <row r="660" spans="1:11" ht="14.25">
      <c r="A660" s="418"/>
      <c r="B660" s="418"/>
      <c r="C660" s="421"/>
      <c r="D660" s="1139"/>
      <c r="E660" s="1139"/>
      <c r="F660" s="1139"/>
    </row>
    <row r="661" spans="1:11" ht="14.25">
      <c r="A661" s="418"/>
      <c r="B661" s="418"/>
      <c r="C661" s="421"/>
      <c r="D661" s="380"/>
      <c r="E661" s="380"/>
      <c r="F661" s="380"/>
    </row>
    <row r="662" spans="1:11" ht="12.75" customHeight="1">
      <c r="A662" s="417"/>
      <c r="B662" s="419" t="s">
        <v>521</v>
      </c>
      <c r="C662" s="421"/>
      <c r="D662" s="1139" t="s">
        <v>663</v>
      </c>
      <c r="E662" s="1139"/>
      <c r="F662" s="1139"/>
      <c r="I662" s="335" t="s">
        <v>660</v>
      </c>
    </row>
    <row r="663" spans="1:11" ht="12.75" customHeight="1">
      <c r="A663" s="417"/>
      <c r="B663" s="418"/>
      <c r="C663" s="421"/>
      <c r="D663" s="1139"/>
      <c r="E663" s="1139"/>
      <c r="F663" s="1139"/>
    </row>
    <row r="664" spans="1:11" ht="12.75" customHeight="1">
      <c r="A664" s="417"/>
      <c r="B664" s="418"/>
      <c r="C664" s="421"/>
      <c r="D664" s="1139"/>
      <c r="E664" s="1139"/>
      <c r="F664" s="1139"/>
    </row>
    <row r="665" spans="1:11" ht="12.75" customHeight="1">
      <c r="A665" s="417"/>
      <c r="B665" s="418"/>
      <c r="C665" s="421"/>
      <c r="D665" s="1139"/>
      <c r="E665" s="1139"/>
      <c r="F665" s="1139"/>
    </row>
    <row r="666" spans="1:11" ht="12.75" customHeight="1">
      <c r="A666" s="417"/>
      <c r="B666" s="418"/>
      <c r="C666" s="421"/>
      <c r="D666" s="1139"/>
      <c r="E666" s="1139"/>
      <c r="F666" s="1139"/>
    </row>
    <row r="667" spans="1:11" ht="12.75" customHeight="1">
      <c r="A667" s="417"/>
      <c r="B667" s="418"/>
      <c r="C667" s="421"/>
      <c r="D667" s="1139"/>
      <c r="E667" s="1139"/>
      <c r="F667" s="1139"/>
    </row>
    <row r="668" spans="1:11" ht="12.75" customHeight="1">
      <c r="A668" s="417"/>
      <c r="B668" s="418"/>
      <c r="C668" s="421"/>
      <c r="D668" s="1139"/>
      <c r="E668" s="1139"/>
      <c r="F668" s="1139"/>
    </row>
    <row r="669" spans="1:11" ht="12.75" customHeight="1">
      <c r="A669" s="417"/>
      <c r="B669" s="418"/>
      <c r="C669" s="421"/>
      <c r="D669" s="1139"/>
      <c r="E669" s="1139"/>
      <c r="F669" s="1139"/>
    </row>
    <row r="670" spans="1:11" ht="12.75" customHeight="1">
      <c r="A670" s="417"/>
      <c r="B670" s="418"/>
      <c r="C670" s="421"/>
      <c r="D670" s="1139"/>
      <c r="E670" s="1139"/>
      <c r="F670" s="1139"/>
    </row>
    <row r="671" spans="1:11">
      <c r="A671" s="421"/>
      <c r="B671" s="421"/>
      <c r="C671" s="421"/>
      <c r="D671" s="381"/>
      <c r="E671" s="381"/>
      <c r="F671" s="381"/>
    </row>
    <row r="672" spans="1:11">
      <c r="A672" s="1145" t="s">
        <v>465</v>
      </c>
      <c r="B672" s="1145"/>
      <c r="C672" s="1145"/>
      <c r="D672" s="1145"/>
      <c r="E672" s="1145"/>
      <c r="F672" s="1145"/>
      <c r="G672" s="1145"/>
      <c r="H672" s="995"/>
      <c r="I672" s="996"/>
      <c r="J672" s="435"/>
      <c r="K672" s="435"/>
    </row>
    <row r="673" spans="1:11">
      <c r="A673" s="383"/>
      <c r="B673" s="383"/>
      <c r="C673" s="383"/>
      <c r="D673" s="383"/>
      <c r="E673" s="383"/>
      <c r="F673" s="383"/>
      <c r="G673" s="383"/>
      <c r="H673" s="435"/>
      <c r="I673" s="987"/>
      <c r="J673" s="435"/>
      <c r="K673" s="435"/>
    </row>
    <row r="674" spans="1:11">
      <c r="C674" s="416"/>
      <c r="D674" s="1137" t="s">
        <v>466</v>
      </c>
      <c r="E674" s="1137"/>
      <c r="F674" s="1137"/>
      <c r="H674" s="435"/>
      <c r="I674" s="987"/>
      <c r="J674" s="435"/>
      <c r="K674" s="435"/>
    </row>
    <row r="675" spans="1:11">
      <c r="A675" s="416"/>
      <c r="B675" s="416"/>
      <c r="C675" s="416"/>
      <c r="D675" s="1137" t="s">
        <v>467</v>
      </c>
      <c r="E675" s="1137"/>
      <c r="F675" s="1137"/>
      <c r="H675" s="435"/>
      <c r="I675" s="987"/>
      <c r="J675" s="435"/>
      <c r="K675" s="435"/>
    </row>
    <row r="676" spans="1:11">
      <c r="A676" s="417"/>
      <c r="B676" s="417"/>
      <c r="C676" s="417"/>
      <c r="D676" s="1167" t="s">
        <v>468</v>
      </c>
      <c r="E676" s="1167"/>
      <c r="F676" s="1167"/>
      <c r="H676" s="435"/>
      <c r="I676" s="987"/>
      <c r="J676" s="435"/>
      <c r="K676" s="435"/>
    </row>
    <row r="677" spans="1:11">
      <c r="A677" s="417"/>
      <c r="B677" s="417"/>
      <c r="C677" s="417"/>
      <c r="H677" s="435"/>
      <c r="I677" s="987"/>
      <c r="J677" s="435"/>
      <c r="K677" s="435"/>
    </row>
    <row r="678" spans="1:11" ht="14.25">
      <c r="A678" s="418"/>
      <c r="B678" s="419" t="s">
        <v>525</v>
      </c>
      <c r="C678" s="417"/>
      <c r="D678" s="1167" t="s">
        <v>469</v>
      </c>
      <c r="E678" s="1167"/>
      <c r="F678" s="1167"/>
      <c r="H678" s="435"/>
      <c r="I678" s="987" t="s">
        <v>664</v>
      </c>
      <c r="J678" s="435"/>
      <c r="K678" s="435"/>
    </row>
    <row r="679" spans="1:11">
      <c r="A679" s="417"/>
      <c r="B679" s="417"/>
      <c r="C679" s="417"/>
      <c r="D679" s="1167" t="s">
        <v>470</v>
      </c>
      <c r="E679" s="1167"/>
      <c r="F679" s="1167"/>
      <c r="H679" s="435"/>
      <c r="I679" s="987"/>
      <c r="J679" s="435"/>
      <c r="K679" s="435"/>
    </row>
    <row r="680" spans="1:11" ht="12.75" customHeight="1">
      <c r="A680" s="417"/>
      <c r="B680" s="417"/>
      <c r="C680" s="417"/>
      <c r="E680" s="1043" t="s">
        <v>665</v>
      </c>
      <c r="F680" s="351"/>
      <c r="H680" s="435"/>
      <c r="I680" s="987"/>
      <c r="J680" s="435"/>
      <c r="K680" s="435"/>
    </row>
    <row r="681" spans="1:11">
      <c r="A681" s="417"/>
      <c r="B681" s="417"/>
      <c r="C681" s="417"/>
      <c r="E681" s="435" t="s">
        <v>666</v>
      </c>
      <c r="F681" s="351"/>
      <c r="I681" s="987"/>
      <c r="J681" s="435"/>
      <c r="K681" s="435"/>
    </row>
    <row r="682" spans="1:11">
      <c r="A682" s="417"/>
      <c r="B682" s="417"/>
      <c r="C682" s="417"/>
      <c r="D682" s="436"/>
      <c r="E682" s="381"/>
      <c r="H682" s="435"/>
      <c r="I682" s="987"/>
      <c r="J682" s="435"/>
      <c r="K682" s="435"/>
    </row>
    <row r="683" spans="1:11" ht="14.25">
      <c r="A683" s="418"/>
      <c r="B683" s="419" t="s">
        <v>525</v>
      </c>
      <c r="C683" s="417"/>
      <c r="D683" s="1139" t="s">
        <v>667</v>
      </c>
      <c r="E683" s="1139"/>
      <c r="F683" s="1139"/>
      <c r="H683" s="435"/>
      <c r="I683" s="987" t="s">
        <v>668</v>
      </c>
      <c r="J683" s="435"/>
      <c r="K683" s="435"/>
    </row>
    <row r="684" spans="1:11">
      <c r="A684" s="424"/>
      <c r="B684" s="424"/>
      <c r="C684" s="417"/>
      <c r="D684" s="1139"/>
      <c r="E684" s="1139"/>
      <c r="F684" s="1139"/>
      <c r="H684" s="435"/>
      <c r="I684" s="987"/>
      <c r="J684" s="435"/>
      <c r="K684" s="435"/>
    </row>
    <row r="685" spans="1:11">
      <c r="A685" s="417"/>
      <c r="B685" s="417"/>
      <c r="C685" s="417"/>
      <c r="D685" s="1139"/>
      <c r="E685" s="1139"/>
      <c r="F685" s="1139"/>
      <c r="H685" s="435"/>
      <c r="I685" s="987"/>
      <c r="J685" s="435"/>
      <c r="K685" s="435"/>
    </row>
    <row r="686" spans="1:11">
      <c r="A686" s="417"/>
      <c r="B686" s="417"/>
      <c r="C686" s="417"/>
      <c r="H686" s="435"/>
      <c r="I686" s="987" t="s">
        <v>669</v>
      </c>
      <c r="J686" s="435"/>
      <c r="K686" s="435"/>
    </row>
    <row r="687" spans="1:11" ht="14.25">
      <c r="A687" s="418"/>
      <c r="B687" s="419" t="s">
        <v>525</v>
      </c>
      <c r="C687" s="417"/>
      <c r="D687" s="1167" t="s">
        <v>473</v>
      </c>
      <c r="E687" s="1167"/>
      <c r="F687" s="1167"/>
      <c r="H687" s="435"/>
      <c r="I687" s="987"/>
      <c r="J687" s="435"/>
      <c r="K687" s="435"/>
    </row>
    <row r="688" spans="1:11" ht="14.25">
      <c r="A688" s="418"/>
      <c r="B688" s="418"/>
      <c r="C688" s="417"/>
      <c r="D688" s="1167" t="s">
        <v>470</v>
      </c>
      <c r="E688" s="1167"/>
      <c r="F688" s="1167"/>
      <c r="H688" s="435"/>
      <c r="I688" s="987"/>
      <c r="J688" s="435"/>
      <c r="K688" s="435"/>
    </row>
    <row r="689" spans="1:11">
      <c r="A689" s="417"/>
      <c r="B689" s="417"/>
      <c r="C689" s="417"/>
      <c r="E689" s="1043" t="s">
        <v>670</v>
      </c>
      <c r="F689" s="335"/>
      <c r="H689" s="435"/>
      <c r="I689" s="987"/>
      <c r="J689" s="435"/>
      <c r="K689" s="435"/>
    </row>
    <row r="690" spans="1:11">
      <c r="A690" s="417"/>
      <c r="B690" s="417"/>
      <c r="C690" s="417"/>
      <c r="D690" s="335"/>
      <c r="H690" s="435"/>
      <c r="I690" s="987"/>
      <c r="J690" s="435"/>
      <c r="K690" s="435"/>
    </row>
    <row r="691" spans="1:11" ht="14.25">
      <c r="A691" s="418"/>
      <c r="B691" s="419" t="s">
        <v>521</v>
      </c>
      <c r="C691" s="417"/>
      <c r="D691" s="1139" t="s">
        <v>475</v>
      </c>
      <c r="E691" s="1139"/>
      <c r="F691" s="1139"/>
      <c r="H691" s="435"/>
      <c r="I691" s="987" t="s">
        <v>671</v>
      </c>
      <c r="J691" s="435"/>
      <c r="K691" s="435"/>
    </row>
    <row r="692" spans="1:11">
      <c r="A692" s="417"/>
      <c r="B692" s="417"/>
      <c r="C692" s="417"/>
      <c r="D692" s="1139"/>
      <c r="E692" s="1139"/>
      <c r="F692" s="1139"/>
      <c r="H692" s="435"/>
      <c r="I692" s="987"/>
      <c r="J692" s="435"/>
      <c r="K692" s="435"/>
    </row>
    <row r="693" spans="1:11">
      <c r="A693" s="417"/>
      <c r="B693" s="417"/>
      <c r="C693" s="417"/>
      <c r="D693" s="1139"/>
      <c r="E693" s="1139"/>
      <c r="F693" s="1139"/>
      <c r="H693" s="435"/>
      <c r="I693" s="987"/>
      <c r="J693" s="435"/>
      <c r="K693" s="435"/>
    </row>
    <row r="694" spans="1:11">
      <c r="A694" s="417"/>
      <c r="B694" s="417"/>
      <c r="C694" s="417"/>
      <c r="D694" s="1139"/>
      <c r="E694" s="1139"/>
      <c r="F694" s="1139"/>
      <c r="H694" s="435"/>
      <c r="I694" s="987"/>
      <c r="J694" s="435"/>
      <c r="K694" s="435"/>
    </row>
    <row r="695" spans="1:11">
      <c r="A695" s="417"/>
      <c r="B695" s="417"/>
      <c r="C695" s="417"/>
      <c r="D695" s="1139"/>
      <c r="E695" s="1139"/>
      <c r="F695" s="1139"/>
      <c r="H695" s="435"/>
      <c r="I695" s="987"/>
      <c r="J695" s="435"/>
      <c r="K695" s="435"/>
    </row>
    <row r="696" spans="1:11">
      <c r="A696" s="417"/>
      <c r="B696" s="417"/>
      <c r="C696" s="417"/>
      <c r="D696" s="1139"/>
      <c r="E696" s="1139"/>
      <c r="F696" s="1139"/>
      <c r="H696" s="435"/>
      <c r="I696" s="987"/>
      <c r="J696" s="435"/>
      <c r="K696" s="435"/>
    </row>
    <row r="697" spans="1:11">
      <c r="A697" s="417"/>
      <c r="B697" s="417"/>
      <c r="C697" s="417"/>
      <c r="D697" s="380"/>
      <c r="E697" s="380"/>
      <c r="F697" s="380"/>
      <c r="H697" s="435"/>
      <c r="I697" s="987"/>
      <c r="J697" s="435"/>
      <c r="K697" s="435"/>
    </row>
    <row r="698" spans="1:11">
      <c r="A698" s="417"/>
      <c r="B698" s="419" t="s">
        <v>521</v>
      </c>
      <c r="C698" s="417"/>
      <c r="D698" s="1139" t="s">
        <v>672</v>
      </c>
      <c r="E698" s="1139"/>
      <c r="F698" s="1139"/>
      <c r="H698" s="435"/>
      <c r="I698" s="987" t="s">
        <v>671</v>
      </c>
      <c r="J698" s="435"/>
      <c r="K698" s="435"/>
    </row>
    <row r="699" spans="1:11">
      <c r="A699" s="417"/>
      <c r="B699" s="417"/>
      <c r="C699" s="417"/>
      <c r="D699" s="1139"/>
      <c r="E699" s="1139"/>
      <c r="F699" s="1139"/>
      <c r="H699" s="435"/>
      <c r="I699" s="987"/>
      <c r="J699" s="435"/>
      <c r="K699" s="435"/>
    </row>
    <row r="700" spans="1:11">
      <c r="A700" s="417"/>
      <c r="B700" s="417"/>
      <c r="C700" s="417"/>
      <c r="D700" s="380"/>
      <c r="E700" s="380"/>
      <c r="F700" s="380"/>
      <c r="H700" s="435"/>
      <c r="I700" s="987"/>
      <c r="J700" s="435"/>
      <c r="K700" s="435"/>
    </row>
    <row r="701" spans="1:11" ht="14.25">
      <c r="A701" s="418"/>
      <c r="B701" s="419" t="s">
        <v>521</v>
      </c>
      <c r="C701" s="417"/>
      <c r="D701" s="1139" t="s">
        <v>476</v>
      </c>
      <c r="E701" s="1139"/>
      <c r="F701" s="1139"/>
      <c r="H701" s="435"/>
      <c r="I701" s="987" t="s">
        <v>671</v>
      </c>
      <c r="J701" s="435"/>
      <c r="K701" s="435"/>
    </row>
    <row r="702" spans="1:11">
      <c r="A702" s="417"/>
      <c r="B702" s="417"/>
      <c r="C702" s="417"/>
      <c r="D702" s="1139"/>
      <c r="E702" s="1139"/>
      <c r="F702" s="1139"/>
      <c r="H702" s="435"/>
      <c r="I702" s="987"/>
      <c r="J702" s="435"/>
      <c r="K702" s="435"/>
    </row>
    <row r="703" spans="1:11">
      <c r="A703" s="417"/>
      <c r="B703" s="417"/>
      <c r="C703" s="417"/>
      <c r="D703" s="1139"/>
      <c r="E703" s="1139"/>
      <c r="F703" s="1139"/>
      <c r="H703" s="435"/>
      <c r="I703" s="987"/>
      <c r="J703" s="435"/>
      <c r="K703" s="435"/>
    </row>
    <row r="704" spans="1:11" ht="15" customHeight="1">
      <c r="A704" s="417"/>
      <c r="B704" s="417"/>
      <c r="C704" s="417"/>
      <c r="D704" s="1139"/>
      <c r="E704" s="1139"/>
      <c r="F704" s="1139"/>
      <c r="H704" s="435"/>
      <c r="I704" s="987"/>
      <c r="J704" s="435"/>
      <c r="K704" s="435"/>
    </row>
    <row r="705" spans="1:11" ht="15" customHeight="1">
      <c r="A705" s="417"/>
      <c r="B705" s="417"/>
      <c r="C705" s="417"/>
      <c r="D705" s="1139"/>
      <c r="E705" s="1139"/>
      <c r="F705" s="1139"/>
      <c r="H705" s="435"/>
      <c r="I705" s="987"/>
      <c r="J705" s="435"/>
      <c r="K705" s="435"/>
    </row>
    <row r="706" spans="1:11">
      <c r="A706" s="417"/>
      <c r="B706" s="417"/>
      <c r="C706" s="417"/>
      <c r="D706" s="1139"/>
      <c r="E706" s="1139"/>
      <c r="F706" s="1139"/>
      <c r="H706" s="435"/>
      <c r="I706" s="987"/>
      <c r="J706" s="435"/>
      <c r="K706" s="435"/>
    </row>
    <row r="707" spans="1:11">
      <c r="A707" s="417"/>
      <c r="B707" s="417"/>
      <c r="C707" s="417"/>
      <c r="D707" s="1139"/>
      <c r="E707" s="1139"/>
      <c r="F707" s="1139"/>
      <c r="H707" s="435"/>
      <c r="I707" s="987"/>
      <c r="J707" s="435"/>
      <c r="K707" s="435"/>
    </row>
    <row r="708" spans="1:11">
      <c r="A708" s="417"/>
      <c r="B708" s="417"/>
      <c r="C708" s="417"/>
      <c r="D708" s="1139"/>
      <c r="E708" s="1139"/>
      <c r="F708" s="1139"/>
      <c r="H708" s="435"/>
      <c r="I708" s="987"/>
      <c r="J708" s="435"/>
      <c r="K708" s="435"/>
    </row>
    <row r="709" spans="1:11" ht="15" customHeight="1">
      <c r="A709" s="417"/>
      <c r="B709" s="417"/>
      <c r="C709" s="417"/>
      <c r="D709" s="1139"/>
      <c r="E709" s="1139"/>
      <c r="F709" s="1139"/>
      <c r="H709" s="435"/>
      <c r="I709" s="987"/>
      <c r="J709" s="435"/>
      <c r="K709" s="435"/>
    </row>
    <row r="710" spans="1:11">
      <c r="A710" s="417"/>
      <c r="B710" s="417"/>
      <c r="C710" s="417"/>
      <c r="D710" s="1139"/>
      <c r="E710" s="1139"/>
      <c r="F710" s="1139"/>
      <c r="H710" s="435"/>
      <c r="I710" s="987"/>
      <c r="J710" s="435"/>
      <c r="K710" s="435"/>
    </row>
    <row r="711" spans="1:11">
      <c r="A711" s="417"/>
      <c r="B711" s="417"/>
      <c r="C711" s="417"/>
      <c r="D711" s="1139"/>
      <c r="E711" s="1139"/>
      <c r="F711" s="1139"/>
      <c r="H711" s="435"/>
      <c r="I711" s="987"/>
      <c r="J711" s="435"/>
      <c r="K711" s="435"/>
    </row>
    <row r="712" spans="1:11">
      <c r="A712" s="417"/>
      <c r="B712" s="417"/>
      <c r="C712" s="417"/>
      <c r="D712" s="1139"/>
      <c r="E712" s="1139"/>
      <c r="F712" s="1139"/>
      <c r="H712" s="435"/>
      <c r="I712" s="987"/>
      <c r="J712" s="435"/>
      <c r="K712" s="435"/>
    </row>
    <row r="713" spans="1:11">
      <c r="A713" s="417"/>
      <c r="B713" s="417"/>
      <c r="C713" s="417"/>
      <c r="D713" s="1139"/>
      <c r="E713" s="1139"/>
      <c r="F713" s="1139"/>
      <c r="H713" s="435"/>
      <c r="I713" s="987"/>
      <c r="J713" s="435"/>
      <c r="K713" s="435"/>
    </row>
    <row r="714" spans="1:11">
      <c r="A714" s="417"/>
      <c r="B714" s="419" t="s">
        <v>521</v>
      </c>
      <c r="C714" s="417"/>
      <c r="D714" s="1139" t="s">
        <v>478</v>
      </c>
      <c r="E714" s="1139"/>
      <c r="F714" s="1139"/>
      <c r="H714" s="435"/>
      <c r="I714" s="987" t="s">
        <v>673</v>
      </c>
      <c r="J714" s="435"/>
      <c r="K714" s="435"/>
    </row>
    <row r="715" spans="1:11">
      <c r="A715" s="417"/>
      <c r="B715" s="417"/>
      <c r="C715" s="417"/>
      <c r="D715" s="1139"/>
      <c r="E715" s="1139"/>
      <c r="F715" s="1139"/>
      <c r="H715" s="435"/>
      <c r="I715" s="987"/>
      <c r="J715" s="435"/>
      <c r="K715" s="435"/>
    </row>
    <row r="716" spans="1:11">
      <c r="A716" s="417"/>
      <c r="B716" s="417"/>
      <c r="C716" s="417"/>
      <c r="D716" s="380"/>
      <c r="E716" s="380"/>
      <c r="F716" s="380"/>
      <c r="H716" s="435"/>
      <c r="I716" s="987"/>
      <c r="J716" s="435"/>
      <c r="K716" s="435"/>
    </row>
    <row r="717" spans="1:11">
      <c r="A717" s="417"/>
      <c r="B717" s="419" t="s">
        <v>521</v>
      </c>
      <c r="C717" s="417"/>
      <c r="D717" s="1139" t="s">
        <v>480</v>
      </c>
      <c r="E717" s="1139"/>
      <c r="F717" s="1139"/>
      <c r="H717" s="435"/>
      <c r="I717" s="987" t="s">
        <v>673</v>
      </c>
      <c r="J717" s="435"/>
      <c r="K717" s="435"/>
    </row>
    <row r="718" spans="1:11">
      <c r="A718" s="417"/>
      <c r="B718" s="417"/>
      <c r="C718" s="417"/>
      <c r="D718" s="1139"/>
      <c r="E718" s="1139"/>
      <c r="F718" s="1139"/>
      <c r="H718" s="435"/>
      <c r="I718" s="987"/>
      <c r="J718" s="435"/>
      <c r="K718" s="435"/>
    </row>
    <row r="719" spans="1:11">
      <c r="A719" s="417"/>
      <c r="B719" s="417"/>
      <c r="C719" s="417"/>
      <c r="D719" s="1139"/>
      <c r="E719" s="1139"/>
      <c r="F719" s="1139"/>
      <c r="H719" s="435"/>
      <c r="I719" s="987"/>
      <c r="J719" s="435"/>
      <c r="K719" s="435"/>
    </row>
    <row r="720" spans="1:11">
      <c r="A720" s="417"/>
      <c r="B720" s="417"/>
      <c r="C720" s="417"/>
      <c r="H720" s="435"/>
      <c r="I720" s="987"/>
      <c r="J720" s="435"/>
      <c r="K720" s="435"/>
    </row>
    <row r="721" spans="1:11">
      <c r="A721" s="417"/>
      <c r="B721" s="419" t="s">
        <v>521</v>
      </c>
      <c r="C721" s="417"/>
      <c r="D721" s="1139" t="s">
        <v>481</v>
      </c>
      <c r="E721" s="1139"/>
      <c r="F721" s="1139"/>
      <c r="H721" s="435"/>
      <c r="I721" s="987" t="s">
        <v>673</v>
      </c>
      <c r="J721" s="435"/>
      <c r="K721" s="435"/>
    </row>
    <row r="722" spans="1:11">
      <c r="A722" s="417"/>
      <c r="B722" s="417"/>
      <c r="C722" s="417"/>
      <c r="D722" s="1139"/>
      <c r="E722" s="1139"/>
      <c r="F722" s="1139"/>
      <c r="H722" s="435"/>
      <c r="I722" s="987"/>
      <c r="J722" s="435"/>
      <c r="K722" s="435"/>
    </row>
    <row r="723" spans="1:11">
      <c r="A723" s="417"/>
      <c r="B723" s="417"/>
      <c r="C723" s="417"/>
      <c r="D723" s="1139"/>
      <c r="E723" s="1139"/>
      <c r="F723" s="1139"/>
      <c r="H723" s="435"/>
      <c r="I723" s="987"/>
      <c r="J723" s="435"/>
      <c r="K723" s="435"/>
    </row>
    <row r="724" spans="1:11">
      <c r="A724" s="417"/>
      <c r="B724" s="417"/>
      <c r="C724" s="417"/>
      <c r="H724" s="435"/>
      <c r="I724" s="987"/>
      <c r="J724" s="435"/>
      <c r="K724" s="435"/>
    </row>
    <row r="725" spans="1:11" ht="14.25">
      <c r="A725" s="418"/>
      <c r="B725" s="419" t="s">
        <v>521</v>
      </c>
      <c r="C725" s="417"/>
      <c r="D725" s="1139" t="s">
        <v>482</v>
      </c>
      <c r="E725" s="1139"/>
      <c r="F725" s="1139"/>
      <c r="H725" s="435"/>
      <c r="I725" s="987" t="s">
        <v>674</v>
      </c>
      <c r="J725" s="435"/>
      <c r="K725" s="435"/>
    </row>
    <row r="726" spans="1:11">
      <c r="A726" s="417"/>
      <c r="B726" s="417"/>
      <c r="C726" s="417"/>
      <c r="D726" s="1139"/>
      <c r="E726" s="1139"/>
      <c r="F726" s="1139"/>
      <c r="H726" s="435"/>
      <c r="I726" s="987"/>
      <c r="J726" s="435"/>
      <c r="K726" s="435"/>
    </row>
    <row r="727" spans="1:11">
      <c r="A727" s="417"/>
      <c r="B727" s="417"/>
      <c r="C727" s="417"/>
      <c r="D727" s="1139"/>
      <c r="E727" s="1139"/>
      <c r="F727" s="1139"/>
      <c r="H727" s="435"/>
      <c r="I727" s="987"/>
      <c r="J727" s="435"/>
      <c r="K727" s="435"/>
    </row>
    <row r="728" spans="1:11">
      <c r="A728" s="417"/>
      <c r="B728" s="417"/>
      <c r="C728" s="417"/>
      <c r="D728" s="1139"/>
      <c r="E728" s="1139"/>
      <c r="F728" s="1139"/>
      <c r="H728" s="435"/>
      <c r="I728" s="987"/>
      <c r="J728" s="435"/>
      <c r="K728" s="435"/>
    </row>
    <row r="729" spans="1:11">
      <c r="A729" s="417"/>
      <c r="B729" s="417"/>
      <c r="C729" s="417"/>
      <c r="D729" s="426"/>
      <c r="H729" s="435"/>
      <c r="I729" s="987"/>
      <c r="J729" s="435"/>
      <c r="K729" s="435"/>
    </row>
    <row r="730" spans="1:11" ht="14.25">
      <c r="A730" s="418"/>
      <c r="B730" s="419" t="s">
        <v>521</v>
      </c>
      <c r="C730" s="417"/>
      <c r="D730" s="1139" t="s">
        <v>483</v>
      </c>
      <c r="E730" s="1139"/>
      <c r="F730" s="1139"/>
      <c r="H730" s="435"/>
      <c r="I730" s="987" t="s">
        <v>675</v>
      </c>
      <c r="J730" s="435"/>
      <c r="K730" s="435"/>
    </row>
    <row r="731" spans="1:11">
      <c r="A731" s="417"/>
      <c r="B731" s="417"/>
      <c r="C731" s="417"/>
      <c r="D731" s="1139"/>
      <c r="E731" s="1139"/>
      <c r="F731" s="1139"/>
      <c r="H731" s="435"/>
      <c r="I731" s="987"/>
      <c r="J731" s="435"/>
      <c r="K731" s="435"/>
    </row>
    <row r="732" spans="1:11">
      <c r="A732" s="417"/>
      <c r="B732" s="417"/>
      <c r="C732" s="417"/>
      <c r="D732" s="1139"/>
      <c r="E732" s="1139"/>
      <c r="F732" s="1139"/>
      <c r="H732" s="435"/>
      <c r="I732" s="987"/>
      <c r="J732" s="435"/>
      <c r="K732" s="435"/>
    </row>
    <row r="733" spans="1:11">
      <c r="A733" s="417"/>
      <c r="B733" s="417"/>
      <c r="C733" s="417"/>
      <c r="D733" s="1139"/>
      <c r="E733" s="1139"/>
      <c r="F733" s="1139"/>
      <c r="H733" s="435"/>
      <c r="I733" s="987"/>
      <c r="J733" s="435"/>
      <c r="K733" s="435"/>
    </row>
    <row r="734" spans="1:11">
      <c r="A734" s="417"/>
      <c r="B734" s="417"/>
      <c r="C734" s="417"/>
      <c r="D734" s="1139"/>
      <c r="E734" s="1139"/>
      <c r="F734" s="1139"/>
      <c r="H734" s="435"/>
      <c r="I734" s="987"/>
      <c r="J734" s="435"/>
      <c r="K734" s="435"/>
    </row>
    <row r="735" spans="1:11">
      <c r="A735" s="417"/>
      <c r="B735" s="417"/>
      <c r="C735" s="417"/>
      <c r="D735" s="1139"/>
      <c r="E735" s="1139"/>
      <c r="F735" s="1139"/>
      <c r="H735" s="435"/>
      <c r="I735" s="987"/>
      <c r="J735" s="435"/>
      <c r="K735" s="435"/>
    </row>
    <row r="736" spans="1:11">
      <c r="A736" s="417"/>
      <c r="B736" s="417"/>
      <c r="C736" s="417"/>
      <c r="D736" s="1139"/>
      <c r="E736" s="1139"/>
      <c r="F736" s="1139"/>
      <c r="H736" s="435"/>
      <c r="I736" s="987"/>
      <c r="J736" s="435"/>
      <c r="K736" s="435"/>
    </row>
    <row r="737" spans="1:11">
      <c r="A737" s="417"/>
      <c r="B737" s="417"/>
      <c r="C737" s="417"/>
      <c r="D737" s="1149" t="s">
        <v>484</v>
      </c>
      <c r="E737" s="1149"/>
      <c r="F737" s="1149"/>
      <c r="H737" s="435"/>
      <c r="I737" s="987"/>
      <c r="J737" s="435"/>
      <c r="K737" s="435"/>
    </row>
    <row r="738" spans="1:11">
      <c r="A738" s="417"/>
      <c r="B738" s="417"/>
      <c r="C738" s="417"/>
      <c r="D738" s="269"/>
      <c r="H738" s="435"/>
      <c r="I738" s="987"/>
      <c r="J738" s="435"/>
      <c r="K738" s="435"/>
    </row>
    <row r="739" spans="1:11">
      <c r="A739" s="1146" t="s">
        <v>485</v>
      </c>
      <c r="B739" s="1146"/>
      <c r="C739" s="1146"/>
      <c r="D739" s="1146"/>
      <c r="E739" s="1146"/>
      <c r="F739" s="1146"/>
      <c r="G739" s="1146"/>
      <c r="H739" s="995"/>
      <c r="I739" s="996"/>
      <c r="J739" s="435"/>
      <c r="K739" s="435"/>
    </row>
    <row r="740" spans="1:11">
      <c r="A740" s="417"/>
      <c r="B740" s="417"/>
      <c r="C740" s="417"/>
      <c r="D740" s="426"/>
      <c r="G740" s="435"/>
      <c r="H740" s="435"/>
      <c r="I740" s="987"/>
      <c r="J740" s="435"/>
      <c r="K740" s="435"/>
    </row>
    <row r="741" spans="1:11" ht="13.7" customHeight="1">
      <c r="C741" s="417"/>
      <c r="D741" s="1166" t="s">
        <v>486</v>
      </c>
      <c r="E741" s="1166"/>
      <c r="F741" s="1166"/>
      <c r="G741" s="435"/>
      <c r="H741" s="435"/>
      <c r="I741" s="987"/>
      <c r="J741" s="435"/>
      <c r="K741" s="435"/>
    </row>
    <row r="742" spans="1:11">
      <c r="A742" s="417"/>
      <c r="B742" s="417"/>
      <c r="C742" s="417"/>
      <c r="D742" s="1152" t="s">
        <v>487</v>
      </c>
      <c r="E742" s="1152"/>
      <c r="F742" s="1152"/>
      <c r="G742" s="435"/>
      <c r="H742" s="435"/>
      <c r="I742" s="987"/>
      <c r="J742" s="435"/>
      <c r="K742" s="435"/>
    </row>
    <row r="743" spans="1:11">
      <c r="A743" s="417"/>
      <c r="B743" s="417"/>
      <c r="C743" s="417"/>
      <c r="G743" s="435"/>
      <c r="H743" s="435"/>
      <c r="I743" s="987"/>
      <c r="J743" s="435"/>
      <c r="K743" s="435"/>
    </row>
    <row r="744" spans="1:11" ht="14.25">
      <c r="A744" s="418"/>
      <c r="B744" s="419" t="s">
        <v>525</v>
      </c>
      <c r="D744" s="1139" t="s">
        <v>488</v>
      </c>
      <c r="E744" s="1139"/>
      <c r="F744" s="1139"/>
      <c r="G744" s="435"/>
      <c r="H744" s="435"/>
      <c r="I744" s="987" t="s">
        <v>676</v>
      </c>
      <c r="J744" s="435"/>
      <c r="K744" s="435"/>
    </row>
    <row r="745" spans="1:11" ht="10.5" customHeight="1">
      <c r="D745" s="1139"/>
      <c r="E745" s="1139"/>
      <c r="F745" s="1139"/>
      <c r="G745" s="435"/>
      <c r="H745" s="435"/>
      <c r="I745" s="987"/>
      <c r="J745" s="435"/>
      <c r="K745" s="435"/>
    </row>
    <row r="746" spans="1:11">
      <c r="D746" s="1139"/>
      <c r="E746" s="1139"/>
      <c r="F746" s="1139"/>
      <c r="G746" s="435"/>
      <c r="H746" s="435"/>
      <c r="I746" s="987"/>
      <c r="J746" s="435"/>
      <c r="K746" s="435"/>
    </row>
    <row r="747" spans="1:11">
      <c r="D747" s="1139"/>
      <c r="E747" s="1139"/>
      <c r="F747" s="1139"/>
      <c r="G747" s="435"/>
      <c r="H747" s="435"/>
      <c r="I747" s="987"/>
      <c r="J747" s="435"/>
      <c r="K747" s="435"/>
    </row>
    <row r="748" spans="1:11">
      <c r="D748" s="1139"/>
      <c r="E748" s="1139"/>
      <c r="F748" s="1139"/>
      <c r="G748" s="435"/>
      <c r="H748" s="435"/>
      <c r="I748" s="987"/>
      <c r="J748" s="435"/>
      <c r="K748" s="435"/>
    </row>
    <row r="749" spans="1:11" ht="15.6" customHeight="1">
      <c r="D749" s="1139"/>
      <c r="E749" s="1139"/>
      <c r="F749" s="1139"/>
      <c r="G749" s="435"/>
      <c r="H749" s="435"/>
      <c r="I749" s="987"/>
      <c r="J749" s="435"/>
      <c r="K749" s="435"/>
    </row>
    <row r="750" spans="1:11">
      <c r="D750" s="433"/>
      <c r="E750" s="381"/>
      <c r="F750" s="381"/>
      <c r="G750" s="435"/>
      <c r="H750" s="435"/>
      <c r="I750" s="987"/>
      <c r="J750" s="435"/>
      <c r="K750" s="435"/>
    </row>
    <row r="751" spans="1:11" s="439" customFormat="1" ht="14.25">
      <c r="A751" s="437"/>
      <c r="B751" s="419" t="s">
        <v>525</v>
      </c>
      <c r="C751" s="438"/>
      <c r="D751" s="1139" t="s">
        <v>677</v>
      </c>
      <c r="E751" s="1139"/>
      <c r="F751" s="1139"/>
      <c r="I751" s="988" t="s">
        <v>676</v>
      </c>
    </row>
    <row r="752" spans="1:11" s="439" customFormat="1">
      <c r="A752" s="438"/>
      <c r="B752" s="438"/>
      <c r="C752" s="438"/>
      <c r="D752" s="1139"/>
      <c r="E752" s="1139"/>
      <c r="F752" s="1139"/>
      <c r="I752" s="988"/>
    </row>
    <row r="753" spans="1:11" s="439" customFormat="1">
      <c r="A753" s="438"/>
      <c r="B753" s="438"/>
      <c r="C753" s="438"/>
      <c r="D753" s="1139"/>
      <c r="E753" s="1139"/>
      <c r="F753" s="1139"/>
      <c r="I753" s="988"/>
    </row>
    <row r="754" spans="1:11" s="439" customFormat="1">
      <c r="A754" s="438"/>
      <c r="B754" s="438"/>
      <c r="C754" s="438"/>
      <c r="D754" s="1139"/>
      <c r="E754" s="1139"/>
      <c r="F754" s="1139"/>
      <c r="I754" s="988"/>
    </row>
    <row r="755" spans="1:11" s="439" customFormat="1">
      <c r="A755" s="438"/>
      <c r="B755" s="438"/>
      <c r="C755" s="438"/>
      <c r="D755" s="433"/>
      <c r="I755" s="988"/>
    </row>
    <row r="756" spans="1:11" s="439" customFormat="1" ht="14.25">
      <c r="A756" s="418"/>
      <c r="B756" s="419" t="s">
        <v>521</v>
      </c>
      <c r="C756" s="438"/>
      <c r="D756" s="1141" t="s">
        <v>678</v>
      </c>
      <c r="E756" s="1141"/>
      <c r="F756" s="1141"/>
      <c r="I756" s="988" t="s">
        <v>679</v>
      </c>
    </row>
    <row r="757" spans="1:11" s="439" customFormat="1">
      <c r="A757" s="438"/>
      <c r="B757" s="438"/>
      <c r="C757" s="438"/>
      <c r="D757" s="1141"/>
      <c r="E757" s="1141"/>
      <c r="F757" s="1141"/>
      <c r="I757" s="988"/>
    </row>
    <row r="758" spans="1:11" s="439" customFormat="1">
      <c r="A758" s="438"/>
      <c r="B758" s="438"/>
      <c r="C758" s="438"/>
      <c r="D758" s="1141"/>
      <c r="E758" s="1141"/>
      <c r="F758" s="1141"/>
      <c r="I758" s="988"/>
    </row>
    <row r="759" spans="1:11">
      <c r="D759" s="433"/>
      <c r="E759" s="381"/>
      <c r="F759" s="381"/>
      <c r="G759" s="435"/>
      <c r="H759" s="435"/>
      <c r="I759" s="987"/>
      <c r="J759" s="435"/>
      <c r="K759" s="435"/>
    </row>
    <row r="760" spans="1:11" ht="14.25">
      <c r="A760" s="418"/>
      <c r="B760" s="419" t="s">
        <v>521</v>
      </c>
      <c r="D760" s="1139" t="s">
        <v>680</v>
      </c>
      <c r="E760" s="1139"/>
      <c r="F760" s="1139"/>
      <c r="G760" s="435"/>
      <c r="H760" s="435"/>
      <c r="I760" s="987" t="s">
        <v>676</v>
      </c>
      <c r="J760" s="435"/>
      <c r="K760" s="435"/>
    </row>
    <row r="761" spans="1:11">
      <c r="D761" s="1139"/>
      <c r="E761" s="1139"/>
      <c r="F761" s="1139"/>
      <c r="G761" s="435"/>
      <c r="H761" s="435"/>
      <c r="I761" s="987"/>
      <c r="J761" s="435"/>
      <c r="K761" s="435"/>
    </row>
    <row r="762" spans="1:11">
      <c r="D762" s="380"/>
      <c r="E762" s="380"/>
      <c r="F762" s="380"/>
      <c r="G762" s="435"/>
      <c r="H762" s="435"/>
      <c r="I762" s="987"/>
      <c r="J762" s="435"/>
      <c r="K762" s="435"/>
    </row>
    <row r="763" spans="1:11">
      <c r="B763" s="419" t="s">
        <v>521</v>
      </c>
      <c r="D763" s="1139" t="s">
        <v>681</v>
      </c>
      <c r="E763" s="1139"/>
      <c r="F763" s="1139"/>
      <c r="G763" s="435"/>
      <c r="H763" s="435"/>
      <c r="I763" s="987" t="s">
        <v>676</v>
      </c>
      <c r="J763" s="435"/>
      <c r="K763" s="435"/>
    </row>
    <row r="764" spans="1:11">
      <c r="D764" s="1139"/>
      <c r="E764" s="1139"/>
      <c r="F764" s="1139"/>
      <c r="G764" s="435"/>
      <c r="H764" s="435"/>
      <c r="I764" s="987"/>
      <c r="J764" s="435"/>
      <c r="K764" s="435"/>
    </row>
    <row r="765" spans="1:11">
      <c r="D765" s="1139"/>
      <c r="E765" s="1139"/>
      <c r="F765" s="1139"/>
      <c r="G765" s="435"/>
      <c r="H765" s="435"/>
      <c r="I765" s="987"/>
      <c r="J765" s="435"/>
      <c r="K765" s="435"/>
    </row>
    <row r="766" spans="1:11">
      <c r="D766" s="380"/>
      <c r="E766" s="380"/>
      <c r="F766" s="380"/>
      <c r="G766" s="435"/>
      <c r="H766" s="435"/>
      <c r="I766" s="987"/>
      <c r="J766" s="435"/>
      <c r="K766" s="435"/>
    </row>
    <row r="767" spans="1:11">
      <c r="A767" s="1192" t="s">
        <v>682</v>
      </c>
      <c r="B767" s="1192"/>
      <c r="C767" s="1192"/>
      <c r="D767" s="1192"/>
      <c r="E767" s="1192"/>
      <c r="F767" s="1192"/>
      <c r="G767" s="1192"/>
      <c r="H767" s="993"/>
      <c r="I767" s="994"/>
    </row>
    <row r="768" spans="1:11">
      <c r="A768" s="50"/>
      <c r="B768" s="50"/>
      <c r="C768" s="285"/>
      <c r="D768" s="3"/>
      <c r="E768" s="3"/>
      <c r="F768" s="3"/>
      <c r="G768" s="3"/>
    </row>
    <row r="769" spans="1:9">
      <c r="A769" s="50"/>
      <c r="B769" s="50"/>
      <c r="C769" s="285"/>
      <c r="D769" s="1193" t="s">
        <v>683</v>
      </c>
      <c r="E769" s="1193"/>
      <c r="F769" s="1193"/>
      <c r="G769" s="3"/>
    </row>
    <row r="770" spans="1:9">
      <c r="A770" s="50"/>
      <c r="B770" s="50"/>
      <c r="C770" s="285"/>
      <c r="D770" s="1171" t="s">
        <v>684</v>
      </c>
      <c r="E770" s="1171"/>
      <c r="F770" s="1171"/>
      <c r="G770" s="3"/>
    </row>
    <row r="771" spans="1:9">
      <c r="A771" s="50"/>
      <c r="B771" s="50"/>
      <c r="C771" s="285"/>
      <c r="D771" s="382"/>
      <c r="E771" s="382"/>
      <c r="F771" s="382"/>
      <c r="G771" s="3"/>
    </row>
    <row r="772" spans="1:9">
      <c r="A772" s="50"/>
      <c r="B772" s="419" t="s">
        <v>521</v>
      </c>
      <c r="C772" s="285"/>
      <c r="D772" s="1155" t="s">
        <v>685</v>
      </c>
      <c r="E772" s="1155"/>
      <c r="F772" s="1155"/>
      <c r="G772" s="3"/>
      <c r="I772" s="987" t="s">
        <v>686</v>
      </c>
    </row>
    <row r="773" spans="1:9">
      <c r="A773" s="50"/>
      <c r="B773" s="50"/>
      <c r="C773" s="285"/>
      <c r="D773" s="1155"/>
      <c r="E773" s="1155"/>
      <c r="F773" s="1155"/>
      <c r="G773" s="3"/>
    </row>
    <row r="774" spans="1:9">
      <c r="A774" s="123"/>
      <c r="B774" s="123"/>
      <c r="C774" s="123"/>
      <c r="D774" s="1155"/>
      <c r="E774" s="1155"/>
      <c r="F774" s="1155"/>
      <c r="G774" s="85"/>
    </row>
    <row r="775" spans="1:9">
      <c r="A775" s="285"/>
      <c r="B775" s="285"/>
      <c r="C775" s="285"/>
      <c r="D775" s="122"/>
      <c r="E775" s="3"/>
      <c r="F775" s="3"/>
      <c r="G775" s="3"/>
    </row>
    <row r="776" spans="1:9">
      <c r="A776" s="120"/>
      <c r="B776" s="419" t="s">
        <v>521</v>
      </c>
      <c r="C776" s="120"/>
      <c r="D776" s="1155" t="s">
        <v>687</v>
      </c>
      <c r="E776" s="1155"/>
      <c r="F776" s="1155"/>
      <c r="G776" s="3"/>
      <c r="I776" s="987" t="s">
        <v>686</v>
      </c>
    </row>
    <row r="777" spans="1:9">
      <c r="A777" s="120"/>
      <c r="B777" s="120"/>
      <c r="C777" s="120"/>
      <c r="D777" s="1155"/>
      <c r="E777" s="1155"/>
      <c r="F777" s="1155"/>
      <c r="G777" s="3"/>
    </row>
    <row r="778" spans="1:9">
      <c r="A778" s="120"/>
      <c r="B778" s="120"/>
      <c r="C778" s="120"/>
      <c r="D778" s="1155"/>
      <c r="E778" s="1155"/>
      <c r="F778" s="1155"/>
      <c r="G778" s="3"/>
    </row>
    <row r="779" spans="1:9">
      <c r="A779" s="123"/>
      <c r="B779" s="123"/>
      <c r="C779" s="123"/>
      <c r="D779" s="3"/>
      <c r="E779" s="949"/>
      <c r="F779" s="949"/>
      <c r="G779" s="949"/>
    </row>
    <row r="780" spans="1:9" ht="14.25">
      <c r="A780" s="124"/>
      <c r="B780" s="419" t="s">
        <v>521</v>
      </c>
      <c r="C780" s="950"/>
      <c r="D780" s="1155" t="s">
        <v>688</v>
      </c>
      <c r="E780" s="1155"/>
      <c r="F780" s="1155"/>
      <c r="G780" s="949"/>
      <c r="I780" s="987" t="s">
        <v>686</v>
      </c>
    </row>
    <row r="781" spans="1:9" ht="14.25">
      <c r="A781" s="124"/>
      <c r="B781" s="124"/>
      <c r="C781" s="950"/>
      <c r="D781" s="1155"/>
      <c r="E781" s="1155"/>
      <c r="F781" s="1155"/>
      <c r="G781" s="949"/>
    </row>
    <row r="782" spans="1:9" ht="14.25">
      <c r="A782" s="124"/>
      <c r="B782" s="124"/>
      <c r="C782" s="950"/>
      <c r="D782" s="1155"/>
      <c r="E782" s="1155"/>
      <c r="F782" s="1155"/>
      <c r="G782" s="949"/>
    </row>
    <row r="783" spans="1:9" ht="14.25">
      <c r="A783" s="124"/>
      <c r="B783" s="124"/>
      <c r="C783" s="950"/>
      <c r="D783" s="85"/>
      <c r="E783" s="3"/>
      <c r="F783" s="3"/>
      <c r="G783" s="949"/>
    </row>
    <row r="784" spans="1:9" ht="14.25">
      <c r="A784" s="124"/>
      <c r="B784" s="419" t="s">
        <v>521</v>
      </c>
      <c r="C784" s="950"/>
      <c r="D784" s="1155" t="s">
        <v>689</v>
      </c>
      <c r="E784" s="1155"/>
      <c r="F784" s="1155"/>
      <c r="G784" s="949"/>
      <c r="I784" s="987" t="s">
        <v>686</v>
      </c>
    </row>
    <row r="785" spans="1:9" ht="14.25">
      <c r="A785" s="124"/>
      <c r="B785" s="124"/>
      <c r="C785" s="950"/>
      <c r="D785" s="1155"/>
      <c r="E785" s="1155"/>
      <c r="F785" s="1155"/>
      <c r="G785" s="949"/>
    </row>
    <row r="786" spans="1:9" ht="14.25">
      <c r="A786" s="124"/>
      <c r="B786" s="124"/>
      <c r="C786" s="950"/>
      <c r="D786" s="1155"/>
      <c r="E786" s="1155"/>
      <c r="F786" s="1155"/>
      <c r="G786" s="949"/>
    </row>
    <row r="787" spans="1:9" ht="14.25">
      <c r="A787" s="124"/>
      <c r="B787" s="124"/>
      <c r="C787" s="950"/>
      <c r="D787" s="1155"/>
      <c r="E787" s="1155"/>
      <c r="F787" s="1155"/>
      <c r="G787" s="949"/>
    </row>
    <row r="788" spans="1:9" ht="14.25">
      <c r="A788" s="124"/>
      <c r="B788" s="124"/>
      <c r="C788" s="950"/>
      <c r="D788" s="1155"/>
      <c r="E788" s="1155"/>
      <c r="F788" s="1155"/>
      <c r="G788" s="949"/>
    </row>
    <row r="789" spans="1:9" ht="14.25">
      <c r="A789" s="124"/>
      <c r="B789" s="124"/>
      <c r="C789" s="950"/>
      <c r="D789" s="1155"/>
      <c r="E789" s="1155"/>
      <c r="F789" s="1155"/>
      <c r="G789" s="949"/>
    </row>
    <row r="790" spans="1:9" ht="14.25">
      <c r="A790" s="124"/>
      <c r="B790" s="124"/>
      <c r="C790" s="950"/>
      <c r="D790" s="1155" t="s">
        <v>690</v>
      </c>
      <c r="E790" s="1155"/>
      <c r="F790" s="1155"/>
      <c r="G790" s="949"/>
    </row>
    <row r="791" spans="1:9" ht="14.25">
      <c r="A791" s="124"/>
      <c r="B791" s="124"/>
      <c r="C791" s="950"/>
      <c r="D791" s="1155"/>
      <c r="E791" s="1155"/>
      <c r="F791" s="1155"/>
      <c r="G791" s="949"/>
    </row>
    <row r="792" spans="1:9" ht="14.25">
      <c r="A792" s="124"/>
      <c r="B792" s="124"/>
      <c r="C792" s="950"/>
      <c r="D792" s="1155"/>
      <c r="E792" s="1155"/>
      <c r="F792" s="1155"/>
      <c r="G792" s="949"/>
    </row>
    <row r="793" spans="1:9" ht="14.25">
      <c r="A793" s="124"/>
      <c r="B793" s="285"/>
      <c r="C793" s="950"/>
      <c r="D793" s="951"/>
      <c r="E793" s="951"/>
      <c r="F793" s="951"/>
      <c r="G793" s="949"/>
    </row>
    <row r="794" spans="1:9" ht="14.25">
      <c r="A794" s="124"/>
      <c r="B794" s="419" t="s">
        <v>521</v>
      </c>
      <c r="C794" s="950"/>
      <c r="D794" s="1155" t="s">
        <v>691</v>
      </c>
      <c r="E794" s="1155"/>
      <c r="F794" s="1155"/>
      <c r="G794" s="949"/>
      <c r="I794" s="987" t="s">
        <v>686</v>
      </c>
    </row>
    <row r="795" spans="1:9" ht="14.25">
      <c r="A795" s="124"/>
      <c r="B795" s="124"/>
      <c r="C795" s="950"/>
      <c r="D795" s="1155"/>
      <c r="E795" s="1155"/>
      <c r="F795" s="1155"/>
      <c r="G795" s="949"/>
    </row>
    <row r="796" spans="1:9" ht="14.25">
      <c r="A796" s="124"/>
      <c r="B796" s="124"/>
      <c r="C796" s="950"/>
      <c r="D796" s="1155"/>
      <c r="E796" s="1155"/>
      <c r="F796" s="1155"/>
      <c r="G796" s="949"/>
    </row>
    <row r="797" spans="1:9" ht="14.25">
      <c r="A797" s="124"/>
      <c r="B797" s="124"/>
      <c r="C797" s="950"/>
      <c r="D797" s="1155"/>
      <c r="E797" s="1155"/>
      <c r="F797" s="1155"/>
      <c r="G797" s="949"/>
    </row>
    <row r="798" spans="1:9" ht="14.25">
      <c r="A798" s="124"/>
      <c r="B798" s="124"/>
      <c r="C798" s="950"/>
      <c r="D798" s="1155"/>
      <c r="E798" s="1155"/>
      <c r="F798" s="1155"/>
      <c r="G798" s="949"/>
    </row>
    <row r="799" spans="1:9" ht="14.25">
      <c r="A799" s="124"/>
      <c r="B799" s="124"/>
      <c r="C799" s="950"/>
      <c r="D799" s="1155"/>
      <c r="E799" s="1155"/>
      <c r="F799" s="1155"/>
      <c r="G799" s="949"/>
    </row>
    <row r="800" spans="1:9" ht="14.25">
      <c r="A800" s="124"/>
      <c r="B800" s="124"/>
      <c r="C800" s="950"/>
      <c r="D800" s="943"/>
      <c r="E800" s="943"/>
      <c r="F800" s="943"/>
      <c r="G800" s="949"/>
    </row>
    <row r="801" spans="1:9" ht="14.25">
      <c r="A801" s="124"/>
      <c r="B801" s="419" t="s">
        <v>525</v>
      </c>
      <c r="C801" s="950"/>
      <c r="D801" s="1155" t="s">
        <v>692</v>
      </c>
      <c r="E801" s="1155"/>
      <c r="F801" s="1155"/>
      <c r="G801" s="949"/>
      <c r="I801" s="987" t="s">
        <v>686</v>
      </c>
    </row>
    <row r="802" spans="1:9" ht="14.25">
      <c r="A802" s="124"/>
      <c r="B802" s="124"/>
      <c r="C802" s="950"/>
      <c r="D802" s="1155"/>
      <c r="E802" s="1155"/>
      <c r="F802" s="1155"/>
      <c r="G802" s="949"/>
    </row>
    <row r="803" spans="1:9" ht="14.25">
      <c r="A803" s="124"/>
      <c r="B803" s="124"/>
      <c r="C803" s="950"/>
      <c r="D803" s="1155"/>
      <c r="E803" s="1155"/>
      <c r="F803" s="1155"/>
      <c r="G803" s="949"/>
    </row>
    <row r="804" spans="1:9" ht="14.25">
      <c r="A804" s="124"/>
      <c r="B804" s="124"/>
      <c r="C804" s="950"/>
      <c r="D804" s="1155"/>
      <c r="E804" s="1155"/>
      <c r="F804" s="1155"/>
      <c r="G804" s="949"/>
    </row>
    <row r="805" spans="1:9" ht="14.25">
      <c r="A805" s="124"/>
      <c r="B805" s="124"/>
      <c r="C805" s="950"/>
      <c r="D805" s="1155"/>
      <c r="E805" s="1155"/>
      <c r="F805" s="1155"/>
      <c r="G805" s="949"/>
    </row>
    <row r="806" spans="1:9" ht="14.25">
      <c r="A806" s="124"/>
      <c r="B806" s="124"/>
      <c r="C806" s="950"/>
      <c r="D806" s="1155"/>
      <c r="E806" s="1155"/>
      <c r="F806" s="1155"/>
      <c r="G806" s="949"/>
    </row>
    <row r="807" spans="1:9" ht="14.25">
      <c r="A807" s="124"/>
      <c r="B807" s="124"/>
      <c r="C807" s="950"/>
      <c r="D807" s="943"/>
      <c r="E807" s="943"/>
      <c r="F807" s="943"/>
      <c r="G807" s="949"/>
    </row>
    <row r="808" spans="1:9" ht="14.25">
      <c r="A808" s="124"/>
      <c r="B808" s="419" t="s">
        <v>521</v>
      </c>
      <c r="C808" s="950"/>
      <c r="D808" s="1164" t="s">
        <v>693</v>
      </c>
      <c r="E808" s="1164"/>
      <c r="F808" s="1164"/>
      <c r="G808" s="949"/>
      <c r="I808" s="987" t="s">
        <v>686</v>
      </c>
    </row>
    <row r="809" spans="1:9" ht="14.25">
      <c r="A809" s="124"/>
      <c r="B809" s="124"/>
      <c r="C809" s="950"/>
      <c r="D809" s="1164"/>
      <c r="E809" s="1164"/>
      <c r="F809" s="1164"/>
      <c r="G809" s="949"/>
    </row>
    <row r="810" spans="1:9">
      <c r="A810" s="13"/>
      <c r="B810" s="13"/>
      <c r="C810" s="950"/>
      <c r="D810" s="1164"/>
      <c r="E810" s="1164"/>
      <c r="F810" s="1164"/>
      <c r="G810" s="949"/>
    </row>
    <row r="811" spans="1:9" ht="14.25">
      <c r="A811" s="124"/>
      <c r="B811" s="13"/>
      <c r="C811" s="950"/>
      <c r="D811" s="1164"/>
      <c r="E811" s="1164"/>
      <c r="F811" s="1164"/>
      <c r="G811" s="949"/>
    </row>
    <row r="812" spans="1:9" ht="12.75" customHeight="1">
      <c r="A812" s="124"/>
      <c r="B812" s="13"/>
      <c r="C812" s="950"/>
      <c r="D812" s="1164"/>
      <c r="E812" s="1164"/>
      <c r="F812" s="1164"/>
      <c r="G812" s="949"/>
    </row>
    <row r="813" spans="1:9" ht="12.75" customHeight="1">
      <c r="A813" s="124"/>
      <c r="B813" s="13"/>
      <c r="C813" s="950"/>
      <c r="D813" s="1164"/>
      <c r="E813" s="1164"/>
      <c r="F813" s="1164"/>
      <c r="G813" s="949"/>
    </row>
    <row r="814" spans="1:9" ht="12.75" customHeight="1">
      <c r="A814" s="13"/>
      <c r="B814" s="13"/>
      <c r="C814" s="950"/>
      <c r="D814" s="949"/>
      <c r="E814" s="3"/>
      <c r="F814" s="3"/>
      <c r="G814" s="949"/>
    </row>
    <row r="815" spans="1:9" ht="12.75" customHeight="1">
      <c r="A815" s="1150" t="s">
        <v>694</v>
      </c>
      <c r="B815" s="1150"/>
      <c r="C815" s="1150"/>
      <c r="D815" s="1150"/>
      <c r="E815" s="1150"/>
      <c r="F815" s="1150"/>
      <c r="G815" s="1150"/>
      <c r="H815" s="993"/>
      <c r="I815" s="994"/>
    </row>
    <row r="816" spans="1:9" ht="12.75" customHeight="1">
      <c r="A816" s="120"/>
      <c r="B816" s="120"/>
      <c r="C816" s="950"/>
      <c r="D816" s="949"/>
      <c r="E816" s="949"/>
      <c r="F816" s="949"/>
      <c r="G816" s="949"/>
    </row>
    <row r="817" spans="1:9" ht="12.75" customHeight="1">
      <c r="A817" s="124"/>
      <c r="B817" s="124"/>
      <c r="C817" s="285"/>
      <c r="D817" s="1154" t="s">
        <v>695</v>
      </c>
      <c r="E817" s="1154"/>
      <c r="F817" s="1154"/>
      <c r="G817" s="3"/>
    </row>
    <row r="818" spans="1:9" ht="14.25" customHeight="1">
      <c r="A818" s="124"/>
      <c r="B818" s="124"/>
      <c r="C818" s="285"/>
      <c r="D818" s="1125" t="s">
        <v>696</v>
      </c>
      <c r="E818" s="1125"/>
      <c r="F818" s="1125"/>
      <c r="G818" s="3"/>
    </row>
    <row r="819" spans="1:9" ht="12.75" customHeight="1">
      <c r="A819" s="124"/>
      <c r="B819" s="124"/>
      <c r="C819" s="285"/>
      <c r="D819" s="376"/>
      <c r="E819" s="376"/>
      <c r="F819" s="376"/>
      <c r="G819" s="3"/>
    </row>
    <row r="820" spans="1:9" ht="12.75" customHeight="1">
      <c r="A820" s="285"/>
      <c r="B820" s="419" t="s">
        <v>525</v>
      </c>
      <c r="C820" s="950"/>
      <c r="D820" s="1125" t="s">
        <v>697</v>
      </c>
      <c r="E820" s="1125"/>
      <c r="F820" s="1125"/>
      <c r="G820" s="3"/>
      <c r="I820" s="335" t="s">
        <v>584</v>
      </c>
    </row>
    <row r="821" spans="1:9" ht="14.25" customHeight="1">
      <c r="A821" s="13"/>
      <c r="B821" s="13"/>
      <c r="C821" s="950"/>
      <c r="E821" s="1043" t="s">
        <v>585</v>
      </c>
      <c r="F821" s="1046"/>
      <c r="G821" s="3"/>
    </row>
    <row r="822" spans="1:9" ht="12.75" customHeight="1">
      <c r="A822" s="13"/>
      <c r="B822" s="13"/>
      <c r="C822" s="950"/>
      <c r="D822" s="952"/>
      <c r="E822" s="3"/>
      <c r="F822" s="3"/>
      <c r="G822" s="3"/>
    </row>
    <row r="823" spans="1:9" ht="14.25" hidden="1" customHeight="1">
      <c r="A823" s="13"/>
      <c r="B823" s="419" t="s">
        <v>294</v>
      </c>
      <c r="C823" s="950"/>
      <c r="D823" s="1202" t="s">
        <v>698</v>
      </c>
      <c r="E823" s="1202"/>
      <c r="F823" s="1202"/>
      <c r="G823" s="3"/>
    </row>
    <row r="824" spans="1:9" ht="12.75" hidden="1" customHeight="1">
      <c r="A824" s="13"/>
      <c r="B824" s="13"/>
      <c r="C824" s="950"/>
      <c r="D824" s="1202"/>
      <c r="E824" s="1202"/>
      <c r="F824" s="1202"/>
      <c r="G824" s="3"/>
    </row>
    <row r="825" spans="1:9" ht="12.75" hidden="1" customHeight="1">
      <c r="A825" s="13"/>
      <c r="B825" s="13"/>
      <c r="C825" s="950"/>
      <c r="D825" s="1202"/>
      <c r="E825" s="1202"/>
      <c r="F825" s="1202"/>
      <c r="G825" s="3"/>
    </row>
    <row r="826" spans="1:9" ht="12.75" hidden="1" customHeight="1">
      <c r="A826" s="13"/>
      <c r="B826" s="13"/>
      <c r="C826" s="950"/>
      <c r="D826" s="1202"/>
      <c r="E826" s="1202"/>
      <c r="F826" s="1202"/>
      <c r="G826" s="3"/>
    </row>
    <row r="827" spans="1:9" ht="12.75" hidden="1" customHeight="1">
      <c r="A827" s="13"/>
      <c r="B827" s="13"/>
      <c r="C827" s="950"/>
      <c r="D827" s="1202"/>
      <c r="E827" s="1202"/>
      <c r="F827" s="1202"/>
      <c r="G827" s="3"/>
    </row>
    <row r="828" spans="1:9" ht="12.75" hidden="1" customHeight="1">
      <c r="A828" s="13"/>
      <c r="B828" s="13"/>
      <c r="C828" s="950"/>
      <c r="D828" s="1202"/>
      <c r="E828" s="1202"/>
      <c r="F828" s="1202"/>
      <c r="G828" s="3"/>
    </row>
    <row r="829" spans="1:9" ht="12.75" hidden="1" customHeight="1">
      <c r="A829" s="13"/>
      <c r="B829" s="13"/>
      <c r="C829" s="950"/>
      <c r="D829" s="1202"/>
      <c r="E829" s="1202"/>
      <c r="F829" s="1202"/>
      <c r="G829" s="3"/>
    </row>
    <row r="830" spans="1:9" ht="12.75" hidden="1" customHeight="1">
      <c r="A830" s="13"/>
      <c r="B830" s="13"/>
      <c r="C830" s="950"/>
      <c r="D830" s="1202"/>
      <c r="E830" s="1202"/>
      <c r="F830" s="1202"/>
      <c r="G830" s="3"/>
    </row>
    <row r="831" spans="1:9" ht="12.75" hidden="1" customHeight="1">
      <c r="A831" s="13"/>
      <c r="B831" s="13"/>
      <c r="C831" s="950"/>
      <c r="D831" s="1202"/>
      <c r="E831" s="1202"/>
      <c r="F831" s="1202"/>
      <c r="G831" s="3"/>
    </row>
    <row r="832" spans="1:9" ht="12.75" hidden="1" customHeight="1">
      <c r="A832" s="13"/>
      <c r="B832" s="13"/>
      <c r="C832" s="950"/>
      <c r="D832" s="1202"/>
      <c r="E832" s="1202"/>
      <c r="F832" s="1202"/>
      <c r="G832" s="3"/>
    </row>
    <row r="833" spans="1:9" ht="12.75" hidden="1" customHeight="1">
      <c r="A833" s="13"/>
      <c r="B833" s="13"/>
      <c r="C833" s="950"/>
      <c r="D833" s="952"/>
      <c r="E833" s="3"/>
      <c r="F833" s="3"/>
      <c r="G833" s="3"/>
    </row>
    <row r="834" spans="1:9" ht="12.75" customHeight="1">
      <c r="A834" s="124"/>
      <c r="B834" s="419" t="s">
        <v>525</v>
      </c>
      <c r="C834" s="950"/>
      <c r="D834" s="1125" t="s">
        <v>699</v>
      </c>
      <c r="E834" s="1125"/>
      <c r="F834" s="1125"/>
      <c r="G834" s="3"/>
      <c r="I834" s="335" t="s">
        <v>586</v>
      </c>
    </row>
    <row r="835" spans="1:9" ht="12.75" customHeight="1">
      <c r="A835" s="124"/>
      <c r="B835" s="124"/>
      <c r="C835" s="950"/>
      <c r="D835" s="1125"/>
      <c r="E835" s="1125"/>
      <c r="F835" s="1125"/>
      <c r="G835" s="3"/>
    </row>
    <row r="836" spans="1:9" ht="12.75" customHeight="1">
      <c r="A836" s="124"/>
      <c r="B836" s="124"/>
      <c r="C836" s="950"/>
      <c r="D836" s="1125"/>
      <c r="E836" s="1125"/>
      <c r="F836" s="1125"/>
      <c r="G836" s="3"/>
    </row>
    <row r="837" spans="1:9" ht="12.75" customHeight="1">
      <c r="A837" s="124"/>
      <c r="B837" s="124"/>
      <c r="C837" s="950"/>
      <c r="D837" s="85"/>
      <c r="E837" s="3"/>
      <c r="F837" s="3"/>
      <c r="G837" s="3"/>
    </row>
    <row r="838" spans="1:9" ht="12.75" customHeight="1">
      <c r="A838" s="953"/>
      <c r="B838" s="419" t="s">
        <v>521</v>
      </c>
      <c r="C838" s="950"/>
      <c r="D838" s="1154" t="s">
        <v>700</v>
      </c>
      <c r="E838" s="1154"/>
      <c r="F838" s="1154"/>
      <c r="G838" s="3"/>
    </row>
    <row r="839" spans="1:9" ht="12.75" customHeight="1">
      <c r="A839" s="285"/>
      <c r="B839" s="953"/>
      <c r="C839" s="950"/>
      <c r="D839" s="1154"/>
      <c r="E839" s="1154"/>
      <c r="F839" s="1154"/>
      <c r="G839" s="3"/>
    </row>
    <row r="840" spans="1:9" ht="12.75" customHeight="1">
      <c r="A840" s="124"/>
      <c r="B840" s="285"/>
      <c r="C840" s="950"/>
      <c r="D840" s="1125" t="s">
        <v>701</v>
      </c>
      <c r="E840" s="1125"/>
      <c r="F840" s="1125"/>
      <c r="G840" s="3"/>
    </row>
    <row r="841" spans="1:9" ht="12.75" customHeight="1">
      <c r="A841" s="124"/>
      <c r="B841" s="124"/>
      <c r="C841" s="950"/>
      <c r="D841" s="1125"/>
      <c r="E841" s="1125"/>
      <c r="F841" s="1125"/>
      <c r="G841" s="3"/>
    </row>
    <row r="842" spans="1:9" ht="12.75" customHeight="1">
      <c r="A842" s="124"/>
      <c r="B842" s="124"/>
      <c r="C842" s="950"/>
      <c r="D842" s="1125"/>
      <c r="E842" s="1125"/>
      <c r="F842" s="1125"/>
      <c r="G842" s="3"/>
    </row>
    <row r="843" spans="1:9" ht="12.75" customHeight="1">
      <c r="A843" s="124"/>
      <c r="B843" s="124"/>
      <c r="C843" s="950"/>
      <c r="D843" s="1125"/>
      <c r="E843" s="1125"/>
      <c r="F843" s="1125"/>
      <c r="G843" s="3"/>
    </row>
    <row r="844" spans="1:9" ht="12.75" customHeight="1">
      <c r="A844" s="124"/>
      <c r="B844" s="124"/>
      <c r="C844" s="950"/>
      <c r="D844" s="1125"/>
      <c r="E844" s="1125"/>
      <c r="F844" s="1125"/>
      <c r="G844" s="3"/>
    </row>
    <row r="845" spans="1:9" ht="12.75" customHeight="1">
      <c r="A845" s="124"/>
      <c r="B845" s="124"/>
      <c r="C845" s="950"/>
      <c r="D845" s="1125"/>
      <c r="E845" s="1125"/>
      <c r="F845" s="1125"/>
      <c r="G845" s="3"/>
    </row>
    <row r="846" spans="1:9" ht="12.75" customHeight="1">
      <c r="A846" s="124"/>
      <c r="B846" s="124"/>
      <c r="C846" s="950"/>
      <c r="D846" s="85"/>
      <c r="E846" s="3"/>
      <c r="F846" s="3"/>
      <c r="G846" s="3"/>
    </row>
    <row r="847" spans="1:9" ht="12.75" customHeight="1">
      <c r="A847" s="124"/>
      <c r="B847" s="419" t="s">
        <v>521</v>
      </c>
      <c r="C847" s="950"/>
      <c r="D847" s="1125" t="s">
        <v>702</v>
      </c>
      <c r="E847" s="1125"/>
      <c r="F847" s="1125"/>
      <c r="G847" s="3"/>
      <c r="I847" s="335" t="s">
        <v>590</v>
      </c>
    </row>
    <row r="848" spans="1:9" ht="12.75" customHeight="1">
      <c r="A848" s="124"/>
      <c r="B848" s="124"/>
      <c r="C848" s="950"/>
      <c r="D848" s="1125" t="s">
        <v>703</v>
      </c>
      <c r="E848" s="1125"/>
      <c r="F848" s="1125"/>
      <c r="G848" s="3"/>
    </row>
    <row r="849" spans="1:9" ht="12.75" customHeight="1">
      <c r="A849" s="124"/>
      <c r="B849" s="124"/>
      <c r="C849" s="950"/>
      <c r="E849" s="1043" t="s">
        <v>592</v>
      </c>
      <c r="F849" s="1046"/>
      <c r="G849" s="3"/>
    </row>
    <row r="850" spans="1:9" ht="12.75" customHeight="1">
      <c r="A850" s="124"/>
      <c r="B850" s="124"/>
      <c r="C850" s="950"/>
      <c r="D850" s="85"/>
      <c r="E850" s="3"/>
      <c r="F850" s="3"/>
      <c r="G850" s="3"/>
    </row>
    <row r="851" spans="1:9" ht="12.75" customHeight="1">
      <c r="A851" s="124"/>
      <c r="B851" s="419" t="s">
        <v>521</v>
      </c>
      <c r="C851" s="950"/>
      <c r="D851" s="1125" t="s">
        <v>704</v>
      </c>
      <c r="E851" s="1125"/>
      <c r="F851" s="1125"/>
      <c r="G851" s="3"/>
      <c r="I851" s="335" t="s">
        <v>594</v>
      </c>
    </row>
    <row r="852" spans="1:9" ht="12.75" customHeight="1">
      <c r="A852" s="124"/>
      <c r="B852" s="124"/>
      <c r="C852" s="950"/>
      <c r="D852" s="1125"/>
      <c r="E852" s="1125"/>
      <c r="F852" s="1125"/>
      <c r="G852" s="3"/>
    </row>
    <row r="853" spans="1:9" ht="12.75" customHeight="1">
      <c r="A853" s="124"/>
      <c r="B853" s="124"/>
      <c r="C853" s="950"/>
      <c r="D853" s="1125"/>
      <c r="E853" s="1125"/>
      <c r="F853" s="1125"/>
      <c r="G853" s="3"/>
    </row>
    <row r="854" spans="1:9" ht="12.75" customHeight="1">
      <c r="A854" s="124"/>
      <c r="B854" s="124"/>
      <c r="C854" s="950"/>
      <c r="D854" s="1125"/>
      <c r="E854" s="1125"/>
      <c r="F854" s="1125"/>
      <c r="G854" s="3"/>
    </row>
    <row r="855" spans="1:9" ht="12.75" customHeight="1">
      <c r="A855" s="120"/>
      <c r="B855" s="120"/>
      <c r="C855" s="120"/>
      <c r="D855" s="85"/>
      <c r="E855" s="3"/>
      <c r="F855" s="3"/>
      <c r="G855" s="3"/>
    </row>
    <row r="856" spans="1:9" ht="12.75" customHeight="1">
      <c r="A856" s="944" t="s">
        <v>705</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3" t="s">
        <v>706</v>
      </c>
      <c r="E858" s="1143"/>
      <c r="F858" s="1143"/>
      <c r="G858" s="949"/>
    </row>
    <row r="859" spans="1:9" ht="12.75" customHeight="1">
      <c r="A859" s="285"/>
      <c r="B859" s="285"/>
      <c r="C859" s="123"/>
      <c r="D859" s="1201" t="s">
        <v>707</v>
      </c>
      <c r="E859" s="1201"/>
      <c r="F859" s="1201"/>
      <c r="G859" s="949"/>
    </row>
    <row r="860" spans="1:9" ht="12.75" customHeight="1">
      <c r="A860" s="285"/>
      <c r="B860" s="285"/>
      <c r="C860" s="123"/>
      <c r="D860" s="956"/>
      <c r="E860" s="956"/>
      <c r="F860" s="956"/>
      <c r="G860" s="949"/>
    </row>
    <row r="861" spans="1:9" ht="12.75" customHeight="1">
      <c r="A861" s="124"/>
      <c r="B861" s="419" t="s">
        <v>525</v>
      </c>
      <c r="C861" s="285"/>
      <c r="D861" s="1144" t="s">
        <v>708</v>
      </c>
      <c r="E861" s="1144"/>
      <c r="F861" s="1144"/>
      <c r="G861" s="949"/>
      <c r="I861" s="335" t="s">
        <v>590</v>
      </c>
    </row>
    <row r="862" spans="1:9" ht="12.75" customHeight="1">
      <c r="A862" s="285"/>
      <c r="B862" s="285"/>
      <c r="C862" s="285"/>
      <c r="D862" s="2" t="s">
        <v>563</v>
      </c>
      <c r="E862" s="1043" t="s">
        <v>592</v>
      </c>
      <c r="F862" s="1047"/>
      <c r="G862" s="949"/>
    </row>
    <row r="863" spans="1:9" ht="12.75" customHeight="1">
      <c r="A863" s="285"/>
      <c r="B863" s="285"/>
      <c r="C863" s="285"/>
      <c r="D863" s="85"/>
      <c r="E863" s="949"/>
      <c r="F863" s="949"/>
      <c r="G863" s="949"/>
    </row>
    <row r="864" spans="1:9" ht="12.75" customHeight="1">
      <c r="A864" s="124"/>
      <c r="B864" s="419" t="s">
        <v>525</v>
      </c>
      <c r="C864" s="285"/>
      <c r="D864" s="1125" t="s">
        <v>709</v>
      </c>
      <c r="E864" s="1172"/>
      <c r="F864" s="1172"/>
      <c r="G864" s="3"/>
      <c r="I864" s="335" t="s">
        <v>594</v>
      </c>
    </row>
    <row r="865" spans="1:9" ht="12.75" customHeight="1">
      <c r="A865" s="285"/>
      <c r="B865" s="285"/>
      <c r="C865" s="285"/>
      <c r="D865" s="1172"/>
      <c r="E865" s="1172"/>
      <c r="F865" s="1172"/>
      <c r="G865" s="3"/>
    </row>
    <row r="866" spans="1:9" ht="12.75" customHeight="1">
      <c r="A866" s="285"/>
      <c r="B866" s="285"/>
      <c r="C866" s="285"/>
      <c r="D866" s="85"/>
      <c r="E866" s="3"/>
      <c r="F866" s="3"/>
      <c r="G866" s="3"/>
    </row>
    <row r="867" spans="1:9" ht="12.75" customHeight="1">
      <c r="A867" s="285"/>
      <c r="B867" s="419" t="s">
        <v>521</v>
      </c>
      <c r="C867" s="285"/>
      <c r="D867" s="1203" t="s">
        <v>710</v>
      </c>
      <c r="E867" s="1203"/>
      <c r="F867" s="1203"/>
      <c r="G867" s="949"/>
    </row>
    <row r="868" spans="1:9" ht="12.75" customHeight="1">
      <c r="A868" s="285"/>
      <c r="B868" s="957"/>
      <c r="C868" s="285"/>
      <c r="D868" s="1203"/>
      <c r="E868" s="1203"/>
      <c r="F868" s="1203"/>
      <c r="G868" s="949"/>
    </row>
    <row r="869" spans="1:9" ht="12.75" customHeight="1">
      <c r="A869" s="124"/>
      <c r="B869"/>
      <c r="C869" s="285"/>
      <c r="D869" s="1125" t="s">
        <v>701</v>
      </c>
      <c r="E869" s="1125"/>
      <c r="F869" s="1125"/>
      <c r="G869" s="949"/>
    </row>
    <row r="870" spans="1:9" ht="12.75" customHeight="1">
      <c r="A870" s="124"/>
      <c r="B870" s="124"/>
      <c r="C870" s="285"/>
      <c r="D870" s="1125"/>
      <c r="E870" s="1125"/>
      <c r="F870" s="1125"/>
      <c r="G870" s="949"/>
    </row>
    <row r="871" spans="1:9" ht="12.75" customHeight="1">
      <c r="A871" s="124"/>
      <c r="B871" s="124"/>
      <c r="C871" s="285"/>
      <c r="D871" s="1125"/>
      <c r="E871" s="1125"/>
      <c r="F871" s="1125"/>
      <c r="G871" s="949"/>
    </row>
    <row r="872" spans="1:9" ht="12.75" customHeight="1">
      <c r="A872" s="124"/>
      <c r="B872" s="124"/>
      <c r="C872" s="285"/>
      <c r="D872" s="1125"/>
      <c r="E872" s="1125"/>
      <c r="F872" s="1125"/>
      <c r="G872" s="949"/>
    </row>
    <row r="873" spans="1:9" ht="12.75" customHeight="1">
      <c r="A873" s="124"/>
      <c r="B873" s="124"/>
      <c r="C873" s="285"/>
      <c r="D873" s="1125"/>
      <c r="E873" s="1125"/>
      <c r="F873" s="1125"/>
      <c r="G873" s="949"/>
    </row>
    <row r="874" spans="1:9" ht="12.75" customHeight="1">
      <c r="A874" s="124"/>
      <c r="B874" s="124"/>
      <c r="C874" s="285"/>
      <c r="D874" s="1125"/>
      <c r="E874" s="1125"/>
      <c r="F874" s="1125"/>
      <c r="G874" s="949"/>
    </row>
    <row r="875" spans="1:9" ht="12.75" customHeight="1">
      <c r="A875" s="124"/>
      <c r="B875" s="124"/>
      <c r="C875" s="285"/>
      <c r="D875" s="85"/>
      <c r="E875" s="949"/>
      <c r="F875" s="949"/>
      <c r="G875" s="949"/>
    </row>
    <row r="876" spans="1:9" ht="12.75" customHeight="1">
      <c r="A876" s="124"/>
      <c r="B876" s="419" t="s">
        <v>525</v>
      </c>
      <c r="C876" s="285"/>
      <c r="D876" s="1142" t="s">
        <v>702</v>
      </c>
      <c r="E876" s="1142"/>
      <c r="F876" s="1142"/>
      <c r="G876" s="949"/>
      <c r="I876" s="335" t="s">
        <v>590</v>
      </c>
    </row>
    <row r="877" spans="1:9" ht="12.75" customHeight="1">
      <c r="A877" s="124"/>
      <c r="B877" s="124"/>
      <c r="C877" s="285"/>
      <c r="D877" s="1142" t="s">
        <v>703</v>
      </c>
      <c r="E877" s="1142"/>
      <c r="F877" s="1142"/>
      <c r="G877" s="949"/>
    </row>
    <row r="878" spans="1:9" ht="12.75" customHeight="1">
      <c r="A878" s="124"/>
      <c r="B878" s="124"/>
      <c r="C878" s="285"/>
      <c r="D878" s="2" t="s">
        <v>711</v>
      </c>
      <c r="E878" s="1043" t="s">
        <v>592</v>
      </c>
      <c r="F878" s="1048"/>
      <c r="G878" s="949"/>
    </row>
    <row r="879" spans="1:9" ht="12.75" customHeight="1">
      <c r="A879" s="124"/>
      <c r="B879" s="124"/>
      <c r="C879" s="285"/>
      <c r="D879" s="85"/>
      <c r="E879" s="949"/>
      <c r="F879" s="949"/>
      <c r="G879" s="949"/>
    </row>
    <row r="880" spans="1:9" ht="12.75" customHeight="1">
      <c r="A880" s="124"/>
      <c r="B880" s="419" t="s">
        <v>521</v>
      </c>
      <c r="C880" s="285"/>
      <c r="D880" s="1125" t="s">
        <v>704</v>
      </c>
      <c r="E880" s="1125"/>
      <c r="F880" s="1125"/>
      <c r="G880" s="949"/>
      <c r="I880" s="335" t="s">
        <v>594</v>
      </c>
    </row>
    <row r="881" spans="1:9" ht="12.75" customHeight="1">
      <c r="A881" s="124"/>
      <c r="B881" s="124"/>
      <c r="C881" s="285"/>
      <c r="D881" s="1125"/>
      <c r="E881" s="1125"/>
      <c r="F881" s="1125"/>
      <c r="G881" s="949"/>
    </row>
    <row r="882" spans="1:9" ht="12.75" customHeight="1">
      <c r="A882" s="124"/>
      <c r="B882" s="124"/>
      <c r="C882" s="285"/>
      <c r="D882" s="1125"/>
      <c r="E882" s="1125"/>
      <c r="F882" s="1125"/>
      <c r="G882" s="949"/>
    </row>
    <row r="883" spans="1:9" ht="12.75" customHeight="1">
      <c r="A883" s="124"/>
      <c r="B883" s="124"/>
      <c r="C883" s="285"/>
      <c r="D883" s="1125"/>
      <c r="E883" s="1125"/>
      <c r="F883" s="1125"/>
      <c r="G883" s="949"/>
    </row>
    <row r="884" spans="1:9" ht="12.75" customHeight="1">
      <c r="A884" s="85"/>
      <c r="B884" s="85"/>
      <c r="C884" s="950"/>
      <c r="D884" s="949"/>
      <c r="E884" s="949"/>
      <c r="F884" s="949"/>
      <c r="G884" s="949"/>
    </row>
    <row r="885" spans="1:9" ht="12.75" customHeight="1">
      <c r="A885" s="1150" t="s">
        <v>712</v>
      </c>
      <c r="B885" s="1150"/>
      <c r="C885" s="1150"/>
      <c r="D885" s="1150"/>
      <c r="E885" s="1150"/>
      <c r="F885" s="1150"/>
      <c r="G885" s="1150"/>
      <c r="H885" s="993"/>
      <c r="I885" s="994"/>
    </row>
    <row r="886" spans="1:9" ht="12.75" customHeight="1">
      <c r="A886" s="50"/>
      <c r="B886" s="50"/>
      <c r="C886" s="50"/>
      <c r="D886" s="50"/>
      <c r="E886" s="50"/>
      <c r="F886" s="50"/>
      <c r="G886" s="50"/>
    </row>
    <row r="887" spans="1:9" ht="12.75" customHeight="1">
      <c r="A887" s="50"/>
      <c r="B887" s="50"/>
      <c r="C887" s="50"/>
      <c r="D887" s="1156" t="s">
        <v>713</v>
      </c>
      <c r="E887" s="1156"/>
      <c r="F887" s="1156"/>
      <c r="G887" s="50"/>
    </row>
    <row r="888" spans="1:9" ht="12.75" customHeight="1">
      <c r="A888" s="50"/>
      <c r="B888" s="50"/>
      <c r="C888" s="50"/>
      <c r="D888" s="942"/>
      <c r="E888" s="942"/>
      <c r="F888" s="942"/>
      <c r="G888" s="50"/>
    </row>
    <row r="889" spans="1:9" ht="12.75" customHeight="1">
      <c r="A889" s="50"/>
      <c r="B889" s="419" t="s">
        <v>521</v>
      </c>
      <c r="C889" s="50"/>
      <c r="D889" s="945" t="s">
        <v>714</v>
      </c>
      <c r="E889" s="942"/>
      <c r="F889" s="942"/>
      <c r="G889" s="50"/>
      <c r="I889" s="335" t="s">
        <v>715</v>
      </c>
    </row>
    <row r="890" spans="1:9" ht="12.75" customHeight="1">
      <c r="A890" s="50"/>
      <c r="B890" s="50"/>
      <c r="C890" s="50"/>
      <c r="D890" s="942"/>
      <c r="E890" s="942"/>
      <c r="F890" s="942"/>
      <c r="G890" s="50"/>
    </row>
    <row r="891" spans="1:9" ht="12.75" customHeight="1">
      <c r="A891" s="285"/>
      <c r="B891" s="285"/>
      <c r="C891" s="950"/>
      <c r="D891" s="1156" t="s">
        <v>716</v>
      </c>
      <c r="E891" s="1156"/>
      <c r="F891" s="1156"/>
      <c r="G891" s="949"/>
    </row>
    <row r="892" spans="1:9" ht="12.75" customHeight="1">
      <c r="A892" s="120"/>
      <c r="B892" s="120"/>
      <c r="C892" s="120"/>
      <c r="D892" s="1144" t="s">
        <v>717</v>
      </c>
      <c r="E892" s="1144"/>
      <c r="F892" s="1144"/>
      <c r="G892" s="949"/>
    </row>
    <row r="893" spans="1:9" ht="12.75" customHeight="1">
      <c r="A893" s="950"/>
      <c r="B893" s="950"/>
      <c r="C893" s="950"/>
      <c r="D893" s="2"/>
      <c r="E893" s="949"/>
      <c r="F893" s="949"/>
      <c r="G893" s="949"/>
    </row>
    <row r="894" spans="1:9" ht="12.75" customHeight="1">
      <c r="A894" s="124"/>
      <c r="B894" s="419" t="s">
        <v>525</v>
      </c>
      <c r="C894" s="285"/>
      <c r="D894" s="1125" t="s">
        <v>718</v>
      </c>
      <c r="E894" s="1125"/>
      <c r="F894" s="1125"/>
      <c r="G894" s="3"/>
      <c r="I894" s="335" t="s">
        <v>719</v>
      </c>
    </row>
    <row r="895" spans="1:9" ht="12.75" customHeight="1">
      <c r="A895" s="285"/>
      <c r="B895" s="285"/>
      <c r="C895" s="285"/>
      <c r="D895" s="1125"/>
      <c r="E895" s="1125"/>
      <c r="F895" s="1125"/>
      <c r="G895" s="3"/>
    </row>
    <row r="896" spans="1:9" ht="12.75" customHeight="1">
      <c r="A896" s="120"/>
      <c r="B896" s="120"/>
      <c r="C896" s="120"/>
      <c r="D896" s="1125" t="s">
        <v>720</v>
      </c>
      <c r="E896" s="1125"/>
      <c r="F896" s="1125"/>
      <c r="G896" s="949"/>
    </row>
    <row r="897" spans="1:9" ht="12.75" customHeight="1">
      <c r="A897" s="120"/>
      <c r="B897" s="120"/>
      <c r="C897" s="120"/>
      <c r="D897" s="1125"/>
      <c r="E897" s="1125"/>
      <c r="F897" s="1125"/>
      <c r="G897" s="949"/>
    </row>
    <row r="898" spans="1:9" ht="12.75" customHeight="1">
      <c r="A898" s="120"/>
      <c r="B898" s="120"/>
      <c r="C898" s="120"/>
      <c r="D898" s="3"/>
      <c r="E898" s="3"/>
      <c r="F898" s="949"/>
      <c r="G898" s="949"/>
    </row>
    <row r="899" spans="1:9" ht="12.75" customHeight="1">
      <c r="A899" s="124"/>
      <c r="B899" s="419" t="s">
        <v>525</v>
      </c>
      <c r="C899" s="123"/>
      <c r="D899" s="1128" t="s">
        <v>721</v>
      </c>
      <c r="E899" s="1128"/>
      <c r="F899" s="1128"/>
      <c r="G899" s="949"/>
      <c r="I899" s="335" t="s">
        <v>722</v>
      </c>
    </row>
    <row r="900" spans="1:9" ht="12.75" customHeight="1">
      <c r="A900" s="124"/>
      <c r="B900" s="124"/>
      <c r="C900" s="123"/>
      <c r="D900" s="1128"/>
      <c r="E900" s="1128"/>
      <c r="F900" s="1128"/>
      <c r="G900" s="949"/>
    </row>
    <row r="901" spans="1:9" ht="12.75" customHeight="1">
      <c r="A901" s="124"/>
      <c r="B901" s="124"/>
      <c r="C901" s="123"/>
      <c r="D901" s="1128"/>
      <c r="E901" s="1128"/>
      <c r="F901" s="1128"/>
      <c r="G901" s="949"/>
    </row>
    <row r="902" spans="1:9" ht="12.75" customHeight="1">
      <c r="A902" s="124"/>
      <c r="B902" s="124"/>
      <c r="C902" s="123"/>
      <c r="D902" s="1128"/>
      <c r="E902" s="1128"/>
      <c r="F902" s="1128"/>
      <c r="G902" s="949"/>
    </row>
    <row r="903" spans="1:9" ht="12.75" customHeight="1">
      <c r="A903" s="124"/>
      <c r="B903" s="124"/>
      <c r="C903" s="123"/>
      <c r="D903" s="1128"/>
      <c r="E903" s="1128"/>
      <c r="F903" s="1128"/>
      <c r="G903" s="949"/>
    </row>
    <row r="904" spans="1:9" ht="12.75" customHeight="1">
      <c r="A904" s="123"/>
      <c r="B904" s="123"/>
      <c r="C904" s="123"/>
      <c r="D904" s="1128"/>
      <c r="E904" s="1128"/>
      <c r="F904" s="1128"/>
      <c r="G904" s="949"/>
    </row>
    <row r="905" spans="1:9" ht="12.75" customHeight="1">
      <c r="A905" s="123"/>
      <c r="B905" s="123"/>
      <c r="C905" s="123"/>
      <c r="D905" s="1128"/>
      <c r="E905" s="1128"/>
      <c r="F905" s="1128"/>
      <c r="G905" s="949"/>
    </row>
    <row r="906" spans="1:9" ht="12.75" customHeight="1">
      <c r="A906" s="123"/>
      <c r="B906" s="123"/>
      <c r="C906" s="123"/>
      <c r="D906" s="1128"/>
      <c r="E906" s="1128"/>
      <c r="F906" s="1128"/>
      <c r="G906" s="949"/>
    </row>
    <row r="907" spans="1:9" ht="12.75" customHeight="1">
      <c r="A907" s="123"/>
      <c r="B907" s="123"/>
      <c r="C907" s="123"/>
      <c r="D907" s="265"/>
      <c r="E907" s="265"/>
      <c r="F907" s="265"/>
      <c r="G907" s="949"/>
    </row>
    <row r="908" spans="1:9" ht="12.75" customHeight="1">
      <c r="A908" s="950"/>
      <c r="B908" s="419" t="s">
        <v>521</v>
      </c>
      <c r="C908" s="950"/>
      <c r="D908" s="1125" t="s">
        <v>723</v>
      </c>
      <c r="E908" s="1125"/>
      <c r="F908" s="1125"/>
      <c r="G908" s="949"/>
    </row>
    <row r="909" spans="1:9" ht="12.75" customHeight="1">
      <c r="A909" s="950"/>
      <c r="B909" s="950"/>
      <c r="C909" s="950"/>
      <c r="D909" s="1125"/>
      <c r="E909" s="1125"/>
      <c r="F909" s="1125"/>
      <c r="G909" s="949"/>
    </row>
    <row r="910" spans="1:9" ht="12.75" customHeight="1">
      <c r="A910" s="950"/>
      <c r="B910" s="950"/>
      <c r="C910" s="950"/>
      <c r="D910" s="949"/>
      <c r="E910" s="949"/>
      <c r="F910" s="949"/>
      <c r="G910" s="949"/>
    </row>
    <row r="911" spans="1:9" ht="12.75" customHeight="1">
      <c r="A911" s="950"/>
      <c r="B911" s="419" t="s">
        <v>525</v>
      </c>
      <c r="C911" s="950"/>
      <c r="D911" s="1164" t="s">
        <v>724</v>
      </c>
      <c r="E911" s="1164"/>
      <c r="F911" s="1164"/>
      <c r="G911" s="949"/>
    </row>
    <row r="912" spans="1:9" ht="12.75" customHeight="1">
      <c r="A912" s="950"/>
      <c r="B912" s="950"/>
      <c r="C912" s="950"/>
      <c r="D912" s="1164"/>
      <c r="E912" s="1164"/>
      <c r="F912" s="1164"/>
      <c r="G912" s="949"/>
    </row>
    <row r="913" spans="1:9" ht="12.75" customHeight="1">
      <c r="A913" s="950"/>
      <c r="B913" s="950"/>
      <c r="C913" s="950"/>
      <c r="D913" s="1164"/>
      <c r="E913" s="1164"/>
      <c r="F913" s="1164"/>
      <c r="G913" s="949"/>
    </row>
    <row r="914" spans="1:9" ht="12.75" customHeight="1">
      <c r="A914" s="950"/>
      <c r="B914" s="950"/>
      <c r="C914" s="950"/>
      <c r="D914" s="1164"/>
      <c r="E914" s="1164"/>
      <c r="F914" s="1164"/>
      <c r="G914" s="949"/>
    </row>
    <row r="915" spans="1:9" ht="12.75" customHeight="1">
      <c r="A915" s="950"/>
      <c r="B915" s="950"/>
      <c r="C915" s="950"/>
      <c r="D915" s="85"/>
      <c r="E915" s="949"/>
      <c r="F915" s="949"/>
      <c r="G915" s="949"/>
    </row>
    <row r="916" spans="1:9" ht="12.75" customHeight="1">
      <c r="A916" s="950"/>
      <c r="B916" s="419" t="s">
        <v>521</v>
      </c>
      <c r="C916" s="950"/>
      <c r="D916" s="1144" t="s">
        <v>725</v>
      </c>
      <c r="E916" s="1144"/>
      <c r="F916" s="1144"/>
      <c r="G916" s="949"/>
    </row>
    <row r="917" spans="1:9" ht="12.75" customHeight="1">
      <c r="A917" s="950"/>
      <c r="B917" s="950"/>
      <c r="C917" s="950"/>
      <c r="D917" s="85"/>
      <c r="E917" s="949"/>
      <c r="F917" s="949"/>
      <c r="G917" s="949"/>
    </row>
    <row r="918" spans="1:9" ht="12.75" customHeight="1">
      <c r="A918" s="950"/>
      <c r="B918" s="419" t="s">
        <v>521</v>
      </c>
      <c r="C918" s="950"/>
      <c r="D918" s="1144" t="s">
        <v>726</v>
      </c>
      <c r="E918" s="1144"/>
      <c r="F918" s="1144"/>
      <c r="G918" s="949"/>
    </row>
    <row r="919" spans="1:9" ht="12.75" customHeight="1">
      <c r="A919" s="123"/>
      <c r="B919" s="123"/>
      <c r="C919" s="123"/>
      <c r="D919" s="2"/>
      <c r="E919" s="3"/>
      <c r="F919" s="949"/>
      <c r="G919" s="949"/>
    </row>
    <row r="920" spans="1:9" ht="12.75" customHeight="1">
      <c r="A920" s="958"/>
      <c r="B920" s="419" t="s">
        <v>521</v>
      </c>
      <c r="C920" s="959"/>
      <c r="D920" s="1128" t="s">
        <v>727</v>
      </c>
      <c r="E920" s="1128"/>
      <c r="F920" s="1128"/>
      <c r="G920" s="960"/>
      <c r="I920" s="335" t="s">
        <v>728</v>
      </c>
    </row>
    <row r="921" spans="1:9" ht="12.75" customHeight="1">
      <c r="A921" s="958"/>
      <c r="B921" s="958"/>
      <c r="C921" s="959"/>
      <c r="D921" s="1128"/>
      <c r="E921" s="1128"/>
      <c r="F921" s="1128"/>
      <c r="G921" s="960"/>
    </row>
    <row r="922" spans="1:9" ht="12.75" customHeight="1">
      <c r="A922" s="958"/>
      <c r="B922" s="958"/>
      <c r="C922" s="959"/>
      <c r="D922" s="1128"/>
      <c r="E922" s="1128"/>
      <c r="F922" s="1128"/>
      <c r="G922" s="960"/>
    </row>
    <row r="923" spans="1:9" ht="12.75" customHeight="1">
      <c r="A923" s="958"/>
      <c r="B923" s="958"/>
      <c r="C923" s="959"/>
      <c r="D923" s="1128"/>
      <c r="E923" s="1128"/>
      <c r="F923" s="1128"/>
      <c r="G923" s="960"/>
    </row>
    <row r="924" spans="1:9" ht="12.75" customHeight="1">
      <c r="A924" s="958"/>
      <c r="B924" s="958"/>
      <c r="C924" s="959"/>
      <c r="D924" s="1128"/>
      <c r="E924" s="1128"/>
      <c r="F924" s="1128"/>
      <c r="G924" s="960"/>
    </row>
    <row r="925" spans="1:9" ht="12.75" customHeight="1">
      <c r="A925" s="958"/>
      <c r="B925" s="958"/>
      <c r="C925" s="959"/>
      <c r="D925" s="1128"/>
      <c r="E925" s="1128"/>
      <c r="F925" s="1128"/>
      <c r="G925" s="960"/>
    </row>
    <row r="926" spans="1:9" ht="12.75" customHeight="1">
      <c r="A926" s="958"/>
      <c r="B926" s="958"/>
      <c r="C926" s="959"/>
      <c r="D926" s="1128"/>
      <c r="E926" s="1128"/>
      <c r="F926" s="1128"/>
      <c r="G926" s="960"/>
    </row>
    <row r="927" spans="1:9" ht="12.75" customHeight="1">
      <c r="A927" s="958"/>
      <c r="B927" s="958"/>
      <c r="C927" s="959"/>
      <c r="D927" s="1128"/>
      <c r="E927" s="1128"/>
      <c r="F927" s="1128"/>
      <c r="G927" s="960"/>
    </row>
    <row r="928" spans="1:9" ht="12.75" customHeight="1">
      <c r="A928" s="958"/>
      <c r="B928" s="958"/>
      <c r="C928" s="959"/>
      <c r="D928" s="1128"/>
      <c r="E928" s="1128"/>
      <c r="F928" s="1128"/>
      <c r="G928" s="960"/>
    </row>
    <row r="929" spans="1:9" ht="12.75" customHeight="1">
      <c r="A929" s="123"/>
      <c r="B929" s="123"/>
      <c r="C929" s="123"/>
      <c r="D929" s="2"/>
      <c r="E929" s="3"/>
      <c r="F929" s="949"/>
      <c r="G929" s="949"/>
    </row>
    <row r="930" spans="1:9" ht="12.75" customHeight="1">
      <c r="A930" s="124"/>
      <c r="B930" s="419" t="s">
        <v>521</v>
      </c>
      <c r="C930" s="123"/>
      <c r="D930" s="1204" t="s">
        <v>729</v>
      </c>
      <c r="E930" s="1204"/>
      <c r="F930" s="1204"/>
      <c r="G930" s="949"/>
      <c r="I930" s="335" t="s">
        <v>728</v>
      </c>
    </row>
    <row r="931" spans="1:9" ht="12.75" customHeight="1">
      <c r="A931" s="124"/>
      <c r="B931" s="124"/>
      <c r="C931" s="123"/>
      <c r="D931" s="1204"/>
      <c r="E931" s="1204"/>
      <c r="F931" s="1204"/>
      <c r="G931" s="949"/>
    </row>
    <row r="932" spans="1:9" ht="12.75" customHeight="1">
      <c r="A932" s="124"/>
      <c r="B932" s="124"/>
      <c r="C932" s="123"/>
      <c r="D932" s="1204"/>
      <c r="E932" s="1204"/>
      <c r="F932" s="1204"/>
      <c r="G932" s="949"/>
    </row>
    <row r="933" spans="1:9" ht="12.75" customHeight="1">
      <c r="A933" s="124"/>
      <c r="B933" s="124"/>
      <c r="C933" s="123"/>
      <c r="D933" s="1204"/>
      <c r="E933" s="1204"/>
      <c r="F933" s="1204"/>
      <c r="G933" s="949"/>
    </row>
    <row r="934" spans="1:9" ht="12.75" customHeight="1">
      <c r="A934" s="124"/>
      <c r="B934" s="124"/>
      <c r="C934" s="123"/>
      <c r="D934" s="1204"/>
      <c r="E934" s="1204"/>
      <c r="F934" s="1204"/>
      <c r="G934" s="949"/>
    </row>
    <row r="935" spans="1:9" ht="12.75" customHeight="1">
      <c r="A935" s="124"/>
      <c r="B935" s="124"/>
      <c r="C935" s="123"/>
      <c r="D935" s="1204"/>
      <c r="E935" s="1204"/>
      <c r="F935" s="1204"/>
      <c r="G935" s="949"/>
    </row>
    <row r="936" spans="1:9" ht="12.75" customHeight="1">
      <c r="A936" s="124"/>
      <c r="B936" s="124"/>
      <c r="C936" s="123"/>
      <c r="D936" s="1204"/>
      <c r="E936" s="1204"/>
      <c r="F936" s="1204"/>
      <c r="G936" s="949"/>
    </row>
    <row r="937" spans="1:9" ht="12.75" customHeight="1">
      <c r="A937" s="124"/>
      <c r="B937" s="124"/>
      <c r="C937" s="123"/>
      <c r="D937" s="989"/>
      <c r="E937" s="989"/>
      <c r="F937" s="989"/>
      <c r="G937" s="949"/>
    </row>
    <row r="938" spans="1:9" ht="12.75" customHeight="1">
      <c r="A938" s="124"/>
      <c r="B938" s="419" t="s">
        <v>521</v>
      </c>
      <c r="C938" s="123"/>
      <c r="D938" s="1127" t="s">
        <v>730</v>
      </c>
      <c r="E938" s="1127"/>
      <c r="F938" s="1127"/>
      <c r="G938" s="949"/>
    </row>
    <row r="939" spans="1:9" ht="12.75" customHeight="1">
      <c r="A939" s="124"/>
      <c r="B939" s="124"/>
      <c r="C939" s="123"/>
      <c r="D939" s="1127"/>
      <c r="E939" s="1127"/>
      <c r="F939" s="1127"/>
      <c r="G939" s="949"/>
    </row>
    <row r="940" spans="1:9" ht="12.75" customHeight="1">
      <c r="A940" s="124"/>
      <c r="B940" s="124"/>
      <c r="C940" s="123"/>
      <c r="D940" s="1127"/>
      <c r="E940" s="1127"/>
      <c r="F940" s="1127"/>
      <c r="G940" s="949"/>
    </row>
    <row r="941" spans="1:9" ht="12.75" customHeight="1">
      <c r="A941" s="124"/>
      <c r="B941" s="124"/>
      <c r="C941" s="123"/>
      <c r="D941" s="1127"/>
      <c r="E941" s="1127"/>
      <c r="F941" s="1127"/>
      <c r="G941" s="949"/>
    </row>
    <row r="942" spans="1:9" ht="12.75" customHeight="1">
      <c r="A942" s="124"/>
      <c r="B942" s="124"/>
      <c r="C942" s="123"/>
      <c r="D942" s="1127"/>
      <c r="E942" s="1127"/>
      <c r="F942" s="1127"/>
      <c r="G942" s="949"/>
    </row>
    <row r="943" spans="1:9" ht="12.75" customHeight="1">
      <c r="A943" s="124"/>
      <c r="B943" s="124"/>
      <c r="C943" s="123"/>
      <c r="D943" s="1127"/>
      <c r="E943" s="1127"/>
      <c r="F943" s="1127"/>
      <c r="G943" s="949"/>
    </row>
    <row r="944" spans="1:9" ht="12.75" customHeight="1">
      <c r="A944" s="124"/>
      <c r="B944" s="124"/>
      <c r="C944" s="123"/>
      <c r="D944" s="989"/>
      <c r="E944" s="989"/>
      <c r="F944" s="989"/>
      <c r="G944" s="949"/>
    </row>
    <row r="945" spans="1:9" ht="12.75" customHeight="1">
      <c r="A945" s="950"/>
      <c r="B945" s="419" t="s">
        <v>521</v>
      </c>
      <c r="C945" s="950"/>
      <c r="D945" s="1164" t="s">
        <v>731</v>
      </c>
      <c r="E945" s="1164"/>
      <c r="F945" s="1164"/>
      <c r="G945" s="949"/>
    </row>
    <row r="946" spans="1:9" ht="12.75" customHeight="1">
      <c r="A946" s="950"/>
      <c r="B946" s="950"/>
      <c r="C946" s="950"/>
      <c r="D946" s="1164"/>
      <c r="E946" s="1164"/>
      <c r="F946" s="1164"/>
      <c r="G946" s="949"/>
    </row>
    <row r="947" spans="1:9" ht="12.75" customHeight="1">
      <c r="A947" s="950"/>
      <c r="B947" s="950"/>
      <c r="C947" s="950"/>
      <c r="D947" s="1164"/>
      <c r="E947" s="1164"/>
      <c r="F947" s="1164"/>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521</v>
      </c>
      <c r="C950" s="123"/>
      <c r="D950" s="1128" t="s">
        <v>732</v>
      </c>
      <c r="E950" s="1128"/>
      <c r="F950" s="1128"/>
      <c r="G950" s="949"/>
      <c r="I950" s="335" t="s">
        <v>728</v>
      </c>
    </row>
    <row r="951" spans="1:9" ht="12.75" customHeight="1">
      <c r="A951" s="124"/>
      <c r="B951" s="124"/>
      <c r="C951" s="123"/>
      <c r="D951" s="1128"/>
      <c r="E951" s="1128"/>
      <c r="F951" s="1128"/>
      <c r="G951" s="949"/>
    </row>
    <row r="952" spans="1:9" ht="12.75" customHeight="1">
      <c r="A952" s="124"/>
      <c r="B952" s="124"/>
      <c r="C952" s="123"/>
      <c r="D952" s="1128"/>
      <c r="E952" s="1128"/>
      <c r="F952" s="1128"/>
      <c r="G952" s="949"/>
    </row>
    <row r="953" spans="1:9" ht="12.75" customHeight="1">
      <c r="A953" s="124"/>
      <c r="B953" s="124"/>
      <c r="C953" s="123"/>
      <c r="D953" s="1128"/>
      <c r="E953" s="1128"/>
      <c r="F953" s="1128"/>
      <c r="G953" s="949"/>
    </row>
    <row r="954" spans="1:9" ht="12.75" customHeight="1">
      <c r="A954" s="950"/>
      <c r="B954" s="950"/>
      <c r="C954" s="950"/>
      <c r="D954" s="941"/>
      <c r="E954" s="941"/>
      <c r="F954" s="941"/>
      <c r="G954" s="941"/>
    </row>
    <row r="955" spans="1:9" ht="12.75" customHeight="1">
      <c r="A955" s="285"/>
      <c r="B955" s="285"/>
      <c r="C955" s="285"/>
      <c r="D955" s="1143" t="s">
        <v>733</v>
      </c>
      <c r="E955" s="1143"/>
      <c r="F955" s="1143"/>
      <c r="G955" s="3"/>
    </row>
    <row r="956" spans="1:9" ht="12.75" customHeight="1">
      <c r="A956" s="124"/>
      <c r="B956" s="419" t="s">
        <v>525</v>
      </c>
      <c r="C956" s="285"/>
      <c r="D956" s="1144" t="s">
        <v>734</v>
      </c>
      <c r="E956" s="1144"/>
      <c r="F956" s="1144"/>
      <c r="G956" s="3"/>
      <c r="I956" s="335" t="s">
        <v>728</v>
      </c>
    </row>
    <row r="957" spans="1:9" ht="12.75" customHeight="1">
      <c r="A957" s="285"/>
      <c r="B957" s="285"/>
      <c r="C957" s="285"/>
      <c r="D957" s="3"/>
      <c r="E957" s="3"/>
      <c r="F957" s="3"/>
      <c r="G957" s="3"/>
    </row>
    <row r="958" spans="1:9" ht="12.75" customHeight="1">
      <c r="A958" s="285"/>
      <c r="B958" s="285"/>
      <c r="C958" s="285"/>
      <c r="D958" s="1143" t="s">
        <v>735</v>
      </c>
      <c r="E958" s="1143"/>
      <c r="F958" s="1143"/>
      <c r="G958"/>
    </row>
    <row r="959" spans="1:9" ht="12.75" customHeight="1">
      <c r="A959" s="124"/>
      <c r="B959" s="419" t="s">
        <v>521</v>
      </c>
      <c r="C959" s="285"/>
      <c r="D959" s="1125" t="s">
        <v>736</v>
      </c>
      <c r="E959" s="1125"/>
      <c r="F959" s="1125"/>
      <c r="G959"/>
      <c r="I959" s="335" t="s">
        <v>728</v>
      </c>
    </row>
    <row r="960" spans="1:9" ht="12.75" customHeight="1">
      <c r="A960" s="124"/>
      <c r="B960" s="124"/>
      <c r="C960" s="285"/>
      <c r="D960" s="1125"/>
      <c r="E960" s="1125"/>
      <c r="F960" s="1125"/>
      <c r="G960"/>
    </row>
    <row r="961" spans="1:9" ht="12.75" customHeight="1">
      <c r="A961" s="124"/>
      <c r="B961" s="124"/>
      <c r="C961" s="285"/>
      <c r="D961" s="1125"/>
      <c r="E961" s="1125"/>
      <c r="F961" s="1125"/>
      <c r="G961"/>
    </row>
    <row r="962" spans="1:9" ht="12.75" customHeight="1">
      <c r="A962" s="124"/>
      <c r="B962" s="124"/>
      <c r="C962" s="285"/>
      <c r="D962" s="1125"/>
      <c r="E962" s="1125"/>
      <c r="F962" s="1125"/>
      <c r="G962"/>
    </row>
    <row r="963" spans="1:9" ht="12.75" customHeight="1">
      <c r="A963" s="124"/>
      <c r="B963" s="124"/>
      <c r="C963" s="285"/>
      <c r="D963" s="1125"/>
      <c r="E963" s="1125"/>
      <c r="F963" s="1125"/>
      <c r="G963"/>
    </row>
    <row r="964" spans="1:9" ht="12.75" customHeight="1">
      <c r="A964" s="124"/>
      <c r="B964" s="124"/>
      <c r="C964" s="285"/>
      <c r="D964" s="1125"/>
      <c r="E964" s="1125"/>
      <c r="F964" s="1125"/>
      <c r="G964"/>
    </row>
    <row r="965" spans="1:9" ht="12.75" customHeight="1">
      <c r="A965" s="124"/>
      <c r="B965" s="124"/>
      <c r="C965" s="285"/>
      <c r="D965" s="1125"/>
      <c r="E965" s="1125"/>
      <c r="F965" s="1125"/>
      <c r="G965"/>
    </row>
    <row r="966" spans="1:9" ht="12.75" customHeight="1">
      <c r="A966" s="124"/>
      <c r="B966" s="124"/>
      <c r="C966" s="285"/>
      <c r="D966" s="1125"/>
      <c r="E966" s="1125"/>
      <c r="F966" s="1125"/>
      <c r="G966"/>
    </row>
    <row r="967" spans="1:9" ht="12.75" customHeight="1">
      <c r="A967" s="124"/>
      <c r="B967" s="124"/>
      <c r="C967" s="285"/>
      <c r="D967" s="1125"/>
      <c r="E967" s="1125"/>
      <c r="F967" s="1125"/>
      <c r="G967"/>
    </row>
    <row r="968" spans="1:9" ht="12.75" customHeight="1">
      <c r="A968" s="124"/>
      <c r="B968" s="124"/>
      <c r="C968" s="285"/>
      <c r="D968" s="1125"/>
      <c r="E968" s="1125"/>
      <c r="F968" s="1125"/>
      <c r="G968"/>
    </row>
    <row r="969" spans="1:9" ht="12.75" customHeight="1">
      <c r="A969" s="124"/>
      <c r="B969" s="124"/>
      <c r="C969" s="285"/>
      <c r="D969" s="1125"/>
      <c r="E969" s="1125"/>
      <c r="F969" s="1125"/>
      <c r="G969"/>
    </row>
    <row r="970" spans="1:9" ht="12.75" customHeight="1">
      <c r="A970" s="124"/>
      <c r="B970" s="124"/>
      <c r="C970" s="285"/>
      <c r="D970" s="1125"/>
      <c r="E970" s="1125"/>
      <c r="F970" s="1125"/>
      <c r="G970"/>
    </row>
    <row r="971" spans="1:9" ht="12.75" customHeight="1">
      <c r="A971" s="124"/>
      <c r="B971" s="124"/>
      <c r="C971" s="285"/>
      <c r="D971" s="1125"/>
      <c r="E971" s="1125"/>
      <c r="F971" s="1125"/>
      <c r="G971"/>
    </row>
    <row r="972" spans="1:9" ht="12.75" customHeight="1">
      <c r="A972" s="124"/>
      <c r="B972" s="124"/>
      <c r="C972" s="285"/>
      <c r="D972" s="1125"/>
      <c r="E972" s="1125"/>
      <c r="F972" s="1125"/>
      <c r="G972"/>
    </row>
    <row r="973" spans="1:9" ht="12.75" customHeight="1">
      <c r="A973" s="124"/>
      <c r="B973" s="124"/>
      <c r="C973" s="285"/>
      <c r="D973" s="1125"/>
      <c r="E973" s="1125"/>
      <c r="F973" s="1125"/>
      <c r="G973" s="3"/>
    </row>
    <row r="974" spans="1:9" ht="12.75" customHeight="1">
      <c r="A974" s="285"/>
      <c r="B974" s="285"/>
      <c r="C974" s="285"/>
      <c r="D974" s="3"/>
      <c r="E974" s="3"/>
      <c r="F974" s="3"/>
      <c r="G974" s="3"/>
    </row>
    <row r="975" spans="1:9" ht="12.75" customHeight="1">
      <c r="A975" s="1150" t="s">
        <v>737</v>
      </c>
      <c r="B975" s="1150"/>
      <c r="C975" s="1150"/>
      <c r="D975" s="1150"/>
      <c r="E975" s="1150"/>
      <c r="F975" s="1150"/>
      <c r="G975" s="1150"/>
      <c r="H975" s="993"/>
      <c r="I975" s="994"/>
    </row>
    <row r="976" spans="1:9" ht="12.75" customHeight="1">
      <c r="A976" s="85"/>
      <c r="B976" s="85"/>
      <c r="C976" s="285"/>
      <c r="D976" s="3"/>
      <c r="E976" s="3"/>
      <c r="F976" s="3"/>
      <c r="G976" s="3"/>
    </row>
    <row r="977" spans="1:9" ht="12.75" customHeight="1">
      <c r="A977" s="285"/>
      <c r="B977" s="285"/>
      <c r="C977" s="950"/>
      <c r="D977" s="1143" t="s">
        <v>738</v>
      </c>
      <c r="E977" s="1143"/>
      <c r="F977" s="1143"/>
      <c r="G977" s="3"/>
    </row>
    <row r="978" spans="1:9" ht="12.75" customHeight="1">
      <c r="A978" s="120"/>
      <c r="B978" s="120"/>
      <c r="C978" s="120"/>
      <c r="D978" s="1144" t="s">
        <v>739</v>
      </c>
      <c r="E978" s="1144"/>
      <c r="F978" s="1144"/>
      <c r="G978" s="3"/>
    </row>
    <row r="979" spans="1:9" ht="12.75" customHeight="1">
      <c r="A979" s="120"/>
      <c r="B979" s="120"/>
      <c r="C979" s="120"/>
      <c r="D979" s="3"/>
      <c r="E979" s="3"/>
      <c r="F979" s="949"/>
      <c r="G979"/>
    </row>
    <row r="980" spans="1:9" ht="12.75" customHeight="1">
      <c r="A980" s="285"/>
      <c r="B980" s="419" t="s">
        <v>525</v>
      </c>
      <c r="C980" s="285"/>
      <c r="D980" s="1206" t="s">
        <v>740</v>
      </c>
      <c r="E980" s="1206"/>
      <c r="F980" s="1206"/>
      <c r="G980"/>
      <c r="I980" s="335" t="s">
        <v>741</v>
      </c>
    </row>
    <row r="981" spans="1:9" ht="12.75" customHeight="1">
      <c r="A981" s="285"/>
      <c r="B981" s="285"/>
      <c r="C981" s="285"/>
      <c r="D981" s="1206"/>
      <c r="E981" s="1206"/>
      <c r="F981" s="1206"/>
      <c r="G981"/>
    </row>
    <row r="982" spans="1:9" ht="12.75" customHeight="1">
      <c r="A982" s="285"/>
      <c r="B982" s="285"/>
      <c r="C982" s="285"/>
      <c r="D982" s="1046"/>
      <c r="E982" s="1043" t="s">
        <v>742</v>
      </c>
      <c r="F982" s="1046"/>
      <c r="G982"/>
    </row>
    <row r="983" spans="1:9" ht="12.75" customHeight="1">
      <c r="A983" s="285"/>
      <c r="B983" s="285"/>
      <c r="C983" s="285"/>
      <c r="D983" s="1130" t="s">
        <v>743</v>
      </c>
      <c r="E983" s="1130"/>
      <c r="F983" s="1130"/>
      <c r="G983"/>
    </row>
    <row r="984" spans="1:9" ht="12.75" customHeight="1">
      <c r="A984" s="285"/>
      <c r="B984" s="285"/>
      <c r="C984" s="285"/>
      <c r="D984" s="1130"/>
      <c r="E984" s="1130"/>
      <c r="F984" s="1130"/>
      <c r="G984"/>
    </row>
    <row r="985" spans="1:9" ht="12.75" customHeight="1">
      <c r="A985" s="123"/>
      <c r="B985" s="123"/>
      <c r="C985" s="123"/>
      <c r="D985" s="1130"/>
      <c r="E985" s="1130"/>
      <c r="F985" s="1130"/>
      <c r="G985"/>
    </row>
    <row r="986" spans="1:9" ht="12.75" customHeight="1">
      <c r="A986" s="123"/>
      <c r="B986" s="123"/>
      <c r="C986" s="123"/>
      <c r="D986" s="1130"/>
      <c r="E986" s="1130"/>
      <c r="F986" s="1130"/>
      <c r="G986"/>
    </row>
    <row r="987" spans="1:9" ht="12.75" customHeight="1">
      <c r="A987" s="123"/>
      <c r="B987" s="123"/>
      <c r="C987" s="123"/>
      <c r="D987" s="265"/>
      <c r="E987" s="265"/>
      <c r="F987" s="265"/>
      <c r="G987"/>
    </row>
    <row r="988" spans="1:9" ht="12.75" customHeight="1">
      <c r="A988" s="123"/>
      <c r="B988" s="419" t="s">
        <v>521</v>
      </c>
      <c r="C988" s="123"/>
      <c r="D988" s="1125" t="s">
        <v>744</v>
      </c>
      <c r="E988" s="1125"/>
      <c r="F988" s="1125"/>
      <c r="G988"/>
    </row>
    <row r="989" spans="1:9" ht="12.75" customHeight="1">
      <c r="A989" s="123"/>
      <c r="B989" s="123"/>
      <c r="C989" s="123"/>
      <c r="D989" s="1125"/>
      <c r="E989" s="1125"/>
      <c r="F989" s="1125"/>
      <c r="G989"/>
    </row>
    <row r="990" spans="1:9" ht="12.75" customHeight="1">
      <c r="A990" s="123"/>
      <c r="B990" s="123"/>
      <c r="C990" s="123"/>
      <c r="D990" s="1125"/>
      <c r="E990" s="1125"/>
      <c r="F990" s="1125"/>
      <c r="G990"/>
    </row>
    <row r="991" spans="1:9" ht="12.75" customHeight="1">
      <c r="A991" s="123"/>
      <c r="B991" s="123"/>
      <c r="C991" s="123"/>
      <c r="D991" s="1125"/>
      <c r="E991" s="1125"/>
      <c r="F991" s="1125"/>
      <c r="G991"/>
    </row>
    <row r="992" spans="1:9" ht="12.75" customHeight="1">
      <c r="A992" s="123"/>
      <c r="B992" s="123"/>
      <c r="C992" s="123"/>
      <c r="D992" s="376"/>
      <c r="E992" s="376"/>
      <c r="F992" s="376"/>
      <c r="G992"/>
    </row>
    <row r="993" spans="1:7" ht="12.75" customHeight="1">
      <c r="A993" s="123"/>
      <c r="B993" s="419" t="s">
        <v>521</v>
      </c>
      <c r="C993" s="123"/>
      <c r="D993" s="1125" t="s">
        <v>745</v>
      </c>
      <c r="E993" s="1125"/>
      <c r="F993" s="1125"/>
      <c r="G993"/>
    </row>
    <row r="994" spans="1:7" ht="12.75" customHeight="1">
      <c r="A994" s="123"/>
      <c r="B994" s="123"/>
      <c r="C994" s="123"/>
      <c r="D994" s="1125"/>
      <c r="E994" s="1125"/>
      <c r="F994" s="1125"/>
      <c r="G994"/>
    </row>
    <row r="995" spans="1:7" ht="12.75" customHeight="1">
      <c r="A995" s="123"/>
      <c r="B995" s="123"/>
      <c r="C995" s="123"/>
      <c r="D995" s="376"/>
      <c r="E995" s="376"/>
      <c r="F995" s="376"/>
      <c r="G995"/>
    </row>
    <row r="996" spans="1:7" ht="12.75" customHeight="1">
      <c r="A996" s="124"/>
      <c r="B996" s="419" t="s">
        <v>521</v>
      </c>
      <c r="C996" s="285"/>
      <c r="D996" s="1144" t="s">
        <v>746</v>
      </c>
      <c r="E996" s="1144"/>
      <c r="F996" s="1144"/>
      <c r="G996"/>
    </row>
    <row r="997" spans="1:7" ht="12.75" customHeight="1">
      <c r="A997" s="285"/>
      <c r="B997" s="285"/>
      <c r="C997" s="285"/>
      <c r="D997" s="3"/>
      <c r="E997" s="3"/>
      <c r="F997" s="3"/>
      <c r="G997"/>
    </row>
    <row r="998" spans="1:7" ht="12.75" customHeight="1">
      <c r="A998" s="124"/>
      <c r="B998" s="419" t="s">
        <v>525</v>
      </c>
      <c r="C998" s="285"/>
      <c r="D998" s="1144" t="s">
        <v>747</v>
      </c>
      <c r="E998" s="1144"/>
      <c r="F998" s="1144"/>
      <c r="G998"/>
    </row>
    <row r="999" spans="1:7" ht="12.75" customHeight="1">
      <c r="A999" s="285"/>
      <c r="B999" s="285"/>
      <c r="C999" s="285"/>
      <c r="D999" s="85"/>
      <c r="E999" s="3"/>
      <c r="F999" s="3"/>
      <c r="G999"/>
    </row>
    <row r="1000" spans="1:7" ht="12.75" customHeight="1">
      <c r="A1000" s="124"/>
      <c r="B1000" s="419" t="s">
        <v>521</v>
      </c>
      <c r="C1000" s="285"/>
      <c r="D1000" s="1144" t="s">
        <v>748</v>
      </c>
      <c r="E1000" s="1144"/>
      <c r="F1000" s="1144"/>
      <c r="G1000"/>
    </row>
    <row r="1001" spans="1:7" ht="12.75" customHeight="1">
      <c r="A1001" s="285"/>
      <c r="B1001" s="285"/>
      <c r="C1001" s="285"/>
      <c r="D1001" s="85"/>
      <c r="E1001" s="3"/>
      <c r="F1001" s="3"/>
      <c r="G1001"/>
    </row>
    <row r="1002" spans="1:7" ht="12.75" customHeight="1">
      <c r="A1002" s="124"/>
      <c r="B1002" s="419" t="s">
        <v>521</v>
      </c>
      <c r="C1002" s="285"/>
      <c r="D1002" s="1125" t="s">
        <v>749</v>
      </c>
      <c r="E1002" s="1125"/>
      <c r="F1002" s="1125"/>
      <c r="G1002"/>
    </row>
    <row r="1003" spans="1:7" ht="12.75" customHeight="1">
      <c r="A1003" s="124"/>
      <c r="B1003" s="124"/>
      <c r="C1003" s="285"/>
      <c r="D1003" s="1125"/>
      <c r="E1003" s="1125"/>
      <c r="F1003" s="1125"/>
      <c r="G1003"/>
    </row>
    <row r="1004" spans="1:7" ht="12.75" customHeight="1">
      <c r="A1004" s="124"/>
      <c r="B1004" s="124"/>
      <c r="C1004" s="285"/>
      <c r="D1004" s="85"/>
      <c r="E1004" s="3"/>
      <c r="F1004" s="3"/>
      <c r="G1004" s="3"/>
    </row>
    <row r="1005" spans="1:7" ht="12.75" customHeight="1">
      <c r="A1005" s="184"/>
      <c r="B1005" s="419" t="s">
        <v>521</v>
      </c>
      <c r="C1005" s="961"/>
      <c r="D1005" s="1155" t="s">
        <v>750</v>
      </c>
      <c r="E1005" s="1155"/>
      <c r="F1005" s="1155"/>
      <c r="G1005" s="962"/>
    </row>
    <row r="1006" spans="1:7" ht="12.75" customHeight="1">
      <c r="A1006" s="961"/>
      <c r="B1006" s="961"/>
      <c r="C1006" s="961"/>
      <c r="D1006" s="1155"/>
      <c r="E1006" s="1155"/>
      <c r="F1006" s="1155"/>
      <c r="G1006" s="962"/>
    </row>
    <row r="1007" spans="1:7" ht="12.75" customHeight="1">
      <c r="A1007" s="961"/>
      <c r="B1007" s="961"/>
      <c r="C1007" s="961"/>
      <c r="D1007" s="945"/>
      <c r="E1007" s="962"/>
      <c r="F1007" s="962"/>
      <c r="G1007" s="962"/>
    </row>
    <row r="1008" spans="1:7" ht="12.75" customHeight="1">
      <c r="A1008" s="184"/>
      <c r="B1008" s="419" t="s">
        <v>525</v>
      </c>
      <c r="C1008" s="961"/>
      <c r="D1008" s="1205" t="s">
        <v>751</v>
      </c>
      <c r="E1008" s="1205"/>
      <c r="F1008" s="1205"/>
      <c r="G1008" s="962"/>
    </row>
    <row r="1009" spans="1:9" ht="12.75" customHeight="1">
      <c r="A1009" s="961"/>
      <c r="B1009" s="961"/>
      <c r="C1009" s="961"/>
      <c r="D1009" s="945"/>
      <c r="E1009" s="962"/>
      <c r="F1009" s="962"/>
      <c r="G1009" s="962"/>
    </row>
    <row r="1010" spans="1:9" ht="12.75" customHeight="1">
      <c r="A1010" s="124"/>
      <c r="B1010" s="419" t="s">
        <v>521</v>
      </c>
      <c r="C1010" s="285"/>
      <c r="D1010" s="1144" t="s">
        <v>752</v>
      </c>
      <c r="E1010" s="1144"/>
      <c r="F1010" s="1144"/>
      <c r="G1010" s="3"/>
    </row>
    <row r="1011" spans="1:9" ht="12.75" customHeight="1">
      <c r="A1011" s="124"/>
      <c r="B1011" s="124"/>
      <c r="C1011" s="285"/>
      <c r="D1011" s="85"/>
      <c r="E1011" s="3"/>
      <c r="F1011" s="3"/>
      <c r="G1011" s="3"/>
    </row>
    <row r="1012" spans="1:9" ht="12.75" customHeight="1">
      <c r="A1012" s="124"/>
      <c r="B1012" s="419" t="s">
        <v>521</v>
      </c>
      <c r="C1012" s="285"/>
      <c r="D1012" s="1125" t="s">
        <v>753</v>
      </c>
      <c r="E1012" s="1125"/>
      <c r="F1012" s="1125"/>
      <c r="G1012" s="3"/>
    </row>
    <row r="1013" spans="1:9" ht="12.75" customHeight="1">
      <c r="A1013" s="124"/>
      <c r="B1013" s="124"/>
      <c r="C1013" s="285"/>
      <c r="D1013" s="1125"/>
      <c r="E1013" s="1125"/>
      <c r="F1013" s="1125"/>
      <c r="G1013" s="3"/>
    </row>
    <row r="1014" spans="1:9" ht="12.75" customHeight="1">
      <c r="A1014" s="285"/>
      <c r="B1014" s="285"/>
      <c r="C1014" s="285"/>
      <c r="D1014" s="3"/>
      <c r="E1014" s="3"/>
      <c r="F1014" s="3"/>
      <c r="G1014" s="3"/>
    </row>
    <row r="1015" spans="1:9" ht="12.75" customHeight="1">
      <c r="A1015" s="1150" t="s">
        <v>754</v>
      </c>
      <c r="B1015" s="1150"/>
      <c r="C1015" s="1150"/>
      <c r="D1015" s="1150"/>
      <c r="E1015" s="1150"/>
      <c r="F1015" s="1150"/>
      <c r="G1015" s="1150"/>
      <c r="H1015" s="993"/>
      <c r="I1015" s="994"/>
    </row>
    <row r="1016" spans="1:9" ht="12.75" customHeight="1">
      <c r="A1016" s="285"/>
      <c r="B1016" s="285"/>
      <c r="C1016" s="285"/>
      <c r="D1016" s="3"/>
      <c r="E1016" s="3"/>
      <c r="F1016" s="3"/>
      <c r="G1016" s="3"/>
    </row>
    <row r="1017" spans="1:9" ht="12.75" customHeight="1">
      <c r="A1017" s="285"/>
      <c r="B1017" s="285"/>
      <c r="C1017" s="285"/>
      <c r="D1017" s="1156" t="s">
        <v>755</v>
      </c>
      <c r="E1017" s="1156"/>
      <c r="F1017" s="1156"/>
      <c r="G1017" s="3"/>
    </row>
    <row r="1018" spans="1:9" ht="12.75" customHeight="1">
      <c r="A1018" s="285"/>
      <c r="B1018" s="285"/>
      <c r="C1018" s="285"/>
      <c r="D1018" s="1205" t="s">
        <v>756</v>
      </c>
      <c r="E1018" s="1205"/>
      <c r="F1018" s="1205"/>
      <c r="G1018" s="3"/>
    </row>
    <row r="1019" spans="1:9" ht="12.75" customHeight="1">
      <c r="A1019" s="120"/>
      <c r="B1019" s="120"/>
      <c r="C1019" s="120"/>
      <c r="D1019" s="3"/>
      <c r="E1019" s="3"/>
      <c r="F1019" s="3"/>
      <c r="G1019" s="3"/>
    </row>
    <row r="1020" spans="1:9" ht="12.75" customHeight="1">
      <c r="A1020" s="124"/>
      <c r="B1020" s="124"/>
      <c r="C1020" s="123"/>
      <c r="D1020" s="1156" t="s">
        <v>757</v>
      </c>
      <c r="E1020" s="1156"/>
      <c r="F1020" s="1156"/>
      <c r="G1020" s="3"/>
      <c r="I1020" s="335" t="s">
        <v>758</v>
      </c>
    </row>
    <row r="1021" spans="1:9" ht="12.75" customHeight="1">
      <c r="A1021" s="285"/>
      <c r="B1021" s="419" t="s">
        <v>525</v>
      </c>
      <c r="C1021" s="285"/>
      <c r="D1021" s="1205" t="s">
        <v>759</v>
      </c>
      <c r="E1021" s="1205"/>
      <c r="F1021" s="1205"/>
      <c r="G1021" s="3"/>
    </row>
    <row r="1022" spans="1:9" ht="12.75" customHeight="1">
      <c r="A1022" s="285"/>
      <c r="B1022" s="124"/>
      <c r="C1022" s="285"/>
      <c r="D1022" s="1205" t="s">
        <v>760</v>
      </c>
      <c r="E1022" s="1205"/>
      <c r="F1022" s="1205"/>
      <c r="G1022" s="3"/>
    </row>
    <row r="1023" spans="1:9" ht="12.75" customHeight="1">
      <c r="A1023" s="285"/>
      <c r="B1023" s="285"/>
      <c r="C1023" s="285"/>
      <c r="D1023" s="1205"/>
      <c r="E1023" s="1205"/>
      <c r="F1023" s="1205"/>
      <c r="G1023" s="3"/>
    </row>
    <row r="1024" spans="1:9" ht="12.75" customHeight="1">
      <c r="A1024" s="1150" t="s">
        <v>761</v>
      </c>
      <c r="B1024" s="1150"/>
      <c r="C1024" s="1150"/>
      <c r="D1024" s="1150"/>
      <c r="E1024" s="1150"/>
      <c r="F1024" s="1150"/>
      <c r="G1024" s="1150"/>
      <c r="H1024" s="993"/>
      <c r="I1024" s="994"/>
    </row>
    <row r="1025" spans="1:9" ht="12.75" customHeight="1">
      <c r="A1025" s="85"/>
      <c r="B1025" s="85"/>
      <c r="C1025" s="285"/>
      <c r="D1025" s="3"/>
      <c r="E1025" s="3"/>
      <c r="F1025" s="3"/>
      <c r="G1025" s="3"/>
    </row>
    <row r="1026" spans="1:9" ht="12.75" customHeight="1">
      <c r="A1026" s="85"/>
      <c r="B1026" s="333"/>
      <c r="D1026" s="1151" t="s">
        <v>762</v>
      </c>
      <c r="E1026" s="1151"/>
      <c r="F1026" s="1151"/>
      <c r="G1026" s="3"/>
    </row>
    <row r="1027" spans="1:9" ht="12.75" customHeight="1">
      <c r="A1027" s="85"/>
      <c r="B1027" s="419" t="s">
        <v>525</v>
      </c>
      <c r="D1027" s="1138" t="s">
        <v>759</v>
      </c>
      <c r="E1027" s="1138"/>
      <c r="F1027" s="1138"/>
      <c r="G1027" s="3"/>
    </row>
    <row r="1028" spans="1:9" ht="12.75" customHeight="1">
      <c r="A1028" s="85"/>
      <c r="B1028" s="333"/>
      <c r="D1028" s="1138" t="s">
        <v>763</v>
      </c>
      <c r="E1028" s="1138"/>
      <c r="F1028" s="1138"/>
      <c r="G1028" s="3"/>
    </row>
    <row r="1029" spans="1:9" ht="12.75" customHeight="1">
      <c r="A1029" s="85"/>
      <c r="B1029" s="333"/>
      <c r="D1029" s="379"/>
      <c r="E1029" s="379"/>
      <c r="F1029" s="379"/>
      <c r="G1029" s="3"/>
    </row>
    <row r="1030" spans="1:9" ht="12.75" customHeight="1">
      <c r="A1030" s="85"/>
      <c r="B1030" s="85"/>
      <c r="C1030" s="285"/>
      <c r="D1030" s="1209" t="s">
        <v>494</v>
      </c>
      <c r="E1030" s="1209"/>
      <c r="F1030" s="1209"/>
      <c r="G1030" s="3"/>
      <c r="I1030" s="335" t="s">
        <v>764</v>
      </c>
    </row>
    <row r="1031" spans="1:9" ht="12.75" customHeight="1">
      <c r="A1031" s="247"/>
      <c r="B1031" s="247"/>
      <c r="C1031" s="247"/>
      <c r="D1031" s="1142" t="s">
        <v>495</v>
      </c>
      <c r="E1031" s="1142"/>
      <c r="F1031" s="1142"/>
      <c r="G1031" s="74"/>
    </row>
    <row r="1032" spans="1:9" ht="12.75" customHeight="1">
      <c r="A1032" s="124"/>
      <c r="B1032" s="419" t="s">
        <v>521</v>
      </c>
      <c r="C1032" s="285"/>
      <c r="D1032" s="1142" t="s">
        <v>496</v>
      </c>
      <c r="E1032" s="1142"/>
      <c r="F1032" s="1142"/>
      <c r="G1032" s="3"/>
    </row>
    <row r="1033" spans="1:9" ht="12.75" customHeight="1">
      <c r="A1033" s="285"/>
      <c r="B1033" s="285"/>
      <c r="C1033" s="285"/>
      <c r="D1033" s="1043" t="s">
        <v>765</v>
      </c>
      <c r="E1033" s="72"/>
      <c r="F1033" s="72"/>
      <c r="G1033" s="3"/>
    </row>
    <row r="1034" spans="1:9">
      <c r="A1034" s="333"/>
      <c r="B1034" s="333"/>
      <c r="C1034" s="333"/>
    </row>
    <row r="1035" spans="1:9">
      <c r="A1035" s="1150" t="s">
        <v>766</v>
      </c>
      <c r="B1035" s="1150"/>
      <c r="C1035" s="1150"/>
      <c r="D1035" s="1150"/>
      <c r="E1035" s="1150"/>
      <c r="F1035" s="1150"/>
      <c r="G1035" s="1150"/>
      <c r="H1035" s="993"/>
      <c r="I1035" s="994"/>
    </row>
    <row r="1036" spans="1:9">
      <c r="A1036" s="333"/>
      <c r="B1036" s="333"/>
      <c r="C1036" s="333"/>
    </row>
    <row r="1037" spans="1:9">
      <c r="A1037" s="333"/>
      <c r="B1037" s="333"/>
      <c r="C1037" s="333"/>
      <c r="D1037" s="335" t="s">
        <v>767</v>
      </c>
    </row>
    <row r="1038" spans="1:9">
      <c r="A1038" s="333"/>
      <c r="B1038" s="333"/>
      <c r="C1038" s="333"/>
      <c r="D1038" s="333" t="s">
        <v>768</v>
      </c>
    </row>
    <row r="1039" spans="1:9">
      <c r="A1039" s="333"/>
      <c r="B1039" s="333"/>
      <c r="C1039" s="333"/>
      <c r="D1039" s="335"/>
    </row>
    <row r="1040" spans="1:9">
      <c r="A1040" s="333"/>
      <c r="B1040" s="419" t="s">
        <v>521</v>
      </c>
      <c r="C1040" s="333"/>
      <c r="D1040" s="1208" t="s">
        <v>769</v>
      </c>
      <c r="E1040" s="1208"/>
      <c r="F1040" s="1208"/>
      <c r="I1040" s="335" t="s">
        <v>770</v>
      </c>
    </row>
    <row r="1041" spans="1:9">
      <c r="A1041" s="333"/>
      <c r="B1041" s="333"/>
      <c r="C1041" s="333"/>
      <c r="D1041" s="1208"/>
      <c r="E1041" s="1208"/>
      <c r="F1041" s="1208"/>
    </row>
    <row r="1042" spans="1:9">
      <c r="A1042" s="333"/>
      <c r="B1042" s="333"/>
      <c r="C1042" s="333"/>
      <c r="D1042" s="1208"/>
      <c r="E1042" s="1208"/>
      <c r="F1042" s="1208"/>
    </row>
    <row r="1043" spans="1:9">
      <c r="A1043" s="333"/>
      <c r="B1043" s="333"/>
      <c r="C1043" s="333"/>
      <c r="D1043" s="1208"/>
      <c r="E1043" s="1208"/>
      <c r="F1043" s="1208"/>
    </row>
    <row r="1044" spans="1:9">
      <c r="A1044" s="333"/>
      <c r="B1044" s="333"/>
      <c r="C1044" s="333"/>
    </row>
    <row r="1045" spans="1:9">
      <c r="A1045" s="333"/>
      <c r="B1045" s="333"/>
      <c r="C1045" s="333"/>
      <c r="D1045" s="335" t="s">
        <v>771</v>
      </c>
    </row>
    <row r="1046" spans="1:9">
      <c r="A1046" s="333"/>
      <c r="B1046" s="333"/>
      <c r="C1046" s="333"/>
      <c r="D1046" s="333" t="s">
        <v>772</v>
      </c>
    </row>
    <row r="1047" spans="1:9">
      <c r="A1047" s="333"/>
      <c r="B1047" s="333"/>
      <c r="C1047" s="333"/>
    </row>
    <row r="1048" spans="1:9">
      <c r="A1048" s="333"/>
      <c r="B1048" s="419" t="s">
        <v>525</v>
      </c>
      <c r="C1048" s="333"/>
      <c r="D1048" s="333" t="s">
        <v>714</v>
      </c>
      <c r="I1048" s="335" t="s">
        <v>773</v>
      </c>
    </row>
    <row r="1049" spans="1:9">
      <c r="A1049" s="333"/>
      <c r="B1049" s="333"/>
      <c r="C1049" s="333"/>
    </row>
    <row r="1050" spans="1:9">
      <c r="A1050" s="333"/>
      <c r="B1050" s="419" t="s">
        <v>525</v>
      </c>
      <c r="C1050" s="333"/>
      <c r="D1050" s="1208" t="s">
        <v>774</v>
      </c>
      <c r="E1050" s="1208"/>
      <c r="F1050" s="1208"/>
      <c r="I1050" s="335" t="s">
        <v>775</v>
      </c>
    </row>
    <row r="1051" spans="1:9">
      <c r="A1051" s="333"/>
      <c r="B1051" s="333"/>
      <c r="C1051" s="333"/>
      <c r="D1051" s="1208"/>
      <c r="E1051" s="1208"/>
      <c r="F1051" s="1208"/>
    </row>
    <row r="1052" spans="1:9">
      <c r="A1052" s="333"/>
      <c r="B1052" s="333"/>
      <c r="C1052" s="333"/>
      <c r="D1052" s="1208"/>
      <c r="E1052" s="1208"/>
      <c r="F1052" s="1208"/>
    </row>
    <row r="1053" spans="1:9">
      <c r="A1053" s="333"/>
      <c r="B1053" s="333"/>
      <c r="C1053" s="333"/>
      <c r="D1053" s="1208"/>
      <c r="E1053" s="1208"/>
      <c r="F1053" s="1208"/>
    </row>
    <row r="1054" spans="1:9">
      <c r="A1054" s="333"/>
      <c r="B1054" s="333"/>
      <c r="C1054" s="333"/>
      <c r="D1054" s="1208"/>
      <c r="E1054" s="1208"/>
      <c r="F1054" s="1208"/>
    </row>
    <row r="1055" spans="1:9">
      <c r="A1055" s="333"/>
      <c r="B1055" s="333"/>
      <c r="C1055" s="333"/>
    </row>
    <row r="1056" spans="1:9">
      <c r="A1056" s="1150" t="s">
        <v>776</v>
      </c>
      <c r="B1056" s="1150"/>
      <c r="C1056" s="1150"/>
      <c r="D1056" s="1150"/>
      <c r="E1056" s="1150"/>
      <c r="F1056" s="1150"/>
      <c r="G1056" s="1150"/>
      <c r="H1056" s="993"/>
      <c r="I1056" s="994"/>
    </row>
    <row r="1057" spans="1:9">
      <c r="A1057" s="333"/>
      <c r="B1057" s="333"/>
      <c r="C1057" s="333"/>
    </row>
    <row r="1058" spans="1:9">
      <c r="A1058" s="333"/>
      <c r="B1058" s="333"/>
      <c r="C1058" s="333"/>
    </row>
    <row r="1059" spans="1:9">
      <c r="A1059" s="333"/>
      <c r="B1059" s="419" t="s">
        <v>525</v>
      </c>
      <c r="C1059" s="333"/>
      <c r="D1059" s="460" t="s">
        <v>777</v>
      </c>
      <c r="I1059" s="335" t="s">
        <v>778</v>
      </c>
    </row>
    <row r="1060" spans="1:9">
      <c r="A1060" s="333"/>
      <c r="B1060" s="333"/>
      <c r="C1060" s="333"/>
      <c r="D1060" s="460" t="s">
        <v>779</v>
      </c>
    </row>
    <row r="1061" spans="1:9">
      <c r="A1061" s="333"/>
      <c r="B1061" s="333"/>
      <c r="C1061" s="333"/>
      <c r="D1061" s="460"/>
    </row>
    <row r="1062" spans="1:9">
      <c r="A1062" s="333"/>
      <c r="B1062" s="419" t="s">
        <v>521</v>
      </c>
      <c r="C1062" s="333"/>
      <c r="D1062" s="460" t="s">
        <v>780</v>
      </c>
      <c r="I1062" s="335" t="s">
        <v>781</v>
      </c>
    </row>
    <row r="1063" spans="1:9">
      <c r="A1063" s="333"/>
      <c r="B1063" s="333"/>
      <c r="C1063" s="333"/>
      <c r="D1063" s="460" t="s">
        <v>782</v>
      </c>
    </row>
    <row r="1064" spans="1:9">
      <c r="A1064" s="333"/>
      <c r="B1064" s="333"/>
      <c r="C1064" s="333"/>
      <c r="D1064" s="460"/>
    </row>
    <row r="1065" spans="1:9">
      <c r="A1065" s="333"/>
      <c r="B1065" s="419" t="s">
        <v>521</v>
      </c>
      <c r="C1065" s="333"/>
      <c r="D1065" s="86" t="s">
        <v>783</v>
      </c>
      <c r="I1065" s="335" t="s">
        <v>784</v>
      </c>
    </row>
    <row r="1066" spans="1:9">
      <c r="A1066" s="333"/>
      <c r="B1066" s="333"/>
      <c r="C1066" s="333"/>
      <c r="D1066" s="1125" t="s">
        <v>785</v>
      </c>
      <c r="E1066" s="1125"/>
      <c r="F1066" s="1125"/>
    </row>
    <row r="1067" spans="1:9">
      <c r="A1067" s="333"/>
      <c r="B1067" s="333"/>
      <c r="C1067" s="333"/>
      <c r="D1067" s="1125"/>
      <c r="E1067" s="1125"/>
      <c r="F1067" s="1125"/>
    </row>
    <row r="1068" spans="1:9">
      <c r="A1068" s="333"/>
      <c r="B1068" s="333"/>
      <c r="C1068" s="333"/>
      <c r="D1068" s="1125"/>
      <c r="E1068" s="1125"/>
      <c r="F1068" s="1125"/>
    </row>
    <row r="1069" spans="1:9">
      <c r="A1069" s="333"/>
      <c r="B1069" s="333"/>
      <c r="C1069" s="333"/>
      <c r="D1069" s="1125"/>
      <c r="E1069" s="1125"/>
      <c r="F1069" s="1125"/>
    </row>
    <row r="1070" spans="1:9">
      <c r="A1070" s="333"/>
      <c r="B1070" s="333"/>
      <c r="C1070" s="333"/>
      <c r="D1070" s="86" t="s">
        <v>786</v>
      </c>
    </row>
    <row r="1071" spans="1:9">
      <c r="A1071" s="333"/>
      <c r="B1071" s="333"/>
      <c r="C1071" s="333"/>
      <c r="D1071" s="86"/>
    </row>
    <row r="1072" spans="1:9">
      <c r="A1072" s="333"/>
      <c r="B1072" s="333"/>
      <c r="C1072" s="333"/>
      <c r="D1072" s="460" t="s">
        <v>787</v>
      </c>
      <c r="I1072" s="335" t="s">
        <v>788</v>
      </c>
    </row>
    <row r="1073" spans="1:9">
      <c r="A1073" s="333"/>
      <c r="B1073" s="419" t="s">
        <v>525</v>
      </c>
      <c r="C1073" s="333"/>
      <c r="D1073" s="1207" t="s">
        <v>789</v>
      </c>
      <c r="E1073" s="1207"/>
      <c r="F1073" s="1207"/>
    </row>
    <row r="1074" spans="1:9">
      <c r="A1074" s="333"/>
      <c r="B1074" s="333"/>
      <c r="C1074" s="333"/>
      <c r="D1074" s="1207"/>
      <c r="E1074" s="1207"/>
      <c r="F1074" s="1207"/>
    </row>
    <row r="1075" spans="1:9">
      <c r="A1075" s="333"/>
      <c r="B1075" s="333"/>
      <c r="C1075" s="333"/>
      <c r="D1075" s="1207"/>
      <c r="E1075" s="1207"/>
      <c r="F1075" s="1207"/>
    </row>
    <row r="1076" spans="1:9">
      <c r="A1076" s="333"/>
      <c r="B1076" s="333"/>
      <c r="C1076" s="333"/>
      <c r="D1076" s="1207"/>
      <c r="E1076" s="1207"/>
      <c r="F1076" s="1207"/>
    </row>
    <row r="1077" spans="1:9">
      <c r="A1077" s="333"/>
      <c r="B1077" s="333"/>
      <c r="C1077" s="333"/>
      <c r="D1077" s="1207"/>
      <c r="E1077" s="1207"/>
      <c r="F1077" s="1207"/>
    </row>
    <row r="1078" spans="1:9">
      <c r="A1078" s="333"/>
      <c r="B1078" s="333"/>
      <c r="C1078" s="333"/>
      <c r="D1078" s="460" t="s">
        <v>790</v>
      </c>
    </row>
    <row r="1079" spans="1:9">
      <c r="A1079" s="333"/>
      <c r="B1079" s="333"/>
      <c r="C1079" s="333"/>
    </row>
    <row r="1080" spans="1:9">
      <c r="A1080" s="1150" t="s">
        <v>791</v>
      </c>
      <c r="B1080" s="1150"/>
      <c r="C1080" s="1150"/>
      <c r="D1080" s="1150"/>
      <c r="E1080" s="1150"/>
      <c r="F1080" s="1150"/>
      <c r="G1080" s="1150"/>
      <c r="H1080" s="993"/>
      <c r="I1080" s="994"/>
    </row>
    <row r="1081" spans="1:9">
      <c r="A1081" s="333"/>
      <c r="B1081" s="333"/>
      <c r="C1081" s="333"/>
    </row>
    <row r="1082" spans="1:9">
      <c r="A1082" s="333"/>
      <c r="B1082" s="333"/>
      <c r="C1082" s="333"/>
    </row>
    <row r="1083" spans="1:9">
      <c r="A1083" s="333"/>
      <c r="B1083" s="419" t="s">
        <v>521</v>
      </c>
      <c r="C1083" s="333"/>
      <c r="D1083" s="1207" t="s">
        <v>792</v>
      </c>
      <c r="E1083" s="1207"/>
      <c r="F1083" s="1207"/>
      <c r="I1083" s="335" t="s">
        <v>793</v>
      </c>
    </row>
    <row r="1084" spans="1:9">
      <c r="A1084" s="333"/>
      <c r="B1084" s="333"/>
      <c r="C1084" s="333"/>
      <c r="D1084" s="1207"/>
      <c r="E1084" s="1207"/>
      <c r="F1084" s="1207"/>
    </row>
    <row r="1085" spans="1:9">
      <c r="A1085" s="333"/>
      <c r="B1085" s="333"/>
      <c r="C1085" s="333"/>
      <c r="D1085" s="1207"/>
      <c r="E1085" s="1207"/>
      <c r="F1085" s="1207"/>
    </row>
    <row r="1086" spans="1:9">
      <c r="A1086" s="333"/>
      <c r="B1086" s="333"/>
      <c r="C1086" s="333"/>
      <c r="D1086" s="460"/>
    </row>
    <row r="1087" spans="1:9">
      <c r="A1087" s="333"/>
      <c r="B1087" s="419" t="s">
        <v>521</v>
      </c>
      <c r="C1087" s="333"/>
      <c r="D1087" s="1207" t="s">
        <v>794</v>
      </c>
      <c r="E1087" s="1207"/>
      <c r="F1087" s="1207"/>
      <c r="I1087" s="335" t="s">
        <v>795</v>
      </c>
    </row>
    <row r="1088" spans="1:9">
      <c r="A1088" s="333"/>
      <c r="B1088" s="333"/>
      <c r="C1088" s="333"/>
      <c r="D1088" s="1207"/>
      <c r="E1088" s="1207"/>
      <c r="F1088" s="1207"/>
    </row>
    <row r="1089" spans="1:9">
      <c r="A1089" s="333"/>
      <c r="B1089" s="333"/>
      <c r="C1089" s="333"/>
      <c r="D1089" s="460"/>
    </row>
    <row r="1090" spans="1:9">
      <c r="A1090" s="333"/>
      <c r="B1090" s="419" t="s">
        <v>521</v>
      </c>
      <c r="C1090" s="333"/>
      <c r="D1090" s="1207" t="s">
        <v>796</v>
      </c>
      <c r="E1090" s="1207"/>
      <c r="F1090" s="1207"/>
      <c r="I1090" s="335" t="s">
        <v>797</v>
      </c>
    </row>
    <row r="1091" spans="1:9">
      <c r="A1091" s="333"/>
      <c r="B1091" s="333"/>
      <c r="C1091" s="333"/>
      <c r="D1091" s="1207"/>
      <c r="E1091" s="1207"/>
      <c r="F1091" s="1207"/>
    </row>
    <row r="1092" spans="1:9">
      <c r="A1092" s="333"/>
      <c r="B1092" s="333"/>
      <c r="C1092" s="333"/>
      <c r="D1092" s="1207"/>
      <c r="E1092" s="1207"/>
      <c r="F1092" s="1207"/>
    </row>
    <row r="1093" spans="1:9">
      <c r="A1093" s="333"/>
      <c r="B1093" s="333"/>
      <c r="C1093" s="333"/>
      <c r="D1093" s="1207"/>
      <c r="E1093" s="1207"/>
      <c r="F1093" s="1207"/>
    </row>
    <row r="1094" spans="1:9">
      <c r="A1094" s="333"/>
      <c r="B1094" s="333"/>
      <c r="C1094" s="333"/>
      <c r="D1094" s="1207"/>
      <c r="E1094" s="1207"/>
      <c r="F1094" s="1207"/>
    </row>
    <row r="1095" spans="1:9">
      <c r="A1095" s="333"/>
      <c r="B1095" s="333"/>
      <c r="C1095" s="333"/>
      <c r="D1095" s="1207"/>
      <c r="E1095" s="1207"/>
      <c r="F1095" s="1207"/>
    </row>
    <row r="1096" spans="1:9">
      <c r="A1096" s="333"/>
      <c r="B1096" s="333"/>
      <c r="C1096" s="333"/>
      <c r="D1096" s="460" t="s">
        <v>798</v>
      </c>
      <c r="I1096" s="333"/>
    </row>
    <row r="1097" spans="1:9">
      <c r="A1097" s="333"/>
      <c r="B1097" s="419" t="s">
        <v>521</v>
      </c>
      <c r="C1097" s="333"/>
      <c r="D1097" s="1207" t="s">
        <v>799</v>
      </c>
      <c r="E1097" s="1207"/>
      <c r="F1097" s="1207"/>
      <c r="I1097" s="335" t="s">
        <v>800</v>
      </c>
    </row>
    <row r="1098" spans="1:9">
      <c r="A1098" s="333"/>
      <c r="B1098" s="333"/>
      <c r="C1098" s="333"/>
      <c r="D1098" s="1207"/>
      <c r="E1098" s="1207"/>
      <c r="F1098" s="1207"/>
    </row>
    <row r="1099" spans="1:9">
      <c r="A1099" s="333"/>
      <c r="B1099" s="333"/>
      <c r="C1099" s="333"/>
      <c r="D1099" s="1207"/>
      <c r="E1099" s="1207"/>
      <c r="F1099" s="1207"/>
    </row>
    <row r="1100" spans="1:9">
      <c r="A1100" s="333"/>
      <c r="B1100" s="333"/>
      <c r="C1100" s="333"/>
      <c r="D1100" s="460"/>
    </row>
    <row r="1101" spans="1:9">
      <c r="A1101" s="333"/>
      <c r="B1101" s="419" t="s">
        <v>525</v>
      </c>
      <c r="C1101" s="333"/>
      <c r="D1101" s="1130" t="s">
        <v>801</v>
      </c>
      <c r="E1101" s="1130"/>
      <c r="F1101" s="1130"/>
      <c r="I1101" s="335" t="s">
        <v>675</v>
      </c>
    </row>
    <row r="1102" spans="1:9">
      <c r="A1102" s="333"/>
      <c r="B1102" s="333"/>
      <c r="C1102" s="333"/>
      <c r="D1102" s="1130"/>
      <c r="E1102" s="1130"/>
      <c r="F1102" s="1130"/>
    </row>
    <row r="1103" spans="1:9">
      <c r="A1103" s="333"/>
      <c r="B1103" s="333"/>
      <c r="C1103" s="333"/>
      <c r="D1103" s="1130"/>
      <c r="E1103" s="1130"/>
      <c r="F1103" s="1130"/>
    </row>
    <row r="1104" spans="1:9">
      <c r="A1104" s="333"/>
      <c r="B1104" s="333"/>
      <c r="C1104" s="333"/>
      <c r="D1104" s="941"/>
      <c r="E1104" s="941"/>
      <c r="F1104" s="941"/>
    </row>
    <row r="1105" spans="1:9" ht="15.75" customHeight="1">
      <c r="A1105" s="333"/>
      <c r="B1105" s="419" t="s">
        <v>521</v>
      </c>
      <c r="C1105" s="333"/>
      <c r="D1105" s="1125" t="s">
        <v>802</v>
      </c>
      <c r="E1105" s="1125"/>
      <c r="F1105" s="1125"/>
      <c r="I1105" s="335" t="s">
        <v>803</v>
      </c>
    </row>
    <row r="1106" spans="1:9">
      <c r="A1106" s="333"/>
      <c r="B1106" s="333"/>
      <c r="C1106" s="333"/>
      <c r="D1106" s="1125"/>
      <c r="E1106" s="1125"/>
      <c r="F1106" s="1125"/>
    </row>
    <row r="1107" spans="1:9">
      <c r="A1107" s="333"/>
      <c r="B1107" s="333"/>
      <c r="C1107" s="333"/>
      <c r="D1107" s="1125"/>
      <c r="E1107" s="1125"/>
      <c r="F1107" s="1125"/>
    </row>
    <row r="1108" spans="1:9">
      <c r="A1108" s="333"/>
      <c r="B1108" s="333"/>
      <c r="C1108" s="333"/>
      <c r="D1108" s="1125"/>
      <c r="E1108" s="1125"/>
      <c r="F1108" s="1125"/>
    </row>
    <row r="1109" spans="1:9">
      <c r="A1109" s="333"/>
      <c r="B1109" s="333"/>
      <c r="C1109" s="333"/>
      <c r="D1109" s="941"/>
      <c r="E1109" s="941"/>
      <c r="F1109" s="941"/>
    </row>
    <row r="1110" spans="1:9" ht="38.25">
      <c r="A1110" s="333"/>
      <c r="B1110" s="333"/>
      <c r="C1110" s="333"/>
      <c r="I1110" s="347" t="s">
        <v>804</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37"/>
      <c r="H1523" s="1137"/>
      <c r="I1523" s="113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66" zoomScaleNormal="100" zoomScaleSheetLayoutView="80" workbookViewId="0">
      <selection activeCell="H9" sqref="H9"/>
    </sheetView>
  </sheetViews>
  <sheetFormatPr defaultColWidth="0" defaultRowHeight="0" customHeight="1" zeroHeight="1"/>
  <cols>
    <col min="1" max="36" width="2.5703125" customWidth="1"/>
    <col min="37" max="37" width="2.85546875" customWidth="1"/>
    <col min="38" max="45" width="2.5703125" customWidth="1"/>
    <col min="46" max="76" width="3.7109375" hidden="1"/>
    <col min="16384" max="16384" width="3.7109375" hidden="1"/>
  </cols>
  <sheetData>
    <row r="1" spans="1:51" ht="12.75">
      <c r="J1" s="76"/>
      <c r="AS1" s="997">
        <v>4</v>
      </c>
    </row>
    <row r="2" spans="1:51" ht="12.75"/>
    <row r="3" spans="1:51" ht="12.75"/>
    <row r="4" spans="1:51" ht="12.75"/>
    <row r="5" spans="1:51" ht="12.75"/>
    <row r="6" spans="1:51" ht="12.75"/>
    <row r="7" spans="1:51" ht="12.75"/>
    <row r="8" spans="1:51" ht="18.75">
      <c r="A8" s="1560" t="s">
        <v>805</v>
      </c>
      <c r="B8" s="1560"/>
      <c r="C8" s="1560"/>
      <c r="D8" s="1560"/>
      <c r="E8" s="1560"/>
      <c r="F8" s="1560"/>
      <c r="G8" s="1560"/>
      <c r="H8" s="1560"/>
      <c r="I8" s="1560"/>
      <c r="J8" s="1560"/>
      <c r="K8" s="1560"/>
      <c r="L8" s="1560"/>
      <c r="M8" s="1560"/>
      <c r="N8" s="1560"/>
      <c r="O8" s="1560"/>
      <c r="P8" s="1560"/>
      <c r="Q8" s="1560"/>
      <c r="R8" s="1560"/>
      <c r="S8" s="1560"/>
      <c r="T8" s="1560"/>
      <c r="U8" s="1560"/>
      <c r="V8" s="1560"/>
      <c r="W8" s="1560"/>
      <c r="X8" s="1560"/>
      <c r="Y8" s="1560"/>
      <c r="Z8" s="1560"/>
      <c r="AA8" s="1560"/>
      <c r="AB8" s="1560"/>
      <c r="AC8" s="1560"/>
      <c r="AD8" s="1560"/>
      <c r="AE8" s="1560"/>
      <c r="AF8" s="1560"/>
      <c r="AG8" s="1560"/>
      <c r="AH8" s="1560"/>
      <c r="AI8" s="1560"/>
      <c r="AJ8" s="1560"/>
      <c r="AK8" s="1560"/>
      <c r="AL8" s="1560"/>
      <c r="AM8" s="858"/>
      <c r="AN8" s="858"/>
      <c r="AO8" s="858"/>
      <c r="AP8" s="858"/>
      <c r="AQ8" s="858"/>
      <c r="AR8" s="858"/>
      <c r="AS8" s="858"/>
      <c r="AT8" s="858"/>
      <c r="AU8" s="858"/>
      <c r="AV8" s="858"/>
      <c r="AW8" s="858"/>
      <c r="AX8" s="858"/>
      <c r="AY8" s="858"/>
    </row>
    <row r="9" spans="1:51" ht="12.75">
      <c r="A9" s="1163" t="s">
        <v>806</v>
      </c>
      <c r="B9" s="1163"/>
      <c r="C9" s="1163"/>
      <c r="D9" s="1163"/>
      <c r="E9" s="1163"/>
      <c r="F9" s="1163"/>
      <c r="G9" s="1163"/>
      <c r="H9" s="1163"/>
      <c r="I9" s="1163"/>
      <c r="J9" s="1163"/>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3"/>
      <c r="AN9" s="13"/>
      <c r="AO9" s="13"/>
      <c r="AP9" s="13"/>
      <c r="AQ9" s="13"/>
      <c r="AR9" s="13"/>
      <c r="AS9" s="13"/>
      <c r="AT9" s="13"/>
      <c r="AU9" s="13"/>
      <c r="AV9" s="13"/>
      <c r="AW9" s="13"/>
      <c r="AX9" s="13"/>
      <c r="AY9" s="13"/>
    </row>
    <row r="10" spans="1:51" ht="15" customHeight="1">
      <c r="A10" s="1163" t="s">
        <v>807</v>
      </c>
      <c r="B10" s="1163"/>
      <c r="C10" s="1163"/>
      <c r="D10" s="1163"/>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3"/>
      <c r="AN10" s="13"/>
      <c r="AO10" s="13"/>
      <c r="AP10" s="13"/>
      <c r="AQ10" s="13"/>
      <c r="AR10" s="13"/>
      <c r="AS10" s="13"/>
      <c r="AT10" s="13"/>
      <c r="AU10" s="13"/>
      <c r="AV10" s="13"/>
      <c r="AW10" s="13"/>
      <c r="AX10" s="13"/>
      <c r="AY10" s="13"/>
    </row>
    <row r="11" spans="1:51" ht="15" customHeight="1">
      <c r="A11" s="1163" t="s">
        <v>808</v>
      </c>
      <c r="B11" s="1163"/>
      <c r="C11" s="1163"/>
      <c r="D11" s="1163"/>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3"/>
      <c r="AI11" s="1163"/>
      <c r="AJ11" s="1163"/>
      <c r="AK11" s="1163"/>
      <c r="AL11" s="1163"/>
      <c r="AM11" s="13"/>
      <c r="AN11" s="13"/>
      <c r="AO11" s="13"/>
      <c r="AP11" s="13"/>
      <c r="AQ11" s="13"/>
      <c r="AR11" s="13"/>
      <c r="AS11" s="13"/>
      <c r="AT11" s="13"/>
      <c r="AU11" s="13"/>
      <c r="AV11" s="13"/>
      <c r="AW11" s="13"/>
      <c r="AX11" s="13"/>
      <c r="AY11" s="13"/>
    </row>
    <row r="12" spans="1:51" ht="12.75">
      <c r="A12" s="1423" t="s">
        <v>809</v>
      </c>
      <c r="B12" s="1423"/>
      <c r="C12" s="1423"/>
      <c r="D12" s="1423"/>
      <c r="E12" s="1423"/>
      <c r="F12" s="1423"/>
      <c r="G12" s="1423"/>
      <c r="H12" s="1423"/>
      <c r="I12" s="1423"/>
      <c r="J12" s="1423"/>
      <c r="K12" s="1423"/>
      <c r="L12" s="1423"/>
      <c r="M12" s="1423"/>
      <c r="N12" s="1423"/>
      <c r="O12" s="1423"/>
      <c r="P12" s="1423"/>
      <c r="Q12" s="1423"/>
      <c r="R12" s="1423"/>
      <c r="S12" s="1423"/>
      <c r="T12" s="1423"/>
      <c r="U12" s="1423"/>
      <c r="V12" s="1423"/>
      <c r="W12" s="1423"/>
      <c r="X12" s="1423"/>
      <c r="Y12" s="1423"/>
      <c r="Z12" s="1423"/>
      <c r="AA12" s="1423"/>
      <c r="AB12" s="1423"/>
      <c r="AC12" s="1423"/>
      <c r="AD12" s="1423"/>
      <c r="AE12" s="1423"/>
      <c r="AF12" s="1423"/>
      <c r="AG12" s="1423"/>
      <c r="AH12" s="1423"/>
      <c r="AI12" s="1423"/>
      <c r="AJ12" s="1423"/>
      <c r="AK12" s="1423"/>
      <c r="AL12" s="1423"/>
      <c r="AM12" s="285"/>
      <c r="AN12" s="285"/>
      <c r="AO12" s="285"/>
      <c r="AP12" s="285"/>
      <c r="AQ12" s="285"/>
      <c r="AR12" s="285"/>
      <c r="AS12" s="285"/>
      <c r="AT12" s="285"/>
      <c r="AU12" s="285"/>
      <c r="AV12" s="285"/>
      <c r="AW12" s="285"/>
      <c r="AX12" s="285"/>
      <c r="AY12" s="285"/>
    </row>
    <row r="13" spans="1:51" ht="12.75">
      <c r="A13" s="1134" t="s">
        <v>810</v>
      </c>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1134"/>
      <c r="AL13" s="1134"/>
      <c r="AM13" s="859"/>
      <c r="AN13" s="859"/>
      <c r="AO13" s="859"/>
      <c r="AP13" s="859"/>
      <c r="AQ13" s="859"/>
      <c r="AR13" s="859"/>
      <c r="AS13" s="859"/>
      <c r="AT13" s="859"/>
      <c r="AU13" s="859"/>
      <c r="AV13" s="859"/>
      <c r="AW13" s="859"/>
      <c r="AX13" s="859"/>
      <c r="AY13" s="859"/>
    </row>
    <row r="14" spans="1:51" ht="12.75" customHeight="1" thickBot="1">
      <c r="A14" s="1135"/>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413" t="s">
        <v>812</v>
      </c>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row>
    <row r="17" spans="1:52" ht="12.75" customHeight="1"/>
    <row r="18" spans="1:52" ht="12.75" customHeight="1">
      <c r="A18" s="50" t="s">
        <v>813</v>
      </c>
      <c r="C18" s="3"/>
      <c r="D18" s="3"/>
      <c r="E18" s="3"/>
      <c r="F18" s="3"/>
      <c r="G18" s="3"/>
      <c r="H18" s="1404" t="s">
        <v>814</v>
      </c>
      <c r="I18" s="1404"/>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4"/>
      <c r="AF18" s="1404"/>
      <c r="AG18" s="1404"/>
      <c r="AH18" s="1404"/>
      <c r="AI18" s="1404"/>
      <c r="AJ18" s="1404"/>
    </row>
    <row r="19" spans="1:52" ht="12.75" customHeight="1"/>
    <row r="20" spans="1:52" ht="14.25" customHeight="1">
      <c r="A20" s="1418" t="s">
        <v>815</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c r="AM20" s="860"/>
      <c r="AN20" s="860"/>
      <c r="AO20" s="860"/>
      <c r="AP20" s="860"/>
      <c r="AQ20" s="860"/>
      <c r="AR20" s="860"/>
      <c r="AS20" s="860"/>
      <c r="AT20" s="860"/>
      <c r="AU20" s="860"/>
      <c r="AV20" s="860"/>
      <c r="AW20" s="860"/>
      <c r="AX20" s="860"/>
      <c r="AY20" s="860"/>
    </row>
    <row r="21" spans="1:52" ht="12.75" customHeight="1">
      <c r="A21" s="1424" t="s">
        <v>816</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817</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818</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417">
        <f ca="1">'Basis &amp; Credits'!AB56</f>
        <v>1630756</v>
      </c>
      <c r="N26" s="1417"/>
      <c r="O26" s="1417"/>
      <c r="P26" s="1417"/>
      <c r="Q26" s="1417"/>
      <c r="R26" s="3" t="s">
        <v>819</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42">
        <f ca="1">'Basis &amp; Credits'!AB77</f>
        <v>4401474</v>
      </c>
      <c r="N27" s="1342"/>
      <c r="O27" s="1342"/>
      <c r="P27" s="1342"/>
      <c r="Q27" s="1342"/>
      <c r="R27" s="3" t="s">
        <v>820</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823</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824</v>
      </c>
      <c r="C33" s="452"/>
      <c r="D33" s="452"/>
      <c r="E33" s="452"/>
      <c r="F33" s="452"/>
      <c r="G33" s="452"/>
      <c r="H33" s="452"/>
      <c r="I33" s="452"/>
      <c r="J33" s="452"/>
      <c r="K33" s="452"/>
      <c r="L33" s="452"/>
      <c r="M33" s="452"/>
      <c r="N33" s="452"/>
      <c r="O33" s="1263" t="s">
        <v>825</v>
      </c>
      <c r="P33" s="1263"/>
      <c r="Q33" s="452" t="s">
        <v>826</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827</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828</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829</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830</v>
      </c>
      <c r="AZ37" s="18"/>
    </row>
    <row r="38" spans="1:52" ht="12.75" customHeight="1">
      <c r="A38" s="3" t="s">
        <v>831</v>
      </c>
      <c r="AZ38" s="18"/>
    </row>
    <row r="39" spans="1:52" ht="12.75" customHeight="1">
      <c r="AZ39" s="18"/>
    </row>
    <row r="40" spans="1:52" ht="12.75" customHeight="1">
      <c r="A40" s="452" t="s">
        <v>832</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833</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834</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835</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836</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837</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838</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839</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840</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841</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842</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843</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844</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845</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846</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7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75">
      <c r="A58" s="452" t="s">
        <v>847</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75">
      <c r="A59" s="452" t="s">
        <v>848</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849</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2" t="s">
        <v>850</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2" t="s">
        <v>851</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852</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2" t="s">
        <v>853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2" t="s">
        <v>854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2" t="s">
        <v>857</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858</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859</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860</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2" t="s">
        <v>861</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862</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2" t="s">
        <v>863</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2" t="s">
        <v>865</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2" t="s">
        <v>866</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867</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2" t="s">
        <v>868</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2" t="s">
        <v>869</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870</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2" t="s">
        <v>871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873</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874</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2" t="s">
        <v>875</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2" t="s">
        <v>876</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2" t="s">
        <v>877</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0" t="s">
        <v>878</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879</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880</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0" t="s">
        <v>881</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882</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0" t="s">
        <v>883</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0" t="s">
        <v>884</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0" t="s">
        <v>885</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0" t="s">
        <v>886</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887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888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889</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890</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2" t="s">
        <v>891</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2" t="s">
        <v>892</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2" t="s">
        <v>893</v>
      </c>
      <c r="B117" s="20"/>
      <c r="C117" s="20"/>
    </row>
    <row r="118" spans="1:51" ht="12.75"/>
    <row r="119" spans="1:51" ht="12.75" customHeight="1">
      <c r="A119" s="452" t="s">
        <v>894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2" t="s">
        <v>895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896</v>
      </c>
      <c r="G122" s="1419"/>
      <c r="H122" s="1419"/>
      <c r="I122" s="3" t="s">
        <v>897</v>
      </c>
      <c r="L122" s="1419"/>
      <c r="M122" s="1419"/>
      <c r="N122" s="1419"/>
      <c r="O122" s="1229" t="s">
        <v>898</v>
      </c>
      <c r="P122" s="1229"/>
      <c r="Q122" s="1229"/>
      <c r="R122" s="1229"/>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394"/>
      <c r="D124" s="1394"/>
      <c r="E124" s="1394"/>
      <c r="F124" s="1394"/>
      <c r="G124" s="1394"/>
      <c r="H124" s="1394"/>
      <c r="I124" s="1394"/>
      <c r="J124" s="1394"/>
      <c r="K124" s="1394"/>
      <c r="L124" s="141" t="s">
        <v>899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900</v>
      </c>
      <c r="Y126" s="1419"/>
      <c r="Z126" s="1419"/>
      <c r="AA126" s="1419"/>
      <c r="AB126" s="1419"/>
      <c r="AC126" s="1419"/>
      <c r="AD126" s="1419"/>
      <c r="AE126" s="1419"/>
      <c r="AF126" s="1419"/>
      <c r="AG126" s="1419"/>
      <c r="AH126" s="1419"/>
      <c r="AI126" s="1419"/>
      <c r="AJ126" s="1419"/>
      <c r="AK126" s="1419"/>
    </row>
    <row r="127" spans="1:51" ht="12.75">
      <c r="A127" s="3"/>
      <c r="B127" s="3"/>
      <c r="R127" s="3"/>
      <c r="S127" s="3"/>
      <c r="T127" s="3"/>
      <c r="U127" s="3"/>
      <c r="V127" s="3"/>
      <c r="W127" s="3"/>
      <c r="X127" s="3"/>
      <c r="Y127" s="3"/>
      <c r="Z127" s="3" t="s">
        <v>901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5"/>
      <c r="X128" s="3"/>
      <c r="AL128" s="285"/>
      <c r="AM128" s="285"/>
      <c r="AN128" s="285"/>
      <c r="AO128" s="285"/>
      <c r="AP128" s="285"/>
      <c r="AQ128" s="285"/>
      <c r="AR128" s="285"/>
      <c r="AS128" s="285"/>
      <c r="AT128" s="285"/>
      <c r="AU128" s="285"/>
      <c r="AV128" s="285"/>
      <c r="AW128" s="285"/>
      <c r="AX128" s="285"/>
      <c r="AY128" s="285"/>
    </row>
    <row r="129" spans="1:51" ht="12.75">
      <c r="A129" s="285"/>
      <c r="B129" s="3"/>
      <c r="R129" s="285"/>
      <c r="S129" s="285"/>
      <c r="T129" s="285"/>
      <c r="U129" s="285"/>
      <c r="V129" s="285"/>
      <c r="W129" s="285"/>
      <c r="X129" s="3"/>
      <c r="Y129" s="1419"/>
      <c r="Z129" s="1419"/>
      <c r="AA129" s="1419"/>
      <c r="AB129" s="1419"/>
      <c r="AC129" s="1419"/>
      <c r="AD129" s="1419"/>
      <c r="AE129" s="1419"/>
      <c r="AF129" s="1419"/>
      <c r="AG129" s="1419"/>
      <c r="AH129" s="1419"/>
      <c r="AI129" s="1419"/>
      <c r="AJ129" s="1419"/>
      <c r="AK129" s="1419"/>
      <c r="AL129" s="285"/>
      <c r="AM129" s="285"/>
      <c r="AN129" s="285"/>
      <c r="AO129" s="285"/>
      <c r="AP129" s="285"/>
      <c r="AQ129" s="285"/>
      <c r="AR129" s="285"/>
      <c r="AS129" s="285"/>
      <c r="AT129" s="285"/>
      <c r="AU129" s="285"/>
      <c r="AV129" s="285"/>
      <c r="AW129" s="285"/>
      <c r="AX129" s="285"/>
      <c r="AY129" s="285"/>
    </row>
    <row r="130" spans="1:51" ht="12.75">
      <c r="A130" s="3"/>
      <c r="B130" s="85"/>
      <c r="C130" s="285"/>
      <c r="R130" s="285"/>
      <c r="S130" s="285"/>
      <c r="T130" s="285"/>
      <c r="U130" s="285"/>
      <c r="V130" s="285"/>
      <c r="W130" s="285"/>
      <c r="X130" s="3"/>
      <c r="Y130" s="3"/>
      <c r="Z130" s="3" t="s">
        <v>902</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19"/>
      <c r="Z132" s="1419"/>
      <c r="AA132" s="1419"/>
      <c r="AB132" s="1419"/>
      <c r="AC132" s="1419"/>
      <c r="AD132" s="1419"/>
      <c r="AE132" s="1419"/>
      <c r="AF132" s="1419"/>
      <c r="AG132" s="1419"/>
      <c r="AH132" s="1419"/>
      <c r="AI132" s="1419"/>
      <c r="AJ132" s="1419"/>
      <c r="AK132" s="1419"/>
      <c r="AL132" s="3"/>
      <c r="AM132" s="3"/>
      <c r="AN132" s="3"/>
      <c r="AO132" s="3"/>
      <c r="AP132" s="3"/>
      <c r="AQ132" s="3"/>
      <c r="AR132" s="3"/>
      <c r="AS132" s="3"/>
      <c r="AT132" s="3"/>
      <c r="AU132" s="3"/>
      <c r="AV132" s="3"/>
      <c r="AW132" s="3"/>
      <c r="AX132" s="3"/>
      <c r="AY132" s="3"/>
    </row>
    <row r="133" spans="1:51" ht="12.75" customHeight="1">
      <c r="A133" s="3"/>
      <c r="W133" s="3"/>
      <c r="X133" s="3"/>
      <c r="Y133" s="3"/>
      <c r="Z133" s="3" t="s">
        <v>903</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2"/>
      <c r="G150" s="1162"/>
      <c r="H150" s="1162"/>
      <c r="I150" s="1162"/>
      <c r="J150" s="1162"/>
      <c r="K150" s="1162"/>
      <c r="L150" s="1162"/>
      <c r="M150" s="1162"/>
      <c r="N150" s="1162"/>
      <c r="O150" s="1162"/>
      <c r="P150" s="1162"/>
      <c r="Q150" s="1162"/>
      <c r="R150" s="1162"/>
      <c r="S150" s="1162"/>
      <c r="T150" s="116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904</v>
      </c>
      <c r="O153" s="1404" t="s">
        <v>905</v>
      </c>
      <c r="P153" s="1404"/>
      <c r="Q153" s="1404"/>
      <c r="R153" s="1404"/>
      <c r="S153" s="1404"/>
      <c r="T153" s="1404"/>
      <c r="U153" s="1404"/>
      <c r="V153" s="1404"/>
      <c r="W153" s="1404"/>
      <c r="X153" s="1404"/>
      <c r="Y153" s="1404"/>
      <c r="Z153" s="1404"/>
      <c r="AA153" s="1404"/>
      <c r="AB153" s="1404"/>
      <c r="AC153" s="1404"/>
      <c r="AD153" s="1404"/>
      <c r="AE153" s="1404"/>
      <c r="AF153" s="1404"/>
      <c r="AG153" s="1404"/>
      <c r="AH153" s="1404"/>
    </row>
    <row r="154" spans="1:72" ht="12.75" customHeight="1">
      <c r="D154" s="228" t="s">
        <v>906</v>
      </c>
      <c r="O154" s="1224" t="s">
        <v>907</v>
      </c>
      <c r="P154" s="1224"/>
      <c r="Q154" s="1224"/>
      <c r="R154" s="1224"/>
      <c r="S154" s="1224"/>
      <c r="T154" s="1224"/>
      <c r="U154" s="1224"/>
      <c r="V154" s="1224"/>
      <c r="W154" s="1224"/>
      <c r="X154" s="1224"/>
      <c r="Y154" s="1224"/>
      <c r="Z154" s="1224"/>
      <c r="AA154" s="1224"/>
      <c r="AB154" s="1224"/>
      <c r="AC154" s="1224"/>
      <c r="AD154" s="1224"/>
      <c r="AE154" s="1224"/>
      <c r="AF154" s="1224"/>
      <c r="AG154" s="1224"/>
      <c r="AH154" s="1224"/>
    </row>
    <row r="155" spans="1:72" ht="12.75">
      <c r="D155" s="8" t="s">
        <v>908</v>
      </c>
      <c r="F155" s="8"/>
      <c r="G155" s="8"/>
      <c r="H155" s="8"/>
      <c r="I155" s="8"/>
      <c r="J155" s="8"/>
      <c r="K155" s="8"/>
      <c r="L155" s="8"/>
      <c r="M155" s="8"/>
      <c r="N155" s="8"/>
      <c r="O155" s="1426" t="s">
        <v>909</v>
      </c>
      <c r="P155" s="1426"/>
      <c r="Q155" s="1426"/>
      <c r="R155" s="1426"/>
      <c r="S155" s="1426"/>
      <c r="T155" s="1426"/>
      <c r="U155" s="1426"/>
      <c r="V155" s="1426"/>
      <c r="W155" s="1426"/>
      <c r="X155" s="1426"/>
      <c r="Y155" s="1426"/>
      <c r="Z155" s="1426"/>
      <c r="AA155" s="1426"/>
      <c r="AB155" s="1426"/>
      <c r="AC155" s="1426"/>
      <c r="AD155" s="1426"/>
      <c r="AE155" s="1426"/>
      <c r="AF155" s="1426"/>
      <c r="AG155" s="1426"/>
      <c r="AH155" s="1426"/>
    </row>
    <row r="156" spans="1:72" ht="12.75">
      <c r="D156" t="s">
        <v>910</v>
      </c>
      <c r="O156" s="1213" t="s">
        <v>911</v>
      </c>
      <c r="P156" s="1213"/>
      <c r="Q156" s="1213"/>
      <c r="R156" s="1213"/>
      <c r="S156" s="1213"/>
      <c r="T156" s="1213"/>
      <c r="U156" s="1213"/>
      <c r="V156" s="1213"/>
      <c r="W156" s="1213"/>
      <c r="X156" s="1213"/>
      <c r="Y156" s="1213"/>
      <c r="Z156" s="1213"/>
      <c r="AA156" s="1213"/>
      <c r="AB156" s="1213"/>
      <c r="AC156" s="1213"/>
      <c r="AD156" s="1213"/>
      <c r="AE156" s="1213"/>
      <c r="AF156" s="1213"/>
      <c r="AG156" s="1213"/>
      <c r="AH156" s="1213"/>
      <c r="BT156" t="s">
        <v>294</v>
      </c>
    </row>
    <row r="157" spans="1:72" ht="12.75">
      <c r="D157" t="s">
        <v>912</v>
      </c>
      <c r="O157" s="1404" t="s">
        <v>905</v>
      </c>
      <c r="P157" s="1404"/>
      <c r="Q157" s="1404"/>
      <c r="R157" s="1404"/>
      <c r="S157" s="1404"/>
      <c r="T157" s="1404"/>
      <c r="U157" s="1404"/>
      <c r="V157" s="1404"/>
      <c r="W157" s="1404"/>
      <c r="X157" s="1404"/>
      <c r="Y157" s="8"/>
      <c r="Z157" s="8"/>
      <c r="AA157" s="8"/>
      <c r="AB157" s="8"/>
      <c r="AC157" s="8"/>
      <c r="AD157" s="8"/>
      <c r="AE157" s="8"/>
      <c r="AF157" s="8"/>
      <c r="BN157" s="140" t="s">
        <v>913</v>
      </c>
      <c r="BT157" t="s">
        <v>914</v>
      </c>
    </row>
    <row r="158" spans="1:72" ht="12.75">
      <c r="D158" t="s">
        <v>915</v>
      </c>
      <c r="O158" s="1427">
        <v>92101</v>
      </c>
      <c r="P158" s="1427"/>
      <c r="Q158" s="1427"/>
      <c r="R158" s="1427"/>
      <c r="S158" s="9"/>
      <c r="T158" s="9"/>
      <c r="U158" s="9"/>
      <c r="V158" s="9"/>
      <c r="W158" s="9"/>
      <c r="X158" s="9"/>
      <c r="Y158" s="9"/>
      <c r="Z158" s="9"/>
      <c r="AA158" s="9"/>
      <c r="AB158" s="9"/>
      <c r="AC158" s="9"/>
      <c r="AD158" s="9"/>
      <c r="AE158" s="9"/>
      <c r="AF158" s="9"/>
      <c r="BN158" s="140" t="s">
        <v>916</v>
      </c>
      <c r="BT158" t="s">
        <v>917</v>
      </c>
    </row>
    <row r="159" spans="1:72" ht="12.75">
      <c r="D159" t="s">
        <v>918</v>
      </c>
      <c r="O159" s="1395" t="s">
        <v>919</v>
      </c>
      <c r="P159" s="1395"/>
      <c r="Q159" s="1395"/>
      <c r="R159" s="1395"/>
      <c r="S159" s="1395"/>
      <c r="T159" s="1395"/>
      <c r="V159" s="73" t="s">
        <v>920</v>
      </c>
      <c r="W159" s="1428"/>
      <c r="X159" s="1428"/>
      <c r="Y159" s="10"/>
      <c r="Z159" s="10"/>
      <c r="AA159" s="10"/>
      <c r="AB159" s="10"/>
      <c r="AC159" s="10"/>
      <c r="AD159" s="10"/>
      <c r="AE159" s="10"/>
      <c r="AF159" s="10"/>
      <c r="BN159" s="140" t="s">
        <v>921</v>
      </c>
      <c r="BT159" t="s">
        <v>922</v>
      </c>
    </row>
    <row r="160" spans="1:72" ht="12.75">
      <c r="D160" t="s">
        <v>923</v>
      </c>
      <c r="O160" s="1395" t="s">
        <v>924</v>
      </c>
      <c r="P160" s="1395"/>
      <c r="Q160" s="1395"/>
      <c r="R160" s="1395"/>
      <c r="S160" s="1395"/>
      <c r="T160" s="1395"/>
      <c r="U160" s="10"/>
      <c r="V160" s="10"/>
      <c r="W160" s="10"/>
      <c r="X160" s="10"/>
      <c r="Y160" s="10"/>
      <c r="Z160" s="10"/>
      <c r="AA160" s="10"/>
      <c r="AB160" s="10"/>
      <c r="AC160" s="10"/>
      <c r="AD160" s="10"/>
      <c r="AE160" s="10"/>
      <c r="AF160" s="10"/>
      <c r="BN160" s="140" t="s">
        <v>925</v>
      </c>
      <c r="BT160" t="s">
        <v>926</v>
      </c>
    </row>
    <row r="161" spans="1:72" ht="12.75">
      <c r="D161" t="s">
        <v>927</v>
      </c>
      <c r="O161" s="1396" t="s">
        <v>928</v>
      </c>
      <c r="P161" s="1396"/>
      <c r="Q161" s="1396"/>
      <c r="R161" s="1396"/>
      <c r="S161" s="1396"/>
      <c r="T161" s="1396"/>
      <c r="U161" s="1396"/>
      <c r="V161" s="1396"/>
      <c r="W161" s="1396"/>
      <c r="X161" s="1396"/>
      <c r="Y161" s="1396"/>
      <c r="Z161" s="1396"/>
      <c r="AA161" s="1396"/>
      <c r="AB161" s="1396"/>
      <c r="AC161" s="1396"/>
      <c r="AD161" s="1396"/>
      <c r="AE161" s="1396"/>
      <c r="AF161" s="1396"/>
      <c r="AG161" s="1396"/>
      <c r="AH161" s="1396"/>
      <c r="BJ161" t="s">
        <v>929</v>
      </c>
      <c r="BN161" s="140" t="s">
        <v>930</v>
      </c>
      <c r="BT161" t="s">
        <v>931</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825</v>
      </c>
      <c r="BN162" s="140" t="s">
        <v>932</v>
      </c>
      <c r="BT162" t="s">
        <v>933</v>
      </c>
    </row>
    <row r="163" spans="1:72" ht="12.75">
      <c r="C163" s="24" t="s">
        <v>934</v>
      </c>
      <c r="D163" t="s">
        <v>935</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936</v>
      </c>
      <c r="BT163" t="s">
        <v>937</v>
      </c>
    </row>
    <row r="164" spans="1:72" ht="12.75">
      <c r="C164" s="24"/>
      <c r="D164" s="1397" t="s">
        <v>938</v>
      </c>
      <c r="E164" s="1397"/>
      <c r="F164" s="1397"/>
      <c r="G164" s="1397"/>
      <c r="H164" s="1397"/>
      <c r="I164" s="1397"/>
      <c r="J164" s="1397"/>
      <c r="K164" s="1397"/>
      <c r="L164" s="1397"/>
      <c r="M164" s="1397"/>
      <c r="N164" s="1397"/>
      <c r="O164" s="1397"/>
      <c r="P164" s="1397"/>
      <c r="Q164" s="1397"/>
      <c r="R164" s="1397"/>
      <c r="S164" s="1397"/>
      <c r="T164" s="1397"/>
      <c r="U164" s="1397"/>
      <c r="V164" s="1397"/>
      <c r="W164" s="1397"/>
      <c r="X164" s="1397"/>
      <c r="Y164" s="1397"/>
      <c r="Z164" s="1397"/>
      <c r="AA164" s="1397"/>
      <c r="AB164" s="1397"/>
      <c r="AC164" s="1397"/>
      <c r="AD164" s="1397"/>
      <c r="AE164" s="1397"/>
      <c r="AF164" s="1397"/>
      <c r="AG164" s="1397"/>
      <c r="AH164" s="1397"/>
      <c r="BN164" s="140" t="s">
        <v>939</v>
      </c>
      <c r="BT164" t="s">
        <v>940</v>
      </c>
    </row>
    <row r="165" spans="1:72" ht="12.75">
      <c r="C165" s="24"/>
      <c r="D165" s="74"/>
      <c r="E165" s="74"/>
      <c r="F165" s="74"/>
      <c r="G165" s="74"/>
      <c r="H165" s="74"/>
      <c r="I165" s="74"/>
      <c r="J165" s="74"/>
      <c r="K165" s="74"/>
      <c r="L165" s="74"/>
      <c r="M165" s="74"/>
      <c r="N165" s="74"/>
      <c r="O165" s="1058"/>
      <c r="P165" s="1058"/>
      <c r="Q165" s="1058"/>
      <c r="R165" s="1058"/>
      <c r="S165" s="1058"/>
      <c r="T165" s="1058"/>
      <c r="U165" s="1058"/>
      <c r="V165" s="1058"/>
      <c r="W165" s="1058"/>
      <c r="X165" s="1058"/>
      <c r="Y165" s="1058"/>
      <c r="Z165" s="1058"/>
      <c r="AA165" s="117"/>
      <c r="AB165" s="117"/>
      <c r="AC165" s="117"/>
      <c r="AD165" s="117"/>
      <c r="AE165" s="117"/>
      <c r="AF165" s="117"/>
      <c r="AG165" s="117"/>
      <c r="AH165" s="117"/>
      <c r="BN165" s="140" t="s">
        <v>941</v>
      </c>
      <c r="BT165" t="s">
        <v>942</v>
      </c>
    </row>
    <row r="166" spans="1:72" ht="12.75">
      <c r="B166" s="2"/>
      <c r="C166" s="24"/>
      <c r="D166" s="74"/>
      <c r="E166" s="74"/>
      <c r="F166" s="74"/>
      <c r="G166" s="74"/>
      <c r="H166" s="74"/>
      <c r="I166" s="74"/>
      <c r="J166" s="74"/>
      <c r="K166" s="74"/>
      <c r="L166" s="74"/>
      <c r="M166" s="74"/>
      <c r="N166" s="74"/>
      <c r="O166" s="1058"/>
      <c r="P166" s="1058"/>
      <c r="Q166" s="1058"/>
      <c r="R166" s="1058"/>
      <c r="S166" s="1058"/>
      <c r="T166" s="1058"/>
      <c r="U166" s="1058"/>
      <c r="V166" s="1058"/>
      <c r="W166" s="1058"/>
      <c r="X166" s="1058"/>
      <c r="Y166" s="1058"/>
      <c r="Z166" s="1058"/>
      <c r="AA166" s="117"/>
      <c r="AB166" s="117"/>
      <c r="AC166" s="117"/>
      <c r="AD166" s="117"/>
      <c r="AE166" s="117"/>
      <c r="AF166" s="117"/>
      <c r="AG166" s="117"/>
      <c r="AH166" s="117"/>
      <c r="BN166" s="140" t="s">
        <v>943</v>
      </c>
      <c r="BT166" t="s">
        <v>944</v>
      </c>
    </row>
    <row r="167" spans="1:72" ht="12.75">
      <c r="B167" s="2"/>
      <c r="C167" s="24"/>
      <c r="D167" s="74"/>
      <c r="E167" s="74"/>
      <c r="F167" s="74"/>
      <c r="G167" s="74"/>
      <c r="H167" s="74"/>
      <c r="I167" s="74"/>
      <c r="J167" s="74"/>
      <c r="K167" s="74"/>
      <c r="L167" s="74"/>
      <c r="M167" s="74"/>
      <c r="N167" s="74"/>
      <c r="O167" s="1058"/>
      <c r="P167" s="1058"/>
      <c r="Q167" s="1058"/>
      <c r="R167" s="1058"/>
      <c r="S167" s="1058"/>
      <c r="T167" s="1058"/>
      <c r="U167" s="1058"/>
      <c r="V167" s="1058"/>
      <c r="W167" s="1058"/>
      <c r="X167" s="1058"/>
      <c r="Y167" s="1058"/>
      <c r="Z167" s="1058"/>
      <c r="AA167" s="117"/>
      <c r="AB167" s="117"/>
      <c r="AC167" s="117"/>
      <c r="AD167" s="117"/>
      <c r="AE167" s="117"/>
      <c r="AF167" s="117"/>
      <c r="AG167" s="117"/>
      <c r="AH167" s="117"/>
      <c r="BN167" s="140" t="s">
        <v>945</v>
      </c>
      <c r="BT167" t="s">
        <v>946</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947</v>
      </c>
      <c r="BT168" t="s">
        <v>948</v>
      </c>
    </row>
    <row r="169" spans="1:72" ht="12.75">
      <c r="A169" s="1265" t="s">
        <v>949</v>
      </c>
      <c r="B169" s="1265"/>
      <c r="C169" s="1265"/>
      <c r="D169" s="1265"/>
      <c r="E169" s="1265"/>
      <c r="F169" s="1265"/>
      <c r="G169" s="1265"/>
      <c r="H169" s="1265"/>
      <c r="I169" s="1265"/>
      <c r="J169" s="1265"/>
      <c r="K169" s="1265"/>
      <c r="L169" s="1265"/>
      <c r="M169" s="1265"/>
      <c r="N169" s="1265"/>
      <c r="O169" s="1265"/>
      <c r="P169" s="1265"/>
      <c r="Q169" s="1265"/>
      <c r="R169" s="1265"/>
      <c r="S169" s="1265"/>
      <c r="T169" s="1265"/>
      <c r="U169" s="1265"/>
      <c r="V169" s="1265"/>
      <c r="W169" s="1265"/>
      <c r="X169" s="1265"/>
      <c r="Y169" s="1265"/>
      <c r="Z169" s="1265"/>
      <c r="AA169" s="1265"/>
      <c r="AB169" s="1265"/>
      <c r="AC169" s="1265"/>
      <c r="AD169" s="1265"/>
      <c r="AE169" s="1265"/>
      <c r="AF169" s="1265"/>
      <c r="AG169" s="1265"/>
      <c r="AH169" s="1265"/>
      <c r="AI169" s="1265"/>
      <c r="AJ169" s="1265"/>
      <c r="AK169" s="1265"/>
      <c r="AL169" s="1265"/>
      <c r="AM169" s="71"/>
      <c r="AN169" s="71"/>
      <c r="AO169" s="71"/>
      <c r="AP169" s="71"/>
      <c r="AQ169" s="71"/>
      <c r="AR169" s="71"/>
      <c r="AS169" s="71"/>
      <c r="AT169" s="71"/>
      <c r="AU169" s="71"/>
      <c r="AV169" s="71"/>
      <c r="AW169" s="71"/>
      <c r="AX169" s="71"/>
      <c r="AY169" s="71"/>
      <c r="BN169" s="140" t="s">
        <v>950</v>
      </c>
      <c r="BT169" t="s">
        <v>951</v>
      </c>
    </row>
    <row r="170" spans="1:72" ht="13.5" thickBot="1">
      <c r="A170" s="1266"/>
      <c r="B170" s="1266"/>
      <c r="C170" s="1266"/>
      <c r="D170" s="1266"/>
      <c r="E170" s="1266"/>
      <c r="F170" s="1266"/>
      <c r="G170" s="1266"/>
      <c r="H170" s="1266"/>
      <c r="I170" s="1266"/>
      <c r="J170" s="1266"/>
      <c r="K170" s="1266"/>
      <c r="L170" s="1266"/>
      <c r="M170" s="1266"/>
      <c r="N170" s="1266"/>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71"/>
      <c r="AN170" s="71"/>
      <c r="AO170" s="71"/>
      <c r="AP170" s="71"/>
      <c r="AQ170" s="71"/>
      <c r="AR170" s="71"/>
      <c r="AS170" s="71"/>
      <c r="AT170" s="71"/>
      <c r="AU170" s="71"/>
      <c r="AV170" s="71"/>
      <c r="AW170" s="71"/>
      <c r="AX170" s="71"/>
      <c r="AY170" s="71"/>
      <c r="BN170" s="140" t="s">
        <v>952</v>
      </c>
      <c r="BT170" t="s">
        <v>953</v>
      </c>
    </row>
    <row r="171" spans="1:72" ht="12.75" customHeight="1" thickTop="1">
      <c r="BN171" s="140" t="s">
        <v>954</v>
      </c>
      <c r="BT171" t="s">
        <v>955</v>
      </c>
    </row>
    <row r="172" spans="1:72" ht="12.75">
      <c r="A172" s="2" t="s">
        <v>956</v>
      </c>
      <c r="C172" s="2" t="s">
        <v>90</v>
      </c>
      <c r="BN172" s="140" t="s">
        <v>957</v>
      </c>
      <c r="BT172" t="s">
        <v>958</v>
      </c>
    </row>
    <row r="173" spans="1:72" ht="12.75">
      <c r="C173" s="21"/>
      <c r="D173" t="s">
        <v>959</v>
      </c>
      <c r="J173" s="1425" t="s">
        <v>960</v>
      </c>
      <c r="K173" s="1425"/>
      <c r="L173" s="1425"/>
      <c r="M173" s="1425"/>
      <c r="N173" s="1425"/>
      <c r="O173" s="1425"/>
      <c r="P173" s="1425"/>
      <c r="Q173" s="1425"/>
      <c r="R173" s="1425"/>
      <c r="S173" s="1425"/>
      <c r="U173" s="22"/>
      <c r="X173" s="22"/>
      <c r="BN173" s="140" t="s">
        <v>961</v>
      </c>
      <c r="BT173" t="s">
        <v>962</v>
      </c>
    </row>
    <row r="174" spans="1:72" ht="12.75">
      <c r="C174" s="21"/>
      <c r="D174" s="3" t="s">
        <v>963</v>
      </c>
      <c r="J174" s="1213" t="s">
        <v>964</v>
      </c>
      <c r="K174" s="1213"/>
      <c r="L174" s="1213"/>
      <c r="M174" s="1213"/>
      <c r="N174" s="1213"/>
      <c r="O174" s="1213"/>
      <c r="P174" s="1213"/>
      <c r="Q174" s="1213"/>
      <c r="R174" s="1213"/>
      <c r="S174" s="1213"/>
      <c r="T174" s="1213"/>
      <c r="U174" s="1213"/>
      <c r="V174" s="1213"/>
      <c r="W174" s="1213"/>
      <c r="X174" s="1213"/>
      <c r="Y174" s="1213"/>
      <c r="Z174" s="1213"/>
      <c r="BN174" s="140" t="s">
        <v>965</v>
      </c>
      <c r="BT174" t="s">
        <v>966</v>
      </c>
    </row>
    <row r="175" spans="1:72" ht="12.75">
      <c r="C175" s="8"/>
      <c r="D175" s="3" t="s">
        <v>967</v>
      </c>
      <c r="O175" s="24"/>
      <c r="U175" s="1263" t="s">
        <v>825</v>
      </c>
      <c r="V175" s="1263"/>
      <c r="BN175" s="140" t="s">
        <v>968</v>
      </c>
      <c r="BT175" t="s">
        <v>969</v>
      </c>
    </row>
    <row r="176" spans="1:72" ht="12.75">
      <c r="C176" s="8"/>
      <c r="D176" s="23"/>
      <c r="E176" t="s">
        <v>970</v>
      </c>
      <c r="O176" s="24"/>
      <c r="P176" t="s">
        <v>971</v>
      </c>
      <c r="S176" t="s">
        <v>972</v>
      </c>
      <c r="U176" s="1211">
        <v>21</v>
      </c>
      <c r="V176" s="1211"/>
      <c r="W176" s="1" t="s">
        <v>973</v>
      </c>
      <c r="X176" s="1411">
        <v>555</v>
      </c>
      <c r="Y176" s="1411"/>
      <c r="BN176" s="140" t="s">
        <v>974</v>
      </c>
      <c r="BT176" t="s">
        <v>975</v>
      </c>
    </row>
    <row r="177" spans="1:72" ht="12.75">
      <c r="C177" s="21"/>
      <c r="D177" t="s">
        <v>976</v>
      </c>
      <c r="R177" s="1263" t="s">
        <v>929</v>
      </c>
      <c r="S177" s="1263"/>
      <c r="BN177" s="140" t="s">
        <v>977</v>
      </c>
      <c r="BT177" t="s">
        <v>978</v>
      </c>
    </row>
    <row r="178" spans="1:72" ht="12.75">
      <c r="C178" s="21"/>
      <c r="D178" s="3" t="s">
        <v>979</v>
      </c>
      <c r="AA178" t="s">
        <v>971</v>
      </c>
      <c r="AD178" t="s">
        <v>972</v>
      </c>
      <c r="AF178" s="1567"/>
      <c r="AG178" s="1567"/>
      <c r="AH178" s="1" t="s">
        <v>973</v>
      </c>
      <c r="AI178" s="1382"/>
      <c r="AJ178" s="1382"/>
      <c r="AK178" s="1382"/>
      <c r="BN178" s="140" t="s">
        <v>980</v>
      </c>
      <c r="BT178" t="s">
        <v>981</v>
      </c>
    </row>
    <row r="179" spans="1:72" ht="12.75">
      <c r="C179" s="21"/>
      <c r="BN179" s="140" t="s">
        <v>982</v>
      </c>
      <c r="BT179" t="s">
        <v>983</v>
      </c>
    </row>
    <row r="180" spans="1:72" ht="12.75">
      <c r="C180" s="21"/>
      <c r="D180" t="s">
        <v>984</v>
      </c>
      <c r="X180" s="1263" t="s">
        <v>929</v>
      </c>
      <c r="Y180" s="1263"/>
      <c r="BN180" s="140" t="s">
        <v>985</v>
      </c>
      <c r="BT180" t="s">
        <v>986</v>
      </c>
    </row>
    <row r="181" spans="1:72" ht="12.95" customHeight="1">
      <c r="C181" s="8"/>
      <c r="E181" s="3" t="s">
        <v>987</v>
      </c>
      <c r="BN181" s="140" t="s">
        <v>988</v>
      </c>
      <c r="BT181" t="s">
        <v>989</v>
      </c>
    </row>
    <row r="182" spans="1:72" ht="12.75">
      <c r="C182" s="463"/>
      <c r="BN182" s="140" t="s">
        <v>990</v>
      </c>
      <c r="BT182" t="s">
        <v>991</v>
      </c>
    </row>
    <row r="183" spans="1:72" ht="12.75">
      <c r="A183" s="2" t="s">
        <v>992</v>
      </c>
      <c r="C183" s="2" t="s">
        <v>92</v>
      </c>
      <c r="BN183" s="140" t="s">
        <v>993</v>
      </c>
      <c r="BT183" t="s">
        <v>994</v>
      </c>
    </row>
    <row r="184" spans="1:72" ht="12.75">
      <c r="C184" s="19"/>
      <c r="D184" t="s">
        <v>995</v>
      </c>
      <c r="I184" s="1273" t="str">
        <f>H18</f>
        <v xml:space="preserve">Epoca Neighborhood L Apartments </v>
      </c>
      <c r="J184" s="1273"/>
      <c r="K184" s="1273"/>
      <c r="L184" s="1273"/>
      <c r="M184" s="1273"/>
      <c r="N184" s="1273"/>
      <c r="O184" s="1273"/>
      <c r="P184" s="1273"/>
      <c r="Q184" s="1273"/>
      <c r="R184" s="1273"/>
      <c r="S184" s="1273"/>
      <c r="T184" s="1273"/>
      <c r="U184" s="1273"/>
      <c r="V184" s="1273"/>
      <c r="W184" s="1273"/>
      <c r="X184" s="1273"/>
      <c r="Y184" s="1273"/>
      <c r="Z184" s="1273"/>
      <c r="AA184" s="1273"/>
      <c r="AB184" s="1273"/>
      <c r="AC184" s="1273"/>
      <c r="AD184" s="1273"/>
      <c r="AE184" s="1273"/>
      <c r="BC184" t="s">
        <v>996</v>
      </c>
      <c r="BN184" s="140" t="s">
        <v>997</v>
      </c>
      <c r="BT184" t="s">
        <v>998</v>
      </c>
    </row>
    <row r="185" spans="1:72" ht="12.75">
      <c r="C185" s="19"/>
      <c r="D185" t="s">
        <v>999</v>
      </c>
      <c r="I185" s="1298" t="s">
        <v>1000</v>
      </c>
      <c r="J185" s="1298"/>
      <c r="K185" s="1298"/>
      <c r="L185" s="1298"/>
      <c r="M185" s="1298"/>
      <c r="N185" s="1298"/>
      <c r="O185" s="1298"/>
      <c r="P185" s="1298"/>
      <c r="Q185" s="1298"/>
      <c r="R185" s="1298"/>
      <c r="S185" s="1298"/>
      <c r="T185" s="1298"/>
      <c r="U185" s="1298"/>
      <c r="V185" s="1298"/>
      <c r="W185" s="1298"/>
      <c r="X185" s="1298"/>
      <c r="Y185" s="1298"/>
      <c r="Z185" s="1298"/>
      <c r="AA185" s="1298"/>
      <c r="AB185" s="1298"/>
      <c r="AC185" s="1298"/>
      <c r="AD185" s="1298"/>
      <c r="AE185" s="1298"/>
      <c r="BC185" t="s">
        <v>1001</v>
      </c>
      <c r="BN185" s="140" t="s">
        <v>1002</v>
      </c>
      <c r="BT185" t="s">
        <v>1003</v>
      </c>
    </row>
    <row r="186" spans="1:72" ht="12.75">
      <c r="C186" s="19"/>
      <c r="E186" t="s">
        <v>1004</v>
      </c>
      <c r="BN186" s="140" t="s">
        <v>1005</v>
      </c>
      <c r="BT186" t="s">
        <v>1006</v>
      </c>
    </row>
    <row r="187" spans="1:72" ht="12.75">
      <c r="C187" s="19"/>
      <c r="E187" s="1283" t="s">
        <v>1007</v>
      </c>
      <c r="F187" s="1283"/>
      <c r="G187" s="1283"/>
      <c r="H187" s="1283"/>
      <c r="I187" s="1283"/>
      <c r="J187" s="1283"/>
      <c r="K187" s="1283"/>
      <c r="L187" s="1283"/>
      <c r="M187" s="1283"/>
      <c r="N187" s="1283"/>
      <c r="O187" s="1283"/>
      <c r="P187" s="1283"/>
      <c r="Q187" s="1283"/>
      <c r="R187" s="1283"/>
      <c r="S187" s="1283"/>
      <c r="T187" s="1283"/>
      <c r="U187" s="1283"/>
      <c r="V187" s="1283"/>
      <c r="W187" s="1283"/>
      <c r="X187" s="1283"/>
      <c r="Y187" s="1283"/>
      <c r="Z187" s="1283"/>
      <c r="AA187" s="1283"/>
      <c r="AB187" s="1283"/>
      <c r="AC187" s="1283"/>
      <c r="AD187" s="1283"/>
      <c r="AE187" s="1283"/>
      <c r="BN187" s="140" t="s">
        <v>1008</v>
      </c>
      <c r="BT187" t="s">
        <v>1009</v>
      </c>
    </row>
    <row r="188" spans="1:72" ht="12.75">
      <c r="C188" s="19"/>
      <c r="E188" s="1284"/>
      <c r="F188" s="1284"/>
      <c r="G188" s="1284"/>
      <c r="H188" s="1284"/>
      <c r="I188" s="1284"/>
      <c r="J188" s="1284"/>
      <c r="K188" s="1284"/>
      <c r="L188" s="1284"/>
      <c r="M188" s="1284"/>
      <c r="N188" s="1284"/>
      <c r="O188" s="1284"/>
      <c r="P188" s="1284"/>
      <c r="Q188" s="1284"/>
      <c r="R188" s="1284"/>
      <c r="S188" s="1284"/>
      <c r="T188" s="1284"/>
      <c r="U188" s="1284"/>
      <c r="V188" s="1284"/>
      <c r="W188" s="1284"/>
      <c r="X188" s="1284"/>
      <c r="Y188" s="1284"/>
      <c r="Z188" s="1284"/>
      <c r="AA188" s="1284"/>
      <c r="AB188" s="1284"/>
      <c r="AC188" s="1284"/>
      <c r="AD188" s="1284"/>
      <c r="AE188" s="1284"/>
      <c r="BN188" s="140" t="s">
        <v>1010</v>
      </c>
      <c r="BT188" t="s">
        <v>1011</v>
      </c>
    </row>
    <row r="189" spans="1:72" ht="12.75">
      <c r="C189" s="19"/>
      <c r="D189" t="s">
        <v>1012</v>
      </c>
      <c r="I189" s="1213" t="s">
        <v>905</v>
      </c>
      <c r="J189" s="1213"/>
      <c r="K189" s="1213"/>
      <c r="L189" s="1213"/>
      <c r="M189" s="1213"/>
      <c r="N189" s="1213"/>
      <c r="O189" s="1213"/>
      <c r="P189" s="1213"/>
      <c r="Q189" t="s">
        <v>1013</v>
      </c>
      <c r="T189" s="1213" t="s">
        <v>905</v>
      </c>
      <c r="U189" s="1213"/>
      <c r="V189" s="1213"/>
      <c r="W189" s="1213"/>
      <c r="X189" s="1213"/>
      <c r="Y189" s="1213"/>
      <c r="Z189" s="1213"/>
      <c r="AA189" s="1213"/>
      <c r="AB189" s="1213"/>
      <c r="AC189" s="1213"/>
      <c r="AD189" s="1213"/>
      <c r="AE189" s="1213"/>
      <c r="BC189" t="s">
        <v>294</v>
      </c>
      <c r="BH189" s="3" t="s">
        <v>299</v>
      </c>
      <c r="BN189" s="140" t="s">
        <v>1014</v>
      </c>
      <c r="BT189" t="s">
        <v>1015</v>
      </c>
    </row>
    <row r="190" spans="1:72" ht="12.75">
      <c r="C190" s="19"/>
      <c r="D190" t="s">
        <v>1016</v>
      </c>
      <c r="I190" s="1298">
        <v>92154</v>
      </c>
      <c r="J190" s="1298"/>
      <c r="K190" s="1298"/>
      <c r="L190" s="1298"/>
      <c r="M190" s="1298"/>
      <c r="N190" s="1298"/>
      <c r="O190" t="s">
        <v>1017</v>
      </c>
      <c r="T190" s="1421">
        <v>100.15</v>
      </c>
      <c r="U190" s="1421"/>
      <c r="V190" s="1421"/>
      <c r="W190" s="1421"/>
      <c r="X190" s="1421"/>
      <c r="Y190" s="1421"/>
      <c r="Z190" s="1421"/>
      <c r="AA190" s="1421"/>
      <c r="AB190" s="1421"/>
      <c r="AC190" s="1421"/>
      <c r="AD190" s="1421"/>
      <c r="AE190" s="1421"/>
      <c r="BC190" t="s">
        <v>1018</v>
      </c>
      <c r="BH190" t="s">
        <v>1018</v>
      </c>
      <c r="BN190" s="140" t="s">
        <v>1019</v>
      </c>
      <c r="BT190" t="s">
        <v>1020</v>
      </c>
    </row>
    <row r="191" spans="1:72" ht="12.75">
      <c r="C191" s="19"/>
      <c r="D191" t="s">
        <v>1021</v>
      </c>
      <c r="N191" s="1283" t="s">
        <v>1007</v>
      </c>
      <c r="O191" s="1283"/>
      <c r="P191" s="1283"/>
      <c r="Q191" s="1283"/>
      <c r="R191" s="1283"/>
      <c r="S191" s="1283"/>
      <c r="T191" s="1283"/>
      <c r="U191" s="1283"/>
      <c r="V191" s="1283"/>
      <c r="W191" s="1283"/>
      <c r="X191" s="1283"/>
      <c r="Y191" s="1283"/>
      <c r="Z191" s="1283"/>
      <c r="AA191" s="1283"/>
      <c r="AB191" s="1283"/>
      <c r="AC191" s="1283"/>
      <c r="AD191" s="1283"/>
      <c r="AE191" s="1283"/>
      <c r="BC191" t="s">
        <v>1022</v>
      </c>
      <c r="BH191" t="s">
        <v>1022</v>
      </c>
      <c r="BN191" s="140" t="s">
        <v>1023</v>
      </c>
      <c r="BT191" t="s">
        <v>1024</v>
      </c>
    </row>
    <row r="192" spans="1:72" ht="12.75">
      <c r="C192" s="19"/>
      <c r="M192" s="33"/>
      <c r="N192" s="1284"/>
      <c r="O192" s="1284"/>
      <c r="P192" s="1284"/>
      <c r="Q192" s="1284"/>
      <c r="R192" s="1284"/>
      <c r="S192" s="1284"/>
      <c r="T192" s="1284"/>
      <c r="U192" s="1284"/>
      <c r="V192" s="1284"/>
      <c r="W192" s="1284"/>
      <c r="X192" s="1284"/>
      <c r="Y192" s="1284"/>
      <c r="Z192" s="1284"/>
      <c r="AA192" s="1284"/>
      <c r="AB192" s="1284"/>
      <c r="AC192" s="1284"/>
      <c r="AD192" s="1284"/>
      <c r="AE192" s="1284"/>
      <c r="BC192" t="s">
        <v>1025</v>
      </c>
      <c r="BH192" s="3" t="s">
        <v>1026</v>
      </c>
      <c r="BN192" s="140" t="s">
        <v>1027</v>
      </c>
      <c r="BT192" t="s">
        <v>1028</v>
      </c>
    </row>
    <row r="193" spans="1:74" ht="12.75">
      <c r="C193" s="19"/>
      <c r="D193" t="s">
        <v>1029</v>
      </c>
      <c r="M193" s="33"/>
      <c r="N193" s="853"/>
      <c r="O193" s="853"/>
      <c r="P193" s="853"/>
      <c r="Q193" s="853"/>
      <c r="R193" s="853"/>
      <c r="S193" s="853"/>
      <c r="T193" s="1414" t="s">
        <v>1030</v>
      </c>
      <c r="U193" s="1414"/>
      <c r="V193" s="1414"/>
      <c r="W193" s="1414"/>
      <c r="X193" s="1414"/>
      <c r="Y193" s="1414"/>
      <c r="Z193" s="1414"/>
      <c r="AA193" s="1414"/>
      <c r="AB193" s="1414"/>
      <c r="AC193" s="1414"/>
      <c r="AD193" s="1414"/>
      <c r="AE193" s="1414"/>
      <c r="AF193" s="1414"/>
      <c r="AG193" s="1414"/>
      <c r="AH193" s="1414"/>
      <c r="AI193" s="1414"/>
      <c r="BC193" t="s">
        <v>1031</v>
      </c>
      <c r="BH193" s="3" t="s">
        <v>1032</v>
      </c>
      <c r="BN193" s="140" t="s">
        <v>1033</v>
      </c>
      <c r="BT193" t="s">
        <v>905</v>
      </c>
    </row>
    <row r="194" spans="1:74" ht="12.75">
      <c r="C194" s="19"/>
      <c r="D194" t="s">
        <v>1034</v>
      </c>
      <c r="T194" s="1263" t="s">
        <v>929</v>
      </c>
      <c r="U194" s="1263"/>
      <c r="W194" t="s">
        <v>1035</v>
      </c>
      <c r="AH194" s="1263">
        <v>51</v>
      </c>
      <c r="AI194" s="1263"/>
      <c r="BC194" t="s">
        <v>1036</v>
      </c>
      <c r="BN194" s="140" t="s">
        <v>1037</v>
      </c>
      <c r="BT194" t="s">
        <v>1038</v>
      </c>
    </row>
    <row r="195" spans="1:74" ht="12.75">
      <c r="C195" s="19"/>
      <c r="D195" t="s">
        <v>1039</v>
      </c>
      <c r="T195" s="1286" t="s">
        <v>929</v>
      </c>
      <c r="U195" s="1286"/>
      <c r="W195" t="s">
        <v>1040</v>
      </c>
      <c r="AH195" s="1263">
        <v>79</v>
      </c>
      <c r="AI195" s="1263"/>
      <c r="BC195" t="s">
        <v>1041</v>
      </c>
      <c r="BN195" s="140" t="s">
        <v>1042</v>
      </c>
      <c r="BT195" t="s">
        <v>1043</v>
      </c>
    </row>
    <row r="196" spans="1:74" ht="12.75">
      <c r="C196" s="19"/>
      <c r="D196" s="3" t="s">
        <v>1044</v>
      </c>
      <c r="T196" s="1286" t="s">
        <v>929</v>
      </c>
      <c r="U196" s="1286"/>
      <c r="W196" t="s">
        <v>1045</v>
      </c>
      <c r="AH196" s="1263">
        <v>40</v>
      </c>
      <c r="AI196" s="1263"/>
      <c r="BN196" s="140" t="s">
        <v>1046</v>
      </c>
      <c r="BT196" t="s">
        <v>1047</v>
      </c>
    </row>
    <row r="197" spans="1:74" ht="12.75" customHeight="1">
      <c r="C197" s="19"/>
      <c r="D197" s="3" t="s">
        <v>1048</v>
      </c>
      <c r="T197" s="1286"/>
      <c r="U197" s="1286"/>
      <c r="AH197" s="14"/>
      <c r="AI197" s="14"/>
      <c r="BC197" t="s">
        <v>294</v>
      </c>
      <c r="BN197" s="140" t="s">
        <v>1049</v>
      </c>
      <c r="BT197" t="s">
        <v>1050</v>
      </c>
    </row>
    <row r="198" spans="1:74" s="14" customFormat="1" ht="12.75" customHeight="1">
      <c r="A198"/>
      <c r="B198"/>
      <c r="C198" s="19"/>
      <c r="E198"/>
      <c r="F198"/>
      <c r="G198"/>
      <c r="H198"/>
      <c r="I198"/>
      <c r="J198"/>
      <c r="K198"/>
      <c r="L198"/>
      <c r="M198"/>
      <c r="N198"/>
      <c r="O198"/>
      <c r="P198"/>
      <c r="Q198"/>
      <c r="R198"/>
      <c r="S198"/>
      <c r="T198"/>
      <c r="U198"/>
      <c r="V198"/>
      <c r="W198"/>
      <c r="X198" s="998" t="s">
        <v>1051</v>
      </c>
      <c r="Y198" s="1263" t="s">
        <v>929</v>
      </c>
      <c r="Z198" s="1263"/>
      <c r="AA198"/>
      <c r="AB198"/>
      <c r="AC198"/>
      <c r="AD198"/>
      <c r="AE198"/>
      <c r="AF198"/>
      <c r="AG198"/>
      <c r="AJ198"/>
      <c r="AK198"/>
      <c r="AL198"/>
      <c r="AM198"/>
      <c r="AN198"/>
      <c r="AO198"/>
      <c r="AP198"/>
      <c r="AQ198"/>
      <c r="AR198"/>
      <c r="AS198"/>
      <c r="AT198"/>
      <c r="AU198"/>
      <c r="AV198"/>
      <c r="AW198"/>
      <c r="AX198"/>
      <c r="AY198"/>
      <c r="AZ198" s="26"/>
      <c r="BA198" s="26"/>
      <c r="BC198" t="s">
        <v>1052</v>
      </c>
      <c r="BD198"/>
      <c r="BN198" s="140" t="s">
        <v>1053</v>
      </c>
      <c r="BO198"/>
      <c r="BP198"/>
      <c r="BQ198"/>
      <c r="BR198"/>
      <c r="BS198"/>
      <c r="BT198" t="s">
        <v>1054</v>
      </c>
      <c r="BU198"/>
      <c r="BV198" s="27"/>
    </row>
    <row r="199" spans="1:74" s="14" customFormat="1" ht="12.75" customHeight="1">
      <c r="A199"/>
      <c r="B199"/>
      <c r="C199" s="19"/>
      <c r="D199" t="s">
        <v>1055</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1056</v>
      </c>
      <c r="BD199"/>
      <c r="BN199" s="140" t="s">
        <v>1057</v>
      </c>
      <c r="BO199"/>
      <c r="BP199"/>
      <c r="BQ199"/>
      <c r="BR199"/>
      <c r="BS199"/>
      <c r="BT199" s="28" t="s">
        <v>1058</v>
      </c>
      <c r="BU199"/>
      <c r="BV199" s="27"/>
    </row>
    <row r="200" spans="1:74" s="14" customFormat="1" ht="12.75" customHeight="1">
      <c r="A200"/>
      <c r="B200"/>
      <c r="C200" s="19"/>
      <c r="D200" s="146" t="s">
        <v>1059</v>
      </c>
      <c r="E200"/>
      <c r="F200"/>
      <c r="G200"/>
      <c r="H200"/>
      <c r="I200"/>
      <c r="J200"/>
      <c r="K200"/>
      <c r="L200"/>
      <c r="M200"/>
      <c r="N200"/>
      <c r="O200"/>
      <c r="P200"/>
      <c r="Q200"/>
      <c r="R200"/>
      <c r="S200"/>
      <c r="T200" s="1"/>
      <c r="U200" s="1"/>
      <c r="V200"/>
      <c r="W200" s="146" t="s">
        <v>1060</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1061</v>
      </c>
      <c r="BD200" s="371"/>
      <c r="BN200" s="140" t="s">
        <v>1062</v>
      </c>
      <c r="BO200"/>
      <c r="BP200"/>
      <c r="BQ200"/>
      <c r="BR200"/>
      <c r="BS200"/>
      <c r="BT200" s="28" t="s">
        <v>1063</v>
      </c>
      <c r="BU200"/>
    </row>
    <row r="201" spans="1:74" s="14" customFormat="1" ht="12.7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1064</v>
      </c>
      <c r="BD201" s="371"/>
      <c r="BN201" s="140" t="s">
        <v>1065</v>
      </c>
      <c r="BO201" s="27"/>
      <c r="BP201" s="28"/>
      <c r="BQ201" s="28"/>
      <c r="BR201" s="28"/>
      <c r="BS201" s="28"/>
      <c r="BT201" s="28" t="s">
        <v>1066</v>
      </c>
      <c r="BU201"/>
    </row>
    <row r="202" spans="1:74" ht="12.75" customHeight="1">
      <c r="A202" s="2" t="s">
        <v>1067</v>
      </c>
      <c r="C202" s="2" t="s">
        <v>1068</v>
      </c>
      <c r="BC202" t="s">
        <v>1069</v>
      </c>
      <c r="BD202" s="371"/>
      <c r="BN202" s="140" t="s">
        <v>1070</v>
      </c>
      <c r="BO202" s="14"/>
      <c r="BP202" s="28"/>
      <c r="BQ202" s="28"/>
      <c r="BR202" s="28"/>
      <c r="BS202" s="28"/>
      <c r="BT202" s="28" t="s">
        <v>1071</v>
      </c>
    </row>
    <row r="203" spans="1:74" ht="12.75" customHeight="1">
      <c r="D203" s="1273" t="s">
        <v>1072</v>
      </c>
      <c r="E203" s="1273"/>
      <c r="F203" s="1273"/>
      <c r="G203" s="1273"/>
      <c r="H203" s="1273"/>
      <c r="I203" s="1273"/>
      <c r="J203" s="1273"/>
      <c r="K203" s="1273"/>
      <c r="L203" s="1273"/>
      <c r="M203" s="1273"/>
      <c r="P203" s="1417">
        <f ca="1">M26</f>
        <v>1630756</v>
      </c>
      <c r="Q203" s="1410"/>
      <c r="R203" s="1410"/>
      <c r="S203" s="1410"/>
      <c r="T203" s="1410"/>
      <c r="U203" s="1410"/>
      <c r="Z203" s="1408" t="s">
        <v>1073</v>
      </c>
      <c r="AA203" s="1408"/>
      <c r="AB203" s="1408"/>
      <c r="AC203" s="1408"/>
      <c r="AD203" s="1408"/>
      <c r="AE203" s="1408"/>
      <c r="AF203" s="1408"/>
      <c r="BC203" t="s">
        <v>1074</v>
      </c>
      <c r="BN203" s="140" t="s">
        <v>1075</v>
      </c>
      <c r="BO203" s="14"/>
      <c r="BP203" s="28"/>
      <c r="BQ203" s="28"/>
      <c r="BR203" s="28"/>
      <c r="BS203" s="28"/>
      <c r="BT203" s="28" t="s">
        <v>1076</v>
      </c>
    </row>
    <row r="204" spans="1:74" ht="12.75" customHeight="1">
      <c r="C204" s="19"/>
      <c r="D204" s="1415" t="s">
        <v>1077</v>
      </c>
      <c r="E204" s="1273"/>
      <c r="F204" s="1273"/>
      <c r="G204" s="1273"/>
      <c r="H204" s="1273"/>
      <c r="I204" s="1273"/>
      <c r="J204" s="1273"/>
      <c r="K204" s="1273"/>
      <c r="L204" s="1273"/>
      <c r="M204" s="1273"/>
      <c r="P204" s="1410">
        <f ca="1">M27</f>
        <v>4401474</v>
      </c>
      <c r="Q204" s="1410"/>
      <c r="R204" s="1410"/>
      <c r="S204" s="1410"/>
      <c r="T204" s="1410"/>
      <c r="U204" s="1410"/>
      <c r="V204" s="20"/>
      <c r="W204" s="3" t="s">
        <v>1078</v>
      </c>
      <c r="Z204" s="1408"/>
      <c r="AA204" s="1408"/>
      <c r="AB204" s="1408"/>
      <c r="AC204" s="1408"/>
      <c r="AD204" s="1408"/>
      <c r="AE204" s="1408"/>
      <c r="AF204" s="1408"/>
      <c r="AG204" t="s">
        <v>1079</v>
      </c>
      <c r="AP204" s="1263" t="s">
        <v>929</v>
      </c>
      <c r="AQ204" s="1263"/>
      <c r="BC204" t="s">
        <v>1080</v>
      </c>
      <c r="BN204" s="140" t="s">
        <v>1081</v>
      </c>
      <c r="BT204" s="28" t="s">
        <v>1082</v>
      </c>
      <c r="BU204" s="14"/>
    </row>
    <row r="205" spans="1:74" ht="12.75" customHeight="1">
      <c r="D205" s="25"/>
      <c r="E205" s="25"/>
      <c r="F205" s="25"/>
      <c r="G205" s="25"/>
      <c r="H205" s="25"/>
      <c r="I205" s="25"/>
      <c r="J205" s="25"/>
      <c r="K205" s="25"/>
      <c r="L205" s="25"/>
      <c r="M205" s="25"/>
      <c r="N205" s="25"/>
      <c r="O205" s="25"/>
      <c r="P205" s="25"/>
      <c r="Z205" s="1409"/>
      <c r="AA205" s="1409"/>
      <c r="AB205" s="1409"/>
      <c r="AC205" s="1409"/>
      <c r="AD205" s="1409"/>
      <c r="AE205" s="1409"/>
      <c r="AF205" s="1409"/>
      <c r="BC205" t="s">
        <v>1083</v>
      </c>
      <c r="BN205" s="140" t="s">
        <v>1084</v>
      </c>
      <c r="BT205" s="28" t="s">
        <v>1085</v>
      </c>
      <c r="BU205" s="14"/>
    </row>
    <row r="206" spans="1:74" ht="12.75">
      <c r="A206" s="2" t="s">
        <v>1086</v>
      </c>
      <c r="C206" s="2" t="s">
        <v>1087</v>
      </c>
      <c r="BC206" s="372" t="s">
        <v>1088</v>
      </c>
      <c r="BN206" s="140" t="s">
        <v>1089</v>
      </c>
      <c r="BT206" s="28" t="s">
        <v>1090</v>
      </c>
      <c r="BU206" s="14"/>
    </row>
    <row r="207" spans="1:74" ht="12.75">
      <c r="C207" s="19"/>
      <c r="D207" s="1404" t="s">
        <v>1091</v>
      </c>
      <c r="E207" s="1404"/>
      <c r="F207" s="1404"/>
      <c r="G207" s="1404"/>
      <c r="H207" s="1404"/>
      <c r="I207" s="1404"/>
      <c r="J207" s="1404"/>
      <c r="K207" s="1404"/>
      <c r="L207" s="1404"/>
      <c r="M207" s="1404"/>
      <c r="BC207" s="3" t="s">
        <v>1092</v>
      </c>
      <c r="BN207" s="140" t="s">
        <v>1093</v>
      </c>
      <c r="BT207" s="28" t="s">
        <v>1094</v>
      </c>
    </row>
    <row r="208" spans="1:74" ht="12.75">
      <c r="BC208" t="s">
        <v>1095</v>
      </c>
      <c r="BN208" s="140" t="s">
        <v>1096</v>
      </c>
      <c r="BT208" s="28" t="s">
        <v>1097</v>
      </c>
    </row>
    <row r="209" spans="1:72" ht="12.75">
      <c r="A209" s="2" t="s">
        <v>1098</v>
      </c>
      <c r="C209" s="2" t="s">
        <v>1099</v>
      </c>
      <c r="BC209" t="s">
        <v>1100</v>
      </c>
      <c r="BN209" s="140" t="s">
        <v>1101</v>
      </c>
      <c r="BT209" s="28" t="s">
        <v>1102</v>
      </c>
    </row>
    <row r="210" spans="1:72" ht="12.75">
      <c r="C210" s="19"/>
      <c r="D210" s="1404" t="s">
        <v>1018</v>
      </c>
      <c r="E210" s="1404"/>
      <c r="F210" s="1404"/>
      <c r="G210" s="1404"/>
      <c r="H210" s="1404"/>
      <c r="I210" s="1404"/>
      <c r="J210" s="1404"/>
      <c r="K210" s="1404"/>
      <c r="L210" s="1404"/>
      <c r="M210" s="1404"/>
      <c r="BN210" s="140" t="s">
        <v>1103</v>
      </c>
      <c r="BT210" s="28" t="s">
        <v>1104</v>
      </c>
    </row>
    <row r="211" spans="1:72" ht="12.75">
      <c r="C211" s="19"/>
      <c r="D211" t="s">
        <v>1105</v>
      </c>
      <c r="Y211" s="1263"/>
      <c r="Z211" s="1263"/>
      <c r="BN211" s="140" t="s">
        <v>1106</v>
      </c>
      <c r="BT211" s="28" t="s">
        <v>1107</v>
      </c>
    </row>
    <row r="212" spans="1:72" ht="12.75">
      <c r="D212" s="3" t="s">
        <v>1108</v>
      </c>
      <c r="BC212" t="s">
        <v>294</v>
      </c>
      <c r="BN212" s="140" t="s">
        <v>1109</v>
      </c>
      <c r="BT212" s="28" t="s">
        <v>1110</v>
      </c>
    </row>
    <row r="213" spans="1:72" ht="12.75">
      <c r="D213" s="1278" t="s">
        <v>299</v>
      </c>
      <c r="E213" s="1278"/>
      <c r="F213" s="1278"/>
      <c r="G213" s="1278"/>
      <c r="H213" s="1278"/>
      <c r="I213" s="1278"/>
      <c r="J213" s="1278"/>
      <c r="K213" s="1278"/>
      <c r="L213" s="1278"/>
      <c r="M213" s="1278"/>
      <c r="N213" s="1278"/>
      <c r="O213" s="1278"/>
      <c r="P213" s="1278"/>
      <c r="Q213" s="1278"/>
      <c r="R213" s="1278"/>
      <c r="S213" s="1278"/>
      <c r="T213" s="1278"/>
      <c r="U213" s="1278"/>
      <c r="V213" s="1278"/>
      <c r="W213" s="1278"/>
      <c r="X213" s="1278"/>
      <c r="Y213" s="1278"/>
      <c r="Z213" s="1278"/>
      <c r="BC213" t="s">
        <v>1111</v>
      </c>
      <c r="BN213" s="140" t="s">
        <v>1112</v>
      </c>
      <c r="BT213" s="28" t="s">
        <v>1113</v>
      </c>
    </row>
    <row r="214" spans="1:72" ht="12.75">
      <c r="D214" s="3" t="s">
        <v>1114</v>
      </c>
      <c r="Z214" s="33"/>
      <c r="AB214" s="1285"/>
      <c r="AC214" s="1285"/>
      <c r="AD214" s="1285"/>
      <c r="AE214" s="1285"/>
      <c r="AF214" s="1285"/>
      <c r="AG214" s="1285"/>
      <c r="AH214" s="1285"/>
      <c r="AI214" s="1285"/>
      <c r="AJ214" s="1285"/>
      <c r="AK214" s="1285"/>
      <c r="AL214" s="1285"/>
      <c r="AM214" s="19"/>
      <c r="AN214" s="19"/>
      <c r="AO214" s="19"/>
      <c r="AP214" s="19"/>
      <c r="AQ214" s="19"/>
      <c r="AR214" s="19"/>
      <c r="AS214" s="19"/>
      <c r="AT214" s="19"/>
      <c r="AU214" s="19"/>
      <c r="AV214" s="19"/>
      <c r="AW214" s="19"/>
      <c r="AX214" s="19"/>
      <c r="AY214" s="19"/>
      <c r="BC214" t="s">
        <v>1115</v>
      </c>
      <c r="BN214" s="140" t="s">
        <v>1116</v>
      </c>
      <c r="BT214" s="28" t="s">
        <v>1117</v>
      </c>
    </row>
    <row r="215" spans="1:72" ht="12.75" customHeight="1">
      <c r="D215" s="3" t="s">
        <v>1118</v>
      </c>
      <c r="Z215" s="33"/>
      <c r="AB215" s="1285"/>
      <c r="AC215" s="1285"/>
      <c r="AD215" s="1285"/>
      <c r="AE215" s="1285"/>
      <c r="AF215" s="1285"/>
      <c r="AG215" s="1285"/>
      <c r="AH215" s="1285"/>
      <c r="AI215" s="1285"/>
      <c r="AJ215" s="1285"/>
      <c r="AK215" s="1285"/>
      <c r="AL215" s="1285"/>
      <c r="AM215" s="19"/>
      <c r="AN215" s="19"/>
      <c r="AO215" s="19"/>
      <c r="AP215" s="19"/>
      <c r="AQ215" s="19"/>
      <c r="AR215" s="19"/>
      <c r="AS215" s="19"/>
      <c r="AT215" s="19"/>
      <c r="AU215" s="19"/>
      <c r="AV215" s="19"/>
      <c r="AW215" s="19"/>
      <c r="AX215" s="19"/>
      <c r="AY215" s="19"/>
      <c r="BC215" t="s">
        <v>1119</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1120</v>
      </c>
    </row>
    <row r="217" spans="1:72" ht="12.75">
      <c r="A217" s="2" t="s">
        <v>1121</v>
      </c>
      <c r="C217" s="2" t="s">
        <v>1122</v>
      </c>
      <c r="D217" s="20"/>
      <c r="BC217" t="s">
        <v>1123</v>
      </c>
    </row>
    <row r="218" spans="1:72" ht="12.75">
      <c r="A218" s="2"/>
      <c r="C218" s="2"/>
      <c r="D218" s="3" t="s">
        <v>1124</v>
      </c>
      <c r="BC218" t="s">
        <v>1125</v>
      </c>
    </row>
    <row r="219" spans="1:72" ht="12.75" customHeight="1">
      <c r="A219" s="2"/>
      <c r="C219" s="2"/>
      <c r="D219" s="1404" t="s">
        <v>1064</v>
      </c>
      <c r="E219" s="1404"/>
      <c r="F219" s="1404"/>
      <c r="G219" s="1404"/>
      <c r="H219" s="1404"/>
      <c r="I219" s="1404"/>
      <c r="J219" s="1404"/>
      <c r="K219" s="1404"/>
      <c r="L219" s="1404"/>
      <c r="M219" s="1404"/>
      <c r="N219" s="1404"/>
      <c r="O219" s="1404"/>
      <c r="P219" s="1404"/>
      <c r="Q219" s="1404"/>
      <c r="R219" s="1404"/>
      <c r="S219" s="1404"/>
      <c r="T219" s="1404"/>
      <c r="U219" s="1404"/>
      <c r="V219" s="1404"/>
      <c r="W219" s="1404"/>
      <c r="X219" s="1404"/>
      <c r="Y219" s="1404"/>
      <c r="Z219" s="1404"/>
      <c r="AZ219" s="3"/>
      <c r="BA219" s="3"/>
      <c r="BC219" t="s">
        <v>1126</v>
      </c>
    </row>
    <row r="220" spans="1:72" ht="12.75">
      <c r="A220" s="2"/>
      <c r="B220" s="14"/>
      <c r="C220" s="2"/>
      <c r="BA220" s="3"/>
      <c r="BC220" t="s">
        <v>1127</v>
      </c>
    </row>
    <row r="221" spans="1:72" ht="12.75">
      <c r="A221" s="1265" t="s">
        <v>1128</v>
      </c>
      <c r="B221" s="1265"/>
      <c r="C221" s="1265"/>
      <c r="D221" s="1265"/>
      <c r="E221" s="1265"/>
      <c r="F221" s="1265"/>
      <c r="G221" s="1265"/>
      <c r="H221" s="1265"/>
      <c r="I221" s="1265"/>
      <c r="J221" s="1265"/>
      <c r="K221" s="1265"/>
      <c r="L221" s="1265"/>
      <c r="M221" s="1265"/>
      <c r="N221" s="1265"/>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5"/>
      <c r="AJ221" s="1265"/>
      <c r="AK221" s="1265"/>
      <c r="AL221" s="1265"/>
      <c r="AM221" s="71"/>
      <c r="AN221" s="71"/>
      <c r="AO221" s="71"/>
      <c r="AP221" s="71"/>
      <c r="AQ221" s="71"/>
      <c r="AR221" s="71"/>
      <c r="AS221" s="71"/>
      <c r="AT221" s="71"/>
      <c r="AU221" s="71"/>
      <c r="AV221" s="71"/>
      <c r="AW221" s="71"/>
      <c r="AX221" s="71"/>
      <c r="AY221" s="71"/>
      <c r="BA221" s="3"/>
    </row>
    <row r="222" spans="1:72" ht="13.5" thickBot="1">
      <c r="A222" s="1266"/>
      <c r="B222" s="1266"/>
      <c r="C222" s="1266"/>
      <c r="D222" s="1266"/>
      <c r="E222" s="1266"/>
      <c r="F222" s="1266"/>
      <c r="G222" s="1266"/>
      <c r="H222" s="1266"/>
      <c r="I222" s="1266"/>
      <c r="J222" s="1266"/>
      <c r="K222" s="1266"/>
      <c r="L222" s="1266"/>
      <c r="M222" s="1266"/>
      <c r="N222" s="1266"/>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956</v>
      </c>
      <c r="B224" s="2"/>
      <c r="C224" s="2" t="s">
        <v>1129</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1130</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63" t="s">
        <v>299</v>
      </c>
      <c r="AJ225" s="1263"/>
      <c r="AL225" s="3"/>
      <c r="AM225" s="3"/>
      <c r="AN225" s="3"/>
      <c r="AO225" s="3"/>
      <c r="AP225" s="3"/>
      <c r="AQ225" s="3"/>
      <c r="AR225" s="3"/>
      <c r="AS225" s="3"/>
      <c r="AT225" s="3"/>
      <c r="AU225" s="3"/>
      <c r="AV225" s="3"/>
      <c r="AW225" s="3"/>
      <c r="AX225" s="3"/>
      <c r="AY225" s="3"/>
      <c r="BO225" s="3"/>
    </row>
    <row r="226" spans="1:69" ht="12.75">
      <c r="B226" s="3"/>
      <c r="D226" s="3" t="s">
        <v>1131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63" t="s">
        <v>825</v>
      </c>
      <c r="AJ226" s="1263"/>
      <c r="AL226" s="3"/>
      <c r="AM226" s="3"/>
      <c r="AN226" s="3"/>
      <c r="AO226" s="3"/>
      <c r="AP226" s="3"/>
      <c r="AQ226" s="3"/>
      <c r="AR226" s="3"/>
      <c r="AS226" s="3"/>
      <c r="AT226" s="3"/>
      <c r="AU226" s="3"/>
      <c r="AV226" s="3"/>
      <c r="AW226" s="3"/>
      <c r="AX226" s="3"/>
      <c r="AY226" s="3"/>
      <c r="AZ226" s="3"/>
      <c r="BB226" s="143" t="s">
        <v>1132</v>
      </c>
      <c r="BG226" s="181">
        <f>IF(AND(AND($M$248="for profit",$M$256="for profit",$M$264="nonprofit")),2,0)</f>
        <v>0</v>
      </c>
      <c r="BO226" s="3"/>
    </row>
    <row r="227" spans="1:69" ht="12.75" customHeight="1">
      <c r="B227" s="3"/>
      <c r="D227" s="3" t="s">
        <v>1133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63" t="s">
        <v>825</v>
      </c>
      <c r="AJ227" s="1263"/>
      <c r="AL227" s="3"/>
      <c r="AM227" s="3"/>
      <c r="AN227" s="3"/>
      <c r="AO227" s="3"/>
      <c r="AP227" s="3"/>
      <c r="AQ227" s="3"/>
      <c r="AR227" s="3"/>
      <c r="AS227" s="3"/>
      <c r="AT227" s="3"/>
      <c r="AU227" s="3"/>
      <c r="AV227" s="3"/>
      <c r="AW227" s="3"/>
      <c r="AX227" s="3"/>
      <c r="AY227" s="3"/>
      <c r="BA227" s="3"/>
      <c r="BB227" s="143" t="s">
        <v>1132</v>
      </c>
      <c r="BG227" s="181">
        <f>IF(AND(AND($M$248="for profit",$M$256="nonprofit",$M$264="for profit")),2,0)</f>
        <v>0</v>
      </c>
      <c r="BQ227" s="3"/>
    </row>
    <row r="228" spans="1:69" ht="12.75">
      <c r="B228" s="3"/>
      <c r="D228" s="3" t="s">
        <v>1134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63" t="s">
        <v>299</v>
      </c>
      <c r="AJ228" s="1263"/>
      <c r="AL228" s="3"/>
      <c r="AM228" s="3"/>
      <c r="AN228" s="3"/>
      <c r="AO228" s="3"/>
      <c r="AP228" s="3"/>
      <c r="AQ228" s="3"/>
      <c r="AR228" s="3"/>
      <c r="AS228" s="3"/>
      <c r="AT228" s="3"/>
      <c r="AU228" s="3"/>
      <c r="AV228" s="3"/>
      <c r="AW228" s="3"/>
      <c r="AX228" s="3"/>
      <c r="AY228" s="3"/>
      <c r="AZ228" s="3"/>
      <c r="BA228" s="3"/>
      <c r="BB228" s="143" t="s">
        <v>1132</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1132</v>
      </c>
      <c r="BG229" s="181">
        <f>IF(AND(AND($M$248="for profit",$M$256="nonprofit",$M$264="(select one)")),2,0)</f>
        <v>0</v>
      </c>
      <c r="BO229" s="3"/>
    </row>
    <row r="230" spans="1:69" ht="12.75">
      <c r="A230" s="2" t="s">
        <v>992</v>
      </c>
      <c r="B230" s="3"/>
      <c r="C230" s="2" t="s">
        <v>1135</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1132</v>
      </c>
      <c r="BG230" s="180">
        <f>IF(AND(AND($M$248="nonprofit",$M$256="for profit",$M$264="(select one)")),2,0)</f>
        <v>2</v>
      </c>
      <c r="BO230" s="3"/>
    </row>
    <row r="231" spans="1:69" ht="12.75">
      <c r="D231" s="3" t="s">
        <v>1136</v>
      </c>
      <c r="E231" s="3"/>
      <c r="F231" s="3"/>
      <c r="G231" s="3"/>
      <c r="H231" s="3"/>
      <c r="I231" s="3"/>
      <c r="J231" s="3"/>
      <c r="K231" s="3"/>
      <c r="M231" s="1422" t="str">
        <f>H16</f>
        <v>CR Epoca L Communities LP</v>
      </c>
      <c r="N231" s="1422"/>
      <c r="O231" s="1422"/>
      <c r="P231" s="1422"/>
      <c r="Q231" s="1422"/>
      <c r="R231" s="1422"/>
      <c r="S231" s="1422"/>
      <c r="T231" s="1422"/>
      <c r="U231" s="1422"/>
      <c r="V231" s="1422"/>
      <c r="W231" s="1422"/>
      <c r="X231" s="1422"/>
      <c r="Y231" s="1422"/>
      <c r="Z231" s="1422"/>
      <c r="AA231" s="1422"/>
      <c r="AB231" s="1422"/>
      <c r="AC231" s="1422"/>
      <c r="AD231" s="1422"/>
      <c r="AE231" s="1422"/>
      <c r="AF231" s="1422"/>
      <c r="AG231" s="1422"/>
      <c r="AH231" s="1422"/>
      <c r="AI231" s="1422"/>
      <c r="AJ231" s="1422"/>
      <c r="AK231" s="1422"/>
      <c r="BA231" s="3"/>
      <c r="BB231" s="143"/>
      <c r="BG231" s="143"/>
      <c r="BQ231" s="3"/>
    </row>
    <row r="232" spans="1:69" ht="12.75">
      <c r="D232" s="3" t="s">
        <v>1137</v>
      </c>
      <c r="E232" s="3"/>
      <c r="F232" s="3"/>
      <c r="G232" s="3"/>
      <c r="H232" s="3"/>
      <c r="I232" s="3"/>
      <c r="J232" s="3"/>
      <c r="K232" s="3"/>
      <c r="M232" s="1360" t="s">
        <v>1138</v>
      </c>
      <c r="N232" s="1360"/>
      <c r="O232" s="1360"/>
      <c r="P232" s="1360"/>
      <c r="Q232" s="1360"/>
      <c r="R232" s="1360"/>
      <c r="S232" s="1360"/>
      <c r="T232" s="1360"/>
      <c r="U232" s="1360"/>
      <c r="V232" s="1360"/>
      <c r="W232" s="1360"/>
      <c r="X232" s="1360"/>
      <c r="Y232" s="1360"/>
      <c r="Z232" s="1360"/>
      <c r="AA232" s="1360"/>
      <c r="AB232" s="1360"/>
      <c r="AC232" s="1360"/>
      <c r="AD232" s="1360"/>
      <c r="AE232" s="1360"/>
      <c r="AZ232" s="3"/>
      <c r="BA232" s="3"/>
      <c r="BB232" s="144" t="s">
        <v>1132</v>
      </c>
      <c r="BG232" s="181">
        <f>IF(AND(AND($M$248="nonprofit",$M$256="nonprofit",$M$264="for profit")),2,0)</f>
        <v>0</v>
      </c>
      <c r="BQ232" s="3"/>
    </row>
    <row r="233" spans="1:69" ht="12.75">
      <c r="D233" s="3" t="s">
        <v>1012</v>
      </c>
      <c r="E233" s="3"/>
      <c r="M233" s="1360" t="s">
        <v>905</v>
      </c>
      <c r="N233" s="1360"/>
      <c r="O233" s="1360"/>
      <c r="P233" s="1360"/>
      <c r="Q233" s="1360"/>
      <c r="R233" s="1360"/>
      <c r="S233" s="1360"/>
      <c r="T233" s="1360"/>
      <c r="V233" s="998" t="s">
        <v>1139</v>
      </c>
      <c r="W233" s="1233" t="s">
        <v>1140</v>
      </c>
      <c r="X233" s="1233"/>
      <c r="Y233" s="3" t="s">
        <v>1016</v>
      </c>
      <c r="AC233" s="1360">
        <v>92101</v>
      </c>
      <c r="AD233" s="1360"/>
      <c r="AE233" s="1360"/>
      <c r="BB233" s="144" t="s">
        <v>1132</v>
      </c>
      <c r="BG233" s="181">
        <f>IF(AND(AND($M$248="nonprofit",$M$256="for profit",$M$264="nonprofit")),2,0)</f>
        <v>0</v>
      </c>
    </row>
    <row r="234" spans="1:69" ht="12.75">
      <c r="D234" s="3" t="s">
        <v>1141</v>
      </c>
      <c r="E234" s="3"/>
      <c r="F234" s="3"/>
      <c r="G234" s="3"/>
      <c r="H234" s="3"/>
      <c r="I234" s="3"/>
      <c r="J234" s="3"/>
      <c r="K234" s="1057"/>
      <c r="M234" s="1360" t="s">
        <v>1142</v>
      </c>
      <c r="N234" s="1360"/>
      <c r="O234" s="1360"/>
      <c r="P234" s="1360"/>
      <c r="Q234" s="1360"/>
      <c r="R234" s="1360"/>
      <c r="S234" s="1360"/>
      <c r="T234" s="1360"/>
      <c r="U234" s="1360"/>
      <c r="V234" s="1360"/>
      <c r="W234" s="1360"/>
      <c r="X234" s="1360"/>
      <c r="Y234" s="1360"/>
      <c r="Z234" s="1360"/>
      <c r="AA234" s="1360"/>
      <c r="AB234" s="1360"/>
      <c r="AC234" s="1360"/>
      <c r="AD234" s="1360"/>
      <c r="AE234" s="1360"/>
      <c r="AI234" s="3"/>
      <c r="AJ234" s="3"/>
      <c r="AK234" s="3"/>
      <c r="AL234" s="3"/>
      <c r="AM234" s="3"/>
      <c r="AN234" s="3"/>
      <c r="AO234" s="3"/>
      <c r="AP234" s="3"/>
      <c r="AQ234" s="3"/>
      <c r="AR234" s="3"/>
      <c r="AS234" s="3"/>
      <c r="AT234" s="3"/>
      <c r="AU234" s="3"/>
      <c r="AV234" s="3"/>
      <c r="AW234" s="3"/>
      <c r="AX234" s="3"/>
      <c r="AY234" s="3"/>
      <c r="AZ234" s="3"/>
      <c r="BB234" s="144" t="s">
        <v>1132</v>
      </c>
      <c r="BG234" s="180">
        <f>IF(AND(AND($M$248="for profit",$M$256="nonprofit",$M$264="nonprofit")),2,0)</f>
        <v>0</v>
      </c>
      <c r="BO234" s="3"/>
    </row>
    <row r="235" spans="1:69" ht="12.75">
      <c r="D235" s="3" t="s">
        <v>1143</v>
      </c>
      <c r="E235" s="3"/>
      <c r="F235" s="3"/>
      <c r="M235" s="1233" t="s">
        <v>1144</v>
      </c>
      <c r="N235" s="1233"/>
      <c r="O235" s="1233"/>
      <c r="P235" s="1233"/>
      <c r="Q235" s="1233"/>
      <c r="R235" s="1233"/>
      <c r="S235" s="3" t="s">
        <v>1145</v>
      </c>
      <c r="T235" s="3"/>
      <c r="U235" s="1224"/>
      <c r="V235" s="1224"/>
      <c r="W235" s="1224"/>
      <c r="X235" s="3" t="s">
        <v>1146</v>
      </c>
      <c r="Z235" s="1276"/>
      <c r="AA235" s="1276"/>
      <c r="AB235" s="1276"/>
      <c r="AC235" s="1276"/>
      <c r="AD235" s="1276"/>
      <c r="AE235" s="1276"/>
      <c r="BB235" s="144"/>
      <c r="BG235" s="143"/>
    </row>
    <row r="236" spans="1:69" ht="12.75">
      <c r="D236" s="3" t="s">
        <v>1147</v>
      </c>
      <c r="E236" s="3"/>
      <c r="F236" s="3"/>
      <c r="M236" s="1360" t="s">
        <v>1148</v>
      </c>
      <c r="N236" s="1360"/>
      <c r="O236" s="1360"/>
      <c r="P236" s="1360"/>
      <c r="Q236" s="1360"/>
      <c r="R236" s="1360"/>
      <c r="S236" s="1360"/>
      <c r="T236" s="1360"/>
      <c r="U236" s="1360"/>
      <c r="V236" s="1360"/>
      <c r="W236" s="1360"/>
      <c r="X236" s="1360"/>
      <c r="Y236" s="1360"/>
      <c r="Z236" s="1360"/>
      <c r="AA236" s="1360"/>
      <c r="AB236" s="1360"/>
      <c r="AC236" s="1360"/>
      <c r="AD236" s="1360"/>
      <c r="AE236" s="1360"/>
      <c r="AF236" s="3"/>
      <c r="AG236" s="3"/>
      <c r="AH236" s="3"/>
      <c r="AI236" s="3"/>
      <c r="AJ236" s="3"/>
      <c r="AK236" s="3"/>
      <c r="AL236" s="3"/>
      <c r="AM236" s="3"/>
      <c r="AN236" s="3"/>
      <c r="AO236" s="3"/>
      <c r="AP236" s="3"/>
      <c r="AQ236" s="3"/>
      <c r="AR236" s="3"/>
      <c r="AS236" s="3"/>
      <c r="AT236" s="3"/>
      <c r="AU236" s="3"/>
      <c r="AV236" s="3"/>
      <c r="AW236" s="3"/>
      <c r="AX236" s="3"/>
      <c r="AY236" s="3"/>
      <c r="AZ236" s="3"/>
      <c r="BB236" s="143" t="s">
        <v>1149</v>
      </c>
      <c r="BG236" s="181">
        <f>IF(AND(AND($M$248="nonprofit",$M$256="nonprofit",$M$264="(select one)")),1,0)</f>
        <v>0</v>
      </c>
    </row>
    <row r="237" spans="1:69" ht="12.75">
      <c r="A237" s="2" t="s">
        <v>1067</v>
      </c>
      <c r="C237" s="2" t="s">
        <v>1150</v>
      </c>
      <c r="M237" s="1298" t="s">
        <v>1123</v>
      </c>
      <c r="N237" s="1298"/>
      <c r="O237" s="1298"/>
      <c r="P237" s="1298"/>
      <c r="Q237" s="1298"/>
      <c r="R237" s="1298"/>
      <c r="S237" s="1298"/>
      <c r="T237" s="1298"/>
      <c r="U237" s="143" t="s">
        <v>1151</v>
      </c>
      <c r="V237" s="143"/>
      <c r="W237" s="143"/>
      <c r="X237" s="143"/>
      <c r="Y237" s="143"/>
      <c r="Z237" s="143"/>
      <c r="AA237" s="1412" t="s">
        <v>1152</v>
      </c>
      <c r="AB237" s="1412"/>
      <c r="AC237" s="1412"/>
      <c r="AD237" s="1412"/>
      <c r="AE237" s="1412"/>
      <c r="AF237" s="1412"/>
      <c r="AG237" s="1412"/>
      <c r="AH237" s="1412"/>
      <c r="AI237" s="1412"/>
      <c r="AJ237" s="1412"/>
      <c r="AK237" s="1412"/>
      <c r="AL237" s="3"/>
      <c r="AM237" s="3"/>
      <c r="AN237" s="3"/>
      <c r="AO237" s="3"/>
      <c r="AP237" s="3"/>
      <c r="AQ237" s="3"/>
      <c r="AR237" s="3"/>
      <c r="AS237" s="3"/>
      <c r="AT237" s="3"/>
      <c r="AU237" s="3"/>
      <c r="AV237" s="3"/>
      <c r="AW237" s="3"/>
      <c r="AX237" s="3"/>
      <c r="AY237" s="3"/>
      <c r="BB237" s="143" t="s">
        <v>1149</v>
      </c>
      <c r="BG237" s="181">
        <f>IF(AND(AND($M$248="nonprofit",$M$256="nonprofit",$M$264="nonprofit")),1,0)</f>
        <v>0</v>
      </c>
    </row>
    <row r="238" spans="1:69" ht="12.75">
      <c r="D238" t="s">
        <v>1153</v>
      </c>
      <c r="M238" s="1213"/>
      <c r="N238" s="1213"/>
      <c r="O238" s="1213"/>
      <c r="P238" s="1213"/>
      <c r="Q238" s="1213"/>
      <c r="R238" s="1213"/>
      <c r="S238" s="1213"/>
      <c r="T238" s="1213"/>
      <c r="U238" s="1213"/>
      <c r="V238" s="1213"/>
      <c r="W238" s="1213"/>
      <c r="X238" s="1213"/>
      <c r="Y238" s="1213"/>
      <c r="Z238" s="1213"/>
      <c r="AA238" s="1213"/>
      <c r="AB238" s="1213"/>
      <c r="AC238" s="1213"/>
      <c r="AD238" s="1213"/>
      <c r="AE238" s="1213"/>
      <c r="AF238" s="3"/>
      <c r="AG238" s="3"/>
      <c r="AH238" s="3"/>
      <c r="AI238" s="3"/>
      <c r="AJ238" s="3"/>
      <c r="AK238" s="3"/>
      <c r="AL238" s="3"/>
      <c r="AM238" s="3"/>
      <c r="AN238" s="3"/>
      <c r="AO238" s="3"/>
      <c r="AP238" s="3"/>
      <c r="AQ238" s="3"/>
      <c r="AR238" s="3"/>
      <c r="AS238" s="3"/>
      <c r="AT238" s="3"/>
      <c r="AU238" s="3"/>
      <c r="AV238" s="3"/>
      <c r="AW238" s="3"/>
      <c r="AX238" s="3"/>
      <c r="AY238" s="3"/>
      <c r="BB238" s="143" t="s">
        <v>1149</v>
      </c>
      <c r="BG238" s="181">
        <f>IF(AND(AND($M$248="nonprofit",$M$256="(select one)",$M$264="(select one)")),1,0)</f>
        <v>0</v>
      </c>
      <c r="BN238" s="3"/>
    </row>
    <row r="239" spans="1:69" ht="12.75">
      <c r="D239" s="3"/>
      <c r="BB239" s="143" t="s">
        <v>1154</v>
      </c>
      <c r="BG239" s="181">
        <f>IF(AND(AND($M$248="for profit",$M$256="for profit",$M$264="(select one)")),3,0)</f>
        <v>0</v>
      </c>
    </row>
    <row r="240" spans="1:69" ht="12.75">
      <c r="A240" s="2" t="s">
        <v>1086</v>
      </c>
      <c r="C240" s="2" t="s">
        <v>1155</v>
      </c>
      <c r="D240" s="3"/>
      <c r="L240" s="8"/>
      <c r="M240" s="8"/>
      <c r="N240" s="8"/>
      <c r="BB240" s="143" t="s">
        <v>1154</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1154</v>
      </c>
      <c r="BG241" s="181">
        <f>IF(AND(AND($M$248="for profit",$M$256="(select one)",$M$264="(select one)")),3,0)</f>
        <v>0</v>
      </c>
    </row>
    <row r="242" spans="1:71" ht="12.75">
      <c r="A242" s="1057"/>
      <c r="B242" s="3"/>
      <c r="C242" s="49" t="s">
        <v>1156</v>
      </c>
      <c r="D242" s="3" t="s">
        <v>1157</v>
      </c>
      <c r="E242" s="3"/>
      <c r="F242" s="3"/>
      <c r="G242" s="3"/>
      <c r="H242" s="3"/>
      <c r="I242" s="3"/>
      <c r="J242" s="3"/>
      <c r="K242" s="3"/>
      <c r="L242" s="3"/>
      <c r="M242" s="1416" t="s">
        <v>1158</v>
      </c>
      <c r="N242" s="1416"/>
      <c r="O242" s="1416"/>
      <c r="P242" s="1416"/>
      <c r="Q242" s="1416"/>
      <c r="R242" s="1416"/>
      <c r="S242" s="1416"/>
      <c r="T242" s="1416"/>
      <c r="U242" s="1416"/>
      <c r="V242" s="1416"/>
      <c r="W242" s="1416"/>
      <c r="X242" s="1416"/>
      <c r="Y242" s="1416"/>
      <c r="Z242" s="1416"/>
      <c r="AA242" s="1416"/>
      <c r="AB242" s="1416"/>
      <c r="AC242" s="1416"/>
      <c r="AD242" s="1416"/>
      <c r="AE242" s="1416"/>
      <c r="AF242" s="1413" t="s">
        <v>1159</v>
      </c>
      <c r="AG242" s="1413"/>
      <c r="AH242" s="1413"/>
      <c r="AI242" s="1413"/>
      <c r="AJ242" s="1413"/>
      <c r="AK242" s="1413"/>
      <c r="BO242" s="3"/>
      <c r="BP242" s="3"/>
      <c r="BQ242" s="3"/>
      <c r="BR242" s="3"/>
      <c r="BS242" s="3"/>
    </row>
    <row r="243" spans="1:71" ht="12.75">
      <c r="A243" s="1057"/>
      <c r="B243" s="3"/>
      <c r="C243" s="3"/>
      <c r="D243" s="3" t="s">
        <v>1137</v>
      </c>
      <c r="E243" s="3"/>
      <c r="F243" s="3"/>
      <c r="G243" s="3"/>
      <c r="H243" s="3"/>
      <c r="I243" s="3"/>
      <c r="J243" s="3"/>
      <c r="K243" s="3"/>
      <c r="L243" s="3"/>
      <c r="M243" s="1360" t="s">
        <v>1160</v>
      </c>
      <c r="N243" s="1360"/>
      <c r="O243" s="1360"/>
      <c r="P243" s="1360"/>
      <c r="Q243" s="1360"/>
      <c r="R243" s="1360"/>
      <c r="S243" s="1360"/>
      <c r="T243" s="1360"/>
      <c r="U243" s="1360"/>
      <c r="V243" s="1360"/>
      <c r="W243" s="1360"/>
      <c r="X243" s="1360"/>
      <c r="Y243" s="1360"/>
      <c r="Z243" s="1360"/>
      <c r="AA243" s="1360"/>
      <c r="AB243" s="1360"/>
      <c r="AC243" s="1360"/>
      <c r="AD243" s="1360"/>
      <c r="AE243" s="1360"/>
      <c r="AF243" s="3" t="s">
        <v>1161</v>
      </c>
      <c r="AL243" s="3"/>
      <c r="AM243" s="3"/>
      <c r="AN243" s="3"/>
      <c r="AO243" s="3"/>
      <c r="AP243" s="3"/>
      <c r="AQ243" s="3"/>
      <c r="AR243" s="3"/>
      <c r="AS243" s="3"/>
      <c r="AT243" s="3"/>
      <c r="AU243" s="3"/>
      <c r="AV243" s="3"/>
      <c r="AW243" s="3"/>
      <c r="AX243" s="3"/>
      <c r="AY243" s="3"/>
      <c r="BG243">
        <f>SUM(BG226:BG241)</f>
        <v>2</v>
      </c>
    </row>
    <row r="244" spans="1:71" ht="12.75">
      <c r="A244" s="1057"/>
      <c r="B244" s="3"/>
      <c r="C244" s="3"/>
      <c r="D244" s="3" t="s">
        <v>1012</v>
      </c>
      <c r="E244" s="3"/>
      <c r="M244" s="1360" t="s">
        <v>1020</v>
      </c>
      <c r="N244" s="1360"/>
      <c r="O244" s="1360"/>
      <c r="P244" s="1360"/>
      <c r="Q244" s="1360"/>
      <c r="R244" s="1360"/>
      <c r="S244" s="1360"/>
      <c r="T244" s="1360"/>
      <c r="V244" s="998" t="s">
        <v>1139</v>
      </c>
      <c r="W244" s="1224" t="s">
        <v>1140</v>
      </c>
      <c r="X244" s="1224"/>
      <c r="Y244" s="3" t="s">
        <v>1016</v>
      </c>
      <c r="AC244" s="1404">
        <v>95816</v>
      </c>
      <c r="AD244" s="1404"/>
      <c r="AE244" s="1404"/>
      <c r="AF244" s="3" t="s">
        <v>1162</v>
      </c>
      <c r="BB244" t="s">
        <v>294</v>
      </c>
      <c r="BG244">
        <v>1</v>
      </c>
      <c r="BH244" t="s">
        <v>1163</v>
      </c>
    </row>
    <row r="245" spans="1:71" ht="12.75">
      <c r="A245" s="1057"/>
      <c r="B245" s="3"/>
      <c r="C245" s="3"/>
      <c r="D245" s="3" t="s">
        <v>1141</v>
      </c>
      <c r="E245" s="3"/>
      <c r="F245" s="3"/>
      <c r="G245" s="3"/>
      <c r="H245" s="3"/>
      <c r="I245" s="3"/>
      <c r="J245" s="3"/>
      <c r="K245" s="3"/>
      <c r="L245" s="1057"/>
      <c r="M245" s="1360" t="s">
        <v>1164</v>
      </c>
      <c r="N245" s="1360"/>
      <c r="O245" s="1360"/>
      <c r="P245" s="1360"/>
      <c r="Q245" s="1360"/>
      <c r="R245" s="1360"/>
      <c r="S245" s="1360"/>
      <c r="T245" s="1360"/>
      <c r="U245" s="1360"/>
      <c r="V245" s="1360"/>
      <c r="W245" s="1360"/>
      <c r="X245" s="1360"/>
      <c r="Y245" s="1360"/>
      <c r="Z245" s="1360"/>
      <c r="AA245" s="1360"/>
      <c r="AB245" s="1360"/>
      <c r="AC245" s="1360"/>
      <c r="AD245" s="1360"/>
      <c r="AE245" s="1360"/>
      <c r="AH245" s="1299">
        <v>0.01</v>
      </c>
      <c r="AI245" s="1299"/>
      <c r="AJ245" s="1299"/>
      <c r="AK245" s="1299"/>
      <c r="AL245" s="3"/>
      <c r="AM245" s="3"/>
      <c r="AN245" s="3"/>
      <c r="AO245" s="3"/>
      <c r="AP245" s="3"/>
      <c r="AQ245" s="3"/>
      <c r="AR245" s="3"/>
      <c r="AS245" s="3"/>
      <c r="AT245" s="3"/>
      <c r="AU245" s="3"/>
      <c r="AV245" s="3"/>
      <c r="AW245" s="3"/>
      <c r="AX245" s="3"/>
      <c r="AY245" s="3"/>
      <c r="BB245" s="3" t="s">
        <v>1165</v>
      </c>
      <c r="BG245">
        <v>2</v>
      </c>
      <c r="BH245" t="s">
        <v>1120</v>
      </c>
      <c r="BO245" s="1059" t="str">
        <f>VLOOKUP(BG243,BG244:BH246,2,FALSE)</f>
        <v>Joint Venture</v>
      </c>
    </row>
    <row r="246" spans="1:71" ht="12.75">
      <c r="A246" s="1057"/>
      <c r="B246" s="3"/>
      <c r="C246" s="3"/>
      <c r="D246" s="3" t="s">
        <v>1143</v>
      </c>
      <c r="E246" s="3"/>
      <c r="F246" s="3"/>
      <c r="M246" s="1233" t="s">
        <v>1166</v>
      </c>
      <c r="N246" s="1233"/>
      <c r="O246" s="1233"/>
      <c r="P246" s="1233"/>
      <c r="Q246" s="1233"/>
      <c r="R246" s="1233"/>
      <c r="S246" s="3" t="s">
        <v>1145</v>
      </c>
      <c r="T246" s="3"/>
      <c r="U246" s="1224"/>
      <c r="V246" s="1224"/>
      <c r="W246" s="1224"/>
      <c r="X246" s="3" t="s">
        <v>1146</v>
      </c>
      <c r="Z246" s="1276"/>
      <c r="AA246" s="1276"/>
      <c r="AB246" s="1276"/>
      <c r="AC246" s="1276"/>
      <c r="AD246" s="1276"/>
      <c r="AE246" s="1276"/>
      <c r="BB246" s="3" t="s">
        <v>1167</v>
      </c>
      <c r="BG246">
        <v>3</v>
      </c>
      <c r="BH246" t="s">
        <v>1168</v>
      </c>
      <c r="BN246" s="3"/>
    </row>
    <row r="247" spans="1:71" ht="12.75">
      <c r="A247" s="1057"/>
      <c r="B247" s="3"/>
      <c r="C247" s="3"/>
      <c r="D247" s="3" t="s">
        <v>1147</v>
      </c>
      <c r="E247" s="3"/>
      <c r="F247" s="3"/>
      <c r="M247" s="1360" t="s">
        <v>1169</v>
      </c>
      <c r="N247" s="1360"/>
      <c r="O247" s="1360"/>
      <c r="P247" s="1360"/>
      <c r="Q247" s="1360"/>
      <c r="R247" s="1360"/>
      <c r="S247" s="1360"/>
      <c r="T247" s="1360"/>
      <c r="U247" s="1360"/>
      <c r="V247" s="1360"/>
      <c r="W247" s="1360"/>
      <c r="X247" s="1360"/>
      <c r="Y247" s="1360"/>
      <c r="Z247" s="1360"/>
      <c r="AA247" s="1360"/>
      <c r="AB247" s="1360"/>
      <c r="AC247" s="1360"/>
      <c r="AD247" s="1360"/>
      <c r="AE247" s="1360"/>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1170</v>
      </c>
      <c r="E248" s="3"/>
      <c r="F248" s="3"/>
      <c r="G248" s="3"/>
      <c r="H248" s="3"/>
      <c r="I248" s="3"/>
      <c r="J248" s="3"/>
      <c r="K248" s="3"/>
      <c r="L248" s="3"/>
      <c r="M248" s="1298" t="s">
        <v>1163</v>
      </c>
      <c r="N248" s="1298"/>
      <c r="O248" s="1298"/>
      <c r="P248" s="1298"/>
      <c r="Q248" s="1298"/>
      <c r="R248" s="1298"/>
      <c r="S248" s="1298"/>
      <c r="T248" s="1298"/>
      <c r="U248" s="143" t="s">
        <v>1151</v>
      </c>
      <c r="V248" s="143"/>
      <c r="W248" s="143"/>
      <c r="X248" s="143"/>
      <c r="Y248" s="143"/>
      <c r="Z248" s="143"/>
      <c r="AA248" s="1412"/>
      <c r="AB248" s="1412"/>
      <c r="AC248" s="1412"/>
      <c r="AD248" s="1412"/>
      <c r="AE248" s="1412"/>
      <c r="AF248" s="1412"/>
      <c r="AG248" s="1412"/>
      <c r="AH248" s="1412"/>
      <c r="AI248" s="1412"/>
      <c r="AJ248" s="1412"/>
      <c r="AK248" s="1412"/>
      <c r="BN248" s="3"/>
    </row>
    <row r="249" spans="1:71" ht="12.75">
      <c r="A249" s="1057"/>
      <c r="B249" s="3"/>
      <c r="C249" s="3"/>
      <c r="D249" s="3"/>
      <c r="E249" s="3"/>
      <c r="F249" s="3"/>
      <c r="G249" s="3"/>
      <c r="H249" s="3"/>
      <c r="I249" s="3"/>
      <c r="J249" s="3"/>
      <c r="K249" s="3"/>
      <c r="L249" s="3"/>
      <c r="AG249" s="3"/>
      <c r="AH249" s="3"/>
      <c r="AI249" s="3"/>
      <c r="AJ249" s="3"/>
      <c r="BN249" s="3"/>
    </row>
    <row r="250" spans="1:71" ht="12.75">
      <c r="A250" s="2"/>
      <c r="B250" s="3"/>
      <c r="C250" s="49" t="s">
        <v>1171</v>
      </c>
      <c r="D250" s="3" t="s">
        <v>1172</v>
      </c>
      <c r="E250" s="3"/>
      <c r="F250" s="3"/>
      <c r="G250" s="3"/>
      <c r="H250" s="3"/>
      <c r="I250" s="3"/>
      <c r="J250" s="3"/>
      <c r="K250" s="3"/>
      <c r="L250" s="3"/>
      <c r="M250" s="1416" t="s">
        <v>1173</v>
      </c>
      <c r="N250" s="1416"/>
      <c r="O250" s="1416"/>
      <c r="P250" s="1416"/>
      <c r="Q250" s="1416"/>
      <c r="R250" s="1416"/>
      <c r="S250" s="1416"/>
      <c r="T250" s="1416"/>
      <c r="U250" s="1416"/>
      <c r="V250" s="1416"/>
      <c r="W250" s="1416"/>
      <c r="X250" s="1416"/>
      <c r="Y250" s="1416"/>
      <c r="Z250" s="1416"/>
      <c r="AA250" s="1416"/>
      <c r="AB250" s="1416"/>
      <c r="AC250" s="1416"/>
      <c r="AD250" s="1416"/>
      <c r="AE250" s="1416"/>
      <c r="AF250" s="1413" t="s">
        <v>1174</v>
      </c>
      <c r="AG250" s="1413"/>
      <c r="AH250" s="1413"/>
      <c r="AI250" s="1413"/>
      <c r="AJ250" s="1413"/>
      <c r="AK250" s="1413"/>
      <c r="BN250" s="3"/>
    </row>
    <row r="251" spans="1:71" ht="12.75">
      <c r="A251" s="1057"/>
      <c r="B251" s="3"/>
      <c r="C251" s="3"/>
      <c r="D251" s="3" t="s">
        <v>1137</v>
      </c>
      <c r="E251" s="3"/>
      <c r="F251" s="3"/>
      <c r="G251" s="3"/>
      <c r="H251" s="3"/>
      <c r="I251" s="3"/>
      <c r="J251" s="3"/>
      <c r="K251" s="3"/>
      <c r="L251" s="3"/>
      <c r="M251" s="1360" t="s">
        <v>1138</v>
      </c>
      <c r="N251" s="1360"/>
      <c r="O251" s="1360"/>
      <c r="P251" s="1360"/>
      <c r="Q251" s="1360"/>
      <c r="R251" s="1360"/>
      <c r="S251" s="1360"/>
      <c r="T251" s="1360"/>
      <c r="U251" s="1360"/>
      <c r="V251" s="1360"/>
      <c r="W251" s="1360"/>
      <c r="X251" s="1360"/>
      <c r="Y251" s="1360"/>
      <c r="Z251" s="1360"/>
      <c r="AA251" s="1360"/>
      <c r="AB251" s="1360"/>
      <c r="AC251" s="1360"/>
      <c r="AD251" s="1360"/>
      <c r="AE251" s="1360"/>
      <c r="AF251" s="3" t="s">
        <v>1161</v>
      </c>
      <c r="AL251" s="3"/>
      <c r="AM251" s="3"/>
      <c r="AN251" s="3"/>
      <c r="AO251" s="3"/>
      <c r="AP251" s="3"/>
      <c r="AQ251" s="3"/>
      <c r="AR251" s="3"/>
      <c r="AS251" s="3"/>
      <c r="AT251" s="3"/>
      <c r="AU251" s="3"/>
      <c r="AV251" s="3"/>
      <c r="AW251" s="3"/>
      <c r="AX251" s="3"/>
      <c r="AY251" s="3"/>
      <c r="BN251" s="3"/>
    </row>
    <row r="252" spans="1:71" ht="12.75">
      <c r="A252" s="1057"/>
      <c r="B252" s="3"/>
      <c r="C252" s="3"/>
      <c r="D252" s="3" t="s">
        <v>1012</v>
      </c>
      <c r="E252" s="3"/>
      <c r="M252" s="1360" t="s">
        <v>905</v>
      </c>
      <c r="N252" s="1360"/>
      <c r="O252" s="1360"/>
      <c r="P252" s="1360"/>
      <c r="Q252" s="1360"/>
      <c r="R252" s="1360"/>
      <c r="S252" s="1360"/>
      <c r="T252" s="1360"/>
      <c r="V252" s="998" t="s">
        <v>1139</v>
      </c>
      <c r="W252" s="1224" t="s">
        <v>1140</v>
      </c>
      <c r="X252" s="1224"/>
      <c r="Y252" s="3" t="s">
        <v>1016</v>
      </c>
      <c r="AC252" s="1404">
        <v>92101</v>
      </c>
      <c r="AD252" s="1404"/>
      <c r="AE252" s="1404"/>
      <c r="AF252" s="3" t="s">
        <v>1162</v>
      </c>
      <c r="BN252" s="3"/>
    </row>
    <row r="253" spans="1:71" ht="12.75">
      <c r="A253" s="1057"/>
      <c r="B253" s="3"/>
      <c r="C253" s="3"/>
      <c r="D253" s="3" t="s">
        <v>1141</v>
      </c>
      <c r="E253" s="3"/>
      <c r="F253" s="3"/>
      <c r="G253" s="3"/>
      <c r="H253" s="3"/>
      <c r="I253" s="3"/>
      <c r="J253" s="3"/>
      <c r="K253" s="3"/>
      <c r="L253" s="1057"/>
      <c r="M253" s="1360" t="s">
        <v>1142</v>
      </c>
      <c r="N253" s="1360"/>
      <c r="O253" s="1360"/>
      <c r="P253" s="1360"/>
      <c r="Q253" s="1360"/>
      <c r="R253" s="1360"/>
      <c r="S253" s="1360"/>
      <c r="T253" s="1360"/>
      <c r="U253" s="1360"/>
      <c r="V253" s="1360"/>
      <c r="W253" s="1360"/>
      <c r="X253" s="1360"/>
      <c r="Y253" s="1360"/>
      <c r="Z253" s="1360"/>
      <c r="AA253" s="1360"/>
      <c r="AB253" s="1360"/>
      <c r="AC253" s="1360"/>
      <c r="AD253" s="1360"/>
      <c r="AE253" s="1360"/>
      <c r="AH253" s="1299">
        <v>0.01</v>
      </c>
      <c r="AI253" s="1299"/>
      <c r="AJ253" s="1299"/>
      <c r="AK253" s="1299"/>
      <c r="AL253" s="3"/>
      <c r="AM253" s="3"/>
      <c r="AN253" s="3"/>
      <c r="AO253" s="3"/>
      <c r="AP253" s="3"/>
      <c r="AQ253" s="3"/>
      <c r="AR253" s="3"/>
      <c r="AS253" s="3"/>
      <c r="AT253" s="3"/>
      <c r="AU253" s="3"/>
      <c r="AV253" s="3"/>
      <c r="AW253" s="3"/>
      <c r="AX253" s="3"/>
      <c r="AY253" s="3"/>
      <c r="BN253" s="3"/>
    </row>
    <row r="254" spans="1:71" ht="12.75">
      <c r="A254" s="1057"/>
      <c r="B254" s="3"/>
      <c r="C254" s="3"/>
      <c r="D254" s="3" t="s">
        <v>1143</v>
      </c>
      <c r="E254" s="3"/>
      <c r="F254" s="3"/>
      <c r="M254" s="1233" t="s">
        <v>1144</v>
      </c>
      <c r="N254" s="1233"/>
      <c r="O254" s="1233"/>
      <c r="P254" s="1233"/>
      <c r="Q254" s="1233"/>
      <c r="R254" s="1233"/>
      <c r="S254" s="3" t="s">
        <v>1145</v>
      </c>
      <c r="T254" s="3"/>
      <c r="U254" s="1224"/>
      <c r="V254" s="1224"/>
      <c r="W254" s="1224"/>
      <c r="X254" s="3" t="s">
        <v>1146</v>
      </c>
      <c r="Z254" s="1276"/>
      <c r="AA254" s="1276"/>
      <c r="AB254" s="1276"/>
      <c r="AC254" s="1276"/>
      <c r="AD254" s="1276"/>
      <c r="AE254" s="1276"/>
    </row>
    <row r="255" spans="1:71" ht="12.75">
      <c r="A255" s="1057"/>
      <c r="B255" s="3"/>
      <c r="C255" s="3"/>
      <c r="D255" s="3" t="s">
        <v>1147</v>
      </c>
      <c r="E255" s="3"/>
      <c r="F255" s="3"/>
      <c r="M255" s="1360" t="s">
        <v>1148</v>
      </c>
      <c r="N255" s="1360"/>
      <c r="O255" s="1360"/>
      <c r="P255" s="1360"/>
      <c r="Q255" s="1360"/>
      <c r="R255" s="1360"/>
      <c r="S255" s="1360"/>
      <c r="T255" s="1360"/>
      <c r="U255" s="1360"/>
      <c r="V255" s="1360"/>
      <c r="W255" s="1360"/>
      <c r="X255" s="1360"/>
      <c r="Y255" s="1360"/>
      <c r="Z255" s="1360"/>
      <c r="AA255" s="1360"/>
      <c r="AB255" s="1360"/>
      <c r="AC255" s="1360"/>
      <c r="AD255" s="1360"/>
      <c r="AE255" s="1360"/>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1170</v>
      </c>
      <c r="E256" s="3"/>
      <c r="F256" s="3"/>
      <c r="G256" s="3"/>
      <c r="H256" s="3"/>
      <c r="I256" s="3"/>
      <c r="J256" s="3"/>
      <c r="K256" s="3"/>
      <c r="L256" s="3"/>
      <c r="M256" s="1298" t="s">
        <v>1168</v>
      </c>
      <c r="N256" s="1298"/>
      <c r="O256" s="1298"/>
      <c r="P256" s="1298"/>
      <c r="Q256" s="1298"/>
      <c r="R256" s="1298"/>
      <c r="S256" s="1298"/>
      <c r="T256" s="1298"/>
      <c r="U256" s="143" t="s">
        <v>1151</v>
      </c>
      <c r="V256" s="143"/>
      <c r="W256" s="143"/>
      <c r="X256" s="143"/>
      <c r="Y256" s="143"/>
      <c r="Z256" s="143"/>
      <c r="AA256" s="1360" t="s">
        <v>1175</v>
      </c>
      <c r="AB256" s="1360"/>
      <c r="AC256" s="1360"/>
      <c r="AD256" s="1360"/>
      <c r="AE256" s="1360"/>
      <c r="AF256" s="1360"/>
      <c r="AG256" s="1360"/>
      <c r="AH256" s="1360"/>
      <c r="AI256" s="1360"/>
      <c r="AJ256" s="1360"/>
      <c r="AK256" s="136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1176</v>
      </c>
      <c r="D258" s="3" t="s">
        <v>1157</v>
      </c>
      <c r="E258" s="3"/>
      <c r="F258" s="3"/>
      <c r="G258" s="3"/>
      <c r="H258" s="3"/>
      <c r="I258" s="3"/>
      <c r="J258" s="3"/>
      <c r="K258" s="3"/>
      <c r="L258" s="3"/>
      <c r="M258" s="1413"/>
      <c r="N258" s="1413"/>
      <c r="O258" s="1413"/>
      <c r="P258" s="1413"/>
      <c r="Q258" s="1413"/>
      <c r="R258" s="1413"/>
      <c r="S258" s="1413"/>
      <c r="T258" s="1413"/>
      <c r="U258" s="1413"/>
      <c r="V258" s="1413"/>
      <c r="W258" s="1413"/>
      <c r="X258" s="1413"/>
      <c r="Y258" s="1413"/>
      <c r="Z258" s="1413"/>
      <c r="AA258" s="1413"/>
      <c r="AB258" s="1413"/>
      <c r="AC258" s="1413"/>
      <c r="AD258" s="1413"/>
      <c r="AE258" s="1413"/>
      <c r="AF258" s="1413" t="s">
        <v>294</v>
      </c>
      <c r="AG258" s="1413"/>
      <c r="AH258" s="1413"/>
      <c r="AI258" s="1413"/>
      <c r="AJ258" s="1413"/>
      <c r="AK258" s="1413"/>
      <c r="AL258" s="3"/>
      <c r="AM258" s="3"/>
      <c r="AN258" s="3"/>
      <c r="AO258" s="3"/>
      <c r="AP258" s="3"/>
      <c r="AQ258" s="3"/>
      <c r="AR258" s="3"/>
      <c r="AS258" s="3"/>
      <c r="AT258" s="3"/>
      <c r="AU258" s="3"/>
      <c r="AV258" s="3"/>
      <c r="AW258" s="3"/>
      <c r="AX258" s="3"/>
      <c r="AY258" s="3"/>
      <c r="BN258" s="3"/>
    </row>
    <row r="259" spans="1:66" ht="12.75" customHeight="1">
      <c r="A259" s="13"/>
      <c r="B259" s="3"/>
      <c r="C259" s="3"/>
      <c r="D259" s="3" t="s">
        <v>1137</v>
      </c>
      <c r="E259" s="3"/>
      <c r="F259" s="3"/>
      <c r="G259" s="3"/>
      <c r="H259" s="3"/>
      <c r="I259" s="3"/>
      <c r="J259" s="3"/>
      <c r="K259" s="3"/>
      <c r="L259" s="3"/>
      <c r="M259" s="1404"/>
      <c r="N259" s="1404"/>
      <c r="O259" s="1404"/>
      <c r="P259" s="1404"/>
      <c r="Q259" s="1404"/>
      <c r="R259" s="1404"/>
      <c r="S259" s="1404"/>
      <c r="T259" s="1404"/>
      <c r="U259" s="1404"/>
      <c r="V259" s="1404"/>
      <c r="W259" s="1404"/>
      <c r="X259" s="1404"/>
      <c r="Y259" s="1404"/>
      <c r="Z259" s="1404"/>
      <c r="AA259" s="1404"/>
      <c r="AB259" s="1404"/>
      <c r="AC259" s="1404"/>
      <c r="AD259" s="1404"/>
      <c r="AE259" s="1404"/>
      <c r="AF259" s="3" t="s">
        <v>1161</v>
      </c>
      <c r="AL259" s="3"/>
      <c r="AM259" s="3"/>
      <c r="AN259" s="3"/>
      <c r="AO259" s="3"/>
      <c r="AP259" s="3"/>
      <c r="AQ259" s="3"/>
      <c r="AR259" s="3"/>
      <c r="AS259" s="3"/>
      <c r="AT259" s="3"/>
      <c r="AU259" s="3"/>
      <c r="AV259" s="3"/>
      <c r="AW259" s="3"/>
      <c r="AX259" s="3"/>
      <c r="AY259" s="3"/>
      <c r="BN259" s="3"/>
    </row>
    <row r="260" spans="1:66" ht="12.75" customHeight="1">
      <c r="A260" s="13"/>
      <c r="B260" s="3"/>
      <c r="C260" s="3"/>
      <c r="D260" s="3" t="s">
        <v>1012</v>
      </c>
      <c r="E260" s="3"/>
      <c r="M260" s="1404"/>
      <c r="N260" s="1404"/>
      <c r="O260" s="1404"/>
      <c r="P260" s="1404"/>
      <c r="Q260" s="1404"/>
      <c r="R260" s="1404"/>
      <c r="S260" s="1404"/>
      <c r="T260" s="1404"/>
      <c r="V260" s="998" t="s">
        <v>1139</v>
      </c>
      <c r="W260" s="1224"/>
      <c r="X260" s="1224"/>
      <c r="Y260" s="3" t="s">
        <v>1016</v>
      </c>
      <c r="AC260" s="1404"/>
      <c r="AD260" s="1404"/>
      <c r="AE260" s="1404"/>
      <c r="AF260" s="3" t="s">
        <v>1162</v>
      </c>
      <c r="AL260" s="3"/>
      <c r="AM260" s="3"/>
      <c r="AN260" s="3"/>
      <c r="AO260" s="3"/>
      <c r="AP260" s="3"/>
      <c r="AQ260" s="3"/>
      <c r="AR260" s="3"/>
      <c r="AS260" s="3"/>
      <c r="AT260" s="3"/>
      <c r="AU260" s="3"/>
      <c r="AV260" s="3"/>
      <c r="AW260" s="3"/>
      <c r="AX260" s="3"/>
      <c r="AY260" s="3"/>
      <c r="BN260" s="3"/>
    </row>
    <row r="261" spans="1:66" ht="12.75">
      <c r="A261" s="13"/>
      <c r="B261" s="3"/>
      <c r="C261" s="3"/>
      <c r="D261" s="3" t="s">
        <v>1141</v>
      </c>
      <c r="E261" s="3"/>
      <c r="F261" s="3"/>
      <c r="G261" s="3"/>
      <c r="H261" s="3"/>
      <c r="I261" s="3"/>
      <c r="J261" s="3"/>
      <c r="K261" s="3"/>
      <c r="L261" s="1057"/>
      <c r="M261" s="1404"/>
      <c r="N261" s="1404"/>
      <c r="O261" s="1404"/>
      <c r="P261" s="1404"/>
      <c r="Q261" s="1404"/>
      <c r="R261" s="1404"/>
      <c r="S261" s="1404"/>
      <c r="T261" s="1404"/>
      <c r="U261" s="1404"/>
      <c r="V261" s="1404"/>
      <c r="W261" s="1404"/>
      <c r="X261" s="1404"/>
      <c r="Y261" s="1404"/>
      <c r="Z261" s="1404"/>
      <c r="AA261" s="1404"/>
      <c r="AB261" s="1404"/>
      <c r="AC261" s="1404"/>
      <c r="AD261" s="1404"/>
      <c r="AE261" s="1404"/>
      <c r="AH261" s="1299"/>
      <c r="AI261" s="1299"/>
      <c r="AJ261" s="1299"/>
      <c r="AK261" s="1299"/>
      <c r="AL261" s="3"/>
      <c r="AM261" s="3"/>
      <c r="AN261" s="3"/>
      <c r="AO261" s="3"/>
      <c r="AP261" s="3"/>
      <c r="AQ261" s="3"/>
      <c r="AR261" s="3"/>
      <c r="AS261" s="3"/>
      <c r="AT261" s="3"/>
      <c r="AU261" s="3"/>
      <c r="AV261" s="3"/>
      <c r="AW261" s="3"/>
      <c r="AX261" s="3"/>
      <c r="AY261" s="3"/>
      <c r="BN261" s="3"/>
    </row>
    <row r="262" spans="1:66" ht="12.75">
      <c r="A262" s="13"/>
      <c r="B262" s="3"/>
      <c r="C262" s="3"/>
      <c r="D262" s="3" t="s">
        <v>1143</v>
      </c>
      <c r="E262" s="3"/>
      <c r="F262" s="3"/>
      <c r="M262" s="1276"/>
      <c r="N262" s="1276"/>
      <c r="O262" s="1276"/>
      <c r="P262" s="1276"/>
      <c r="Q262" s="1276"/>
      <c r="R262" s="1276"/>
      <c r="S262" s="3" t="s">
        <v>1145</v>
      </c>
      <c r="T262" s="3"/>
      <c r="U262" s="1224"/>
      <c r="V262" s="1224"/>
      <c r="W262" s="1224"/>
      <c r="X262" s="3" t="s">
        <v>1146</v>
      </c>
      <c r="Z262" s="1276"/>
      <c r="AA262" s="1276"/>
      <c r="AB262" s="1276"/>
      <c r="AC262" s="1276"/>
      <c r="AD262" s="1276"/>
      <c r="AE262" s="1276"/>
      <c r="AL262" s="3"/>
      <c r="AM262" s="3"/>
      <c r="AN262" s="3"/>
      <c r="AO262" s="3"/>
      <c r="AP262" s="3"/>
      <c r="AQ262" s="3"/>
      <c r="AR262" s="3"/>
      <c r="AS262" s="3"/>
      <c r="AT262" s="3"/>
      <c r="AU262" s="3"/>
      <c r="AV262" s="3"/>
      <c r="AW262" s="3"/>
      <c r="AX262" s="3"/>
      <c r="AY262" s="3"/>
      <c r="BN262" s="3"/>
    </row>
    <row r="263" spans="1:66" ht="12.75">
      <c r="A263" s="13"/>
      <c r="B263" s="3"/>
      <c r="C263" s="3"/>
      <c r="D263" s="3" t="s">
        <v>1147</v>
      </c>
      <c r="E263" s="3"/>
      <c r="F263" s="3"/>
      <c r="M263" s="1396"/>
      <c r="N263" s="1396"/>
      <c r="O263" s="1396"/>
      <c r="P263" s="1396"/>
      <c r="Q263" s="1396"/>
      <c r="R263" s="1396"/>
      <c r="S263" s="1396"/>
      <c r="T263" s="1396"/>
      <c r="U263" s="1396"/>
      <c r="V263" s="1396"/>
      <c r="W263" s="1396"/>
      <c r="X263" s="1396"/>
      <c r="Y263" s="1396"/>
      <c r="Z263" s="1396"/>
      <c r="AA263" s="1407"/>
      <c r="AB263" s="1407"/>
      <c r="AC263" s="1407"/>
      <c r="AD263" s="1407"/>
      <c r="AE263" s="1407"/>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1170</v>
      </c>
      <c r="E264" s="3"/>
      <c r="F264" s="3"/>
      <c r="G264" s="3"/>
      <c r="H264" s="3"/>
      <c r="I264" s="3"/>
      <c r="J264" s="3"/>
      <c r="K264" s="3"/>
      <c r="L264" s="3"/>
      <c r="M264" s="1298" t="s">
        <v>294</v>
      </c>
      <c r="N264" s="1298"/>
      <c r="O264" s="1298"/>
      <c r="P264" s="1298"/>
      <c r="Q264" s="1298"/>
      <c r="R264" s="1298"/>
      <c r="S264" s="1298"/>
      <c r="T264" s="1298"/>
      <c r="U264" s="143" t="s">
        <v>1151</v>
      </c>
      <c r="V264" s="143"/>
      <c r="W264" s="143"/>
      <c r="X264" s="143"/>
      <c r="Y264" s="143"/>
      <c r="Z264" s="143"/>
      <c r="AA264" s="1420"/>
      <c r="AB264" s="1420"/>
      <c r="AC264" s="1420"/>
      <c r="AD264" s="1420"/>
      <c r="AE264" s="1420"/>
      <c r="AF264" s="1420"/>
      <c r="AG264" s="1420"/>
      <c r="AH264" s="1420"/>
      <c r="AI264" s="1420"/>
      <c r="AJ264" s="1420"/>
      <c r="AK264" s="1420"/>
      <c r="AL264" s="3"/>
      <c r="AM264" s="3"/>
      <c r="AN264" s="3"/>
      <c r="AO264" s="3"/>
      <c r="AP264" s="3"/>
      <c r="AQ264" s="3"/>
      <c r="AR264" s="3"/>
      <c r="AS264" s="3"/>
      <c r="AT264" s="3"/>
      <c r="AU264" s="3"/>
      <c r="AV264" s="3"/>
      <c r="AW264" s="3"/>
      <c r="AX264" s="3"/>
      <c r="AY264" s="3"/>
      <c r="BN264" s="3"/>
    </row>
    <row r="265" spans="1:66" ht="12.75">
      <c r="A265" s="105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1098</v>
      </c>
      <c r="B266" s="3"/>
      <c r="C266" s="2" t="s">
        <v>1177</v>
      </c>
      <c r="D266" s="3"/>
      <c r="E266" s="3"/>
      <c r="F266" s="3"/>
      <c r="G266" s="3"/>
      <c r="H266" s="3"/>
      <c r="I266" s="3"/>
      <c r="J266" s="3"/>
      <c r="K266" s="3"/>
      <c r="L266" s="3"/>
      <c r="M266" s="85"/>
      <c r="N266" s="85"/>
      <c r="O266" s="85"/>
      <c r="P266" s="85"/>
      <c r="Q266" s="85"/>
      <c r="T266" s="1415" t="str">
        <f>BO245</f>
        <v>Joint Venture</v>
      </c>
      <c r="U266" s="1415"/>
      <c r="V266" s="1415"/>
      <c r="W266" s="1415"/>
      <c r="X266" s="1415"/>
      <c r="Z266" s="236" t="s">
        <v>1178</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1179</v>
      </c>
      <c r="AF267" s="3"/>
      <c r="AG267" s="3"/>
      <c r="AH267" s="3"/>
      <c r="AI267" s="3"/>
      <c r="AJ267" s="3"/>
      <c r="AL267" s="57"/>
      <c r="BN267" s="3"/>
    </row>
    <row r="268" spans="1:66" ht="12.75">
      <c r="A268" s="2" t="s">
        <v>1121</v>
      </c>
      <c r="B268" s="3"/>
      <c r="C268" s="2" t="s">
        <v>123</v>
      </c>
      <c r="D268" s="3"/>
      <c r="E268" s="3"/>
      <c r="F268" s="3"/>
      <c r="G268" s="3"/>
      <c r="H268" s="3"/>
      <c r="I268" s="3"/>
      <c r="J268" s="3"/>
      <c r="K268" s="3"/>
      <c r="L268" s="3"/>
      <c r="M268" s="3"/>
      <c r="N268" s="3"/>
      <c r="O268" s="3"/>
      <c r="P268" s="3"/>
      <c r="Q268" s="3"/>
      <c r="R268" s="3"/>
      <c r="S268" s="3"/>
      <c r="T268" s="3"/>
      <c r="U268" s="3"/>
      <c r="V268" s="3"/>
      <c r="W268" s="3"/>
      <c r="Z268" s="240" t="s">
        <v>1180</v>
      </c>
      <c r="AA268" s="41"/>
      <c r="AB268" s="41"/>
      <c r="AC268" s="41"/>
      <c r="AD268" s="41"/>
      <c r="AE268" s="41"/>
      <c r="AF268" s="856"/>
      <c r="AG268" s="856"/>
      <c r="AH268" s="856"/>
      <c r="AI268" s="856"/>
      <c r="AJ268" s="856"/>
      <c r="AK268" s="41"/>
      <c r="AL268" s="42"/>
      <c r="BN268" s="3"/>
    </row>
    <row r="269" spans="1:66" ht="12.75">
      <c r="A269" s="3"/>
      <c r="B269" s="29">
        <v>0</v>
      </c>
      <c r="D269" s="1404" t="s">
        <v>1165</v>
      </c>
      <c r="E269" s="1404"/>
      <c r="F269" s="1404"/>
      <c r="G269" s="1404"/>
      <c r="H269" s="1404"/>
      <c r="J269" t="s">
        <v>1181</v>
      </c>
      <c r="X269" s="1406"/>
      <c r="Y269" s="1406"/>
      <c r="Z269" s="1406"/>
      <c r="AA269" s="1406"/>
      <c r="AB269" s="1406"/>
      <c r="AC269" s="1406"/>
      <c r="BN269" s="3"/>
    </row>
    <row r="270" spans="1:66" ht="12.75">
      <c r="A270" s="3"/>
      <c r="B270" s="1057"/>
      <c r="D270" s="30" t="s">
        <v>1182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1183</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1184</v>
      </c>
      <c r="E273" s="3"/>
      <c r="F273" s="3"/>
      <c r="G273" s="3"/>
      <c r="H273" s="3"/>
      <c r="I273" s="3"/>
      <c r="J273" s="3"/>
      <c r="K273" s="3"/>
      <c r="L273" s="1416" t="s">
        <v>1173</v>
      </c>
      <c r="M273" s="1416"/>
      <c r="N273" s="1416"/>
      <c r="O273" s="1416"/>
      <c r="P273" s="1416"/>
      <c r="Q273" s="1416"/>
      <c r="R273" s="1416"/>
      <c r="S273" s="1416"/>
      <c r="T273" s="1416"/>
      <c r="U273" s="1416"/>
      <c r="V273" s="1416"/>
      <c r="W273" s="1416"/>
      <c r="X273" s="1416"/>
      <c r="Y273" s="1416"/>
      <c r="Z273" s="1416"/>
      <c r="AA273" s="1416"/>
      <c r="AB273" s="1416"/>
      <c r="AC273" s="1416"/>
      <c r="AD273" s="1416"/>
      <c r="AE273" s="1416"/>
      <c r="AF273" s="1416"/>
      <c r="AG273" s="1416"/>
      <c r="AH273" s="1416"/>
      <c r="AI273" s="1416"/>
      <c r="AJ273" s="1416"/>
      <c r="AK273" s="3"/>
      <c r="AL273" s="3"/>
      <c r="AM273" s="3"/>
      <c r="AN273" s="3"/>
      <c r="AO273" s="3"/>
      <c r="AP273" s="3"/>
      <c r="AQ273" s="3"/>
      <c r="AR273" s="3"/>
      <c r="AS273" s="3"/>
      <c r="AT273" s="3"/>
      <c r="AU273" s="3"/>
      <c r="AV273" s="3"/>
      <c r="AW273" s="3"/>
      <c r="AX273" s="3"/>
      <c r="AY273" s="3"/>
      <c r="BN273" s="3"/>
    </row>
    <row r="274" spans="1:66" ht="12.75">
      <c r="D274" s="3" t="s">
        <v>1137</v>
      </c>
      <c r="E274" s="3"/>
      <c r="F274" s="3"/>
      <c r="G274" s="3"/>
      <c r="H274" s="3"/>
      <c r="I274" s="3"/>
      <c r="J274" s="3"/>
      <c r="K274" s="3"/>
      <c r="L274" s="1360" t="s">
        <v>1138</v>
      </c>
      <c r="M274" s="1360"/>
      <c r="N274" s="1360"/>
      <c r="O274" s="1360"/>
      <c r="P274" s="1360"/>
      <c r="Q274" s="1360"/>
      <c r="R274" s="1360"/>
      <c r="S274" s="1360"/>
      <c r="T274" s="1360"/>
      <c r="U274" s="1360"/>
      <c r="V274" s="1360"/>
      <c r="W274" s="1360"/>
      <c r="X274" s="1360"/>
      <c r="Y274" s="1360"/>
      <c r="Z274" s="1360"/>
      <c r="AA274" s="1360"/>
      <c r="AB274" s="1360"/>
      <c r="AC274" s="1360"/>
      <c r="AD274" s="1360"/>
      <c r="AK274" s="3"/>
      <c r="AL274" s="3"/>
      <c r="AM274" s="3"/>
      <c r="AN274" s="3"/>
      <c r="AO274" s="3"/>
      <c r="AP274" s="3"/>
      <c r="AQ274" s="3"/>
      <c r="AR274" s="3"/>
      <c r="AS274" s="3"/>
      <c r="AT274" s="3"/>
      <c r="AU274" s="3"/>
      <c r="AV274" s="3"/>
      <c r="AW274" s="3"/>
      <c r="AX274" s="3"/>
      <c r="AY274" s="3"/>
      <c r="BN274" s="3"/>
    </row>
    <row r="275" spans="1:66" ht="12.75">
      <c r="D275" s="3" t="s">
        <v>1012</v>
      </c>
      <c r="E275" s="3"/>
      <c r="L275" s="1413" t="s">
        <v>905</v>
      </c>
      <c r="M275" s="1404"/>
      <c r="N275" s="1404"/>
      <c r="O275" s="1404"/>
      <c r="P275" s="1404"/>
      <c r="Q275" s="1404"/>
      <c r="R275" s="1404"/>
      <c r="S275" s="1404"/>
      <c r="U275" s="998" t="s">
        <v>1139</v>
      </c>
      <c r="V275" s="1224" t="s">
        <v>1140</v>
      </c>
      <c r="W275" s="1224"/>
      <c r="X275" s="3" t="s">
        <v>1016</v>
      </c>
      <c r="AB275" s="1404">
        <v>92101</v>
      </c>
      <c r="AC275" s="1404"/>
      <c r="AD275" s="1404"/>
      <c r="AK275" s="3"/>
      <c r="AL275" s="3"/>
      <c r="AM275" s="3"/>
      <c r="AN275" s="3"/>
      <c r="AO275" s="3"/>
      <c r="AP275" s="3"/>
      <c r="AQ275" s="3"/>
      <c r="AR275" s="3"/>
      <c r="AS275" s="3"/>
      <c r="AT275" s="3"/>
      <c r="AU275" s="3"/>
      <c r="AV275" s="3"/>
      <c r="AW275" s="3"/>
      <c r="AX275" s="3"/>
      <c r="AY275" s="3"/>
      <c r="BN275" s="3"/>
    </row>
    <row r="276" spans="1:66" ht="12.75" customHeight="1">
      <c r="D276" s="3" t="s">
        <v>1141</v>
      </c>
      <c r="E276" s="3"/>
      <c r="F276" s="3"/>
      <c r="G276" s="3"/>
      <c r="H276" s="3"/>
      <c r="I276" s="3"/>
      <c r="J276" s="3"/>
      <c r="K276" s="1057"/>
      <c r="L276" s="1360" t="s">
        <v>1142</v>
      </c>
      <c r="M276" s="1360"/>
      <c r="N276" s="1360"/>
      <c r="O276" s="1360"/>
      <c r="P276" s="1360"/>
      <c r="Q276" s="1360"/>
      <c r="R276" s="1360"/>
      <c r="S276" s="1360"/>
      <c r="T276" s="1360"/>
      <c r="U276" s="1360"/>
      <c r="V276" s="1360"/>
      <c r="W276" s="1360"/>
      <c r="X276" s="1360"/>
      <c r="Y276" s="1360"/>
      <c r="Z276" s="1360"/>
      <c r="AA276" s="1360"/>
      <c r="AB276" s="1360"/>
      <c r="AC276" s="1360"/>
      <c r="AD276" s="1360"/>
      <c r="AI276" s="3"/>
      <c r="AJ276" s="3"/>
      <c r="AK276" s="3"/>
      <c r="AL276" s="3"/>
      <c r="AM276" s="3"/>
      <c r="AN276" s="3"/>
      <c r="AO276" s="3"/>
      <c r="AP276" s="3"/>
      <c r="AQ276" s="3"/>
      <c r="AR276" s="3"/>
      <c r="AS276" s="3"/>
      <c r="AT276" s="3"/>
      <c r="AU276" s="3"/>
      <c r="AV276" s="3"/>
      <c r="AW276" s="3"/>
      <c r="AX276" s="3"/>
      <c r="AY276" s="3"/>
      <c r="BN276" s="3"/>
    </row>
    <row r="277" spans="1:66" ht="12.75">
      <c r="D277" s="3" t="s">
        <v>1143</v>
      </c>
      <c r="E277" s="3"/>
      <c r="F277" s="3"/>
      <c r="L277" s="1233" t="s">
        <v>1144</v>
      </c>
      <c r="M277" s="1233"/>
      <c r="N277" s="1233"/>
      <c r="O277" s="1233"/>
      <c r="P277" s="1233"/>
      <c r="Q277" s="1233"/>
      <c r="R277" s="3" t="s">
        <v>1145</v>
      </c>
      <c r="S277" s="3"/>
      <c r="T277" s="1224"/>
      <c r="U277" s="1224"/>
      <c r="V277" s="1224"/>
      <c r="W277" s="3" t="s">
        <v>1146</v>
      </c>
      <c r="Y277" s="1276"/>
      <c r="Z277" s="1276"/>
      <c r="AA277" s="1276"/>
      <c r="AB277" s="1276"/>
      <c r="AC277" s="1276"/>
      <c r="AD277" s="1276"/>
      <c r="BN277" s="3"/>
    </row>
    <row r="278" spans="1:66" ht="12.75">
      <c r="D278" s="3" t="s">
        <v>1147</v>
      </c>
      <c r="E278" s="3"/>
      <c r="F278" s="3"/>
      <c r="L278" s="1360" t="s">
        <v>1148</v>
      </c>
      <c r="M278" s="1360"/>
      <c r="N278" s="1360"/>
      <c r="O278" s="1360"/>
      <c r="P278" s="1360"/>
      <c r="Q278" s="1360"/>
      <c r="R278" s="1360"/>
      <c r="S278" s="1360"/>
      <c r="T278" s="1360"/>
      <c r="U278" s="1360"/>
      <c r="V278" s="1360"/>
      <c r="W278" s="1360"/>
      <c r="X278" s="1360"/>
      <c r="Y278" s="1360"/>
      <c r="Z278" s="1360"/>
      <c r="AA278" s="1360"/>
      <c r="AB278" s="1360"/>
      <c r="AC278" s="1360"/>
      <c r="AD278" s="1360"/>
      <c r="AF278" s="3"/>
      <c r="AG278" s="3"/>
      <c r="AH278" s="3"/>
      <c r="AI278" s="3"/>
      <c r="AJ278" s="3"/>
      <c r="BN278" s="3"/>
    </row>
    <row r="279" spans="1:66" ht="12.75">
      <c r="D279" s="3" t="s">
        <v>1185</v>
      </c>
      <c r="E279" s="3"/>
      <c r="F279" s="3"/>
      <c r="G279" s="3"/>
      <c r="H279" s="3"/>
      <c r="I279" s="3"/>
      <c r="L279" s="1224" t="s">
        <v>1186</v>
      </c>
      <c r="M279" s="1224"/>
      <c r="N279" s="1224"/>
      <c r="O279" s="1224"/>
      <c r="P279" s="1224"/>
      <c r="Q279" s="1224"/>
      <c r="R279" s="1224"/>
      <c r="S279" s="1224"/>
      <c r="T279" s="1224"/>
      <c r="U279" s="1224"/>
      <c r="V279" s="1224"/>
      <c r="W279" s="1224"/>
      <c r="X279" s="1224"/>
      <c r="Y279" s="1224"/>
      <c r="Z279" s="1224"/>
      <c r="AA279" s="1224"/>
      <c r="AB279" s="1224"/>
      <c r="AC279" s="1224"/>
      <c r="AD279" s="1224"/>
      <c r="AK279" s="3"/>
      <c r="AL279" s="3"/>
      <c r="AM279" s="3"/>
      <c r="AN279" s="3"/>
      <c r="AO279" s="3"/>
      <c r="AP279" s="3"/>
      <c r="AQ279" s="3"/>
      <c r="AR279" s="3"/>
      <c r="AS279" s="3"/>
      <c r="AT279" s="3"/>
      <c r="AU279" s="3"/>
      <c r="AV279" s="3"/>
      <c r="AW279" s="3"/>
      <c r="AX279" s="3"/>
      <c r="AY279" s="3"/>
      <c r="BN279" s="3"/>
    </row>
    <row r="280" spans="1:66" ht="12.75">
      <c r="L280" s="20" t="s">
        <v>1187</v>
      </c>
      <c r="BN280" s="3"/>
    </row>
    <row r="281" spans="1:66" ht="12.75">
      <c r="A281" s="1265" t="s">
        <v>1188</v>
      </c>
      <c r="B281" s="1265"/>
      <c r="C281" s="1265"/>
      <c r="D281" s="1265"/>
      <c r="E281" s="1265"/>
      <c r="F281" s="1265"/>
      <c r="G281" s="1265"/>
      <c r="H281" s="1265"/>
      <c r="I281" s="1265"/>
      <c r="J281" s="1265"/>
      <c r="K281" s="1265"/>
      <c r="L281" s="1265"/>
      <c r="M281" s="1265"/>
      <c r="N281" s="1265"/>
      <c r="O281" s="1265"/>
      <c r="P281" s="1265"/>
      <c r="Q281" s="1265"/>
      <c r="R281" s="1265"/>
      <c r="S281" s="1265"/>
      <c r="T281" s="1265"/>
      <c r="U281" s="1265"/>
      <c r="V281" s="1265"/>
      <c r="W281" s="1265"/>
      <c r="X281" s="1265"/>
      <c r="Y281" s="1265"/>
      <c r="Z281" s="1265"/>
      <c r="AA281" s="1265"/>
      <c r="AB281" s="1265"/>
      <c r="AC281" s="1265"/>
      <c r="AD281" s="1265"/>
      <c r="AE281" s="1265"/>
      <c r="AF281" s="1265"/>
      <c r="AG281" s="1265"/>
      <c r="AH281" s="1265"/>
      <c r="AI281" s="1265"/>
      <c r="AJ281" s="1265"/>
      <c r="AK281" s="1265"/>
      <c r="AL281" s="1265"/>
      <c r="AM281" s="71"/>
      <c r="AN281" s="71"/>
      <c r="AO281" s="71"/>
      <c r="AP281" s="71"/>
      <c r="AQ281" s="71"/>
      <c r="AR281" s="71"/>
      <c r="AS281" s="71"/>
      <c r="AT281" s="71"/>
      <c r="AU281" s="71"/>
      <c r="AV281" s="71"/>
      <c r="AW281" s="71"/>
      <c r="AX281" s="71"/>
      <c r="AY281" s="71"/>
      <c r="BN281" s="3"/>
    </row>
    <row r="282" spans="1:66" ht="13.5" thickBot="1">
      <c r="A282" s="1266"/>
      <c r="B282" s="1266"/>
      <c r="C282" s="1266"/>
      <c r="D282" s="1266"/>
      <c r="E282" s="1266"/>
      <c r="F282" s="1266"/>
      <c r="G282" s="1266"/>
      <c r="H282" s="1266"/>
      <c r="I282" s="1266"/>
      <c r="J282" s="1266"/>
      <c r="K282" s="1266"/>
      <c r="L282" s="1266"/>
      <c r="M282" s="1266"/>
      <c r="N282" s="1266"/>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956</v>
      </c>
      <c r="C284" s="2" t="s">
        <v>1189</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1190</v>
      </c>
      <c r="C286" s="3"/>
      <c r="D286" s="3"/>
      <c r="E286" s="3"/>
      <c r="F286" s="3"/>
      <c r="H286" s="1405" t="s">
        <v>1173</v>
      </c>
      <c r="I286" s="1405"/>
      <c r="J286" s="1405"/>
      <c r="K286" s="1405"/>
      <c r="L286" s="1405"/>
      <c r="M286" s="1405"/>
      <c r="N286" s="1405"/>
      <c r="O286" s="1405"/>
      <c r="P286" s="1405"/>
      <c r="Q286" s="1405"/>
      <c r="R286" s="1405"/>
      <c r="T286" s="3" t="s">
        <v>1191</v>
      </c>
      <c r="V286" s="3"/>
      <c r="W286" s="3"/>
      <c r="X286" s="3"/>
      <c r="Y286" s="3"/>
      <c r="AA286" s="1405" t="s">
        <v>1192</v>
      </c>
      <c r="AB286" s="1405"/>
      <c r="AC286" s="1405"/>
      <c r="AD286" s="1405"/>
      <c r="AE286" s="1405"/>
      <c r="AF286" s="1405"/>
      <c r="AG286" s="1405"/>
      <c r="AH286" s="1405"/>
      <c r="AI286" s="1405"/>
      <c r="AJ286" s="1405"/>
      <c r="AK286" s="1405"/>
      <c r="BN286" s="3"/>
    </row>
    <row r="287" spans="1:66" ht="12.75">
      <c r="B287" s="3" t="s">
        <v>1193</v>
      </c>
      <c r="C287" s="3"/>
      <c r="D287" s="3"/>
      <c r="E287" s="3"/>
      <c r="F287" s="3"/>
      <c r="H287" s="1362" t="s">
        <v>1138</v>
      </c>
      <c r="I287" s="1362"/>
      <c r="J287" s="1362"/>
      <c r="K287" s="1362"/>
      <c r="L287" s="1362"/>
      <c r="M287" s="1362"/>
      <c r="N287" s="1362"/>
      <c r="O287" s="1362"/>
      <c r="P287" s="1362"/>
      <c r="Q287" s="1362"/>
      <c r="R287" s="1362"/>
      <c r="T287" s="3" t="s">
        <v>1193</v>
      </c>
      <c r="V287" s="3"/>
      <c r="W287" s="3"/>
      <c r="X287" s="3"/>
      <c r="Y287" s="3"/>
      <c r="AA287" s="1362" t="s">
        <v>1194</v>
      </c>
      <c r="AB287" s="1362"/>
      <c r="AC287" s="1362"/>
      <c r="AD287" s="1362"/>
      <c r="AE287" s="1362"/>
      <c r="AF287" s="1362"/>
      <c r="AG287" s="1362"/>
      <c r="AH287" s="1362"/>
      <c r="AI287" s="1362"/>
      <c r="AJ287" s="1362"/>
      <c r="AK287" s="1362"/>
      <c r="BN287" s="3"/>
    </row>
    <row r="288" spans="1:66" ht="12.75">
      <c r="B288" s="3" t="s">
        <v>1195</v>
      </c>
      <c r="C288" s="3"/>
      <c r="D288" s="3"/>
      <c r="E288" s="3"/>
      <c r="F288" s="3"/>
      <c r="H288" s="1362" t="s">
        <v>1196</v>
      </c>
      <c r="I288" s="1362"/>
      <c r="J288" s="1362"/>
      <c r="K288" s="1362"/>
      <c r="L288" s="1362"/>
      <c r="M288" s="1362"/>
      <c r="N288" s="1362"/>
      <c r="O288" s="1362"/>
      <c r="P288" s="1362"/>
      <c r="Q288" s="1362"/>
      <c r="R288" s="1362"/>
      <c r="T288" s="3" t="s">
        <v>1197</v>
      </c>
      <c r="V288" s="3"/>
      <c r="W288" s="3"/>
      <c r="X288" s="3"/>
      <c r="Y288" s="3"/>
      <c r="AA288" s="1362" t="s">
        <v>1196</v>
      </c>
      <c r="AB288" s="1362"/>
      <c r="AC288" s="1362"/>
      <c r="AD288" s="1362"/>
      <c r="AE288" s="1362"/>
      <c r="AF288" s="1362"/>
      <c r="AG288" s="1362"/>
      <c r="AH288" s="1362"/>
      <c r="AI288" s="1362"/>
      <c r="AJ288" s="1362"/>
      <c r="AK288" s="1362"/>
      <c r="BN288" s="3"/>
    </row>
    <row r="289" spans="2:66" ht="12.75" customHeight="1">
      <c r="B289" s="3" t="s">
        <v>1141</v>
      </c>
      <c r="C289" s="3"/>
      <c r="D289" s="3"/>
      <c r="E289" s="3"/>
      <c r="F289" s="3"/>
      <c r="H289" s="1362" t="s">
        <v>1142</v>
      </c>
      <c r="I289" s="1362"/>
      <c r="J289" s="1362"/>
      <c r="K289" s="1362"/>
      <c r="L289" s="1362"/>
      <c r="M289" s="1362"/>
      <c r="N289" s="1362"/>
      <c r="O289" s="1362"/>
      <c r="P289" s="1362"/>
      <c r="Q289" s="1362"/>
      <c r="R289" s="1362"/>
      <c r="T289" s="3" t="s">
        <v>1141</v>
      </c>
      <c r="V289" s="3"/>
      <c r="W289" s="3"/>
      <c r="X289" s="3"/>
      <c r="Y289" s="3"/>
      <c r="AA289" s="1362" t="s">
        <v>1198</v>
      </c>
      <c r="AB289" s="1362"/>
      <c r="AC289" s="1362"/>
      <c r="AD289" s="1362"/>
      <c r="AE289" s="1362"/>
      <c r="AF289" s="1362"/>
      <c r="AG289" s="1362"/>
      <c r="AH289" s="1362"/>
      <c r="AI289" s="1362"/>
      <c r="AJ289" s="1362"/>
      <c r="AK289" s="1362"/>
      <c r="BN289" s="3"/>
    </row>
    <row r="290" spans="2:66" ht="12.75" customHeight="1">
      <c r="B290" s="3" t="s">
        <v>1143</v>
      </c>
      <c r="C290" s="3"/>
      <c r="D290" s="3"/>
      <c r="E290" s="3"/>
      <c r="F290" s="3"/>
      <c r="G290" s="3"/>
      <c r="H290" s="1360" t="s">
        <v>1144</v>
      </c>
      <c r="I290" s="1360"/>
      <c r="J290" s="1360"/>
      <c r="K290" s="1360"/>
      <c r="L290" s="1360"/>
      <c r="M290" s="1360"/>
      <c r="N290" s="3" t="s">
        <v>1145</v>
      </c>
      <c r="O290" s="3"/>
      <c r="P290" s="1404"/>
      <c r="Q290" s="1404"/>
      <c r="R290" s="1404"/>
      <c r="S290" s="3"/>
      <c r="T290" s="3" t="s">
        <v>1143</v>
      </c>
      <c r="V290" s="3"/>
      <c r="W290" s="3"/>
      <c r="X290" s="3"/>
      <c r="Y290" s="3"/>
      <c r="AA290" s="1360" t="s">
        <v>1199</v>
      </c>
      <c r="AB290" s="1360"/>
      <c r="AC290" s="1360"/>
      <c r="AD290" s="1360"/>
      <c r="AE290" s="1360"/>
      <c r="AF290" s="1360"/>
      <c r="AG290" s="3" t="s">
        <v>1145</v>
      </c>
      <c r="AH290" s="3"/>
      <c r="AI290" s="1404"/>
      <c r="AJ290" s="1404"/>
      <c r="AK290" s="1404"/>
      <c r="BN290" s="3"/>
    </row>
    <row r="291" spans="2:66" ht="12.75" customHeight="1">
      <c r="B291" s="3" t="s">
        <v>1146</v>
      </c>
      <c r="C291" s="3"/>
      <c r="D291" s="3"/>
      <c r="E291" s="3"/>
      <c r="F291" s="3"/>
      <c r="G291" s="3"/>
      <c r="H291" s="1276"/>
      <c r="I291" s="1276"/>
      <c r="J291" s="1276"/>
      <c r="K291" s="1276"/>
      <c r="L291" s="1276"/>
      <c r="M291" s="1276"/>
      <c r="N291" s="3"/>
      <c r="O291" s="3"/>
      <c r="P291" s="85"/>
      <c r="Q291" s="85"/>
      <c r="R291" s="85"/>
      <c r="S291" s="3"/>
      <c r="T291" s="3" t="s">
        <v>1146</v>
      </c>
      <c r="V291" s="3"/>
      <c r="W291" s="3"/>
      <c r="X291" s="3"/>
      <c r="Y291" s="3"/>
      <c r="AA291" s="1276"/>
      <c r="AB291" s="1276"/>
      <c r="AC291" s="1276"/>
      <c r="AD291" s="1276"/>
      <c r="AE291" s="1276"/>
      <c r="AF291" s="1276"/>
      <c r="AG291" s="3"/>
      <c r="AH291" s="3"/>
      <c r="AI291" s="85"/>
      <c r="AJ291" s="85"/>
      <c r="AK291" s="85"/>
      <c r="BN291" s="3"/>
    </row>
    <row r="292" spans="2:66" ht="12.75" customHeight="1">
      <c r="B292" s="3" t="s">
        <v>1200</v>
      </c>
      <c r="C292" s="3"/>
      <c r="D292" s="3"/>
      <c r="E292" s="3"/>
      <c r="F292" s="3"/>
      <c r="G292" s="3"/>
      <c r="H292" s="1362" t="s">
        <v>1148</v>
      </c>
      <c r="I292" s="1362"/>
      <c r="J292" s="1362"/>
      <c r="K292" s="1362"/>
      <c r="L292" s="1362"/>
      <c r="M292" s="1362"/>
      <c r="N292" s="1362"/>
      <c r="O292" s="1362"/>
      <c r="P292" s="1362"/>
      <c r="Q292" s="1362"/>
      <c r="R292" s="1362"/>
      <c r="S292" s="3"/>
      <c r="T292" s="3" t="s">
        <v>1200</v>
      </c>
      <c r="V292" s="3"/>
      <c r="W292" s="3"/>
      <c r="X292" s="3"/>
      <c r="Y292" s="3"/>
      <c r="AA292" s="1298"/>
      <c r="AB292" s="1298"/>
      <c r="AC292" s="1298"/>
      <c r="AD292" s="1298"/>
      <c r="AE292" s="1298"/>
      <c r="AF292" s="1298"/>
      <c r="AG292" s="1213"/>
      <c r="AH292" s="1213"/>
      <c r="AI292" s="1213"/>
      <c r="AJ292" s="1213"/>
      <c r="AK292" s="1213"/>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1201</v>
      </c>
      <c r="C294" s="3"/>
      <c r="D294" s="3"/>
      <c r="E294" s="3"/>
      <c r="F294" s="3"/>
      <c r="H294" s="1405" t="s">
        <v>1202</v>
      </c>
      <c r="I294" s="1405"/>
      <c r="J294" s="1405"/>
      <c r="K294" s="1405"/>
      <c r="L294" s="1405"/>
      <c r="M294" s="1405"/>
      <c r="N294" s="1405"/>
      <c r="O294" s="1405"/>
      <c r="P294" s="1405"/>
      <c r="Q294" s="1405"/>
      <c r="R294" s="1405"/>
      <c r="T294" s="3" t="s">
        <v>1203</v>
      </c>
      <c r="V294" s="3"/>
      <c r="W294" s="3"/>
      <c r="X294" s="3"/>
      <c r="Y294" s="3"/>
      <c r="AA294" s="1405" t="s">
        <v>1204</v>
      </c>
      <c r="AB294" s="1405"/>
      <c r="AC294" s="1405"/>
      <c r="AD294" s="1405"/>
      <c r="AE294" s="1405"/>
      <c r="AF294" s="1405"/>
      <c r="AG294" s="1405"/>
      <c r="AH294" s="1405"/>
      <c r="AI294" s="1405"/>
      <c r="AJ294" s="1405"/>
      <c r="AK294" s="1405"/>
      <c r="BN294" s="3"/>
    </row>
    <row r="295" spans="2:66" ht="12.75">
      <c r="B295" s="3" t="s">
        <v>1193</v>
      </c>
      <c r="C295" s="3"/>
      <c r="D295" s="3"/>
      <c r="E295" s="3"/>
      <c r="F295" s="3"/>
      <c r="H295" s="1362" t="s">
        <v>1205</v>
      </c>
      <c r="I295" s="1362"/>
      <c r="J295" s="1362"/>
      <c r="K295" s="1362"/>
      <c r="L295" s="1362"/>
      <c r="M295" s="1362"/>
      <c r="N295" s="1362"/>
      <c r="O295" s="1362"/>
      <c r="P295" s="1362"/>
      <c r="Q295" s="1362"/>
      <c r="R295" s="1362"/>
      <c r="T295" s="3" t="s">
        <v>1193</v>
      </c>
      <c r="V295" s="3"/>
      <c r="W295" s="3"/>
      <c r="X295" s="3"/>
      <c r="Y295" s="3"/>
      <c r="AA295" s="1429" t="s">
        <v>1206</v>
      </c>
      <c r="AB295" s="1298"/>
      <c r="AC295" s="1298"/>
      <c r="AD295" s="1298"/>
      <c r="AE295" s="1298"/>
      <c r="AF295" s="1298"/>
      <c r="AG295" s="1298"/>
      <c r="AH295" s="1298"/>
      <c r="AI295" s="1298"/>
      <c r="AJ295" s="1298"/>
      <c r="AK295" s="1298"/>
      <c r="BN295" s="3"/>
    </row>
    <row r="296" spans="2:66" ht="12.75">
      <c r="B296" s="3" t="s">
        <v>1195</v>
      </c>
      <c r="C296" s="3"/>
      <c r="D296" s="3"/>
      <c r="E296" s="3"/>
      <c r="F296" s="3"/>
      <c r="H296" s="1362" t="s">
        <v>1207</v>
      </c>
      <c r="I296" s="1362"/>
      <c r="J296" s="1362"/>
      <c r="K296" s="1362"/>
      <c r="L296" s="1362"/>
      <c r="M296" s="1362"/>
      <c r="N296" s="1362"/>
      <c r="O296" s="1362"/>
      <c r="P296" s="1362"/>
      <c r="Q296" s="1362"/>
      <c r="R296" s="1362"/>
      <c r="T296" s="3" t="s">
        <v>1197</v>
      </c>
      <c r="V296" s="3"/>
      <c r="W296" s="3"/>
      <c r="X296" s="3"/>
      <c r="Y296" s="3"/>
      <c r="AA296" s="1298" t="s">
        <v>1196</v>
      </c>
      <c r="AB296" s="1298"/>
      <c r="AC296" s="1298"/>
      <c r="AD296" s="1298"/>
      <c r="AE296" s="1298"/>
      <c r="AF296" s="1298"/>
      <c r="AG296" s="1298"/>
      <c r="AH296" s="1298"/>
      <c r="AI296" s="1298"/>
      <c r="AJ296" s="1298"/>
      <c r="AK296" s="1298"/>
      <c r="BN296" s="3"/>
    </row>
    <row r="297" spans="2:66" ht="12.75">
      <c r="B297" s="3" t="s">
        <v>1141</v>
      </c>
      <c r="C297" s="3"/>
      <c r="D297" s="3"/>
      <c r="E297" s="3"/>
      <c r="F297" s="3"/>
      <c r="H297" s="1362" t="s">
        <v>1208</v>
      </c>
      <c r="I297" s="1362"/>
      <c r="J297" s="1362"/>
      <c r="K297" s="1362"/>
      <c r="L297" s="1362"/>
      <c r="M297" s="1362"/>
      <c r="N297" s="1362"/>
      <c r="O297" s="1362"/>
      <c r="P297" s="1362"/>
      <c r="Q297" s="1362"/>
      <c r="R297" s="1362"/>
      <c r="T297" s="3" t="s">
        <v>1141</v>
      </c>
      <c r="V297" s="3"/>
      <c r="W297" s="3"/>
      <c r="X297" s="3"/>
      <c r="Y297" s="3"/>
      <c r="AA297" s="1298" t="s">
        <v>1142</v>
      </c>
      <c r="AB297" s="1298"/>
      <c r="AC297" s="1298"/>
      <c r="AD297" s="1298"/>
      <c r="AE297" s="1298"/>
      <c r="AF297" s="1298"/>
      <c r="AG297" s="1298"/>
      <c r="AH297" s="1298"/>
      <c r="AI297" s="1298"/>
      <c r="AJ297" s="1298"/>
      <c r="AK297" s="1298"/>
      <c r="BN297" s="3"/>
    </row>
    <row r="298" spans="2:66" ht="12.75">
      <c r="B298" s="3" t="s">
        <v>1143</v>
      </c>
      <c r="C298" s="3"/>
      <c r="D298" s="3"/>
      <c r="E298" s="3"/>
      <c r="F298" s="3"/>
      <c r="G298" s="3"/>
      <c r="H298" s="1360" t="s">
        <v>1209</v>
      </c>
      <c r="I298" s="1360"/>
      <c r="J298" s="1360"/>
      <c r="K298" s="1360"/>
      <c r="L298" s="1360"/>
      <c r="M298" s="1360"/>
      <c r="N298" s="3" t="s">
        <v>1145</v>
      </c>
      <c r="O298" s="3"/>
      <c r="P298" s="1404"/>
      <c r="Q298" s="1404"/>
      <c r="R298" s="1404"/>
      <c r="S298" s="3"/>
      <c r="T298" s="3" t="s">
        <v>1143</v>
      </c>
      <c r="V298" s="3"/>
      <c r="W298" s="3"/>
      <c r="X298" s="3"/>
      <c r="Y298" s="3"/>
      <c r="AA298" s="1383">
        <v>8584902303</v>
      </c>
      <c r="AB298" s="1383"/>
      <c r="AC298" s="1383"/>
      <c r="AD298" s="1383"/>
      <c r="AE298" s="1383"/>
      <c r="AF298" s="1383"/>
      <c r="AG298" s="3" t="s">
        <v>1145</v>
      </c>
      <c r="AH298" s="3"/>
      <c r="AI298" s="1404"/>
      <c r="AJ298" s="1404"/>
      <c r="AK298" s="1404"/>
      <c r="BN298" s="3"/>
    </row>
    <row r="299" spans="2:66" ht="12.75" customHeight="1">
      <c r="B299" s="3" t="s">
        <v>1146</v>
      </c>
      <c r="C299" s="3"/>
      <c r="D299" s="3"/>
      <c r="E299" s="3"/>
      <c r="F299" s="3"/>
      <c r="G299" s="3"/>
      <c r="H299" s="1276"/>
      <c r="I299" s="1276"/>
      <c r="J299" s="1276"/>
      <c r="K299" s="1276"/>
      <c r="L299" s="1276"/>
      <c r="M299" s="1276"/>
      <c r="N299" s="3"/>
      <c r="O299" s="3"/>
      <c r="P299" s="85"/>
      <c r="Q299" s="85"/>
      <c r="R299" s="85"/>
      <c r="S299" s="3"/>
      <c r="T299" s="3" t="s">
        <v>1146</v>
      </c>
      <c r="V299" s="3"/>
      <c r="W299" s="3"/>
      <c r="X299" s="3"/>
      <c r="Y299" s="3"/>
      <c r="AA299" s="1276"/>
      <c r="AB299" s="1276"/>
      <c r="AC299" s="1276"/>
      <c r="AD299" s="1276"/>
      <c r="AE299" s="1276"/>
      <c r="AF299" s="1276"/>
      <c r="AG299" s="3"/>
      <c r="AH299" s="3"/>
      <c r="AI299" s="85"/>
      <c r="AJ299" s="85"/>
      <c r="AK299" s="85"/>
      <c r="BN299" s="3"/>
    </row>
    <row r="300" spans="2:66" ht="12.75" customHeight="1">
      <c r="B300" s="3" t="s">
        <v>1200</v>
      </c>
      <c r="C300" s="3"/>
      <c r="D300" s="3"/>
      <c r="E300" s="3"/>
      <c r="F300" s="3"/>
      <c r="G300" s="3"/>
      <c r="H300" s="1362" t="s">
        <v>1210</v>
      </c>
      <c r="I300" s="1362"/>
      <c r="J300" s="1362"/>
      <c r="K300" s="1362"/>
      <c r="L300" s="1362"/>
      <c r="M300" s="1362"/>
      <c r="N300" s="1362"/>
      <c r="O300" s="1362"/>
      <c r="P300" s="1362"/>
      <c r="Q300" s="1362"/>
      <c r="R300" s="1362"/>
      <c r="S300" s="3"/>
      <c r="T300" s="3" t="s">
        <v>1200</v>
      </c>
      <c r="V300" s="3"/>
      <c r="W300" s="3"/>
      <c r="X300" s="3"/>
      <c r="Y300" s="3"/>
      <c r="AA300" s="1298"/>
      <c r="AB300" s="1298"/>
      <c r="AC300" s="1298"/>
      <c r="AD300" s="1298"/>
      <c r="AE300" s="1298"/>
      <c r="AF300" s="1298"/>
      <c r="AG300" s="1213"/>
      <c r="AH300" s="1213"/>
      <c r="AI300" s="1213"/>
      <c r="AJ300" s="1213"/>
      <c r="AK300" s="1213"/>
      <c r="BN300" s="3"/>
    </row>
    <row r="301" spans="2:66" ht="12.75" customHeight="1">
      <c r="BN301" s="3"/>
    </row>
    <row r="302" spans="2:66" ht="12.75" customHeight="1">
      <c r="B302" s="3" t="s">
        <v>1211</v>
      </c>
      <c r="C302" s="3"/>
      <c r="D302" s="3"/>
      <c r="E302" s="3"/>
      <c r="F302" s="3"/>
      <c r="H302" s="1213" t="s">
        <v>1212</v>
      </c>
      <c r="I302" s="1213"/>
      <c r="J302" s="1213"/>
      <c r="K302" s="1213"/>
      <c r="L302" s="1213"/>
      <c r="M302" s="1213"/>
      <c r="N302" s="1213"/>
      <c r="O302" s="1213"/>
      <c r="P302" s="1213"/>
      <c r="Q302" s="1213"/>
      <c r="R302" s="1213"/>
      <c r="T302" s="3" t="s">
        <v>1213</v>
      </c>
      <c r="V302" s="3"/>
      <c r="W302" s="3"/>
      <c r="X302" s="3"/>
      <c r="Y302" s="3"/>
      <c r="AA302" s="1405" t="s">
        <v>1214</v>
      </c>
      <c r="AB302" s="1405"/>
      <c r="AC302" s="1405"/>
      <c r="AD302" s="1405"/>
      <c r="AE302" s="1405"/>
      <c r="AF302" s="1405"/>
      <c r="AG302" s="1405"/>
      <c r="AH302" s="1405"/>
      <c r="AI302" s="1405"/>
      <c r="AJ302" s="1405"/>
      <c r="AK302" s="1405"/>
      <c r="BN302" s="3"/>
    </row>
    <row r="303" spans="2:66" ht="12.75">
      <c r="B303" s="3" t="s">
        <v>1193</v>
      </c>
      <c r="C303" s="3"/>
      <c r="D303" s="3"/>
      <c r="E303" s="3"/>
      <c r="F303" s="3"/>
      <c r="H303" s="1298" t="s">
        <v>1215</v>
      </c>
      <c r="I303" s="1298"/>
      <c r="J303" s="1298"/>
      <c r="K303" s="1298"/>
      <c r="L303" s="1298"/>
      <c r="M303" s="1298"/>
      <c r="N303" s="1298"/>
      <c r="O303" s="1298"/>
      <c r="P303" s="1298"/>
      <c r="Q303" s="1298"/>
      <c r="R303" s="1298"/>
      <c r="T303" s="3" t="s">
        <v>1193</v>
      </c>
      <c r="V303" s="3"/>
      <c r="W303" s="3"/>
      <c r="X303" s="3"/>
      <c r="Y303" s="3"/>
      <c r="AA303" s="1362" t="s">
        <v>1216</v>
      </c>
      <c r="AB303" s="1362"/>
      <c r="AC303" s="1362"/>
      <c r="AD303" s="1362"/>
      <c r="AE303" s="1362"/>
      <c r="AF303" s="1362"/>
      <c r="AG303" s="1362"/>
      <c r="AH303" s="1362"/>
      <c r="AI303" s="1362"/>
      <c r="AJ303" s="1362"/>
      <c r="AK303" s="1362"/>
      <c r="BN303" s="3"/>
    </row>
    <row r="304" spans="2:66" ht="12.75">
      <c r="B304" s="3" t="s">
        <v>1195</v>
      </c>
      <c r="C304" s="3"/>
      <c r="D304" s="3"/>
      <c r="E304" s="3"/>
      <c r="F304" s="3"/>
      <c r="H304" s="1298" t="s">
        <v>1217</v>
      </c>
      <c r="I304" s="1298"/>
      <c r="J304" s="1298"/>
      <c r="K304" s="1298"/>
      <c r="L304" s="1298"/>
      <c r="M304" s="1298"/>
      <c r="N304" s="1298"/>
      <c r="O304" s="1298"/>
      <c r="P304" s="1298"/>
      <c r="Q304" s="1298"/>
      <c r="R304" s="1298"/>
      <c r="T304" s="3" t="s">
        <v>1197</v>
      </c>
      <c r="V304" s="3"/>
      <c r="W304" s="3"/>
      <c r="X304" s="3"/>
      <c r="Y304" s="3"/>
      <c r="AA304" s="1362" t="s">
        <v>1218</v>
      </c>
      <c r="AB304" s="1362"/>
      <c r="AC304" s="1362"/>
      <c r="AD304" s="1362"/>
      <c r="AE304" s="1362"/>
      <c r="AF304" s="1362"/>
      <c r="AG304" s="1362"/>
      <c r="AH304" s="1362"/>
      <c r="AI304" s="1362"/>
      <c r="AJ304" s="1362"/>
      <c r="AK304" s="1362"/>
      <c r="BN304" s="3"/>
    </row>
    <row r="305" spans="2:66" ht="12.75">
      <c r="B305" s="3" t="s">
        <v>1141</v>
      </c>
      <c r="C305" s="3"/>
      <c r="D305" s="3"/>
      <c r="E305" s="3"/>
      <c r="F305" s="3"/>
      <c r="H305" s="1298" t="s">
        <v>1219</v>
      </c>
      <c r="I305" s="1298"/>
      <c r="J305" s="1298"/>
      <c r="K305" s="1298"/>
      <c r="L305" s="1298"/>
      <c r="M305" s="1298"/>
      <c r="N305" s="1298"/>
      <c r="O305" s="1298"/>
      <c r="P305" s="1298"/>
      <c r="Q305" s="1298"/>
      <c r="R305" s="1298"/>
      <c r="T305" s="3" t="s">
        <v>1141</v>
      </c>
      <c r="V305" s="3"/>
      <c r="W305" s="3"/>
      <c r="X305" s="3"/>
      <c r="Y305" s="3"/>
      <c r="AA305" s="1362" t="s">
        <v>1220</v>
      </c>
      <c r="AB305" s="1362"/>
      <c r="AC305" s="1362"/>
      <c r="AD305" s="1362"/>
      <c r="AE305" s="1362"/>
      <c r="AF305" s="1362"/>
      <c r="AG305" s="1362"/>
      <c r="AH305" s="1362"/>
      <c r="AI305" s="1362"/>
      <c r="AJ305" s="1362"/>
      <c r="AK305" s="1362"/>
      <c r="BN305" s="3"/>
    </row>
    <row r="306" spans="2:66" ht="12.75">
      <c r="B306" s="3" t="s">
        <v>1143</v>
      </c>
      <c r="C306" s="3"/>
      <c r="D306" s="3"/>
      <c r="E306" s="3"/>
      <c r="F306" s="3"/>
      <c r="G306" s="3"/>
      <c r="H306" s="1383">
        <v>3178196228</v>
      </c>
      <c r="I306" s="1383"/>
      <c r="J306" s="1383"/>
      <c r="K306" s="1383"/>
      <c r="L306" s="1383"/>
      <c r="M306" s="1383"/>
      <c r="N306" s="3" t="s">
        <v>1145</v>
      </c>
      <c r="O306" s="3"/>
      <c r="P306" s="1404"/>
      <c r="Q306" s="1404"/>
      <c r="R306" s="1404"/>
      <c r="S306" s="3"/>
      <c r="T306" s="3" t="s">
        <v>1143</v>
      </c>
      <c r="V306" s="3"/>
      <c r="W306" s="3"/>
      <c r="X306" s="3"/>
      <c r="Y306" s="3"/>
      <c r="AA306" s="1360" t="s">
        <v>1221</v>
      </c>
      <c r="AB306" s="1360"/>
      <c r="AC306" s="1360"/>
      <c r="AD306" s="1360"/>
      <c r="AE306" s="1360"/>
      <c r="AF306" s="1360"/>
      <c r="AG306" s="3" t="s">
        <v>1145</v>
      </c>
      <c r="AH306" s="3"/>
      <c r="AI306" s="1404"/>
      <c r="AJ306" s="1404"/>
      <c r="AK306" s="1404"/>
      <c r="BN306" s="3"/>
    </row>
    <row r="307" spans="2:66" ht="12.75">
      <c r="B307" s="3" t="s">
        <v>1146</v>
      </c>
      <c r="C307" s="3"/>
      <c r="D307" s="3"/>
      <c r="E307" s="3"/>
      <c r="F307" s="3"/>
      <c r="G307" s="3"/>
      <c r="H307" s="1276"/>
      <c r="I307" s="1276"/>
      <c r="J307" s="1276"/>
      <c r="K307" s="1276"/>
      <c r="L307" s="1276"/>
      <c r="M307" s="1276"/>
      <c r="N307" s="3"/>
      <c r="O307" s="3"/>
      <c r="P307" s="85"/>
      <c r="Q307" s="85"/>
      <c r="R307" s="85"/>
      <c r="S307" s="3"/>
      <c r="T307" s="3" t="s">
        <v>1146</v>
      </c>
      <c r="V307" s="3"/>
      <c r="W307" s="3"/>
      <c r="X307" s="3"/>
      <c r="Y307" s="3"/>
      <c r="AA307" s="1276"/>
      <c r="AB307" s="1276"/>
      <c r="AC307" s="1276"/>
      <c r="AD307" s="1276"/>
      <c r="AE307" s="1276"/>
      <c r="AF307" s="1276"/>
      <c r="AG307" s="3"/>
      <c r="AH307" s="3"/>
      <c r="AI307" s="85"/>
      <c r="AJ307" s="85"/>
      <c r="AK307" s="85"/>
      <c r="BN307" s="3"/>
    </row>
    <row r="308" spans="2:66" ht="12.75">
      <c r="B308" s="3" t="s">
        <v>1200</v>
      </c>
      <c r="C308" s="3"/>
      <c r="D308" s="3"/>
      <c r="E308" s="3"/>
      <c r="F308" s="3"/>
      <c r="G308" s="3"/>
      <c r="H308" s="1298" t="s">
        <v>1222</v>
      </c>
      <c r="I308" s="1298"/>
      <c r="J308" s="1298"/>
      <c r="K308" s="1298"/>
      <c r="L308" s="1298"/>
      <c r="M308" s="1298"/>
      <c r="N308" s="1213"/>
      <c r="O308" s="1213"/>
      <c r="P308" s="1213"/>
      <c r="Q308" s="1213"/>
      <c r="R308" s="1213"/>
      <c r="S308" s="3"/>
      <c r="T308" s="3" t="s">
        <v>1200</v>
      </c>
      <c r="V308" s="3"/>
      <c r="W308" s="3"/>
      <c r="X308" s="3"/>
      <c r="Y308" s="3"/>
      <c r="AA308" s="1362" t="s">
        <v>1223</v>
      </c>
      <c r="AB308" s="1362"/>
      <c r="AC308" s="1362"/>
      <c r="AD308" s="1362"/>
      <c r="AE308" s="1362"/>
      <c r="AF308" s="1362"/>
      <c r="AG308" s="1362"/>
      <c r="AH308" s="1362"/>
      <c r="AI308" s="1362"/>
      <c r="AJ308" s="1362"/>
      <c r="AK308" s="1362"/>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1224</v>
      </c>
      <c r="C310" s="3"/>
      <c r="D310" s="3"/>
      <c r="E310" s="3"/>
      <c r="F310" s="3"/>
      <c r="H310" s="1213" t="str">
        <f>H302</f>
        <v>Dauby O'Connor &amp; Zaleski, LLC</v>
      </c>
      <c r="I310" s="1213"/>
      <c r="J310" s="1213"/>
      <c r="K310" s="1213"/>
      <c r="L310" s="1213"/>
      <c r="M310" s="1213"/>
      <c r="N310" s="1213"/>
      <c r="O310" s="1213"/>
      <c r="P310" s="1213"/>
      <c r="Q310" s="1213"/>
      <c r="R310" s="1213"/>
      <c r="S310" s="3"/>
      <c r="T310" s="3" t="s">
        <v>1225</v>
      </c>
      <c r="V310" s="3"/>
      <c r="W310" s="3"/>
      <c r="X310" s="3"/>
      <c r="Y310" s="3"/>
      <c r="AA310" s="1405" t="s">
        <v>1226</v>
      </c>
      <c r="AB310" s="1405"/>
      <c r="AC310" s="1405"/>
      <c r="AD310" s="1405"/>
      <c r="AE310" s="1405"/>
      <c r="AF310" s="1405"/>
      <c r="AG310" s="1405"/>
      <c r="AH310" s="1405"/>
      <c r="AI310" s="1405"/>
      <c r="AJ310" s="1405"/>
      <c r="AK310" s="1405"/>
      <c r="BN310" s="3"/>
    </row>
    <row r="311" spans="2:66" ht="12.75">
      <c r="B311" s="3" t="s">
        <v>1193</v>
      </c>
      <c r="C311" s="3"/>
      <c r="D311" s="3"/>
      <c r="E311" s="3"/>
      <c r="F311" s="3"/>
      <c r="H311" s="1298" t="str">
        <f>H303</f>
        <v>501 Congressional Blvd</v>
      </c>
      <c r="I311" s="1298"/>
      <c r="J311" s="1298"/>
      <c r="K311" s="1298"/>
      <c r="L311" s="1298"/>
      <c r="M311" s="1298"/>
      <c r="N311" s="1298"/>
      <c r="O311" s="1298"/>
      <c r="P311" s="1298"/>
      <c r="Q311" s="1298"/>
      <c r="R311" s="1298"/>
      <c r="S311" s="3"/>
      <c r="T311" s="3" t="s">
        <v>1193</v>
      </c>
      <c r="V311" s="3"/>
      <c r="W311" s="3"/>
      <c r="X311" s="3"/>
      <c r="Y311" s="3"/>
      <c r="AA311" s="1362" t="s">
        <v>1227</v>
      </c>
      <c r="AB311" s="1362"/>
      <c r="AC311" s="1362"/>
      <c r="AD311" s="1362"/>
      <c r="AE311" s="1362"/>
      <c r="AF311" s="1362"/>
      <c r="AG311" s="1362"/>
      <c r="AH311" s="1362"/>
      <c r="AI311" s="1362"/>
      <c r="AJ311" s="1362"/>
      <c r="AK311" s="1362"/>
      <c r="BN311" s="3"/>
    </row>
    <row r="312" spans="2:66" ht="12.75" customHeight="1">
      <c r="B312" s="3" t="s">
        <v>1195</v>
      </c>
      <c r="C312" s="3"/>
      <c r="D312" s="3"/>
      <c r="E312" s="3"/>
      <c r="F312" s="3"/>
      <c r="H312" s="1298" t="str">
        <f>H304</f>
        <v>Carmel, IN 46032</v>
      </c>
      <c r="I312" s="1298"/>
      <c r="J312" s="1298"/>
      <c r="K312" s="1298"/>
      <c r="L312" s="1298"/>
      <c r="M312" s="1298"/>
      <c r="N312" s="1298"/>
      <c r="O312" s="1298"/>
      <c r="P312" s="1298"/>
      <c r="Q312" s="1298"/>
      <c r="R312" s="1298"/>
      <c r="S312" s="3"/>
      <c r="T312" s="3" t="s">
        <v>1197</v>
      </c>
      <c r="V312" s="3"/>
      <c r="W312" s="3"/>
      <c r="X312" s="3"/>
      <c r="Y312" s="3"/>
      <c r="AA312" s="1362" t="s">
        <v>1228</v>
      </c>
      <c r="AB312" s="1362"/>
      <c r="AC312" s="1362"/>
      <c r="AD312" s="1362"/>
      <c r="AE312" s="1362"/>
      <c r="AF312" s="1362"/>
      <c r="AG312" s="1362"/>
      <c r="AH312" s="1362"/>
      <c r="AI312" s="1362"/>
      <c r="AJ312" s="1362"/>
      <c r="AK312" s="1362"/>
      <c r="BN312" s="3"/>
    </row>
    <row r="313" spans="2:66" ht="12.75">
      <c r="B313" s="3" t="s">
        <v>1141</v>
      </c>
      <c r="C313" s="3"/>
      <c r="D313" s="3"/>
      <c r="E313" s="3"/>
      <c r="F313" s="3"/>
      <c r="H313" s="1298" t="str">
        <f>H305</f>
        <v>Rob Doyle</v>
      </c>
      <c r="I313" s="1298"/>
      <c r="J313" s="1298"/>
      <c r="K313" s="1298"/>
      <c r="L313" s="1298"/>
      <c r="M313" s="1298"/>
      <c r="N313" s="1298"/>
      <c r="O313" s="1298"/>
      <c r="P313" s="1298"/>
      <c r="Q313" s="1298"/>
      <c r="R313" s="1298"/>
      <c r="S313" s="3"/>
      <c r="T313" s="3" t="s">
        <v>1141</v>
      </c>
      <c r="V313" s="3"/>
      <c r="W313" s="3"/>
      <c r="X313" s="3"/>
      <c r="Y313" s="3"/>
      <c r="AA313" s="1362" t="s">
        <v>1229</v>
      </c>
      <c r="AB313" s="1362"/>
      <c r="AC313" s="1362"/>
      <c r="AD313" s="1362"/>
      <c r="AE313" s="1362"/>
      <c r="AF313" s="1362"/>
      <c r="AG313" s="1362"/>
      <c r="AH313" s="1362"/>
      <c r="AI313" s="1362"/>
      <c r="AJ313" s="1362"/>
      <c r="AK313" s="1362"/>
      <c r="BN313" s="3"/>
    </row>
    <row r="314" spans="2:66" ht="12.75">
      <c r="B314" s="3" t="s">
        <v>1143</v>
      </c>
      <c r="C314" s="3"/>
      <c r="D314" s="3"/>
      <c r="E314" s="3"/>
      <c r="F314" s="3"/>
      <c r="G314" s="3"/>
      <c r="H314" s="1383">
        <f>H306</f>
        <v>3178196228</v>
      </c>
      <c r="I314" s="1383"/>
      <c r="J314" s="1383"/>
      <c r="K314" s="1383"/>
      <c r="L314" s="1383"/>
      <c r="M314" s="1383"/>
      <c r="N314" s="3" t="s">
        <v>1145</v>
      </c>
      <c r="O314" s="3"/>
      <c r="P314" s="1404"/>
      <c r="Q314" s="1404"/>
      <c r="R314" s="1404"/>
      <c r="S314" s="3"/>
      <c r="T314" s="3" t="s">
        <v>1143</v>
      </c>
      <c r="V314" s="3"/>
      <c r="W314" s="3"/>
      <c r="X314" s="3"/>
      <c r="Y314" s="3"/>
      <c r="AA314" s="1360" t="s">
        <v>1230</v>
      </c>
      <c r="AB314" s="1360"/>
      <c r="AC314" s="1360"/>
      <c r="AD314" s="1360"/>
      <c r="AE314" s="1360"/>
      <c r="AF314" s="1360"/>
      <c r="AG314" s="3" t="s">
        <v>1145</v>
      </c>
      <c r="AH314" s="3"/>
      <c r="AI314" s="1404"/>
      <c r="AJ314" s="1404"/>
      <c r="AK314" s="1404"/>
      <c r="BN314" s="3"/>
    </row>
    <row r="315" spans="2:66" ht="12.75">
      <c r="B315" s="3" t="s">
        <v>1146</v>
      </c>
      <c r="C315" s="3"/>
      <c r="D315" s="3"/>
      <c r="E315" s="3"/>
      <c r="F315" s="3"/>
      <c r="G315" s="3"/>
      <c r="H315" s="1276"/>
      <c r="I315" s="1276"/>
      <c r="J315" s="1276"/>
      <c r="K315" s="1276"/>
      <c r="L315" s="1276"/>
      <c r="M315" s="1276"/>
      <c r="N315" s="3"/>
      <c r="O315" s="3"/>
      <c r="P315" s="85"/>
      <c r="Q315" s="85"/>
      <c r="R315" s="85"/>
      <c r="S315" s="3"/>
      <c r="T315" s="3" t="s">
        <v>1146</v>
      </c>
      <c r="V315" s="3"/>
      <c r="W315" s="3"/>
      <c r="X315" s="3"/>
      <c r="Y315" s="3"/>
      <c r="AA315" s="1276"/>
      <c r="AB315" s="1276"/>
      <c r="AC315" s="1276"/>
      <c r="AD315" s="1276"/>
      <c r="AE315" s="1276"/>
      <c r="AF315" s="1276"/>
      <c r="AG315" s="3"/>
      <c r="AH315" s="3"/>
      <c r="AI315" s="85"/>
      <c r="AJ315" s="85"/>
      <c r="AK315" s="85"/>
      <c r="BN315" s="3"/>
    </row>
    <row r="316" spans="2:66" ht="12.75">
      <c r="B316" s="3" t="s">
        <v>1200</v>
      </c>
      <c r="C316" s="3"/>
      <c r="D316" s="3"/>
      <c r="E316" s="3"/>
      <c r="F316" s="3"/>
      <c r="G316" s="3"/>
      <c r="H316" s="1298" t="str">
        <f>H308</f>
        <v>rdoyle@doz.net</v>
      </c>
      <c r="I316" s="1298"/>
      <c r="J316" s="1298"/>
      <c r="K316" s="1298"/>
      <c r="L316" s="1298"/>
      <c r="M316" s="1298"/>
      <c r="N316" s="1213"/>
      <c r="O316" s="1213"/>
      <c r="P316" s="1213"/>
      <c r="Q316" s="1213"/>
      <c r="R316" s="1213"/>
      <c r="S316" s="3"/>
      <c r="T316" s="3" t="s">
        <v>1200</v>
      </c>
      <c r="V316" s="3"/>
      <c r="W316" s="3"/>
      <c r="X316" s="3"/>
      <c r="Y316" s="3"/>
      <c r="AA316" s="1298"/>
      <c r="AB316" s="1298"/>
      <c r="AC316" s="1298"/>
      <c r="AD316" s="1298"/>
      <c r="AE316" s="1298"/>
      <c r="AF316" s="1298"/>
      <c r="AG316" s="1213"/>
      <c r="AH316" s="1213"/>
      <c r="AI316" s="1213"/>
      <c r="AJ316" s="1213"/>
      <c r="AK316" s="1213"/>
      <c r="BN316" s="3"/>
    </row>
    <row r="317" spans="2:66" ht="12.75">
      <c r="BN317" s="3"/>
    </row>
    <row r="318" spans="2:66" ht="12.75">
      <c r="B318" s="3" t="s">
        <v>1231</v>
      </c>
      <c r="C318" s="3"/>
      <c r="D318" s="3"/>
      <c r="E318" s="3"/>
      <c r="F318" s="3"/>
      <c r="H318" s="1213" t="s">
        <v>1232</v>
      </c>
      <c r="I318" s="1213"/>
      <c r="J318" s="1213"/>
      <c r="K318" s="1213"/>
      <c r="L318" s="1213"/>
      <c r="M318" s="1213"/>
      <c r="N318" s="1213"/>
      <c r="O318" s="1213"/>
      <c r="P318" s="1213"/>
      <c r="Q318" s="1213"/>
      <c r="R318" s="1213"/>
      <c r="T318" s="3" t="s">
        <v>1233</v>
      </c>
      <c r="V318" s="3"/>
      <c r="W318" s="3"/>
      <c r="X318" s="3"/>
      <c r="Y318" s="3"/>
      <c r="AA318" s="1405" t="s">
        <v>1234</v>
      </c>
      <c r="AB318" s="1405"/>
      <c r="AC318" s="1405"/>
      <c r="AD318" s="1405"/>
      <c r="AE318" s="1405"/>
      <c r="AF318" s="1405"/>
      <c r="AG318" s="1405"/>
      <c r="AH318" s="1405"/>
      <c r="AI318" s="1405"/>
      <c r="AJ318" s="1405"/>
      <c r="AK318" s="1405"/>
      <c r="BN318" s="3"/>
    </row>
    <row r="319" spans="2:66" ht="12.75">
      <c r="B319" s="3" t="s">
        <v>1193</v>
      </c>
      <c r="C319" s="3"/>
      <c r="D319" s="3"/>
      <c r="E319" s="3"/>
      <c r="F319" s="3"/>
      <c r="H319" s="1362" t="s">
        <v>1235</v>
      </c>
      <c r="I319" s="1362"/>
      <c r="J319" s="1362"/>
      <c r="K319" s="1362"/>
      <c r="L319" s="1362"/>
      <c r="M319" s="1362"/>
      <c r="N319" s="1362"/>
      <c r="O319" s="1362"/>
      <c r="P319" s="1362"/>
      <c r="Q319" s="1362"/>
      <c r="R319" s="1362"/>
      <c r="T319" s="3" t="s">
        <v>1193</v>
      </c>
      <c r="V319" s="3"/>
      <c r="W319" s="3"/>
      <c r="X319" s="3"/>
      <c r="Y319" s="3"/>
      <c r="AA319" s="1362" t="s">
        <v>1236</v>
      </c>
      <c r="AB319" s="1362"/>
      <c r="AC319" s="1362"/>
      <c r="AD319" s="1362"/>
      <c r="AE319" s="1362"/>
      <c r="AF319" s="1362"/>
      <c r="AG319" s="1362"/>
      <c r="AH319" s="1362"/>
      <c r="AI319" s="1362"/>
      <c r="AJ319" s="1362"/>
      <c r="AK319" s="1362"/>
      <c r="BN319" s="3"/>
    </row>
    <row r="320" spans="2:66" ht="12.75">
      <c r="B320" s="3" t="s">
        <v>1195</v>
      </c>
      <c r="C320" s="3"/>
      <c r="D320" s="3"/>
      <c r="E320" s="3"/>
      <c r="F320" s="3"/>
      <c r="H320" s="1362" t="s">
        <v>1196</v>
      </c>
      <c r="I320" s="1362"/>
      <c r="J320" s="1362"/>
      <c r="K320" s="1362"/>
      <c r="L320" s="1362"/>
      <c r="M320" s="1362"/>
      <c r="N320" s="1362"/>
      <c r="O320" s="1362"/>
      <c r="P320" s="1362"/>
      <c r="Q320" s="1362"/>
      <c r="R320" s="1362"/>
      <c r="T320" s="3" t="s">
        <v>1197</v>
      </c>
      <c r="V320" s="3"/>
      <c r="W320" s="3"/>
      <c r="X320" s="3"/>
      <c r="Y320" s="3"/>
      <c r="AA320" s="1362" t="s">
        <v>1237</v>
      </c>
      <c r="AB320" s="1362"/>
      <c r="AC320" s="1362"/>
      <c r="AD320" s="1362"/>
      <c r="AE320" s="1362"/>
      <c r="AF320" s="1362"/>
      <c r="AG320" s="1362"/>
      <c r="AH320" s="1362"/>
      <c r="AI320" s="1362"/>
      <c r="AJ320" s="1362"/>
      <c r="AK320" s="1362"/>
      <c r="BN320" s="3"/>
    </row>
    <row r="321" spans="2:66" ht="12.75" customHeight="1">
      <c r="B321" s="3" t="s">
        <v>1141</v>
      </c>
      <c r="C321" s="3"/>
      <c r="D321" s="3"/>
      <c r="E321" s="3"/>
      <c r="F321" s="3"/>
      <c r="H321" s="1362" t="s">
        <v>1238</v>
      </c>
      <c r="I321" s="1362"/>
      <c r="J321" s="1362"/>
      <c r="K321" s="1362"/>
      <c r="L321" s="1362"/>
      <c r="M321" s="1362"/>
      <c r="N321" s="1362"/>
      <c r="O321" s="1362"/>
      <c r="P321" s="1362"/>
      <c r="Q321" s="1362"/>
      <c r="R321" s="1362"/>
      <c r="T321" s="3" t="s">
        <v>1141</v>
      </c>
      <c r="V321" s="3"/>
      <c r="W321" s="3"/>
      <c r="X321" s="3"/>
      <c r="Y321" s="3"/>
      <c r="AA321" s="1362" t="s">
        <v>1239</v>
      </c>
      <c r="AB321" s="1362"/>
      <c r="AC321" s="1362"/>
      <c r="AD321" s="1362"/>
      <c r="AE321" s="1362"/>
      <c r="AF321" s="1362"/>
      <c r="AG321" s="1362"/>
      <c r="AH321" s="1362"/>
      <c r="AI321" s="1362"/>
      <c r="AJ321" s="1362"/>
      <c r="AK321" s="1362"/>
      <c r="BN321" s="3"/>
    </row>
    <row r="322" spans="2:66" ht="12.75">
      <c r="B322" s="3" t="s">
        <v>1143</v>
      </c>
      <c r="C322" s="3"/>
      <c r="D322" s="3"/>
      <c r="E322" s="3"/>
      <c r="F322" s="3"/>
      <c r="G322" s="3"/>
      <c r="H322" s="1360" t="s">
        <v>1240</v>
      </c>
      <c r="I322" s="1360"/>
      <c r="J322" s="1360"/>
      <c r="K322" s="1360"/>
      <c r="L322" s="1360"/>
      <c r="M322" s="1360"/>
      <c r="N322" s="3" t="s">
        <v>1145</v>
      </c>
      <c r="O322" s="3"/>
      <c r="P322" s="1404"/>
      <c r="Q322" s="1404"/>
      <c r="R322" s="1404"/>
      <c r="S322" s="3"/>
      <c r="T322" s="3" t="s">
        <v>1143</v>
      </c>
      <c r="V322" s="3"/>
      <c r="W322" s="3"/>
      <c r="X322" s="3"/>
      <c r="Y322" s="3"/>
      <c r="AA322" s="1360" t="s">
        <v>1241</v>
      </c>
      <c r="AB322" s="1360"/>
      <c r="AC322" s="1360"/>
      <c r="AD322" s="1360"/>
      <c r="AE322" s="1360"/>
      <c r="AF322" s="1360"/>
      <c r="AG322" s="3" t="s">
        <v>1145</v>
      </c>
      <c r="AH322" s="3"/>
      <c r="AI322" s="1404"/>
      <c r="AJ322" s="1404"/>
      <c r="AK322" s="1404"/>
      <c r="BN322" s="3"/>
    </row>
    <row r="323" spans="2:66" ht="12.75" customHeight="1">
      <c r="B323" s="3" t="s">
        <v>1146</v>
      </c>
      <c r="C323" s="3"/>
      <c r="D323" s="3"/>
      <c r="E323" s="3"/>
      <c r="F323" s="3"/>
      <c r="G323" s="3"/>
      <c r="H323" s="1276"/>
      <c r="I323" s="1276"/>
      <c r="J323" s="1276"/>
      <c r="K323" s="1276"/>
      <c r="L323" s="1276"/>
      <c r="M323" s="1276"/>
      <c r="N323" s="3"/>
      <c r="O323" s="3"/>
      <c r="P323" s="85"/>
      <c r="Q323" s="85"/>
      <c r="R323" s="85"/>
      <c r="S323" s="3"/>
      <c r="T323" s="3" t="s">
        <v>1146</v>
      </c>
      <c r="V323" s="3"/>
      <c r="W323" s="3"/>
      <c r="X323" s="3"/>
      <c r="Y323" s="3"/>
      <c r="AA323" s="1276"/>
      <c r="AB323" s="1276"/>
      <c r="AC323" s="1276"/>
      <c r="AD323" s="1276"/>
      <c r="AE323" s="1276"/>
      <c r="AF323" s="1276"/>
      <c r="AG323" s="3"/>
      <c r="AH323" s="3"/>
      <c r="AI323" s="85"/>
      <c r="AJ323" s="85"/>
      <c r="AK323" s="85"/>
    </row>
    <row r="324" spans="2:66" ht="12.75">
      <c r="B324" s="3" t="s">
        <v>1200</v>
      </c>
      <c r="C324" s="3"/>
      <c r="D324" s="3"/>
      <c r="E324" s="3"/>
      <c r="F324" s="3"/>
      <c r="G324" s="3"/>
      <c r="H324" s="1362" t="s">
        <v>1242</v>
      </c>
      <c r="I324" s="1362"/>
      <c r="J324" s="1362"/>
      <c r="K324" s="1362"/>
      <c r="L324" s="1362"/>
      <c r="M324" s="1362"/>
      <c r="N324" s="1362"/>
      <c r="O324" s="1362"/>
      <c r="P324" s="1362"/>
      <c r="Q324" s="1362"/>
      <c r="R324" s="1362"/>
      <c r="S324" s="3"/>
      <c r="T324" s="3" t="s">
        <v>1200</v>
      </c>
      <c r="V324" s="3"/>
      <c r="W324" s="3"/>
      <c r="X324" s="3"/>
      <c r="Y324" s="3"/>
      <c r="AA324" s="1362" t="s">
        <v>1243</v>
      </c>
      <c r="AB324" s="1362"/>
      <c r="AC324" s="1362"/>
      <c r="AD324" s="1362"/>
      <c r="AE324" s="1362"/>
      <c r="AF324" s="1362"/>
      <c r="AG324" s="1362"/>
      <c r="AH324" s="1362"/>
      <c r="AI324" s="1362"/>
      <c r="AJ324" s="1362"/>
      <c r="AK324" s="1362"/>
    </row>
    <row r="325" spans="2:66" ht="12.75">
      <c r="B325" s="3"/>
      <c r="C325" s="3"/>
      <c r="D325" s="3"/>
      <c r="E325" s="3"/>
      <c r="F325" s="3"/>
      <c r="G325" s="3"/>
      <c r="P325" s="1060"/>
      <c r="Q325" s="1060"/>
      <c r="R325" s="1060"/>
      <c r="S325" s="1060"/>
      <c r="T325" s="1060"/>
      <c r="U325" s="1060"/>
      <c r="V325" s="3"/>
      <c r="W325" s="3"/>
      <c r="X325" s="85"/>
      <c r="Y325" s="85"/>
      <c r="Z325" s="85"/>
    </row>
    <row r="326" spans="2:66" ht="12.75">
      <c r="B326" s="3" t="s">
        <v>1244</v>
      </c>
      <c r="C326" s="3"/>
      <c r="D326" s="3"/>
      <c r="E326" s="3"/>
      <c r="F326" s="3"/>
      <c r="H326" s="1213"/>
      <c r="I326" s="1213"/>
      <c r="J326" s="1213"/>
      <c r="K326" s="1213"/>
      <c r="L326" s="1213"/>
      <c r="M326" s="1213"/>
      <c r="N326" s="1213"/>
      <c r="O326" s="1213"/>
      <c r="P326" s="1213"/>
      <c r="Q326" s="1213"/>
      <c r="R326" s="1213"/>
      <c r="T326" s="3" t="s">
        <v>1245</v>
      </c>
      <c r="V326" s="3"/>
      <c r="W326" s="3"/>
      <c r="X326" s="3"/>
      <c r="Y326" s="3"/>
      <c r="AA326" s="1213"/>
      <c r="AB326" s="1213"/>
      <c r="AC326" s="1213"/>
      <c r="AD326" s="1213"/>
      <c r="AE326" s="1213"/>
      <c r="AF326" s="1213"/>
      <c r="AG326" s="1213"/>
      <c r="AH326" s="1213"/>
      <c r="AI326" s="1213"/>
      <c r="AJ326" s="1213"/>
      <c r="AK326" s="1213"/>
    </row>
    <row r="327" spans="2:66" ht="12.75">
      <c r="B327" s="3" t="s">
        <v>1193</v>
      </c>
      <c r="C327" s="3"/>
      <c r="D327" s="3"/>
      <c r="E327" s="3"/>
      <c r="F327" s="3"/>
      <c r="H327" s="1298"/>
      <c r="I327" s="1298"/>
      <c r="J327" s="1298"/>
      <c r="K327" s="1298"/>
      <c r="L327" s="1298"/>
      <c r="M327" s="1298"/>
      <c r="N327" s="1298"/>
      <c r="O327" s="1298"/>
      <c r="P327" s="1298"/>
      <c r="Q327" s="1298"/>
      <c r="R327" s="1298"/>
      <c r="T327" s="3" t="s">
        <v>1193</v>
      </c>
      <c r="V327" s="3"/>
      <c r="W327" s="3"/>
      <c r="X327" s="3"/>
      <c r="Y327" s="3"/>
      <c r="AA327" s="1298"/>
      <c r="AB327" s="1298"/>
      <c r="AC327" s="1298"/>
      <c r="AD327" s="1298"/>
      <c r="AE327" s="1298"/>
      <c r="AF327" s="1298"/>
      <c r="AG327" s="1298"/>
      <c r="AH327" s="1298"/>
      <c r="AI327" s="1298"/>
      <c r="AJ327" s="1298"/>
      <c r="AK327" s="1298"/>
    </row>
    <row r="328" spans="2:66" ht="12.75">
      <c r="B328" s="3" t="s">
        <v>1195</v>
      </c>
      <c r="C328" s="3"/>
      <c r="D328" s="3"/>
      <c r="E328" s="3"/>
      <c r="F328" s="3"/>
      <c r="H328" s="1298"/>
      <c r="I328" s="1298"/>
      <c r="J328" s="1298"/>
      <c r="K328" s="1298"/>
      <c r="L328" s="1298"/>
      <c r="M328" s="1298"/>
      <c r="N328" s="1298"/>
      <c r="O328" s="1298"/>
      <c r="P328" s="1298"/>
      <c r="Q328" s="1298"/>
      <c r="R328" s="1298"/>
      <c r="T328" s="3" t="s">
        <v>1197</v>
      </c>
      <c r="V328" s="3"/>
      <c r="W328" s="3"/>
      <c r="X328" s="3"/>
      <c r="Y328" s="3"/>
      <c r="AA328" s="1298"/>
      <c r="AB328" s="1298"/>
      <c r="AC328" s="1298"/>
      <c r="AD328" s="1298"/>
      <c r="AE328" s="1298"/>
      <c r="AF328" s="1298"/>
      <c r="AG328" s="1298"/>
      <c r="AH328" s="1298"/>
      <c r="AI328" s="1298"/>
      <c r="AJ328" s="1298"/>
      <c r="AK328" s="1298"/>
    </row>
    <row r="329" spans="2:66" ht="12.75">
      <c r="B329" s="3" t="s">
        <v>1141</v>
      </c>
      <c r="C329" s="3"/>
      <c r="D329" s="3"/>
      <c r="E329" s="3"/>
      <c r="F329" s="3"/>
      <c r="H329" s="1298"/>
      <c r="I329" s="1298"/>
      <c r="J329" s="1298"/>
      <c r="K329" s="1298"/>
      <c r="L329" s="1298"/>
      <c r="M329" s="1298"/>
      <c r="N329" s="1298"/>
      <c r="O329" s="1298"/>
      <c r="P329" s="1298"/>
      <c r="Q329" s="1298"/>
      <c r="R329" s="1298"/>
      <c r="T329" s="3" t="s">
        <v>1141</v>
      </c>
      <c r="V329" s="3"/>
      <c r="W329" s="3"/>
      <c r="X329" s="3"/>
      <c r="Y329" s="3"/>
      <c r="AA329" s="1298"/>
      <c r="AB329" s="1298"/>
      <c r="AC329" s="1298"/>
      <c r="AD329" s="1298"/>
      <c r="AE329" s="1298"/>
      <c r="AF329" s="1298"/>
      <c r="AG329" s="1298"/>
      <c r="AH329" s="1298"/>
      <c r="AI329" s="1298"/>
      <c r="AJ329" s="1298"/>
      <c r="AK329" s="1298"/>
    </row>
    <row r="330" spans="2:66" ht="12.75" customHeight="1">
      <c r="B330" s="3" t="s">
        <v>1143</v>
      </c>
      <c r="C330" s="3"/>
      <c r="D330" s="3"/>
      <c r="E330" s="3"/>
      <c r="F330" s="3"/>
      <c r="G330" s="3"/>
      <c r="H330" s="1383"/>
      <c r="I330" s="1383"/>
      <c r="J330" s="1383"/>
      <c r="K330" s="1383"/>
      <c r="L330" s="1383"/>
      <c r="M330" s="1383"/>
      <c r="N330" s="3" t="s">
        <v>1145</v>
      </c>
      <c r="O330" s="3"/>
      <c r="P330" s="1404"/>
      <c r="Q330" s="1404"/>
      <c r="R330" s="1404"/>
      <c r="S330" s="3"/>
      <c r="T330" s="3" t="s">
        <v>1143</v>
      </c>
      <c r="V330" s="3"/>
      <c r="W330" s="3"/>
      <c r="X330" s="3"/>
      <c r="Y330" s="3"/>
      <c r="AA330" s="1383"/>
      <c r="AB330" s="1383"/>
      <c r="AC330" s="1383"/>
      <c r="AD330" s="1383"/>
      <c r="AE330" s="1383"/>
      <c r="AF330" s="1383"/>
      <c r="AG330" s="3" t="s">
        <v>1145</v>
      </c>
      <c r="AH330" s="3"/>
      <c r="AI330" s="1404"/>
      <c r="AJ330" s="1404"/>
      <c r="AK330" s="1404"/>
    </row>
    <row r="331" spans="2:66" ht="12.75">
      <c r="B331" s="3" t="s">
        <v>1146</v>
      </c>
      <c r="C331" s="3"/>
      <c r="D331" s="3"/>
      <c r="E331" s="3"/>
      <c r="F331" s="3"/>
      <c r="G331" s="3"/>
      <c r="H331" s="1276"/>
      <c r="I331" s="1276"/>
      <c r="J331" s="1276"/>
      <c r="K331" s="1276"/>
      <c r="L331" s="1276"/>
      <c r="M331" s="1276"/>
      <c r="N331" s="3"/>
      <c r="O331" s="3"/>
      <c r="P331" s="85"/>
      <c r="Q331" s="85"/>
      <c r="R331" s="85"/>
      <c r="S331" s="3"/>
      <c r="T331" s="3" t="s">
        <v>1146</v>
      </c>
      <c r="V331" s="3"/>
      <c r="W331" s="3"/>
      <c r="X331" s="3"/>
      <c r="Y331" s="3"/>
      <c r="AA331" s="1276"/>
      <c r="AB331" s="1276"/>
      <c r="AC331" s="1276"/>
      <c r="AD331" s="1276"/>
      <c r="AE331" s="1276"/>
      <c r="AF331" s="1276"/>
      <c r="AG331" s="3"/>
      <c r="AH331" s="3"/>
      <c r="AI331" s="85"/>
      <c r="AJ331" s="85"/>
      <c r="AK331" s="85"/>
    </row>
    <row r="332" spans="2:66" ht="12.75">
      <c r="B332" s="3" t="s">
        <v>1200</v>
      </c>
      <c r="C332" s="3"/>
      <c r="D332" s="3"/>
      <c r="E332" s="3"/>
      <c r="F332" s="3"/>
      <c r="G332" s="3"/>
      <c r="H332" s="1298"/>
      <c r="I332" s="1298"/>
      <c r="J332" s="1298"/>
      <c r="K332" s="1298"/>
      <c r="L332" s="1298"/>
      <c r="M332" s="1298"/>
      <c r="N332" s="1213"/>
      <c r="O332" s="1213"/>
      <c r="P332" s="1213"/>
      <c r="Q332" s="1213"/>
      <c r="R332" s="1213"/>
      <c r="S332" s="3"/>
      <c r="T332" s="3" t="s">
        <v>1200</v>
      </c>
      <c r="V332" s="3"/>
      <c r="W332" s="3"/>
      <c r="X332" s="3"/>
      <c r="Y332" s="3"/>
      <c r="AA332" s="1298"/>
      <c r="AB332" s="1298"/>
      <c r="AC332" s="1298"/>
      <c r="AD332" s="1298"/>
      <c r="AE332" s="1298"/>
      <c r="AF332" s="1298"/>
      <c r="AG332" s="1213"/>
      <c r="AH332" s="1213"/>
      <c r="AI332" s="1213"/>
      <c r="AJ332" s="1213"/>
      <c r="AK332" s="1213"/>
    </row>
    <row r="333" spans="2:66" ht="12.75" customHeight="1">
      <c r="B333" s="3"/>
      <c r="C333" s="3"/>
      <c r="D333" s="3"/>
      <c r="E333" s="3"/>
      <c r="F333" s="3"/>
      <c r="G333" s="3"/>
      <c r="P333" s="1060"/>
      <c r="Q333" s="1060"/>
      <c r="R333" s="1060"/>
      <c r="S333" s="1060"/>
      <c r="T333" s="1060"/>
      <c r="U333" s="1060"/>
      <c r="V333" s="3"/>
      <c r="W333" s="3"/>
      <c r="X333" s="85"/>
      <c r="Y333" s="85"/>
      <c r="Z333" s="85"/>
    </row>
    <row r="334" spans="2:66" ht="12.75" customHeight="1">
      <c r="B334" s="3" t="s">
        <v>1246</v>
      </c>
      <c r="C334" s="3"/>
      <c r="D334" s="3"/>
      <c r="E334" s="3"/>
      <c r="F334" s="3"/>
      <c r="H334" s="1405" t="s">
        <v>1247</v>
      </c>
      <c r="I334" s="1405"/>
      <c r="J334" s="1405"/>
      <c r="K334" s="1405"/>
      <c r="L334" s="1405"/>
      <c r="M334" s="1405"/>
      <c r="N334" s="1405"/>
      <c r="O334" s="1405"/>
      <c r="P334" s="1405"/>
      <c r="Q334" s="1405"/>
      <c r="R334" s="1405"/>
      <c r="T334" s="143" t="s">
        <v>1248</v>
      </c>
      <c r="V334" s="3"/>
      <c r="W334" s="3"/>
      <c r="X334" s="3"/>
      <c r="Y334" s="3"/>
      <c r="AA334" s="1405" t="s">
        <v>1249</v>
      </c>
      <c r="AB334" s="1405"/>
      <c r="AC334" s="1405"/>
      <c r="AD334" s="1405"/>
      <c r="AE334" s="1405"/>
      <c r="AF334" s="1405"/>
      <c r="AG334" s="1405"/>
      <c r="AH334" s="1405"/>
      <c r="AI334" s="1405"/>
      <c r="AJ334" s="1405"/>
      <c r="AK334" s="1405"/>
    </row>
    <row r="335" spans="2:66" ht="12.75" customHeight="1">
      <c r="B335" s="3" t="s">
        <v>1193</v>
      </c>
      <c r="C335" s="3"/>
      <c r="D335" s="3"/>
      <c r="E335" s="3"/>
      <c r="F335" s="3"/>
      <c r="H335" s="1362" t="s">
        <v>1250</v>
      </c>
      <c r="I335" s="1362"/>
      <c r="J335" s="1362"/>
      <c r="K335" s="1362"/>
      <c r="L335" s="1362"/>
      <c r="M335" s="1362"/>
      <c r="N335" s="1362"/>
      <c r="O335" s="1362"/>
      <c r="P335" s="1362"/>
      <c r="Q335" s="1362"/>
      <c r="R335" s="1362"/>
      <c r="T335" s="3" t="s">
        <v>1193</v>
      </c>
      <c r="V335" s="3"/>
      <c r="W335" s="3"/>
      <c r="X335" s="3"/>
      <c r="Y335" s="3"/>
      <c r="AA335" s="1362" t="s">
        <v>1251</v>
      </c>
      <c r="AB335" s="1362"/>
      <c r="AC335" s="1362"/>
      <c r="AD335" s="1362"/>
      <c r="AE335" s="1362"/>
      <c r="AF335" s="1362"/>
      <c r="AG335" s="1362"/>
      <c r="AH335" s="1362"/>
      <c r="AI335" s="1362"/>
      <c r="AJ335" s="1362"/>
      <c r="AK335" s="1362"/>
    </row>
    <row r="336" spans="2:66" ht="12.75" customHeight="1">
      <c r="B336" s="3" t="s">
        <v>1197</v>
      </c>
      <c r="C336" s="3"/>
      <c r="D336" s="3"/>
      <c r="E336" s="3"/>
      <c r="F336" s="3"/>
      <c r="H336" s="1362" t="s">
        <v>1252</v>
      </c>
      <c r="I336" s="1362"/>
      <c r="J336" s="1362"/>
      <c r="K336" s="1362"/>
      <c r="L336" s="1362"/>
      <c r="M336" s="1362"/>
      <c r="N336" s="1362"/>
      <c r="O336" s="1362"/>
      <c r="P336" s="1362"/>
      <c r="Q336" s="1362"/>
      <c r="R336" s="1362"/>
      <c r="T336" s="3" t="s">
        <v>1197</v>
      </c>
      <c r="V336" s="3"/>
      <c r="W336" s="3"/>
      <c r="X336" s="3"/>
      <c r="Y336" s="3"/>
      <c r="AA336" s="1362" t="s">
        <v>1253</v>
      </c>
      <c r="AB336" s="1362"/>
      <c r="AC336" s="1362"/>
      <c r="AD336" s="1362"/>
      <c r="AE336" s="1362"/>
      <c r="AF336" s="1362"/>
      <c r="AG336" s="1362"/>
      <c r="AH336" s="1362"/>
      <c r="AI336" s="1362"/>
      <c r="AJ336" s="1362"/>
      <c r="AK336" s="1362"/>
    </row>
    <row r="337" spans="1:66" ht="12.75" customHeight="1">
      <c r="B337" s="3" t="s">
        <v>1141</v>
      </c>
      <c r="C337" s="3"/>
      <c r="D337" s="3"/>
      <c r="E337" s="3"/>
      <c r="F337" s="3"/>
      <c r="G337" s="3"/>
      <c r="H337" s="1362" t="s">
        <v>1254</v>
      </c>
      <c r="I337" s="1362"/>
      <c r="J337" s="1362"/>
      <c r="K337" s="1362"/>
      <c r="L337" s="1362"/>
      <c r="M337" s="1362"/>
      <c r="N337" s="1362"/>
      <c r="O337" s="1362"/>
      <c r="P337" s="1362"/>
      <c r="Q337" s="1362"/>
      <c r="R337" s="1362"/>
      <c r="T337" s="3" t="s">
        <v>1141</v>
      </c>
      <c r="V337" s="3"/>
      <c r="W337" s="3"/>
      <c r="X337" s="3"/>
      <c r="Y337" s="3"/>
      <c r="AA337" s="1362" t="s">
        <v>1255</v>
      </c>
      <c r="AB337" s="1362"/>
      <c r="AC337" s="1362"/>
      <c r="AD337" s="1362"/>
      <c r="AE337" s="1362"/>
      <c r="AF337" s="1362"/>
      <c r="AG337" s="1362"/>
      <c r="AH337" s="1362"/>
      <c r="AI337" s="1362"/>
      <c r="AJ337" s="1362"/>
      <c r="AK337" s="1362"/>
    </row>
    <row r="338" spans="1:66" ht="12.75" customHeight="1">
      <c r="B338" s="3" t="s">
        <v>1143</v>
      </c>
      <c r="C338" s="3"/>
      <c r="D338" s="3"/>
      <c r="E338" s="3"/>
      <c r="F338" s="3"/>
      <c r="G338" s="3"/>
      <c r="H338" s="1362" t="s">
        <v>1254</v>
      </c>
      <c r="I338" s="1362"/>
      <c r="J338" s="1362"/>
      <c r="K338" s="1362"/>
      <c r="L338" s="1362"/>
      <c r="M338" s="1362"/>
      <c r="N338" s="3" t="s">
        <v>1145</v>
      </c>
      <c r="O338" s="3"/>
      <c r="P338" s="1404"/>
      <c r="Q338" s="1404"/>
      <c r="R338" s="1404"/>
      <c r="S338" s="3"/>
      <c r="T338" s="3" t="s">
        <v>1143</v>
      </c>
      <c r="V338" s="3"/>
      <c r="W338" s="3"/>
      <c r="X338" s="3"/>
      <c r="Y338" s="3"/>
      <c r="AA338" s="1233" t="s">
        <v>1256</v>
      </c>
      <c r="AB338" s="1233"/>
      <c r="AC338" s="1233"/>
      <c r="AD338" s="1233"/>
      <c r="AE338" s="1233"/>
      <c r="AF338" s="1233"/>
      <c r="AG338" s="3" t="s">
        <v>1145</v>
      </c>
      <c r="AH338" s="3"/>
      <c r="AI338" s="1404"/>
      <c r="AJ338" s="1404"/>
      <c r="AK338" s="1404"/>
    </row>
    <row r="339" spans="1:66" ht="12.75">
      <c r="B339" s="3" t="s">
        <v>1146</v>
      </c>
      <c r="C339" s="3"/>
      <c r="D339" s="3"/>
      <c r="E339" s="3"/>
      <c r="F339" s="3"/>
      <c r="G339" s="3"/>
      <c r="H339" s="1276"/>
      <c r="I339" s="1276"/>
      <c r="J339" s="1276"/>
      <c r="K339" s="1276"/>
      <c r="L339" s="1276"/>
      <c r="M339" s="1276"/>
      <c r="N339" s="3"/>
      <c r="O339" s="3"/>
      <c r="P339" s="85"/>
      <c r="Q339" s="85"/>
      <c r="R339" s="85"/>
      <c r="S339" s="3"/>
      <c r="T339" s="3" t="s">
        <v>1146</v>
      </c>
      <c r="V339" s="3"/>
      <c r="W339" s="3"/>
      <c r="X339" s="3"/>
      <c r="Y339" s="3"/>
      <c r="AA339" s="1276"/>
      <c r="AB339" s="1276"/>
      <c r="AC339" s="1276"/>
      <c r="AD339" s="1276"/>
      <c r="AE339" s="1276"/>
      <c r="AF339" s="1276"/>
      <c r="AG339" s="3"/>
      <c r="AH339" s="3"/>
      <c r="AI339" s="85"/>
      <c r="AJ339" s="85"/>
      <c r="AK339" s="85"/>
    </row>
    <row r="340" spans="1:66" ht="12.75">
      <c r="B340" s="3" t="s">
        <v>1200</v>
      </c>
      <c r="C340" s="3"/>
      <c r="D340" s="3"/>
      <c r="E340" s="3"/>
      <c r="F340" s="3"/>
      <c r="G340" s="3"/>
      <c r="H340" s="1362" t="s">
        <v>1257</v>
      </c>
      <c r="I340" s="1362"/>
      <c r="J340" s="1362"/>
      <c r="K340" s="1362"/>
      <c r="L340" s="1362"/>
      <c r="M340" s="1362"/>
      <c r="N340" s="1362"/>
      <c r="O340" s="1362"/>
      <c r="P340" s="1362"/>
      <c r="Q340" s="1362"/>
      <c r="R340" s="1362"/>
      <c r="S340" s="3"/>
      <c r="T340" s="3" t="s">
        <v>1200</v>
      </c>
      <c r="V340" s="3"/>
      <c r="W340" s="3"/>
      <c r="X340" s="3"/>
      <c r="Y340" s="3"/>
      <c r="AA340" s="1298"/>
      <c r="AB340" s="1298"/>
      <c r="AC340" s="1298"/>
      <c r="AD340" s="1298"/>
      <c r="AE340" s="1298"/>
      <c r="AF340" s="1298"/>
      <c r="AG340" s="1213"/>
      <c r="AH340" s="1213"/>
      <c r="AI340" s="1213"/>
      <c r="AJ340" s="1213"/>
      <c r="AK340" s="1213"/>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1258</v>
      </c>
      <c r="P342" s="1213"/>
      <c r="Q342" s="1213"/>
      <c r="R342" s="1213"/>
      <c r="S342" s="1213"/>
      <c r="T342" s="1213"/>
      <c r="U342" s="1213"/>
      <c r="V342" s="1213"/>
      <c r="W342" s="1213"/>
      <c r="X342" s="1213"/>
      <c r="Y342" s="1213"/>
      <c r="Z342" s="1213"/>
      <c r="AA342" s="1213"/>
      <c r="AB342" s="1213"/>
      <c r="AC342" s="1213"/>
      <c r="AD342" s="1213"/>
      <c r="AE342" s="1213"/>
      <c r="BN342" t="s">
        <v>299</v>
      </c>
    </row>
    <row r="343" spans="1:66" ht="12.75">
      <c r="B343" s="3"/>
      <c r="C343" s="3"/>
      <c r="D343" s="3"/>
      <c r="E343" s="3"/>
      <c r="F343" s="3"/>
      <c r="I343" s="3" t="s">
        <v>1193</v>
      </c>
      <c r="P343" s="1298"/>
      <c r="Q343" s="1298"/>
      <c r="R343" s="1298"/>
      <c r="S343" s="1298"/>
      <c r="T343" s="1298"/>
      <c r="U343" s="1298"/>
      <c r="V343" s="1298"/>
      <c r="W343" s="1298"/>
      <c r="X343" s="1298"/>
      <c r="Y343" s="1298"/>
      <c r="Z343" s="1298"/>
      <c r="AA343" s="1298"/>
      <c r="AB343" s="1298"/>
      <c r="AC343" s="1298"/>
      <c r="AD343" s="1298"/>
      <c r="AE343" s="1298"/>
      <c r="BN343" t="s">
        <v>929</v>
      </c>
    </row>
    <row r="344" spans="1:66" ht="12.75">
      <c r="B344" s="3"/>
      <c r="C344" s="3"/>
      <c r="D344" s="3"/>
      <c r="E344" s="3"/>
      <c r="F344" s="3"/>
      <c r="I344" s="3" t="s">
        <v>1197</v>
      </c>
      <c r="P344" s="1298"/>
      <c r="Q344" s="1298"/>
      <c r="R344" s="1298"/>
      <c r="S344" s="1298"/>
      <c r="T344" s="1298"/>
      <c r="U344" s="1298"/>
      <c r="V344" s="1298"/>
      <c r="W344" s="1298"/>
      <c r="X344" s="1298"/>
      <c r="Y344" s="1298"/>
      <c r="Z344" s="1298"/>
      <c r="AA344" s="1298"/>
      <c r="AB344" s="1298"/>
      <c r="AC344" s="1298"/>
      <c r="AD344" s="1298"/>
      <c r="AE344" s="1298"/>
      <c r="BN344" t="s">
        <v>825</v>
      </c>
    </row>
    <row r="345" spans="1:66" ht="12.75">
      <c r="B345" s="3"/>
      <c r="C345" s="3"/>
      <c r="D345" s="3"/>
      <c r="E345" s="3"/>
      <c r="F345" s="3"/>
      <c r="G345" s="3"/>
      <c r="I345" s="3" t="s">
        <v>1141</v>
      </c>
      <c r="P345" s="1298"/>
      <c r="Q345" s="1298"/>
      <c r="R345" s="1298"/>
      <c r="S345" s="1298"/>
      <c r="T345" s="1298"/>
      <c r="U345" s="1298"/>
      <c r="V345" s="1298"/>
      <c r="W345" s="1298"/>
      <c r="X345" s="1298"/>
      <c r="Y345" s="1298"/>
      <c r="Z345" s="1298"/>
      <c r="AA345" s="1298"/>
      <c r="AB345" s="1298"/>
      <c r="AC345" s="1298"/>
      <c r="AD345" s="1298"/>
      <c r="AE345" s="1298"/>
    </row>
    <row r="346" spans="1:66" ht="12.75">
      <c r="B346" s="3"/>
      <c r="C346" s="3"/>
      <c r="D346" s="3"/>
      <c r="E346" s="3"/>
      <c r="F346" s="3"/>
      <c r="G346" s="3"/>
      <c r="H346" s="1061"/>
      <c r="I346" s="3" t="s">
        <v>1143</v>
      </c>
      <c r="P346" s="1276"/>
      <c r="Q346" s="1276"/>
      <c r="R346" s="1276"/>
      <c r="S346" s="1276"/>
      <c r="T346" s="1276"/>
      <c r="U346" s="1276"/>
      <c r="V346" s="1276"/>
      <c r="W346" s="1276"/>
      <c r="X346" s="1276"/>
      <c r="Y346" s="1276"/>
      <c r="Z346" s="1276"/>
      <c r="AA346" s="3" t="s">
        <v>1145</v>
      </c>
      <c r="AB346" s="3"/>
      <c r="AC346" s="1224"/>
      <c r="AD346" s="1224"/>
      <c r="AE346" s="1224"/>
      <c r="AF346" s="1061"/>
      <c r="AG346" s="3"/>
      <c r="AH346" s="3"/>
      <c r="AI346" s="3"/>
      <c r="AJ346" s="3"/>
      <c r="AK346" s="3"/>
    </row>
    <row r="347" spans="1:66" ht="12.75" customHeight="1">
      <c r="B347" s="3"/>
      <c r="C347" s="3"/>
      <c r="D347" s="3"/>
      <c r="E347" s="3"/>
      <c r="F347" s="3"/>
      <c r="G347" s="3"/>
      <c r="H347" s="1061"/>
      <c r="I347" s="3" t="s">
        <v>1146</v>
      </c>
      <c r="P347" s="1276"/>
      <c r="Q347" s="1276"/>
      <c r="R347" s="1276"/>
      <c r="S347" s="1276"/>
      <c r="T347" s="1276"/>
      <c r="U347" s="1276"/>
      <c r="V347" s="1276"/>
      <c r="W347" s="1276"/>
      <c r="X347" s="1276"/>
      <c r="Y347" s="1276"/>
      <c r="Z347" s="1276"/>
      <c r="AF347" s="1061"/>
      <c r="AG347" s="3"/>
      <c r="AH347" s="3"/>
      <c r="AI347" s="85"/>
      <c r="AJ347" s="85"/>
      <c r="AK347" s="85"/>
    </row>
    <row r="348" spans="1:66" ht="12.75">
      <c r="B348" s="3"/>
      <c r="C348" s="3"/>
      <c r="D348" s="3"/>
      <c r="E348" s="3"/>
      <c r="F348" s="3"/>
      <c r="G348" s="3"/>
      <c r="I348" s="3" t="s">
        <v>1200</v>
      </c>
      <c r="P348" s="1213"/>
      <c r="Q348" s="1213"/>
      <c r="R348" s="1213"/>
      <c r="S348" s="1213"/>
      <c r="T348" s="1213"/>
      <c r="U348" s="1213"/>
      <c r="V348" s="1213"/>
      <c r="W348" s="1213"/>
      <c r="X348" s="1213"/>
      <c r="Y348" s="1213"/>
      <c r="Z348" s="1213"/>
      <c r="AA348" s="1213"/>
      <c r="AB348" s="1213"/>
      <c r="AC348" s="1213"/>
      <c r="AD348" s="1213"/>
      <c r="AE348" s="1213"/>
    </row>
    <row r="349" spans="1:66" ht="12.75" customHeight="1">
      <c r="T349" s="8"/>
      <c r="U349" s="8"/>
      <c r="V349" s="8"/>
      <c r="W349" s="8"/>
      <c r="X349" s="8"/>
      <c r="Y349" s="8"/>
      <c r="Z349" s="8"/>
    </row>
    <row r="350" spans="1:66" ht="12.75">
      <c r="A350" s="1265" t="s">
        <v>1259</v>
      </c>
      <c r="B350" s="1265"/>
      <c r="C350" s="1265"/>
      <c r="D350" s="1265"/>
      <c r="E350" s="1265"/>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c r="AL350" s="1265"/>
      <c r="AM350" s="71"/>
      <c r="AN350" s="71"/>
      <c r="AO350" s="71"/>
      <c r="AP350" s="71"/>
      <c r="AQ350" s="71"/>
      <c r="AR350" s="71"/>
      <c r="AS350" s="71"/>
      <c r="AT350" s="71"/>
      <c r="AU350" s="71"/>
      <c r="AV350" s="71"/>
      <c r="AW350" s="71"/>
      <c r="AX350" s="71"/>
      <c r="AY350" s="71"/>
    </row>
    <row r="351" spans="1:66" ht="13.5" thickBot="1">
      <c r="A351" s="1266"/>
      <c r="B351" s="1266"/>
      <c r="C351" s="1266"/>
      <c r="D351" s="1266"/>
      <c r="E351" s="1266"/>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956</v>
      </c>
      <c r="B353" s="2"/>
      <c r="C353" s="2" t="s">
        <v>1260</v>
      </c>
    </row>
    <row r="354" spans="1:37" ht="12.75" customHeight="1">
      <c r="D354" t="s">
        <v>1261</v>
      </c>
      <c r="M354" s="1263" t="s">
        <v>825</v>
      </c>
      <c r="N354" s="1263"/>
      <c r="P354" t="s">
        <v>1262</v>
      </c>
      <c r="AJ354" s="1263" t="s">
        <v>299</v>
      </c>
      <c r="AK354" s="1263"/>
    </row>
    <row r="355" spans="1:37" ht="12.75" customHeight="1">
      <c r="D355" s="3" t="s">
        <v>1263</v>
      </c>
      <c r="M355" s="1263" t="s">
        <v>299</v>
      </c>
      <c r="N355" s="1263"/>
      <c r="P355" s="3" t="s">
        <v>1264</v>
      </c>
      <c r="AJ355" s="1331"/>
      <c r="AK355" s="1331"/>
    </row>
    <row r="356" spans="1:37" ht="12.75" customHeight="1">
      <c r="D356" t="s">
        <v>1265</v>
      </c>
      <c r="M356" s="1263" t="s">
        <v>299</v>
      </c>
      <c r="N356" s="1263"/>
      <c r="P356" t="s">
        <v>1266</v>
      </c>
      <c r="AJ356" s="1263" t="s">
        <v>299</v>
      </c>
      <c r="AK356" s="1263"/>
    </row>
    <row r="357" spans="1:37" ht="12.75" customHeight="1">
      <c r="D357" t="s">
        <v>1267</v>
      </c>
      <c r="M357" s="1263" t="s">
        <v>299</v>
      </c>
      <c r="N357" s="1263"/>
      <c r="Q357" s="3"/>
    </row>
    <row r="358" spans="1:37" ht="12.75" customHeight="1">
      <c r="Q358" s="3"/>
    </row>
    <row r="359" spans="1:37" ht="12.75" customHeight="1">
      <c r="Q359" s="3"/>
    </row>
    <row r="360" spans="1:37" ht="12.75" customHeight="1">
      <c r="A360" s="2" t="s">
        <v>992</v>
      </c>
      <c r="B360" s="2"/>
      <c r="C360" s="2" t="s">
        <v>1268</v>
      </c>
      <c r="D360" s="2"/>
    </row>
    <row r="361" spans="1:37" ht="12.75" customHeight="1">
      <c r="D361" s="32" t="s">
        <v>1269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1270</v>
      </c>
      <c r="E362" s="33"/>
      <c r="F362" s="33"/>
      <c r="G362" s="33"/>
      <c r="H362" s="33"/>
      <c r="I362" s="33"/>
      <c r="J362" s="33"/>
      <c r="K362" s="33"/>
      <c r="L362" s="33"/>
      <c r="M362" s="33"/>
      <c r="N362" s="1263" t="s">
        <v>299</v>
      </c>
      <c r="O362" s="1263"/>
      <c r="P362" s="33"/>
      <c r="Q362" s="33"/>
      <c r="R362" s="33"/>
      <c r="S362" s="33"/>
      <c r="T362" s="33"/>
      <c r="U362" s="33"/>
      <c r="V362" s="33"/>
      <c r="W362" s="33"/>
      <c r="X362" s="33"/>
      <c r="Y362" s="33"/>
      <c r="Z362" s="33"/>
      <c r="AC362" s="33"/>
      <c r="AD362" s="33"/>
      <c r="AE362" s="33"/>
    </row>
    <row r="363" spans="1:37" ht="12.75" customHeight="1">
      <c r="E363" t="s">
        <v>1271</v>
      </c>
      <c r="Y363" s="1263" t="s">
        <v>299</v>
      </c>
      <c r="Z363" s="1263"/>
    </row>
    <row r="364" spans="1:37" ht="12.75" customHeight="1">
      <c r="D364" s="3" t="s">
        <v>1272</v>
      </c>
      <c r="Q364" s="1213" t="s">
        <v>299</v>
      </c>
      <c r="R364" s="1213"/>
      <c r="S364" s="1213"/>
      <c r="T364" s="1213"/>
      <c r="U364" s="1213"/>
      <c r="V364" s="1213"/>
      <c r="W364" s="1213"/>
      <c r="X364" s="1213"/>
      <c r="Y364" s="1213"/>
      <c r="Z364" s="1213"/>
      <c r="AA364" s="1213"/>
      <c r="AB364" s="1213"/>
      <c r="AC364" s="1213"/>
      <c r="AD364" s="1213"/>
      <c r="AE364" s="1213"/>
      <c r="AF364" s="1213"/>
      <c r="AG364" s="1213"/>
    </row>
    <row r="365" spans="1:37" ht="12.75" customHeight="1">
      <c r="D365" t="s">
        <v>1273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1274</v>
      </c>
      <c r="E366" s="33"/>
      <c r="F366" s="33"/>
      <c r="G366" s="33"/>
      <c r="H366" s="33"/>
      <c r="I366" s="33"/>
      <c r="J366" s="1263" t="s">
        <v>299</v>
      </c>
      <c r="K366" s="1263"/>
      <c r="L366" s="33"/>
      <c r="M366" s="33"/>
      <c r="N366" s="33"/>
      <c r="O366" s="33"/>
      <c r="P366" s="33"/>
      <c r="Q366" s="33"/>
      <c r="R366" s="33"/>
      <c r="S366" s="33"/>
      <c r="T366" s="33"/>
      <c r="U366" s="33"/>
      <c r="V366" s="33"/>
      <c r="W366" s="33"/>
      <c r="X366" s="33"/>
      <c r="Y366" s="33"/>
      <c r="Z366" s="33"/>
      <c r="AC366" s="33"/>
      <c r="AD366" s="33"/>
      <c r="AE366" s="33"/>
    </row>
    <row r="367" spans="1:37" ht="12.75" customHeight="1">
      <c r="E367" s="1125" t="s">
        <v>1275</v>
      </c>
      <c r="F367" s="1125"/>
      <c r="G367" s="1125"/>
      <c r="H367" s="1125"/>
      <c r="I367" s="1125"/>
      <c r="J367" s="1125"/>
      <c r="K367" s="1125"/>
      <c r="L367" s="1125"/>
      <c r="M367" s="1125"/>
      <c r="N367" s="1125"/>
      <c r="O367" s="1125"/>
      <c r="P367" s="1125"/>
      <c r="Q367" s="1125"/>
      <c r="R367" s="1125"/>
      <c r="S367" s="1125"/>
      <c r="T367" s="1125"/>
      <c r="U367" s="1125"/>
      <c r="V367" s="1125"/>
      <c r="W367" s="1125"/>
      <c r="X367" s="1125"/>
      <c r="Y367" s="1125"/>
      <c r="Z367" s="1125"/>
      <c r="AA367" s="1125"/>
      <c r="AB367" s="1125"/>
      <c r="AC367" s="1125"/>
      <c r="AD367" s="1125"/>
      <c r="AE367" s="1125"/>
      <c r="AF367" s="1125"/>
      <c r="AG367" s="1125"/>
      <c r="AH367" s="1125"/>
    </row>
    <row r="368" spans="1:37" ht="12.75" customHeight="1">
      <c r="E368" s="1125"/>
      <c r="F368" s="1125"/>
      <c r="G368" s="1125"/>
      <c r="H368" s="1125"/>
      <c r="I368" s="1125"/>
      <c r="J368" s="1125"/>
      <c r="K368" s="1125"/>
      <c r="L368" s="1125"/>
      <c r="M368" s="1125"/>
      <c r="N368" s="1125"/>
      <c r="O368" s="1125"/>
      <c r="P368" s="1125"/>
      <c r="Q368" s="1125"/>
      <c r="R368" s="1125"/>
      <c r="S368" s="1125"/>
      <c r="T368" s="1125"/>
      <c r="U368" s="1125"/>
      <c r="V368" s="1125"/>
      <c r="W368" s="1125"/>
      <c r="X368" s="1125"/>
      <c r="Y368" s="1125"/>
      <c r="Z368" s="1125"/>
      <c r="AA368" s="1125"/>
      <c r="AB368" s="1125"/>
      <c r="AC368" s="1125"/>
      <c r="AD368" s="1125"/>
      <c r="AE368" s="1125"/>
      <c r="AF368" s="1125"/>
      <c r="AG368" s="1125"/>
      <c r="AH368" s="1125"/>
    </row>
    <row r="369" spans="1:36" ht="12.75" customHeight="1">
      <c r="E369" s="3" t="s">
        <v>1276</v>
      </c>
      <c r="F369" s="3"/>
      <c r="G369" s="3"/>
      <c r="H369" s="3"/>
      <c r="I369" s="3"/>
      <c r="J369" s="3"/>
      <c r="K369" s="3"/>
      <c r="L369" s="3"/>
      <c r="N369" s="1275"/>
      <c r="O369" s="1275"/>
      <c r="P369" s="1275"/>
      <c r="Q369" s="1275"/>
      <c r="R369" s="3"/>
      <c r="U369" s="3" t="s">
        <v>1277</v>
      </c>
      <c r="V369" s="3"/>
      <c r="W369" s="3"/>
      <c r="X369" s="3"/>
      <c r="Y369" s="3"/>
      <c r="Z369" s="3"/>
      <c r="AA369" s="3"/>
      <c r="AB369" s="3"/>
      <c r="AC369" s="1275"/>
      <c r="AD369" s="1275"/>
      <c r="AE369" s="1275"/>
      <c r="AF369" s="1275"/>
    </row>
    <row r="370" spans="1:36" ht="12.75" customHeight="1">
      <c r="E370" s="3" t="s">
        <v>1278</v>
      </c>
      <c r="F370" s="3"/>
      <c r="G370" s="3"/>
      <c r="H370" s="3"/>
      <c r="I370" s="3"/>
      <c r="J370" s="3"/>
      <c r="K370" s="3"/>
      <c r="L370" s="3"/>
      <c r="N370" s="1275"/>
      <c r="O370" s="1275"/>
      <c r="P370" s="1275"/>
      <c r="Q370" s="1275"/>
      <c r="R370" s="3"/>
      <c r="U370" s="3" t="s">
        <v>1279</v>
      </c>
      <c r="V370" s="3"/>
      <c r="W370" s="3"/>
      <c r="X370" s="3"/>
      <c r="Y370" s="3"/>
      <c r="Z370" s="3"/>
      <c r="AA370" s="3"/>
      <c r="AB370" s="3"/>
      <c r="AC370" s="1275"/>
      <c r="AD370" s="1275"/>
      <c r="AE370" s="1275"/>
      <c r="AF370" s="1275"/>
    </row>
    <row r="371" spans="1:36" ht="12.75" customHeight="1">
      <c r="E371" s="3" t="s">
        <v>1280</v>
      </c>
      <c r="F371" s="3"/>
      <c r="G371" s="3"/>
      <c r="H371" s="3"/>
      <c r="I371" s="3"/>
      <c r="J371" s="3"/>
      <c r="K371" s="3"/>
      <c r="L371" s="3"/>
      <c r="N371" s="1275"/>
      <c r="O371" s="1275"/>
      <c r="P371" s="1275"/>
      <c r="Q371" s="1275"/>
      <c r="R371" s="3"/>
      <c r="V371" s="3"/>
      <c r="W371" s="3"/>
      <c r="X371" s="3"/>
      <c r="Y371" s="3"/>
      <c r="Z371" s="3"/>
      <c r="AA371" s="3"/>
      <c r="AB371" s="3"/>
    </row>
    <row r="372" spans="1:36" ht="12.75" customHeight="1">
      <c r="E372" s="3" t="s">
        <v>1281</v>
      </c>
      <c r="F372" s="3"/>
      <c r="G372" s="3"/>
      <c r="H372" s="3"/>
      <c r="I372" s="3"/>
      <c r="J372" s="3"/>
      <c r="K372" s="3"/>
      <c r="L372" s="3"/>
      <c r="N372" s="1277"/>
      <c r="O372" s="1277"/>
      <c r="P372" s="1277"/>
      <c r="Q372" s="1277"/>
      <c r="R372" s="1277"/>
      <c r="S372" s="1277"/>
      <c r="T372" s="1277"/>
      <c r="U372" s="1277"/>
      <c r="V372" s="1277"/>
      <c r="W372" s="1277"/>
      <c r="X372" s="1277"/>
      <c r="Y372" s="1277"/>
      <c r="Z372" s="1277"/>
      <c r="AA372" s="1277"/>
      <c r="AB372" s="1277"/>
      <c r="AC372" s="1277"/>
      <c r="AD372" s="1277"/>
      <c r="AE372" s="1277"/>
      <c r="AF372" s="1277"/>
    </row>
    <row r="373" spans="1:36" ht="12.75" customHeight="1">
      <c r="E373" s="3"/>
      <c r="F373" s="3"/>
      <c r="G373" s="3"/>
      <c r="H373" s="3"/>
      <c r="I373" s="3"/>
      <c r="J373" s="3"/>
      <c r="K373" s="3"/>
      <c r="L373" s="3"/>
      <c r="N373" s="1278"/>
      <c r="O373" s="1278"/>
      <c r="P373" s="1278"/>
      <c r="Q373" s="1278"/>
      <c r="R373" s="1278"/>
      <c r="S373" s="1278"/>
      <c r="T373" s="1278"/>
      <c r="U373" s="1278"/>
      <c r="V373" s="1278"/>
      <c r="W373" s="1278"/>
      <c r="X373" s="1278"/>
      <c r="Y373" s="1278"/>
      <c r="Z373" s="1278"/>
      <c r="AA373" s="1278"/>
      <c r="AB373" s="1278"/>
      <c r="AC373" s="1278"/>
      <c r="AD373" s="1278"/>
      <c r="AE373" s="1278"/>
      <c r="AF373" s="1278"/>
    </row>
    <row r="374" spans="1:36" ht="12.75" customHeight="1">
      <c r="C374" s="445"/>
      <c r="E374" s="3"/>
      <c r="F374" s="3"/>
      <c r="G374" s="3"/>
      <c r="H374" s="3"/>
      <c r="I374" s="3"/>
      <c r="J374" s="3"/>
      <c r="K374" s="3"/>
      <c r="L374" s="3"/>
    </row>
    <row r="375" spans="1:36" ht="12.75" customHeight="1">
      <c r="D375" s="2" t="s">
        <v>1282</v>
      </c>
      <c r="E375" s="2"/>
      <c r="F375" s="3"/>
      <c r="G375" s="3"/>
      <c r="H375" s="3"/>
      <c r="I375" s="3"/>
      <c r="J375" s="3"/>
      <c r="K375" s="3"/>
      <c r="L375" s="3"/>
    </row>
    <row r="376" spans="1:36" ht="12.75" customHeight="1">
      <c r="E376" s="3" t="s">
        <v>1283</v>
      </c>
      <c r="F376" s="3"/>
      <c r="G376" s="3"/>
      <c r="H376" s="3"/>
      <c r="I376" s="3"/>
      <c r="J376" s="3"/>
      <c r="K376" s="3"/>
      <c r="L376" s="3"/>
      <c r="N376" t="s">
        <v>971</v>
      </c>
      <c r="Q376" t="s">
        <v>972</v>
      </c>
      <c r="S376" s="1302"/>
      <c r="T376" s="1302"/>
      <c r="U376" s="1" t="s">
        <v>973</v>
      </c>
      <c r="V376" s="1302"/>
      <c r="W376" s="1302"/>
      <c r="Y376" t="s">
        <v>971</v>
      </c>
      <c r="AB376" t="s">
        <v>972</v>
      </c>
      <c r="AD376" s="1302"/>
      <c r="AE376" s="1302"/>
      <c r="AF376" s="1" t="s">
        <v>973</v>
      </c>
      <c r="AG376" s="1302"/>
      <c r="AH376" s="1302"/>
    </row>
    <row r="377" spans="1:36" ht="12.75" customHeight="1">
      <c r="E377" s="3" t="s">
        <v>1284</v>
      </c>
      <c r="F377" s="3"/>
      <c r="G377" s="3"/>
      <c r="H377" s="3"/>
      <c r="I377" s="3"/>
      <c r="J377" s="3"/>
      <c r="K377" s="3"/>
      <c r="L377" s="3"/>
      <c r="N377" s="1302"/>
      <c r="O377" s="1302"/>
      <c r="P377" s="1302"/>
    </row>
    <row r="378" spans="1:36" ht="12.75" customHeight="1">
      <c r="E378" s="143" t="s">
        <v>1285</v>
      </c>
      <c r="F378" s="3"/>
      <c r="G378" s="3"/>
      <c r="H378" s="3"/>
      <c r="I378" s="3"/>
      <c r="J378" s="3"/>
      <c r="K378" s="3"/>
      <c r="L378" s="3"/>
      <c r="AG378" s="1382" t="s">
        <v>299</v>
      </c>
      <c r="AH378" s="1382"/>
    </row>
    <row r="379" spans="1:36" ht="12.75" customHeight="1">
      <c r="E379" s="3"/>
      <c r="F379" s="3"/>
      <c r="G379" s="3" t="s">
        <v>1286</v>
      </c>
      <c r="H379" s="3"/>
      <c r="I379" s="3"/>
      <c r="J379" s="3"/>
      <c r="K379" s="3"/>
      <c r="L379" s="3"/>
      <c r="AG379" s="1382" t="s">
        <v>299</v>
      </c>
      <c r="AH379" s="1382"/>
    </row>
    <row r="380" spans="1:36" ht="12.75" customHeight="1">
      <c r="E380" s="3"/>
      <c r="F380" s="3"/>
      <c r="G380" s="250" t="s">
        <v>1287</v>
      </c>
      <c r="H380" s="3"/>
      <c r="I380" s="3"/>
      <c r="J380" s="3"/>
      <c r="K380" s="3"/>
      <c r="L380" s="3"/>
      <c r="V380" s="1263" t="s">
        <v>299</v>
      </c>
      <c r="W380" s="1263"/>
      <c r="Y380" s="20" t="s">
        <v>1288</v>
      </c>
    </row>
    <row r="381" spans="1:36" ht="12.75" customHeight="1">
      <c r="E381" s="3" t="s">
        <v>1289</v>
      </c>
      <c r="F381" s="3"/>
      <c r="G381" s="3"/>
      <c r="H381" s="3"/>
      <c r="I381" s="3"/>
      <c r="J381" s="3"/>
      <c r="K381" s="3"/>
      <c r="L381" s="3"/>
      <c r="V381" s="1263" t="s">
        <v>299</v>
      </c>
      <c r="W381" s="1263"/>
      <c r="Y381" s="3" t="s">
        <v>1290</v>
      </c>
    </row>
    <row r="382" spans="1:36" ht="12.75" customHeight="1"/>
    <row r="383" spans="1:36" ht="12.75" customHeight="1">
      <c r="A383" s="2" t="s">
        <v>1291</v>
      </c>
      <c r="B383" s="2"/>
    </row>
    <row r="384" spans="1:36" ht="12.75" customHeight="1">
      <c r="D384" t="s">
        <v>1292</v>
      </c>
      <c r="J384" s="1360" t="s">
        <v>1293</v>
      </c>
      <c r="K384" s="1360"/>
      <c r="L384" s="1360"/>
      <c r="M384" s="1360"/>
      <c r="N384" s="1360"/>
      <c r="O384" s="1360"/>
      <c r="P384" s="1360"/>
      <c r="Q384" s="1360"/>
      <c r="R384" s="1360"/>
      <c r="S384" s="1360"/>
      <c r="T384" s="1360"/>
      <c r="U384" s="1360"/>
      <c r="V384" s="8" t="s">
        <v>1294</v>
      </c>
      <c r="W384" s="8"/>
      <c r="X384" s="8"/>
      <c r="Y384" s="8"/>
      <c r="Z384" s="8"/>
      <c r="AA384" s="8"/>
      <c r="AB384" s="8"/>
      <c r="AC384" s="1213"/>
      <c r="AD384" s="1213"/>
      <c r="AE384" s="1213"/>
      <c r="AF384" s="1213"/>
      <c r="AG384" s="1213"/>
      <c r="AH384" s="1213"/>
      <c r="AI384" s="1213"/>
      <c r="AJ384" s="1213"/>
    </row>
    <row r="385" spans="4:36" ht="12.75" customHeight="1">
      <c r="D385" s="3" t="s">
        <v>1295</v>
      </c>
      <c r="J385" s="1233" t="s">
        <v>1142</v>
      </c>
      <c r="K385" s="1233"/>
      <c r="L385" s="1233"/>
      <c r="M385" s="1233"/>
      <c r="N385" s="1233"/>
      <c r="O385" s="1233"/>
      <c r="P385" s="1233"/>
      <c r="Q385" s="1233"/>
      <c r="R385" s="1233"/>
      <c r="S385" s="1233"/>
      <c r="T385" s="1233"/>
      <c r="U385" s="1233"/>
      <c r="V385" s="3" t="s">
        <v>1295</v>
      </c>
      <c r="W385" s="8"/>
      <c r="X385" s="8"/>
      <c r="Y385" s="8"/>
      <c r="Z385" s="8"/>
      <c r="AA385" s="8"/>
      <c r="AB385" s="8"/>
      <c r="AC385" s="1213"/>
      <c r="AD385" s="1213"/>
      <c r="AE385" s="1213"/>
      <c r="AF385" s="1213"/>
      <c r="AG385" s="1213"/>
      <c r="AH385" s="1213"/>
      <c r="AI385" s="1213"/>
      <c r="AJ385" s="1213"/>
    </row>
    <row r="386" spans="4:36" ht="12.75" customHeight="1">
      <c r="D386" s="3" t="s">
        <v>908</v>
      </c>
      <c r="J386" s="1233" t="s">
        <v>1296</v>
      </c>
      <c r="K386" s="1233"/>
      <c r="L386" s="1233"/>
      <c r="M386" s="1233"/>
      <c r="N386" s="1233"/>
      <c r="O386" s="1233"/>
      <c r="P386" s="1233"/>
      <c r="Q386" s="1233"/>
      <c r="R386" s="1233"/>
      <c r="S386" s="1233"/>
      <c r="T386" s="1233"/>
      <c r="U386" s="1233"/>
      <c r="V386" s="3" t="s">
        <v>908</v>
      </c>
      <c r="W386" s="8"/>
      <c r="X386" s="8"/>
      <c r="Y386" s="8"/>
      <c r="Z386" s="8"/>
      <c r="AA386" s="8"/>
      <c r="AB386" s="8"/>
      <c r="AC386" s="1213"/>
      <c r="AD386" s="1213"/>
      <c r="AE386" s="1213"/>
      <c r="AF386" s="1213"/>
      <c r="AG386" s="1213"/>
      <c r="AH386" s="1213"/>
      <c r="AI386" s="1213"/>
      <c r="AJ386" s="1213"/>
    </row>
    <row r="387" spans="4:36" ht="12.75" customHeight="1">
      <c r="D387" t="s">
        <v>1297</v>
      </c>
      <c r="J387" s="1233" t="s">
        <v>1298</v>
      </c>
      <c r="K387" s="1233"/>
      <c r="L387" s="1233"/>
      <c r="M387" s="1233"/>
      <c r="N387" s="1233"/>
      <c r="O387" s="1233"/>
      <c r="P387" s="1233"/>
      <c r="Q387" s="1233"/>
      <c r="R387" s="1233"/>
      <c r="S387" s="1233"/>
      <c r="T387" s="1233"/>
      <c r="U387" s="1233"/>
      <c r="V387" s="1213" t="s">
        <v>1299</v>
      </c>
      <c r="W387" s="1213"/>
      <c r="X387" s="1213"/>
      <c r="Y387" s="1213"/>
      <c r="Z387" s="1213"/>
      <c r="AA387" s="1213"/>
      <c r="AB387" s="1213"/>
      <c r="AC387" s="1213"/>
      <c r="AD387" s="1213"/>
      <c r="AE387" s="1213"/>
      <c r="AF387" s="1213"/>
      <c r="AG387" s="1213"/>
      <c r="AH387" s="1213"/>
      <c r="AI387" s="1213"/>
      <c r="AJ387" s="1213"/>
    </row>
    <row r="388" spans="4:36" ht="12.75" customHeight="1">
      <c r="D388" t="s">
        <v>1300</v>
      </c>
      <c r="Q388" s="1431">
        <v>44335</v>
      </c>
      <c r="R388" s="1431"/>
      <c r="S388" s="1431"/>
      <c r="T388" s="1431"/>
      <c r="U388" s="1431"/>
      <c r="V388" t="s">
        <v>1301</v>
      </c>
      <c r="AI388" s="1263" t="s">
        <v>929</v>
      </c>
      <c r="AJ388" s="1263"/>
    </row>
    <row r="389" spans="4:36" ht="12.75" customHeight="1">
      <c r="D389" t="s">
        <v>1302</v>
      </c>
      <c r="Q389" s="1503"/>
      <c r="R389" s="1521"/>
      <c r="S389" s="1521"/>
      <c r="T389" s="1521"/>
      <c r="U389" s="1521"/>
      <c r="W389" s="19" t="s">
        <v>1303</v>
      </c>
      <c r="AG389" s="1264"/>
      <c r="AH389" s="1264"/>
      <c r="AI389" s="1264"/>
      <c r="AJ389" s="1264"/>
    </row>
    <row r="390" spans="4:36" ht="12.75" customHeight="1">
      <c r="D390" t="s">
        <v>1304</v>
      </c>
      <c r="Q390" s="1432">
        <v>2520000</v>
      </c>
      <c r="R390" s="1432"/>
      <c r="S390" s="1432"/>
      <c r="T390" s="1432"/>
      <c r="U390" s="1432"/>
      <c r="V390" s="3" t="s">
        <v>1305</v>
      </c>
      <c r="AG390" s="1274"/>
      <c r="AH390" s="1274"/>
      <c r="AI390" s="1274"/>
      <c r="AJ390" s="1274"/>
    </row>
    <row r="391" spans="4:36" ht="12.75" customHeight="1">
      <c r="D391" t="s">
        <v>1143</v>
      </c>
      <c r="I391" s="1383">
        <v>8584902340</v>
      </c>
      <c r="J391" s="1383"/>
      <c r="K391" s="1383"/>
      <c r="L391" s="1383"/>
      <c r="M391" s="1383"/>
      <c r="N391" s="1383"/>
      <c r="Q391" s="3" t="s">
        <v>1145</v>
      </c>
      <c r="S391" s="1430"/>
      <c r="T391" s="1430"/>
      <c r="U391" s="1430"/>
      <c r="V391" t="s">
        <v>1306</v>
      </c>
      <c r="AI391" s="1263" t="s">
        <v>929</v>
      </c>
      <c r="AJ391" s="1263"/>
    </row>
    <row r="392" spans="4:36" ht="12.75" customHeight="1">
      <c r="D392" t="s">
        <v>1307</v>
      </c>
      <c r="Q392" s="1235"/>
      <c r="R392" s="1235"/>
      <c r="S392" s="1235"/>
      <c r="T392" s="1235"/>
      <c r="U392" s="1235"/>
      <c r="V392" t="s">
        <v>1308</v>
      </c>
      <c r="AG392" s="1264"/>
      <c r="AH392" s="1264"/>
      <c r="AI392" s="1264"/>
      <c r="AJ392" s="1264"/>
    </row>
    <row r="393" spans="4:36" ht="12.75" customHeight="1">
      <c r="D393" t="s">
        <v>1309</v>
      </c>
      <c r="Q393" s="1386"/>
      <c r="R393" s="1386"/>
      <c r="S393" s="1386"/>
      <c r="T393" s="1386"/>
      <c r="U393" s="1386"/>
      <c r="V393" t="s">
        <v>1310</v>
      </c>
      <c r="AG393" s="1264"/>
      <c r="AH393" s="1264"/>
      <c r="AI393" s="1264"/>
      <c r="AJ393" s="1264"/>
    </row>
    <row r="394" spans="4:36" ht="12.75">
      <c r="D394" t="s">
        <v>1311</v>
      </c>
      <c r="AG394" s="1264"/>
      <c r="AH394" s="1264"/>
      <c r="AI394" s="1264"/>
      <c r="AJ394" s="1264"/>
    </row>
    <row r="395" spans="4:36" ht="12.75">
      <c r="AG395" s="1062"/>
      <c r="AH395" s="1062"/>
      <c r="AI395" s="1062"/>
      <c r="AJ395" s="1062"/>
    </row>
    <row r="396" spans="4:36" ht="12.75">
      <c r="D396" s="3" t="s">
        <v>1312</v>
      </c>
      <c r="AG396" s="1062"/>
      <c r="AH396" s="1062"/>
      <c r="AI396" s="1263" t="s">
        <v>825</v>
      </c>
      <c r="AJ396" s="1263"/>
    </row>
    <row r="397" spans="4:36" ht="12.75">
      <c r="D397" s="3" t="s">
        <v>1313</v>
      </c>
      <c r="T397" s="1247" t="s">
        <v>1293</v>
      </c>
      <c r="U397" s="1247"/>
      <c r="V397" s="1247"/>
      <c r="W397" s="1247"/>
      <c r="X397" s="1247"/>
      <c r="Y397" s="1247"/>
      <c r="Z397" s="1247"/>
      <c r="AA397" s="1247"/>
      <c r="AB397" s="1247"/>
      <c r="AC397" s="1247"/>
      <c r="AD397" s="1247"/>
      <c r="AE397" s="1247"/>
      <c r="AF397" s="1247"/>
      <c r="AG397" s="1247"/>
      <c r="AH397" s="1247"/>
      <c r="AI397" s="1247"/>
      <c r="AJ397" s="1247"/>
    </row>
    <row r="398" spans="4:36" ht="12.75">
      <c r="D398" s="3" t="s">
        <v>1314</v>
      </c>
      <c r="T398" s="1247"/>
      <c r="U398" s="1247"/>
      <c r="V398" s="1247"/>
      <c r="W398" s="1247"/>
      <c r="X398" s="1247"/>
      <c r="Y398" s="1247"/>
      <c r="Z398" s="1247"/>
      <c r="AA398" s="1247"/>
      <c r="AB398" s="1247"/>
      <c r="AC398" s="1247"/>
      <c r="AD398" s="1247"/>
      <c r="AE398" s="1247"/>
      <c r="AF398" s="1247"/>
      <c r="AG398" s="1247"/>
      <c r="AH398" s="1247"/>
      <c r="AI398" s="1247"/>
      <c r="AJ398" s="1247"/>
    </row>
    <row r="399" spans="4:36" ht="12.75">
      <c r="AG399" s="1062"/>
      <c r="AH399" s="1062"/>
      <c r="AI399" s="1062"/>
      <c r="AJ399" s="1062"/>
    </row>
    <row r="400" spans="4:36" ht="12.75">
      <c r="D400" s="3" t="s">
        <v>1315</v>
      </c>
      <c r="S400" s="1247" t="s">
        <v>929</v>
      </c>
      <c r="T400" s="1247"/>
      <c r="U400" s="1247"/>
      <c r="V400" t="s">
        <v>1316</v>
      </c>
      <c r="AG400" s="1346"/>
      <c r="AH400" s="1346"/>
      <c r="AI400" s="1346"/>
      <c r="AJ400" s="1346"/>
    </row>
    <row r="401" spans="1:36" ht="12.75">
      <c r="D401" s="3" t="s">
        <v>1317</v>
      </c>
      <c r="S401" s="1247" t="s">
        <v>299</v>
      </c>
      <c r="T401" s="1247"/>
      <c r="U401" s="1247"/>
      <c r="V401" t="s">
        <v>1318</v>
      </c>
      <c r="AE401" s="1347"/>
      <c r="AF401" s="1347"/>
      <c r="AG401" s="1347"/>
      <c r="AH401" s="1347"/>
      <c r="AI401" s="1347"/>
      <c r="AJ401" s="1347"/>
    </row>
    <row r="402" spans="1:36" ht="12.75">
      <c r="D402" s="3" t="s">
        <v>1319</v>
      </c>
      <c r="K402" s="1285"/>
      <c r="L402" s="1285"/>
      <c r="M402" s="1285"/>
      <c r="N402" s="1285"/>
      <c r="O402" s="1285"/>
      <c r="P402" s="1285"/>
      <c r="Q402" s="1285"/>
      <c r="R402" s="1285"/>
      <c r="S402" s="1285"/>
      <c r="T402" s="1285"/>
      <c r="U402" s="1285"/>
      <c r="V402" s="1285"/>
      <c r="W402" s="1285"/>
      <c r="X402" s="1285"/>
      <c r="Y402" s="1285"/>
      <c r="Z402" s="1285"/>
      <c r="AA402" s="1285"/>
      <c r="AB402" s="1285"/>
      <c r="AC402" s="1285"/>
      <c r="AD402" s="1285"/>
      <c r="AE402" s="1285"/>
      <c r="AF402" s="1285"/>
      <c r="AG402" s="1285"/>
      <c r="AH402" s="1285"/>
      <c r="AI402" s="1285"/>
      <c r="AJ402" s="1285"/>
    </row>
    <row r="403" spans="1:36" ht="12.75">
      <c r="D403" s="3" t="s">
        <v>1320</v>
      </c>
      <c r="K403" s="1285"/>
      <c r="L403" s="1285"/>
      <c r="M403" s="1285"/>
      <c r="N403" s="1285"/>
      <c r="O403" s="1285"/>
      <c r="P403" s="1285"/>
      <c r="Q403" s="1285"/>
      <c r="R403" s="1285"/>
      <c r="S403" s="1285"/>
      <c r="T403" s="1285"/>
      <c r="U403" s="1285"/>
      <c r="V403" s="1285"/>
      <c r="W403" s="1285"/>
      <c r="X403" s="1285"/>
      <c r="Y403" s="1285"/>
      <c r="Z403" s="1285"/>
      <c r="AA403" s="1285"/>
      <c r="AB403" s="1285"/>
      <c r="AC403" s="1285"/>
      <c r="AD403" s="1285"/>
      <c r="AE403" s="1285"/>
      <c r="AF403" s="1285"/>
      <c r="AG403" s="1285"/>
      <c r="AH403" s="1285"/>
      <c r="AI403" s="1285"/>
      <c r="AJ403" s="1285"/>
    </row>
    <row r="404" spans="1:36" ht="12.75" customHeight="1">
      <c r="D404" s="3" t="s">
        <v>1321</v>
      </c>
      <c r="E404" s="411"/>
      <c r="F404" s="411"/>
      <c r="G404" s="411"/>
      <c r="H404" s="411"/>
      <c r="I404" s="411"/>
      <c r="J404" s="411"/>
      <c r="K404" s="411"/>
      <c r="L404" s="411"/>
      <c r="M404" s="411"/>
      <c r="N404" s="411"/>
      <c r="O404" s="411"/>
      <c r="P404" s="411"/>
      <c r="Q404" s="411"/>
      <c r="R404" s="411"/>
      <c r="S404" s="1348" t="s">
        <v>1322</v>
      </c>
      <c r="T404" s="1348"/>
      <c r="U404" s="1348"/>
      <c r="V404" s="1348"/>
      <c r="W404" s="1348"/>
      <c r="X404" s="1348"/>
      <c r="Y404" s="1348"/>
      <c r="Z404" s="1348"/>
      <c r="AA404" s="1348"/>
      <c r="AB404" s="1348"/>
      <c r="AC404" s="1348"/>
      <c r="AD404" s="1348"/>
      <c r="AE404" s="1348"/>
      <c r="AF404" s="1348"/>
      <c r="AG404" s="1348"/>
      <c r="AH404" s="1348"/>
      <c r="AI404" s="1348"/>
      <c r="AJ404" s="1348"/>
    </row>
    <row r="405" spans="1:36" ht="12.75">
      <c r="D405" s="1130" t="s">
        <v>1323</v>
      </c>
      <c r="E405" s="1130"/>
      <c r="F405" s="1130"/>
      <c r="G405" s="1130"/>
      <c r="H405" s="1130"/>
      <c r="I405" s="1130"/>
      <c r="J405" s="1130"/>
      <c r="K405" s="1130"/>
      <c r="L405" s="1130"/>
      <c r="M405" s="1130"/>
      <c r="N405" s="1130"/>
      <c r="O405" s="1130"/>
      <c r="P405" s="1130"/>
      <c r="Q405" s="1130"/>
      <c r="R405" s="1130"/>
      <c r="S405" s="1130"/>
      <c r="T405" s="1130"/>
      <c r="U405" s="1130"/>
      <c r="V405" s="1130"/>
      <c r="W405" s="1130"/>
      <c r="X405" s="1130"/>
      <c r="Y405" s="1130"/>
      <c r="Z405" s="1130"/>
      <c r="AA405" s="1130"/>
      <c r="AB405" s="1130"/>
      <c r="AC405" s="1130"/>
      <c r="AD405" s="1130"/>
      <c r="AE405" s="1130"/>
      <c r="AF405" s="1130"/>
      <c r="AG405" s="1130"/>
      <c r="AH405" s="1130"/>
      <c r="AI405" s="1130"/>
      <c r="AJ405" s="1130"/>
    </row>
    <row r="406" spans="1:36" ht="12.75">
      <c r="D406" s="1130"/>
      <c r="E406" s="1130"/>
      <c r="F406" s="1130"/>
      <c r="G406" s="1130"/>
      <c r="H406" s="1130"/>
      <c r="I406" s="1130"/>
      <c r="J406" s="1130"/>
      <c r="K406" s="1130"/>
      <c r="L406" s="1130"/>
      <c r="M406" s="1130"/>
      <c r="N406" s="1130"/>
      <c r="O406" s="1130"/>
      <c r="P406" s="1130"/>
      <c r="Q406" s="1130"/>
      <c r="R406" s="1130"/>
      <c r="S406" s="1130"/>
      <c r="T406" s="1130"/>
      <c r="U406" s="1130"/>
      <c r="V406" s="1130"/>
      <c r="W406" s="1130"/>
      <c r="X406" s="1130"/>
      <c r="Y406" s="1130"/>
      <c r="Z406" s="1130"/>
      <c r="AA406" s="1130"/>
      <c r="AB406" s="1130"/>
      <c r="AC406" s="1130"/>
      <c r="AD406" s="1130"/>
      <c r="AE406" s="1130"/>
      <c r="AF406" s="1130"/>
      <c r="AG406" s="1130"/>
      <c r="AH406" s="1130"/>
      <c r="AI406" s="1130"/>
      <c r="AJ406" s="1130"/>
    </row>
    <row r="407" spans="1:36" ht="12.75">
      <c r="AG407" s="1062"/>
      <c r="AH407" s="1062"/>
      <c r="AI407" s="1062"/>
      <c r="AJ407" s="1062"/>
    </row>
    <row r="408" spans="1:36" ht="12.75">
      <c r="A408" s="2" t="s">
        <v>1086</v>
      </c>
      <c r="B408" s="2"/>
      <c r="C408" s="2" t="s">
        <v>144</v>
      </c>
    </row>
    <row r="409" spans="1:36" ht="12.75" customHeight="1">
      <c r="B409" s="2"/>
      <c r="C409" s="2"/>
      <c r="D409" s="2" t="s">
        <v>1324</v>
      </c>
      <c r="I409" s="1404" t="s">
        <v>1325</v>
      </c>
      <c r="J409" s="1404"/>
      <c r="K409" s="1404"/>
      <c r="L409" s="1404"/>
      <c r="M409" s="1404"/>
      <c r="N409" s="1404"/>
      <c r="O409" s="1404"/>
      <c r="P409" s="1404"/>
      <c r="Q409" s="1404"/>
      <c r="R409" s="1404"/>
      <c r="S409" s="1404"/>
      <c r="T409" s="1404"/>
      <c r="U409" s="1404"/>
      <c r="V409" s="1404"/>
      <c r="W409" s="1404"/>
      <c r="X409" s="1404"/>
      <c r="Y409" s="1404"/>
      <c r="Z409" s="1404"/>
      <c r="AA409" s="1404"/>
      <c r="AB409" s="1404"/>
      <c r="AC409" s="1404"/>
      <c r="AD409" s="1404"/>
      <c r="AE409" s="1404"/>
    </row>
    <row r="410" spans="1:36" ht="12.75" customHeight="1">
      <c r="E410" t="s">
        <v>1326</v>
      </c>
      <c r="R410" s="1263" t="s">
        <v>825</v>
      </c>
      <c r="S410" s="1263"/>
      <c r="T410" t="s">
        <v>1327</v>
      </c>
      <c r="AD410" s="1275">
        <v>4</v>
      </c>
      <c r="AE410" s="1275"/>
    </row>
    <row r="411" spans="1:36" ht="12.75">
      <c r="E411" t="s">
        <v>1328</v>
      </c>
      <c r="R411" s="1263" t="s">
        <v>299</v>
      </c>
      <c r="S411" s="1263"/>
      <c r="T411" t="s">
        <v>1327</v>
      </c>
      <c r="AD411" s="1275">
        <v>0</v>
      </c>
      <c r="AE411" s="1275"/>
    </row>
    <row r="412" spans="1:36" ht="12.75" customHeight="1">
      <c r="E412" t="s">
        <v>1329</v>
      </c>
      <c r="S412" s="1263" t="s">
        <v>299</v>
      </c>
      <c r="T412" s="1263"/>
    </row>
    <row r="413" spans="1:36" ht="12.75" customHeight="1">
      <c r="E413" t="s">
        <v>232</v>
      </c>
      <c r="H413" s="1384" t="s">
        <v>1330</v>
      </c>
      <c r="I413" s="1384"/>
      <c r="J413" s="1384"/>
      <c r="K413" s="1384"/>
      <c r="L413" s="1384"/>
      <c r="M413" s="1384"/>
      <c r="N413" s="1384"/>
      <c r="O413" s="1384"/>
      <c r="P413" s="1384"/>
      <c r="Q413" s="1384"/>
      <c r="R413" s="1384"/>
      <c r="S413" s="1384"/>
      <c r="T413" s="1384"/>
      <c r="U413" s="1384"/>
      <c r="V413" s="1384"/>
      <c r="W413" s="1384"/>
      <c r="X413" s="1384"/>
      <c r="Y413" s="1384"/>
      <c r="Z413" s="1384"/>
      <c r="AA413" s="1384"/>
      <c r="AB413" s="1384"/>
      <c r="AC413" s="1384"/>
      <c r="AD413" s="1384"/>
      <c r="AE413" s="1384"/>
    </row>
    <row r="414" spans="1:36" ht="12.75" customHeight="1">
      <c r="H414" s="1385"/>
      <c r="I414" s="1385"/>
      <c r="J414" s="1385"/>
      <c r="K414" s="1385"/>
      <c r="L414" s="1385"/>
      <c r="M414" s="1385"/>
      <c r="N414" s="1385"/>
      <c r="O414" s="1385"/>
      <c r="P414" s="1385"/>
      <c r="Q414" s="1385"/>
      <c r="R414" s="1385"/>
      <c r="S414" s="1385"/>
      <c r="T414" s="1385"/>
      <c r="U414" s="1385"/>
      <c r="V414" s="1385"/>
      <c r="W414" s="1385"/>
      <c r="X414" s="1385"/>
      <c r="Y414" s="1385"/>
      <c r="Z414" s="1385"/>
      <c r="AA414" s="1385"/>
      <c r="AB414" s="1385"/>
      <c r="AC414" s="1385"/>
      <c r="AD414" s="1385"/>
      <c r="AE414" s="1385"/>
    </row>
    <row r="415" spans="1:36" ht="12.75" customHeight="1"/>
    <row r="416" spans="1:36" ht="12.75" customHeight="1">
      <c r="A416" s="2" t="s">
        <v>1098</v>
      </c>
      <c r="B416" s="2"/>
      <c r="C416" s="2"/>
      <c r="D416" s="2" t="s">
        <v>149</v>
      </c>
      <c r="AF416" s="2" t="s">
        <v>1331</v>
      </c>
    </row>
    <row r="417" spans="1:39" ht="12.75" customHeight="1">
      <c r="E417" s="1302"/>
      <c r="F417" s="1302"/>
      <c r="G417" s="1302"/>
      <c r="H417" s="13" t="s">
        <v>1332</v>
      </c>
      <c r="I417" s="1302"/>
      <c r="J417" s="1302"/>
      <c r="K417" s="1302"/>
      <c r="L417" t="s">
        <v>1333</v>
      </c>
      <c r="N417" s="24" t="s">
        <v>35</v>
      </c>
      <c r="P417" s="1393">
        <v>3.13</v>
      </c>
      <c r="Q417" s="1393"/>
      <c r="R417" s="1393"/>
      <c r="S417" t="s">
        <v>1334</v>
      </c>
      <c r="W417" s="1300">
        <f>IF(E417&gt;0,(E417*I417),(P417*43560))</f>
        <v>136342.79999999999</v>
      </c>
      <c r="X417" s="1300"/>
      <c r="Y417" s="1300"/>
      <c r="Z417" t="s">
        <v>1335</v>
      </c>
      <c r="AF417" s="1403">
        <f>IF(P417&gt;0,(AG436/P417),(AG436/(W417/43560)))</f>
        <v>38.33865814696486</v>
      </c>
      <c r="AG417" s="1403"/>
      <c r="AH417" s="1403"/>
      <c r="AM417" s="3"/>
    </row>
    <row r="418" spans="1:39" ht="12.75">
      <c r="E418" t="s">
        <v>1336</v>
      </c>
    </row>
    <row r="419" spans="1:39" ht="12.75" customHeight="1">
      <c r="E419" s="1321"/>
      <c r="F419" s="1321"/>
      <c r="G419" s="1321"/>
      <c r="H419" s="1321"/>
      <c r="I419" s="1321"/>
      <c r="J419" s="1321"/>
      <c r="K419" s="1321"/>
      <c r="L419" s="1321"/>
      <c r="M419" s="1321"/>
      <c r="N419" s="1321"/>
      <c r="O419" s="1321"/>
      <c r="P419" s="1321"/>
      <c r="Q419" s="1321"/>
      <c r="R419" s="1321"/>
      <c r="S419" s="1321"/>
      <c r="T419" s="1321"/>
      <c r="U419" s="1321"/>
      <c r="V419" s="1321"/>
      <c r="W419" s="1321"/>
      <c r="X419" s="1321"/>
      <c r="Y419" s="1321"/>
      <c r="Z419" s="1321"/>
      <c r="AA419" s="1321"/>
      <c r="AB419" s="1321"/>
      <c r="AC419" s="1321"/>
      <c r="AD419" s="1321"/>
      <c r="AE419" s="1321"/>
      <c r="AF419" s="1321"/>
      <c r="AG419" s="1321"/>
      <c r="AH419" s="1321"/>
      <c r="AI419" s="1321"/>
      <c r="AJ419" s="1321"/>
    </row>
    <row r="420" spans="1:39" ht="12.75" customHeight="1">
      <c r="E420" s="85" t="s">
        <v>1337</v>
      </c>
      <c r="F420" s="19"/>
      <c r="G420" s="19"/>
      <c r="H420" s="19"/>
      <c r="I420" s="1549"/>
      <c r="J420" s="1549"/>
      <c r="K420" s="1549"/>
      <c r="L420" s="19"/>
      <c r="M420" s="85"/>
      <c r="N420" s="19"/>
      <c r="O420" s="19"/>
      <c r="P420" s="1577" t="e">
        <f>(CS637+CS645+CS661)/I420</f>
        <v>#DIV/0!</v>
      </c>
      <c r="Q420" s="1577"/>
      <c r="R420" s="1577"/>
      <c r="S420" s="85" t="s">
        <v>1338</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1121</v>
      </c>
      <c r="B422" s="2"/>
      <c r="C422" s="2"/>
      <c r="D422" s="2" t="s">
        <v>151</v>
      </c>
    </row>
    <row r="423" spans="1:39" ht="12.75">
      <c r="E423" t="s">
        <v>1339</v>
      </c>
      <c r="P423" s="1263">
        <v>2</v>
      </c>
      <c r="Q423" s="1263"/>
      <c r="S423" t="s">
        <v>1340</v>
      </c>
      <c r="AE423" s="1263">
        <v>2</v>
      </c>
      <c r="AF423" s="1263"/>
    </row>
    <row r="424" spans="1:39" ht="12.75">
      <c r="E424" t="s">
        <v>1341</v>
      </c>
      <c r="P424" s="1263">
        <v>0</v>
      </c>
      <c r="Q424" s="1263"/>
      <c r="S424" t="s">
        <v>1342</v>
      </c>
      <c r="AE424" s="1263" t="s">
        <v>299</v>
      </c>
      <c r="AF424" s="1263"/>
    </row>
    <row r="425" spans="1:39" ht="12.75">
      <c r="F425" s="20" t="s">
        <v>1343</v>
      </c>
    </row>
    <row r="426" spans="1:39" ht="12.75">
      <c r="F426" s="1283"/>
      <c r="G426" s="1283"/>
      <c r="H426" s="1283"/>
      <c r="I426" s="1283"/>
      <c r="J426" s="1283"/>
      <c r="K426" s="1283"/>
      <c r="L426" s="1283"/>
      <c r="M426" s="1283"/>
      <c r="N426" s="1283"/>
      <c r="O426" s="1283"/>
      <c r="P426" s="1283"/>
      <c r="Q426" s="1283"/>
      <c r="R426" s="1283"/>
      <c r="S426" s="1283"/>
      <c r="T426" s="1283"/>
      <c r="U426" s="1283"/>
      <c r="V426" s="1283"/>
      <c r="W426" s="1283"/>
      <c r="X426" s="1283"/>
      <c r="Y426" s="1283"/>
      <c r="Z426" s="1283"/>
      <c r="AA426" s="1283"/>
      <c r="AB426" s="1283"/>
      <c r="AC426" s="1283"/>
      <c r="AD426" s="1283"/>
      <c r="AE426" s="1283"/>
      <c r="AF426" s="1283"/>
      <c r="AG426" s="1283"/>
      <c r="AH426" s="1283"/>
    </row>
    <row r="427" spans="1:39" ht="12.75" customHeight="1">
      <c r="F427" s="1284"/>
      <c r="G427" s="1284"/>
      <c r="H427" s="1284"/>
      <c r="I427" s="1284"/>
      <c r="J427" s="1284"/>
      <c r="K427" s="1284"/>
      <c r="L427" s="1284"/>
      <c r="M427" s="1284"/>
      <c r="N427" s="1284"/>
      <c r="O427" s="1284"/>
      <c r="P427" s="1284"/>
      <c r="Q427" s="1284"/>
      <c r="R427" s="1284"/>
      <c r="S427" s="1284"/>
      <c r="T427" s="1284"/>
      <c r="U427" s="1284"/>
      <c r="V427" s="1284"/>
      <c r="W427" s="1284"/>
      <c r="X427" s="1284"/>
      <c r="Y427" s="1284"/>
      <c r="Z427" s="1284"/>
      <c r="AA427" s="1284"/>
      <c r="AB427" s="1284"/>
      <c r="AC427" s="1284"/>
      <c r="AD427" s="1284"/>
      <c r="AE427" s="1284"/>
      <c r="AF427" s="1284"/>
      <c r="AG427" s="1284"/>
      <c r="AH427" s="1284"/>
    </row>
    <row r="428" spans="1:39" ht="12.75" customHeight="1">
      <c r="E428" t="s">
        <v>1344</v>
      </c>
      <c r="P428" s="1"/>
      <c r="Q428" s="1263" t="s">
        <v>929</v>
      </c>
      <c r="R428" s="1263"/>
    </row>
    <row r="429" spans="1:39" ht="12.75" customHeight="1">
      <c r="F429" t="s">
        <v>1345</v>
      </c>
      <c r="P429" s="1"/>
      <c r="Q429" s="1"/>
      <c r="AF429" s="1263" t="s">
        <v>299</v>
      </c>
      <c r="AG429" s="1301"/>
    </row>
    <row r="430" spans="1:39" ht="12.75" customHeight="1"/>
    <row r="431" spans="1:39" ht="12.75" customHeight="1">
      <c r="A431" s="2"/>
      <c r="B431" s="2"/>
      <c r="C431" s="2"/>
      <c r="E431" s="3" t="s">
        <v>1346</v>
      </c>
      <c r="Z431" s="1263" t="s">
        <v>929</v>
      </c>
      <c r="AA431" s="1263"/>
    </row>
    <row r="432" spans="1:39" ht="12.75" customHeight="1">
      <c r="F432" s="32" t="s">
        <v>1347</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1348</v>
      </c>
      <c r="G433" s="33"/>
      <c r="I433" s="33"/>
      <c r="J433" s="33"/>
      <c r="K433" s="33"/>
      <c r="L433" s="33"/>
      <c r="M433" s="33"/>
      <c r="N433" s="33"/>
      <c r="O433" s="20"/>
      <c r="P433" s="33"/>
      <c r="Q433" s="33"/>
      <c r="R433" s="33"/>
      <c r="S433" s="33"/>
      <c r="T433" s="33"/>
      <c r="U433" s="33"/>
      <c r="V433" s="33"/>
      <c r="W433" s="33"/>
      <c r="Z433" s="1263" t="s">
        <v>299</v>
      </c>
      <c r="AA433" s="1263"/>
    </row>
    <row r="434" spans="1:110" ht="12.75" customHeight="1"/>
    <row r="435" spans="1:110" ht="12.75" customHeight="1">
      <c r="A435" s="2" t="s">
        <v>1183</v>
      </c>
      <c r="B435" s="2"/>
      <c r="C435" s="2"/>
      <c r="D435" s="2" t="s">
        <v>158</v>
      </c>
      <c r="AF435" s="41"/>
    </row>
    <row r="436" spans="1:110" ht="12.75" customHeight="1">
      <c r="D436" s="1282" t="s">
        <v>1349</v>
      </c>
      <c r="E436" s="1249"/>
      <c r="F436" s="1249"/>
      <c r="G436" s="1249"/>
      <c r="H436" s="1249"/>
      <c r="I436" s="1249"/>
      <c r="J436" s="1249"/>
      <c r="K436" s="1249"/>
      <c r="L436" s="1249"/>
      <c r="M436" s="1249"/>
      <c r="N436" s="1249"/>
      <c r="O436" s="1249"/>
      <c r="P436" s="1249"/>
      <c r="Q436" s="1249"/>
      <c r="R436" s="1249"/>
      <c r="S436" s="1249"/>
      <c r="T436" s="1249"/>
      <c r="U436" s="1249"/>
      <c r="V436" s="1249"/>
      <c r="W436" s="1249"/>
      <c r="X436" s="1249"/>
      <c r="Y436" s="1249"/>
      <c r="Z436" s="1249"/>
      <c r="AA436" s="1249"/>
      <c r="AB436" s="1249"/>
      <c r="AC436" s="1249"/>
      <c r="AD436" s="1249"/>
      <c r="AE436" s="1249"/>
      <c r="AF436" s="1250"/>
      <c r="AG436" s="1246">
        <v>120</v>
      </c>
      <c r="AH436" s="1246"/>
      <c r="AI436" s="1246"/>
      <c r="AJ436" s="1246"/>
    </row>
    <row r="437" spans="1:110" ht="12.75" customHeight="1">
      <c r="D437" s="1248" t="s">
        <v>1350</v>
      </c>
      <c r="E437" s="1259"/>
      <c r="F437" s="1259"/>
      <c r="G437" s="1259"/>
      <c r="H437" s="1259"/>
      <c r="I437" s="1259"/>
      <c r="J437" s="1259"/>
      <c r="K437" s="1259"/>
      <c r="L437" s="1259"/>
      <c r="M437" s="1259"/>
      <c r="N437" s="1259"/>
      <c r="O437" s="1259"/>
      <c r="P437" s="1259"/>
      <c r="Q437" s="1259"/>
      <c r="R437" s="1259"/>
      <c r="S437" s="1259"/>
      <c r="T437" s="1259"/>
      <c r="U437" s="1259"/>
      <c r="V437" s="1259"/>
      <c r="W437" s="1259"/>
      <c r="X437" s="1259"/>
      <c r="Y437" s="1259"/>
      <c r="Z437" s="1259"/>
      <c r="AA437" s="1259"/>
      <c r="AB437" s="1259"/>
      <c r="AC437" s="1259"/>
      <c r="AD437" s="1259"/>
      <c r="AE437" s="1259"/>
      <c r="AF437" s="1260"/>
      <c r="AG437" s="1261"/>
      <c r="AH437" s="1262"/>
      <c r="AI437" s="1262"/>
      <c r="AJ437" s="1262"/>
    </row>
    <row r="438" spans="1:110" ht="12.75" customHeight="1">
      <c r="D438" s="1248" t="s">
        <v>1351</v>
      </c>
      <c r="E438" s="1259"/>
      <c r="F438" s="1259"/>
      <c r="G438" s="1259"/>
      <c r="H438" s="1259"/>
      <c r="I438" s="1259"/>
      <c r="J438" s="1259"/>
      <c r="K438" s="1259"/>
      <c r="L438" s="1259"/>
      <c r="M438" s="1259"/>
      <c r="N438" s="1259"/>
      <c r="O438" s="1259"/>
      <c r="P438" s="1259"/>
      <c r="Q438" s="1259"/>
      <c r="R438" s="1259"/>
      <c r="S438" s="1259"/>
      <c r="T438" s="1259"/>
      <c r="U438" s="1259"/>
      <c r="V438" s="1259"/>
      <c r="W438" s="1259"/>
      <c r="X438" s="1259"/>
      <c r="Y438" s="1259"/>
      <c r="Z438" s="1259"/>
      <c r="AA438" s="1259"/>
      <c r="AB438" s="1259"/>
      <c r="AC438" s="1259"/>
      <c r="AD438" s="1259"/>
      <c r="AE438" s="1259"/>
      <c r="AF438" s="1260"/>
      <c r="AG438" s="1246">
        <v>119</v>
      </c>
      <c r="AH438" s="1246"/>
      <c r="AI438" s="1246"/>
      <c r="AJ438" s="1246"/>
    </row>
    <row r="439" spans="1:110" ht="12.75" customHeight="1">
      <c r="D439" s="1248" t="s">
        <v>1352</v>
      </c>
      <c r="E439" s="1259"/>
      <c r="F439" s="1259"/>
      <c r="G439" s="1259"/>
      <c r="H439" s="1259"/>
      <c r="I439" s="1259"/>
      <c r="J439" s="1259"/>
      <c r="K439" s="1259"/>
      <c r="L439" s="1259"/>
      <c r="M439" s="1259"/>
      <c r="N439" s="1259"/>
      <c r="O439" s="1259"/>
      <c r="P439" s="1259"/>
      <c r="Q439" s="1259"/>
      <c r="R439" s="1259"/>
      <c r="S439" s="1259"/>
      <c r="T439" s="1259"/>
      <c r="U439" s="1259"/>
      <c r="V439" s="1259"/>
      <c r="W439" s="1259"/>
      <c r="X439" s="1259"/>
      <c r="Y439" s="1259"/>
      <c r="Z439" s="1259"/>
      <c r="AA439" s="1259"/>
      <c r="AB439" s="1259"/>
      <c r="AC439" s="1259"/>
      <c r="AD439" s="1259"/>
      <c r="AE439" s="1259"/>
      <c r="AF439" s="1260"/>
      <c r="AG439" s="1246">
        <v>119</v>
      </c>
      <c r="AH439" s="1246"/>
      <c r="AI439" s="1246"/>
      <c r="AJ439" s="1246"/>
    </row>
    <row r="440" spans="1:110" ht="12.75" customHeight="1">
      <c r="D440" s="1248" t="s">
        <v>1353</v>
      </c>
      <c r="E440" s="1259"/>
      <c r="F440" s="1259"/>
      <c r="G440" s="1259"/>
      <c r="H440" s="1259"/>
      <c r="I440" s="1259"/>
      <c r="J440" s="1259"/>
      <c r="K440" s="1259"/>
      <c r="L440" s="1259"/>
      <c r="M440" s="1259"/>
      <c r="N440" s="1259"/>
      <c r="O440" s="1259"/>
      <c r="P440" s="1259"/>
      <c r="Q440" s="1259"/>
      <c r="R440" s="1259"/>
      <c r="S440" s="1259"/>
      <c r="T440" s="1259"/>
      <c r="U440" s="1259"/>
      <c r="V440" s="1259"/>
      <c r="W440" s="1259"/>
      <c r="X440" s="1259"/>
      <c r="Y440" s="1259"/>
      <c r="Z440" s="1259"/>
      <c r="AA440" s="1259"/>
      <c r="AB440" s="1259"/>
      <c r="AC440" s="1259"/>
      <c r="AD440" s="1259"/>
      <c r="AE440" s="1259"/>
      <c r="AF440" s="1260"/>
      <c r="AG440" s="1251">
        <f>IF(ISERROR(AG439/AG438),"",AG439/AG438)</f>
        <v>1</v>
      </c>
      <c r="AH440" s="1251"/>
      <c r="AI440" s="1251"/>
      <c r="AJ440" s="1251"/>
    </row>
    <row r="441" spans="1:110" ht="12.75" customHeight="1">
      <c r="D441" s="1248" t="s">
        <v>1354</v>
      </c>
      <c r="E441" s="1259"/>
      <c r="F441" s="1259"/>
      <c r="G441" s="1259"/>
      <c r="H441" s="1259"/>
      <c r="I441" s="1259"/>
      <c r="J441" s="1259"/>
      <c r="K441" s="1259"/>
      <c r="L441" s="1259"/>
      <c r="M441" s="1259"/>
      <c r="N441" s="1259"/>
      <c r="O441" s="1259"/>
      <c r="P441" s="1259"/>
      <c r="Q441" s="1259"/>
      <c r="R441" s="1259"/>
      <c r="S441" s="1259"/>
      <c r="T441" s="1259"/>
      <c r="U441" s="1259"/>
      <c r="V441" s="1259"/>
      <c r="W441" s="1259"/>
      <c r="X441" s="1259"/>
      <c r="Y441" s="1259"/>
      <c r="Z441" s="1259"/>
      <c r="AA441" s="1259"/>
      <c r="AB441" s="1259"/>
      <c r="AC441" s="1259"/>
      <c r="AD441" s="1259"/>
      <c r="AE441" s="1259"/>
      <c r="AF441" s="1260"/>
      <c r="AG441" s="1252">
        <v>80542</v>
      </c>
      <c r="AH441" s="1252"/>
      <c r="AI441" s="1252"/>
      <c r="AJ441" s="1252"/>
    </row>
    <row r="442" spans="1:110" ht="12.75" customHeight="1">
      <c r="D442" s="1248" t="s">
        <v>1355</v>
      </c>
      <c r="E442" s="1259"/>
      <c r="F442" s="1259"/>
      <c r="G442" s="1259"/>
      <c r="H442" s="1259"/>
      <c r="I442" s="1259"/>
      <c r="J442" s="1259"/>
      <c r="K442" s="1259"/>
      <c r="L442" s="1259"/>
      <c r="M442" s="1259"/>
      <c r="N442" s="1259"/>
      <c r="O442" s="1259"/>
      <c r="P442" s="1259"/>
      <c r="Q442" s="1259"/>
      <c r="R442" s="1259"/>
      <c r="S442" s="1259"/>
      <c r="T442" s="1259"/>
      <c r="U442" s="1259"/>
      <c r="V442" s="1259"/>
      <c r="W442" s="1259"/>
      <c r="X442" s="1259"/>
      <c r="Y442" s="1259"/>
      <c r="Z442" s="1259"/>
      <c r="AA442" s="1259"/>
      <c r="AB442" s="1259"/>
      <c r="AC442" s="1259"/>
      <c r="AD442" s="1259"/>
      <c r="AE442" s="1259"/>
      <c r="AF442" s="1260"/>
      <c r="AG442" s="1252">
        <v>80542</v>
      </c>
      <c r="AH442" s="1252"/>
      <c r="AI442" s="1252"/>
      <c r="AJ442" s="1252"/>
    </row>
    <row r="443" spans="1:110" ht="12.75" customHeight="1">
      <c r="D443" s="1248" t="s">
        <v>1356</v>
      </c>
      <c r="E443" s="1259"/>
      <c r="F443" s="1259"/>
      <c r="G443" s="1259"/>
      <c r="H443" s="1259"/>
      <c r="I443" s="1259"/>
      <c r="J443" s="1259"/>
      <c r="K443" s="1259"/>
      <c r="L443" s="1259"/>
      <c r="M443" s="1259"/>
      <c r="N443" s="1259"/>
      <c r="O443" s="1259"/>
      <c r="P443" s="1259"/>
      <c r="Q443" s="1259"/>
      <c r="R443" s="1259"/>
      <c r="S443" s="1259"/>
      <c r="T443" s="1259"/>
      <c r="U443" s="1259"/>
      <c r="V443" s="1259"/>
      <c r="W443" s="1259"/>
      <c r="X443" s="1259"/>
      <c r="Y443" s="1259"/>
      <c r="Z443" s="1259"/>
      <c r="AA443" s="1259"/>
      <c r="AB443" s="1259"/>
      <c r="AC443" s="1259"/>
      <c r="AD443" s="1259"/>
      <c r="AE443" s="1259"/>
      <c r="AF443" s="1260"/>
      <c r="AG443" s="1251">
        <f>IF(ISERROR(AG442/AG441),"",AG442/AG441)</f>
        <v>1</v>
      </c>
      <c r="AH443" s="1251"/>
      <c r="AI443" s="1251"/>
      <c r="AJ443" s="1251"/>
    </row>
    <row r="444" spans="1:110" ht="12.75" customHeight="1">
      <c r="D444" s="1248" t="s">
        <v>1357</v>
      </c>
      <c r="E444" s="1259"/>
      <c r="F444" s="1259"/>
      <c r="G444" s="1259"/>
      <c r="H444" s="1259"/>
      <c r="I444" s="1259"/>
      <c r="J444" s="1259"/>
      <c r="K444" s="1259"/>
      <c r="L444" s="1259"/>
      <c r="M444" s="1259"/>
      <c r="N444" s="1259"/>
      <c r="O444" s="1259"/>
      <c r="P444" s="1259"/>
      <c r="Q444" s="1259"/>
      <c r="R444" s="1259"/>
      <c r="S444" s="1259"/>
      <c r="T444" s="1259"/>
      <c r="U444" s="1259"/>
      <c r="V444" s="1259"/>
      <c r="W444" s="1259"/>
      <c r="X444" s="1259"/>
      <c r="Y444" s="1259"/>
      <c r="Z444" s="1259"/>
      <c r="AA444" s="1259"/>
      <c r="AB444" s="1259"/>
      <c r="AC444" s="1259"/>
      <c r="AD444" s="1259"/>
      <c r="AE444" s="1259"/>
      <c r="AF444" s="1260"/>
      <c r="AG444" s="1251">
        <f>MIN(IF(AG440&gt;AG443,AG443,AG440),1)</f>
        <v>1</v>
      </c>
      <c r="AH444" s="1251"/>
      <c r="AI444" s="1251"/>
      <c r="AJ444" s="1251"/>
    </row>
    <row r="445" spans="1:110" ht="12.75" customHeight="1">
      <c r="D445" s="1248" t="s">
        <v>1358</v>
      </c>
      <c r="E445" s="1249"/>
      <c r="F445" s="1249"/>
      <c r="G445" s="1249"/>
      <c r="H445" s="1249"/>
      <c r="I445" s="1249"/>
      <c r="J445" s="1249"/>
      <c r="K445" s="1249"/>
      <c r="L445" s="1249"/>
      <c r="M445" s="1249"/>
      <c r="N445" s="1249"/>
      <c r="O445" s="1249"/>
      <c r="P445" s="1249"/>
      <c r="Q445" s="1249"/>
      <c r="R445" s="1249"/>
      <c r="S445" s="1249"/>
      <c r="T445" s="1249"/>
      <c r="U445" s="1249"/>
      <c r="V445" s="1249"/>
      <c r="W445" s="1249"/>
      <c r="X445" s="1249"/>
      <c r="Y445" s="1249"/>
      <c r="Z445" s="1249"/>
      <c r="AA445" s="1249"/>
      <c r="AB445" s="1249"/>
      <c r="AC445" s="1249"/>
      <c r="AD445" s="1249"/>
      <c r="AE445" s="1249"/>
      <c r="AF445" s="1250"/>
      <c r="AG445" s="1252">
        <v>4700</v>
      </c>
      <c r="AH445" s="1252"/>
      <c r="AI445" s="1252"/>
      <c r="AJ445" s="1252"/>
    </row>
    <row r="446" spans="1:110" ht="12.75" customHeight="1">
      <c r="D446" s="1282" t="s">
        <v>1359</v>
      </c>
      <c r="E446" s="1249"/>
      <c r="F446" s="1249"/>
      <c r="G446" s="1249"/>
      <c r="H446" s="1249"/>
      <c r="I446" s="1249"/>
      <c r="J446" s="1249"/>
      <c r="K446" s="1249"/>
      <c r="L446" s="1249"/>
      <c r="M446" s="1249"/>
      <c r="N446" s="1249"/>
      <c r="O446" s="1249"/>
      <c r="P446" s="1249"/>
      <c r="Q446" s="1249"/>
      <c r="R446" s="1249"/>
      <c r="S446" s="1249"/>
      <c r="T446" s="1249"/>
      <c r="U446" s="1249"/>
      <c r="V446" s="1249"/>
      <c r="W446" s="1249"/>
      <c r="X446" s="1249"/>
      <c r="Y446" s="1249"/>
      <c r="Z446" s="1249"/>
      <c r="AA446" s="1249"/>
      <c r="AB446" s="1249"/>
      <c r="AC446" s="1249"/>
      <c r="AD446" s="1249"/>
      <c r="AE446" s="1249"/>
      <c r="AF446" s="1250"/>
      <c r="AG446" s="1252">
        <v>0</v>
      </c>
      <c r="AH446" s="1252"/>
      <c r="AI446" s="1252"/>
      <c r="AJ446" s="125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248" t="s">
        <v>1360</v>
      </c>
      <c r="E447" s="1249"/>
      <c r="F447" s="1249"/>
      <c r="G447" s="1249"/>
      <c r="H447" s="1249"/>
      <c r="I447" s="1249"/>
      <c r="J447" s="1249"/>
      <c r="K447" s="1249"/>
      <c r="L447" s="1249"/>
      <c r="M447" s="1249"/>
      <c r="N447" s="1249"/>
      <c r="O447" s="1249"/>
      <c r="P447" s="1249"/>
      <c r="Q447" s="1249"/>
      <c r="R447" s="1249"/>
      <c r="S447" s="1249"/>
      <c r="T447" s="1249"/>
      <c r="U447" s="1249"/>
      <c r="V447" s="1249"/>
      <c r="W447" s="1249"/>
      <c r="X447" s="1249"/>
      <c r="Y447" s="1249"/>
      <c r="Z447" s="1249"/>
      <c r="AA447" s="1249"/>
      <c r="AB447" s="1249"/>
      <c r="AC447" s="1249"/>
      <c r="AD447" s="1249"/>
      <c r="AE447" s="1249"/>
      <c r="AF447" s="1250"/>
      <c r="AG447" s="1252">
        <v>2493</v>
      </c>
      <c r="AH447" s="1252"/>
      <c r="AI447" s="1252"/>
      <c r="AJ447" s="125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248" t="s">
        <v>1361</v>
      </c>
      <c r="E448" s="1249"/>
      <c r="F448" s="1249"/>
      <c r="G448" s="1249"/>
      <c r="H448" s="1249"/>
      <c r="I448" s="1249"/>
      <c r="J448" s="1249"/>
      <c r="K448" s="1249"/>
      <c r="L448" s="1249"/>
      <c r="M448" s="1249"/>
      <c r="N448" s="1249"/>
      <c r="O448" s="1249"/>
      <c r="P448" s="1249"/>
      <c r="Q448" s="1249"/>
      <c r="R448" s="1249"/>
      <c r="S448" s="1249"/>
      <c r="T448" s="1249"/>
      <c r="U448" s="1249"/>
      <c r="V448" s="1249"/>
      <c r="W448" s="1249"/>
      <c r="X448" s="1249"/>
      <c r="Y448" s="1249"/>
      <c r="Z448" s="1249"/>
      <c r="AA448" s="1249"/>
      <c r="AB448" s="1249"/>
      <c r="AC448" s="1249"/>
      <c r="AD448" s="1249"/>
      <c r="AE448" s="1249"/>
      <c r="AF448" s="1250"/>
      <c r="AG448" s="1252">
        <v>14627</v>
      </c>
      <c r="AH448" s="1252"/>
      <c r="AI448" s="1252"/>
      <c r="AJ448" s="125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398" t="s">
        <v>1362</v>
      </c>
      <c r="E449" s="1399"/>
      <c r="F449" s="1399"/>
      <c r="G449" s="1399"/>
      <c r="H449" s="1399"/>
      <c r="I449" s="1399"/>
      <c r="J449" s="1399"/>
      <c r="K449" s="1399"/>
      <c r="L449" s="1399"/>
      <c r="M449" s="1399"/>
      <c r="N449" s="1399"/>
      <c r="O449" s="1399"/>
      <c r="P449" s="1399"/>
      <c r="Q449" s="1399"/>
      <c r="R449" s="1399"/>
      <c r="S449" s="1399"/>
      <c r="T449" s="1399"/>
      <c r="U449" s="1399"/>
      <c r="V449" s="1399"/>
      <c r="W449" s="1399"/>
      <c r="X449" s="1399"/>
      <c r="Y449" s="1399"/>
      <c r="Z449" s="1399"/>
      <c r="AA449" s="1399"/>
      <c r="AB449" s="1399"/>
      <c r="AC449" s="1399"/>
      <c r="AD449" s="1399"/>
      <c r="AE449" s="1399"/>
      <c r="AF449" s="1400"/>
      <c r="AG449" s="1296">
        <f>AG441+AG445+AG447+AG448</f>
        <v>102362</v>
      </c>
      <c r="AH449" s="1296"/>
      <c r="AI449" s="1296"/>
      <c r="AJ449" s="129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01" t="s">
        <v>1363</v>
      </c>
      <c r="E450" s="1401"/>
      <c r="F450" s="1401"/>
      <c r="G450" s="1401"/>
      <c r="H450" s="1401"/>
      <c r="I450" s="1401"/>
      <c r="J450" s="1401"/>
      <c r="K450" s="1401"/>
      <c r="L450" s="1401"/>
      <c r="M450" s="1401"/>
      <c r="N450" s="1401"/>
      <c r="O450" s="1401"/>
      <c r="P450" s="1401"/>
      <c r="Q450" s="1401"/>
      <c r="R450" s="1401"/>
      <c r="S450" s="1401"/>
      <c r="T450" s="1401"/>
      <c r="U450" s="1401"/>
      <c r="V450" s="1401"/>
      <c r="W450" s="1401"/>
      <c r="X450" s="1401"/>
      <c r="Y450" s="1401"/>
      <c r="Z450" s="1401"/>
      <c r="AA450" s="1401"/>
      <c r="AB450" s="1401"/>
      <c r="AC450" s="1401"/>
      <c r="AD450" s="1401"/>
      <c r="AE450" s="1401"/>
      <c r="AF450" s="1401"/>
      <c r="AG450" s="1401"/>
      <c r="AH450" s="1401"/>
      <c r="AI450" s="1401"/>
      <c r="AJ450" s="140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02"/>
      <c r="E451" s="1402"/>
      <c r="F451" s="1402"/>
      <c r="G451" s="1402"/>
      <c r="H451" s="1402"/>
      <c r="I451" s="1402"/>
      <c r="J451" s="1402"/>
      <c r="K451" s="1402"/>
      <c r="L451" s="1402"/>
      <c r="M451" s="1402"/>
      <c r="N451" s="1402"/>
      <c r="O451" s="1402"/>
      <c r="P451" s="1402"/>
      <c r="Q451" s="1402"/>
      <c r="R451" s="1402"/>
      <c r="S451" s="1402"/>
      <c r="T451" s="1402"/>
      <c r="U451" s="1402"/>
      <c r="V451" s="1402"/>
      <c r="W451" s="1402"/>
      <c r="X451" s="1402"/>
      <c r="Y451" s="1402"/>
      <c r="Z451" s="1402"/>
      <c r="AA451" s="1402"/>
      <c r="AB451" s="1402"/>
      <c r="AC451" s="1402"/>
      <c r="AD451" s="1402"/>
      <c r="AE451" s="1402"/>
      <c r="AF451" s="1402"/>
      <c r="AG451" s="1402"/>
      <c r="AH451" s="1402"/>
      <c r="AI451" s="1402"/>
      <c r="AJ451" s="140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1364</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297">
        <f>'Sources and Uses Budget'!B105/Application!AG436</f>
        <v>400980.91666666669</v>
      </c>
      <c r="AD453" s="1297"/>
      <c r="AE453" s="1297"/>
      <c r="AF453" s="1297"/>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1365</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297">
        <f>'Sources and Uses Budget'!C105/Application!AG436</f>
        <v>400980.91666666669</v>
      </c>
      <c r="AD454" s="1297"/>
      <c r="AE454" s="1297"/>
      <c r="AF454" s="1297"/>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1366</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297">
        <f>('Sources and Uses Budget'!$S$107+'Sources and Uses Budget'!$T$107)/Application!AG436</f>
        <v>339740.92499999999</v>
      </c>
      <c r="AD455" s="1297"/>
      <c r="AE455" s="1297"/>
      <c r="AF455" s="1297"/>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1367</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1368</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1369</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1370</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293" t="s">
        <v>1372</v>
      </c>
      <c r="E464" s="1294"/>
      <c r="F464" s="1294"/>
      <c r="G464" s="1294"/>
      <c r="H464" s="1294"/>
      <c r="I464" s="1294"/>
      <c r="J464" s="1294"/>
      <c r="K464" s="1294"/>
      <c r="L464" s="1294"/>
      <c r="M464" s="1294"/>
      <c r="N464" s="1294"/>
      <c r="O464" s="1294"/>
      <c r="P464" s="1294"/>
      <c r="Q464" s="1294"/>
      <c r="R464" s="1294"/>
      <c r="S464" s="1294"/>
      <c r="T464" s="1294"/>
      <c r="U464" s="1294"/>
      <c r="V464" s="1295"/>
      <c r="W464" s="1290" t="s">
        <v>299</v>
      </c>
      <c r="X464" s="1291"/>
      <c r="Y464" s="1292"/>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293" t="s">
        <v>1373</v>
      </c>
      <c r="E465" s="1294"/>
      <c r="F465" s="1294"/>
      <c r="G465" s="1294"/>
      <c r="H465" s="1294"/>
      <c r="I465" s="1294"/>
      <c r="J465" s="1294"/>
      <c r="K465" s="1294"/>
      <c r="L465" s="1294"/>
      <c r="M465" s="1294"/>
      <c r="N465" s="1294"/>
      <c r="O465" s="1294"/>
      <c r="P465" s="1294"/>
      <c r="Q465" s="1294"/>
      <c r="R465" s="1294"/>
      <c r="S465" s="1294"/>
      <c r="T465" s="1294"/>
      <c r="U465" s="1294"/>
      <c r="V465" s="1295"/>
      <c r="W465" s="1290" t="s">
        <v>299</v>
      </c>
      <c r="X465" s="1291"/>
      <c r="Y465" s="1292"/>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293" t="s">
        <v>1374</v>
      </c>
      <c r="E466" s="1294"/>
      <c r="F466" s="1294"/>
      <c r="G466" s="1294"/>
      <c r="H466" s="1294"/>
      <c r="I466" s="1294"/>
      <c r="J466" s="1294"/>
      <c r="K466" s="1294"/>
      <c r="L466" s="1294"/>
      <c r="M466" s="1294"/>
      <c r="N466" s="1294"/>
      <c r="O466" s="1294"/>
      <c r="P466" s="1294"/>
      <c r="Q466" s="1294"/>
      <c r="R466" s="1294"/>
      <c r="S466" s="1294"/>
      <c r="T466" s="1294"/>
      <c r="U466" s="1294"/>
      <c r="V466" s="1295"/>
      <c r="W466" s="1290" t="s">
        <v>299</v>
      </c>
      <c r="X466" s="1291"/>
      <c r="Y466" s="1292"/>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293" t="s">
        <v>1375</v>
      </c>
      <c r="E467" s="1294"/>
      <c r="F467" s="1294"/>
      <c r="G467" s="1294"/>
      <c r="H467" s="1294"/>
      <c r="I467" s="1294"/>
      <c r="J467" s="1294"/>
      <c r="K467" s="1294"/>
      <c r="L467" s="1294"/>
      <c r="M467" s="1294"/>
      <c r="N467" s="1294"/>
      <c r="O467" s="1294"/>
      <c r="P467" s="1294"/>
      <c r="Q467" s="1294"/>
      <c r="R467" s="1294"/>
      <c r="S467" s="1294"/>
      <c r="T467" s="1294"/>
      <c r="U467" s="1294"/>
      <c r="V467" s="1295"/>
      <c r="W467" s="1290" t="s">
        <v>299</v>
      </c>
      <c r="X467" s="1291"/>
      <c r="Y467" s="1292"/>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293" t="s">
        <v>1376</v>
      </c>
      <c r="E468" s="1294"/>
      <c r="F468" s="1294"/>
      <c r="G468" s="1294"/>
      <c r="H468" s="1294"/>
      <c r="I468" s="1294"/>
      <c r="J468" s="1294"/>
      <c r="K468" s="1294"/>
      <c r="L468" s="1294"/>
      <c r="M468" s="1294"/>
      <c r="N468" s="1294"/>
      <c r="O468" s="1294"/>
      <c r="P468" s="1294"/>
      <c r="Q468" s="1294"/>
      <c r="R468" s="1294"/>
      <c r="S468" s="1294"/>
      <c r="T468" s="1294"/>
      <c r="U468" s="1294"/>
      <c r="V468" s="1295"/>
      <c r="W468" s="1290" t="s">
        <v>299</v>
      </c>
      <c r="X468" s="1291"/>
      <c r="Y468" s="1292"/>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293" t="s">
        <v>1377</v>
      </c>
      <c r="E469" s="1294"/>
      <c r="F469" s="1294"/>
      <c r="G469" s="1294"/>
      <c r="H469" s="1294"/>
      <c r="I469" s="1294"/>
      <c r="J469" s="1294"/>
      <c r="K469" s="1294"/>
      <c r="L469" s="1294"/>
      <c r="M469" s="1294"/>
      <c r="N469" s="1294"/>
      <c r="O469" s="1294"/>
      <c r="P469" s="1294"/>
      <c r="Q469" s="1294"/>
      <c r="R469" s="1294"/>
      <c r="S469" s="1294"/>
      <c r="T469" s="1294"/>
      <c r="U469" s="1294"/>
      <c r="V469" s="1295"/>
      <c r="W469" s="1290" t="s">
        <v>299</v>
      </c>
      <c r="X469" s="1291"/>
      <c r="Y469" s="1292"/>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293" t="s">
        <v>1378</v>
      </c>
      <c r="E470" s="1294"/>
      <c r="F470" s="1294"/>
      <c r="G470" s="1294"/>
      <c r="H470" s="1294"/>
      <c r="I470" s="1294"/>
      <c r="J470" s="1294"/>
      <c r="K470" s="1294"/>
      <c r="L470" s="1294"/>
      <c r="M470" s="1294"/>
      <c r="N470" s="1294"/>
      <c r="O470" s="1294"/>
      <c r="P470" s="1294"/>
      <c r="Q470" s="1294"/>
      <c r="R470" s="1294"/>
      <c r="S470" s="1294"/>
      <c r="T470" s="1294"/>
      <c r="U470" s="1294"/>
      <c r="V470" s="1295"/>
      <c r="W470" s="1290" t="s">
        <v>299</v>
      </c>
      <c r="X470" s="1291"/>
      <c r="Y470" s="1292"/>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293" t="s">
        <v>1379</v>
      </c>
      <c r="E471" s="1294"/>
      <c r="F471" s="1294"/>
      <c r="G471" s="1294"/>
      <c r="H471" s="1294"/>
      <c r="I471" s="1294"/>
      <c r="J471" s="1294"/>
      <c r="K471" s="1294"/>
      <c r="L471" s="1294"/>
      <c r="M471" s="1294"/>
      <c r="N471" s="1294"/>
      <c r="O471" s="1294"/>
      <c r="P471" s="1294"/>
      <c r="Q471" s="1294"/>
      <c r="R471" s="1294"/>
      <c r="S471" s="1294"/>
      <c r="T471" s="1294"/>
      <c r="U471" s="1294"/>
      <c r="V471" s="1295"/>
      <c r="W471" s="1290">
        <v>0</v>
      </c>
      <c r="X471" s="1291"/>
      <c r="Y471" s="1292"/>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063" t="s">
        <v>232</v>
      </c>
      <c r="E472" s="1064"/>
      <c r="F472" s="1065"/>
      <c r="G472" s="1287"/>
      <c r="H472" s="1288"/>
      <c r="I472" s="1288"/>
      <c r="J472" s="1288"/>
      <c r="K472" s="1288"/>
      <c r="L472" s="1288"/>
      <c r="M472" s="1288"/>
      <c r="N472" s="1288"/>
      <c r="O472" s="1288"/>
      <c r="P472" s="1288"/>
      <c r="Q472" s="1288"/>
      <c r="R472" s="1288"/>
      <c r="S472" s="1288"/>
      <c r="T472" s="1288"/>
      <c r="U472" s="1288"/>
      <c r="V472" s="1289"/>
      <c r="W472" s="1290">
        <v>0</v>
      </c>
      <c r="X472" s="1291"/>
      <c r="Y472" s="1292"/>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066" t="s">
        <v>1380</v>
      </c>
      <c r="E473" s="1067"/>
      <c r="F473" s="1067"/>
      <c r="G473" s="133"/>
      <c r="H473" s="133"/>
      <c r="I473" s="133"/>
      <c r="J473" s="133"/>
      <c r="K473" s="133"/>
      <c r="L473" s="133"/>
      <c r="M473" s="133"/>
      <c r="N473" s="133"/>
      <c r="O473" s="133"/>
      <c r="P473" s="133"/>
      <c r="Q473" s="133"/>
      <c r="R473" s="133"/>
      <c r="S473" s="133"/>
      <c r="T473" s="133"/>
      <c r="U473" s="133"/>
      <c r="V473" s="133"/>
      <c r="W473" s="1068"/>
      <c r="X473" s="1068"/>
      <c r="Y473" s="1069"/>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0"/>
      <c r="X474" s="1070"/>
      <c r="Y474" s="1071"/>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0"/>
      <c r="X475" s="1070"/>
      <c r="Y475" s="1071"/>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0"/>
      <c r="X476" s="1070"/>
      <c r="Y476" s="1071"/>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265" t="s">
        <v>1381</v>
      </c>
      <c r="B478" s="1265"/>
      <c r="C478" s="1265"/>
      <c r="D478" s="1265"/>
      <c r="E478" s="1265"/>
      <c r="F478" s="1265"/>
      <c r="G478" s="1265"/>
      <c r="H478" s="1265"/>
      <c r="I478" s="1265"/>
      <c r="J478" s="1265"/>
      <c r="K478" s="1265"/>
      <c r="L478" s="1265"/>
      <c r="M478" s="1265"/>
      <c r="N478" s="1265"/>
      <c r="O478" s="1265"/>
      <c r="P478" s="1265"/>
      <c r="Q478" s="1265"/>
      <c r="R478" s="1265"/>
      <c r="S478" s="1265"/>
      <c r="T478" s="1265"/>
      <c r="U478" s="1265"/>
      <c r="V478" s="1265"/>
      <c r="W478" s="1265"/>
      <c r="X478" s="1265"/>
      <c r="Y478" s="1265"/>
      <c r="Z478" s="1265"/>
      <c r="AA478" s="1265"/>
      <c r="AB478" s="1265"/>
      <c r="AC478" s="1265"/>
      <c r="AD478" s="1265"/>
      <c r="AE478" s="1265"/>
      <c r="AF478" s="1265"/>
      <c r="AG478" s="1265"/>
      <c r="AH478" s="1265"/>
      <c r="AI478" s="1265"/>
      <c r="AJ478" s="1265"/>
      <c r="AK478" s="1265"/>
      <c r="AL478" s="1265"/>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266"/>
      <c r="B479" s="1266"/>
      <c r="C479" s="1266"/>
      <c r="D479" s="1266"/>
      <c r="E479" s="1266"/>
      <c r="F479" s="1266"/>
      <c r="G479" s="1266"/>
      <c r="H479" s="1266"/>
      <c r="I479" s="1266"/>
      <c r="J479" s="1266"/>
      <c r="K479" s="1266"/>
      <c r="L479" s="1266"/>
      <c r="M479" s="1266"/>
      <c r="N479" s="1266"/>
      <c r="O479" s="1266"/>
      <c r="P479" s="1266"/>
      <c r="Q479" s="1266"/>
      <c r="R479" s="1266"/>
      <c r="S479" s="1266"/>
      <c r="T479" s="1266"/>
      <c r="U479" s="1266"/>
      <c r="V479" s="1266"/>
      <c r="W479" s="1266"/>
      <c r="X479" s="1266"/>
      <c r="Y479" s="1266"/>
      <c r="Z479" s="1266"/>
      <c r="AA479" s="1266"/>
      <c r="AB479" s="1266"/>
      <c r="AC479" s="1266"/>
      <c r="AD479" s="1266"/>
      <c r="AE479" s="1266"/>
      <c r="AF479" s="1266"/>
      <c r="AG479" s="1266"/>
      <c r="AH479" s="1266"/>
      <c r="AI479" s="1266"/>
      <c r="AJ479" s="1266"/>
      <c r="AK479" s="1266"/>
      <c r="AL479" s="1266"/>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956</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04" t="s">
        <v>1382</v>
      </c>
      <c r="U483" s="1305"/>
      <c r="V483" s="1305"/>
      <c r="W483" s="1305"/>
      <c r="X483" s="1305"/>
      <c r="Y483" s="1305"/>
      <c r="Z483" s="1305"/>
      <c r="AA483" s="1305"/>
      <c r="AB483" s="1305"/>
      <c r="AC483" s="1305"/>
      <c r="AD483" s="1305"/>
      <c r="AE483" s="1305"/>
      <c r="AF483" s="1305"/>
      <c r="AG483" s="1305"/>
      <c r="AH483" s="1306"/>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371" t="s">
        <v>1383</v>
      </c>
      <c r="U484" s="1371"/>
      <c r="V484" s="1371"/>
      <c r="W484" s="1371"/>
      <c r="X484" s="1371"/>
      <c r="Y484" s="1371" t="s">
        <v>1384</v>
      </c>
      <c r="Z484" s="1371"/>
      <c r="AA484" s="1371"/>
      <c r="AB484" s="1371"/>
      <c r="AC484" s="1371"/>
      <c r="AD484" s="1371" t="s">
        <v>1385</v>
      </c>
      <c r="AE484" s="1371"/>
      <c r="AF484" s="1371"/>
      <c r="AG484" s="1371"/>
      <c r="AH484" s="1371"/>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371"/>
      <c r="U485" s="1371"/>
      <c r="V485" s="1371"/>
      <c r="W485" s="1371"/>
      <c r="X485" s="1371"/>
      <c r="Y485" s="1371"/>
      <c r="Z485" s="1371"/>
      <c r="AA485" s="1371"/>
      <c r="AB485" s="1371"/>
      <c r="AC485" s="1371"/>
      <c r="AD485" s="1371"/>
      <c r="AE485" s="1371"/>
      <c r="AF485" s="1371"/>
      <c r="AG485" s="1371"/>
      <c r="AH485" s="1371"/>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1386</v>
      </c>
      <c r="F486" s="5"/>
      <c r="G486" s="5"/>
      <c r="H486" s="5"/>
      <c r="I486" s="5"/>
      <c r="J486" s="5"/>
      <c r="K486" s="5"/>
      <c r="L486" s="5"/>
      <c r="M486" s="5"/>
      <c r="N486" s="5"/>
      <c r="O486" s="5"/>
      <c r="P486" s="5"/>
      <c r="Q486" s="5"/>
      <c r="R486" s="5"/>
      <c r="S486" s="39"/>
      <c r="T486" s="1236" t="s">
        <v>1387</v>
      </c>
      <c r="U486" s="1236"/>
      <c r="V486" s="1236"/>
      <c r="W486" s="1236"/>
      <c r="X486" s="1236"/>
      <c r="Y486" s="1236">
        <v>0</v>
      </c>
      <c r="Z486" s="1236"/>
      <c r="AA486" s="1236"/>
      <c r="AB486" s="1236"/>
      <c r="AC486" s="1236"/>
      <c r="AD486" s="1236">
        <v>0</v>
      </c>
      <c r="AE486" s="1236"/>
      <c r="AF486" s="1236"/>
      <c r="AG486" s="1236"/>
      <c r="AH486" s="1236"/>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1388</v>
      </c>
      <c r="F487" s="5"/>
      <c r="G487" s="5"/>
      <c r="H487" s="5"/>
      <c r="I487" s="5"/>
      <c r="J487" s="5"/>
      <c r="K487" s="5"/>
      <c r="L487" s="5"/>
      <c r="M487" s="5"/>
      <c r="N487" s="5"/>
      <c r="O487" s="5"/>
      <c r="P487" s="5"/>
      <c r="Q487" s="5"/>
      <c r="R487" s="5"/>
      <c r="S487" s="5"/>
      <c r="T487" s="1236" t="s">
        <v>1387</v>
      </c>
      <c r="U487" s="1236"/>
      <c r="V487" s="1236"/>
      <c r="W487" s="1236"/>
      <c r="X487" s="1236"/>
      <c r="Y487" s="1236">
        <v>0</v>
      </c>
      <c r="Z487" s="1236"/>
      <c r="AA487" s="1236"/>
      <c r="AB487" s="1236"/>
      <c r="AC487" s="1236"/>
      <c r="AD487" s="1236">
        <v>0</v>
      </c>
      <c r="AE487" s="1236"/>
      <c r="AF487" s="1236"/>
      <c r="AG487" s="1236"/>
      <c r="AH487" s="123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1389</v>
      </c>
      <c r="F488" s="5"/>
      <c r="G488" s="5"/>
      <c r="H488" s="5"/>
      <c r="I488" s="5"/>
      <c r="J488" s="5"/>
      <c r="K488" s="5"/>
      <c r="L488" s="5"/>
      <c r="M488" s="5"/>
      <c r="N488" s="5"/>
      <c r="O488" s="5"/>
      <c r="P488" s="5"/>
      <c r="Q488" s="5"/>
      <c r="R488" s="5"/>
      <c r="S488" s="5"/>
      <c r="T488" s="1236" t="s">
        <v>1387</v>
      </c>
      <c r="U488" s="1236"/>
      <c r="V488" s="1236"/>
      <c r="W488" s="1236"/>
      <c r="X488" s="1236"/>
      <c r="Y488" s="1236">
        <v>0</v>
      </c>
      <c r="Z488" s="1236"/>
      <c r="AA488" s="1236"/>
      <c r="AB488" s="1236"/>
      <c r="AC488" s="1236"/>
      <c r="AD488" s="1236">
        <v>0</v>
      </c>
      <c r="AE488" s="1236"/>
      <c r="AF488" s="1236"/>
      <c r="AG488" s="1236"/>
      <c r="AH488" s="123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1390</v>
      </c>
      <c r="F489" s="5"/>
      <c r="G489" s="5"/>
      <c r="H489" s="5"/>
      <c r="I489" s="5"/>
      <c r="J489" s="5"/>
      <c r="K489" s="5"/>
      <c r="L489" s="5"/>
      <c r="M489" s="5"/>
      <c r="N489" s="5"/>
      <c r="O489" s="5"/>
      <c r="P489" s="5"/>
      <c r="Q489" s="5"/>
      <c r="R489" s="5"/>
      <c r="S489" s="5"/>
      <c r="T489" s="1236" t="s">
        <v>1387</v>
      </c>
      <c r="U489" s="1236"/>
      <c r="V489" s="1236"/>
      <c r="W489" s="1236"/>
      <c r="X489" s="1236"/>
      <c r="Y489" s="1236">
        <v>0</v>
      </c>
      <c r="Z489" s="1236"/>
      <c r="AA489" s="1236"/>
      <c r="AB489" s="1236"/>
      <c r="AC489" s="1236"/>
      <c r="AD489" s="1236">
        <v>0</v>
      </c>
      <c r="AE489" s="1236"/>
      <c r="AF489" s="1236"/>
      <c r="AG489" s="1236"/>
      <c r="AH489" s="12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1391</v>
      </c>
      <c r="F490" s="5"/>
      <c r="G490" s="5"/>
      <c r="H490" s="5"/>
      <c r="I490" s="5"/>
      <c r="J490" s="5"/>
      <c r="K490" s="5"/>
      <c r="L490" s="5"/>
      <c r="M490" s="5"/>
      <c r="N490" s="5"/>
      <c r="O490" s="5"/>
      <c r="P490" s="5"/>
      <c r="Q490" s="5"/>
      <c r="R490" s="5"/>
      <c r="S490" s="5"/>
      <c r="T490" s="1236" t="s">
        <v>1387</v>
      </c>
      <c r="U490" s="1236"/>
      <c r="V490" s="1236"/>
      <c r="W490" s="1236"/>
      <c r="X490" s="1236"/>
      <c r="Y490" s="1236">
        <v>0</v>
      </c>
      <c r="Z490" s="1236"/>
      <c r="AA490" s="1236"/>
      <c r="AB490" s="1236"/>
      <c r="AC490" s="1236"/>
      <c r="AD490" s="1236">
        <v>0</v>
      </c>
      <c r="AE490" s="1236"/>
      <c r="AF490" s="1236"/>
      <c r="AG490" s="1236"/>
      <c r="AH490" s="123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1392</v>
      </c>
      <c r="F491" s="5"/>
      <c r="G491" s="5"/>
      <c r="H491" s="5"/>
      <c r="I491" s="5"/>
      <c r="J491" s="5"/>
      <c r="K491" s="5"/>
      <c r="L491" s="5"/>
      <c r="M491" s="5"/>
      <c r="N491" s="5"/>
      <c r="O491" s="5"/>
      <c r="P491" s="5"/>
      <c r="Q491" s="5"/>
      <c r="R491" s="5"/>
      <c r="S491" s="5"/>
      <c r="T491" s="1236" t="s">
        <v>1387</v>
      </c>
      <c r="U491" s="1236"/>
      <c r="V491" s="1236"/>
      <c r="W491" s="1236"/>
      <c r="X491" s="1236"/>
      <c r="Y491" s="1236">
        <v>0</v>
      </c>
      <c r="Z491" s="1236"/>
      <c r="AA491" s="1236"/>
      <c r="AB491" s="1236"/>
      <c r="AC491" s="1236"/>
      <c r="AD491" s="1236">
        <v>0</v>
      </c>
      <c r="AE491" s="1236"/>
      <c r="AF491" s="1236"/>
      <c r="AG491" s="1236"/>
      <c r="AH491" s="1236"/>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1393</v>
      </c>
      <c r="F492" s="5"/>
      <c r="G492" s="5"/>
      <c r="H492" s="5"/>
      <c r="I492" s="5"/>
      <c r="J492" s="5"/>
      <c r="K492" s="5"/>
      <c r="L492" s="5"/>
      <c r="M492" s="5"/>
      <c r="N492" s="5"/>
      <c r="O492" s="5"/>
      <c r="P492" s="5"/>
      <c r="Q492" s="5"/>
      <c r="R492" s="5"/>
      <c r="S492" s="5"/>
      <c r="T492" s="1236" t="s">
        <v>1387</v>
      </c>
      <c r="U492" s="1236"/>
      <c r="V492" s="1236"/>
      <c r="W492" s="1236"/>
      <c r="X492" s="1236"/>
      <c r="Y492" s="1236">
        <v>0</v>
      </c>
      <c r="Z492" s="1236"/>
      <c r="AA492" s="1236"/>
      <c r="AB492" s="1236"/>
      <c r="AC492" s="1236"/>
      <c r="AD492" s="1236">
        <v>0</v>
      </c>
      <c r="AE492" s="1236"/>
      <c r="AF492" s="1236"/>
      <c r="AG492" s="1236"/>
      <c r="AH492" s="1236"/>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1394</v>
      </c>
      <c r="F493" s="5"/>
      <c r="G493" s="5"/>
      <c r="H493" s="5"/>
      <c r="I493" s="5"/>
      <c r="J493" s="5"/>
      <c r="K493" s="5"/>
      <c r="L493" s="5"/>
      <c r="M493" s="5"/>
      <c r="N493" s="5"/>
      <c r="O493" s="5"/>
      <c r="P493" s="5"/>
      <c r="Q493" s="5"/>
      <c r="R493" s="5"/>
      <c r="S493" s="5"/>
      <c r="T493" s="1236" t="s">
        <v>1387</v>
      </c>
      <c r="U493" s="1236"/>
      <c r="V493" s="1236"/>
      <c r="W493" s="1236"/>
      <c r="X493" s="1236"/>
      <c r="Y493" s="1236">
        <v>0</v>
      </c>
      <c r="Z493" s="1236"/>
      <c r="AA493" s="1236"/>
      <c r="AB493" s="1236"/>
      <c r="AC493" s="1236"/>
      <c r="AD493" s="1236">
        <v>0</v>
      </c>
      <c r="AE493" s="1236"/>
      <c r="AF493" s="1236"/>
      <c r="AG493" s="1236"/>
      <c r="AH493" s="12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1395</v>
      </c>
      <c r="F494" s="5"/>
      <c r="G494" s="5"/>
      <c r="H494" s="5"/>
      <c r="I494" s="5"/>
      <c r="J494" s="5"/>
      <c r="K494" s="5"/>
      <c r="L494" s="5"/>
      <c r="M494" s="5"/>
      <c r="N494" s="5"/>
      <c r="O494" s="5"/>
      <c r="P494" s="5"/>
      <c r="Q494" s="5"/>
      <c r="R494" s="5"/>
      <c r="S494" s="5"/>
      <c r="T494" s="1236" t="s">
        <v>1387</v>
      </c>
      <c r="U494" s="1236"/>
      <c r="V494" s="1236"/>
      <c r="W494" s="1236"/>
      <c r="X494" s="1236"/>
      <c r="Y494" s="1236">
        <v>0</v>
      </c>
      <c r="Z494" s="1236"/>
      <c r="AA494" s="1236"/>
      <c r="AB494" s="1236"/>
      <c r="AC494" s="1236"/>
      <c r="AD494" s="1236">
        <v>0</v>
      </c>
      <c r="AE494" s="1236"/>
      <c r="AF494" s="1236"/>
      <c r="AG494" s="1236"/>
      <c r="AH494" s="1236"/>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1396</v>
      </c>
      <c r="F495" s="41"/>
      <c r="G495" s="41"/>
      <c r="H495" s="41"/>
      <c r="I495" s="41"/>
      <c r="J495" s="41"/>
      <c r="K495" s="41"/>
      <c r="L495" s="41"/>
      <c r="M495" s="41"/>
      <c r="N495" s="41"/>
      <c r="O495" s="41"/>
      <c r="P495" s="41"/>
      <c r="Q495" s="41"/>
      <c r="R495" s="41"/>
      <c r="S495" s="41"/>
      <c r="T495" s="1236" t="s">
        <v>1387</v>
      </c>
      <c r="U495" s="1236"/>
      <c r="V495" s="1236"/>
      <c r="W495" s="1236"/>
      <c r="X495" s="1236"/>
      <c r="Y495" s="1236">
        <v>0</v>
      </c>
      <c r="Z495" s="1236"/>
      <c r="AA495" s="1236"/>
      <c r="AB495" s="1236"/>
      <c r="AC495" s="1236"/>
      <c r="AD495" s="1236">
        <v>0</v>
      </c>
      <c r="AE495" s="1236"/>
      <c r="AF495" s="1236"/>
      <c r="AG495" s="1236"/>
      <c r="AH495" s="1236"/>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04" t="s">
        <v>1397</v>
      </c>
      <c r="R497" s="1305"/>
      <c r="S497" s="1305"/>
      <c r="T497" s="1305"/>
      <c r="U497" s="1305"/>
      <c r="V497" s="1305"/>
      <c r="W497" s="1305"/>
      <c r="X497" s="1305"/>
      <c r="Y497" s="1305"/>
      <c r="Z497" s="1305"/>
      <c r="AA497" s="1305"/>
      <c r="AB497" s="1305"/>
      <c r="AC497" s="1305"/>
      <c r="AD497" s="1305"/>
      <c r="AE497" s="1305"/>
      <c r="AF497" s="1305"/>
      <c r="AG497" s="1305"/>
      <c r="AH497" s="1305"/>
      <c r="AI497" s="1305"/>
      <c r="AJ497" s="1305"/>
      <c r="AK497" s="130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1398</v>
      </c>
      <c r="C498" s="5"/>
      <c r="D498" s="5"/>
      <c r="E498" s="5"/>
      <c r="F498" s="5"/>
      <c r="G498" s="5"/>
      <c r="H498" s="5"/>
      <c r="I498" s="5"/>
      <c r="J498" s="5"/>
      <c r="K498" s="5"/>
      <c r="L498" s="5"/>
      <c r="M498" s="5"/>
      <c r="N498" s="5"/>
      <c r="O498" s="5"/>
      <c r="P498" s="5"/>
      <c r="Q498" s="1361" t="s">
        <v>1399</v>
      </c>
      <c r="R498" s="1362"/>
      <c r="S498" s="1362"/>
      <c r="T498" s="1362"/>
      <c r="U498" s="1362"/>
      <c r="V498" s="1362"/>
      <c r="W498" s="1362"/>
      <c r="X498" s="1362"/>
      <c r="Y498" s="1362"/>
      <c r="Z498" s="1362"/>
      <c r="AA498" s="1362"/>
      <c r="AB498" s="1362"/>
      <c r="AC498" s="1362"/>
      <c r="AD498" s="1362"/>
      <c r="AE498" s="1362"/>
      <c r="AF498" s="1362"/>
      <c r="AG498" s="1362"/>
      <c r="AH498" s="1362"/>
      <c r="AI498" s="1362"/>
      <c r="AJ498" s="1362"/>
      <c r="AK498" s="136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1400</v>
      </c>
      <c r="C499" s="5"/>
      <c r="D499" s="5"/>
      <c r="E499" s="5"/>
      <c r="F499" s="5"/>
      <c r="G499" s="5"/>
      <c r="H499" s="5"/>
      <c r="I499" s="5"/>
      <c r="J499" s="5"/>
      <c r="K499" s="5"/>
      <c r="L499" s="5"/>
      <c r="M499" s="5"/>
      <c r="N499" s="5"/>
      <c r="O499" s="5"/>
      <c r="P499" s="5"/>
      <c r="Q499" s="1352" t="s">
        <v>1401</v>
      </c>
      <c r="R499" s="1233"/>
      <c r="S499" s="1233"/>
      <c r="T499" s="1233"/>
      <c r="U499" s="1233"/>
      <c r="V499" s="1233"/>
      <c r="W499" s="1233"/>
      <c r="X499" s="1233"/>
      <c r="Y499" s="1233"/>
      <c r="Z499" s="1233"/>
      <c r="AA499" s="1233"/>
      <c r="AB499" s="1233"/>
      <c r="AC499" s="1233"/>
      <c r="AD499" s="1233"/>
      <c r="AE499" s="1233"/>
      <c r="AF499" s="1233"/>
      <c r="AG499" s="1233"/>
      <c r="AH499" s="1233"/>
      <c r="AI499" s="1233"/>
      <c r="AJ499" s="1233"/>
      <c r="AK499" s="1353"/>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1402</v>
      </c>
      <c r="C500" s="5"/>
      <c r="D500" s="5"/>
      <c r="E500" s="5"/>
      <c r="F500" s="5"/>
      <c r="G500" s="5"/>
      <c r="H500" s="5"/>
      <c r="I500" s="5"/>
      <c r="J500" s="5"/>
      <c r="K500" s="5"/>
      <c r="L500" s="5"/>
      <c r="M500" s="5"/>
      <c r="N500" s="5"/>
      <c r="O500" s="5"/>
      <c r="P500" s="5"/>
      <c r="Q500" s="1352" t="s">
        <v>1403</v>
      </c>
      <c r="R500" s="1233"/>
      <c r="S500" s="1233"/>
      <c r="T500" s="1233"/>
      <c r="U500" s="1233"/>
      <c r="V500" s="1233"/>
      <c r="W500" s="1233"/>
      <c r="X500" s="1233"/>
      <c r="Y500" s="1233"/>
      <c r="Z500" s="1233"/>
      <c r="AA500" s="1233"/>
      <c r="AB500" s="1233"/>
      <c r="AC500" s="1233"/>
      <c r="AD500" s="1233"/>
      <c r="AE500" s="1233"/>
      <c r="AF500" s="1233"/>
      <c r="AG500" s="1233"/>
      <c r="AH500" s="1233"/>
      <c r="AI500" s="1233"/>
      <c r="AJ500" s="1233"/>
      <c r="AK500" s="1353"/>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387" t="s">
        <v>1404</v>
      </c>
      <c r="C501" s="1388"/>
      <c r="D501" s="1388"/>
      <c r="E501" s="1388"/>
      <c r="F501" s="1388"/>
      <c r="G501" s="1388"/>
      <c r="H501" s="1388"/>
      <c r="I501" s="1388"/>
      <c r="J501" s="1388"/>
      <c r="K501" s="1388"/>
      <c r="L501" s="1388"/>
      <c r="M501" s="1388"/>
      <c r="N501" s="1388"/>
      <c r="O501" s="1388"/>
      <c r="P501" s="1389"/>
      <c r="Q501" s="1355" t="s">
        <v>929</v>
      </c>
      <c r="R501" s="1356"/>
      <c r="S501" s="1561" t="s">
        <v>1405</v>
      </c>
      <c r="T501" s="1562"/>
      <c r="U501" s="1562"/>
      <c r="V501" s="1562"/>
      <c r="W501" s="1562"/>
      <c r="X501" s="1562"/>
      <c r="Y501" s="1562"/>
      <c r="Z501" s="1562"/>
      <c r="AA501" s="1562"/>
      <c r="AB501" s="1562"/>
      <c r="AC501" s="1562"/>
      <c r="AD501" s="1562"/>
      <c r="AE501" s="1562"/>
      <c r="AF501" s="1562"/>
      <c r="AG501" s="1562"/>
      <c r="AH501" s="1562"/>
      <c r="AI501" s="1562"/>
      <c r="AJ501" s="1562"/>
      <c r="AK501" s="156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390"/>
      <c r="C502" s="1391"/>
      <c r="D502" s="1391"/>
      <c r="E502" s="1391"/>
      <c r="F502" s="1391"/>
      <c r="G502" s="1391"/>
      <c r="H502" s="1391"/>
      <c r="I502" s="1391"/>
      <c r="J502" s="1391"/>
      <c r="K502" s="1391"/>
      <c r="L502" s="1391"/>
      <c r="M502" s="1391"/>
      <c r="N502" s="1391"/>
      <c r="O502" s="1391"/>
      <c r="P502" s="1392"/>
      <c r="Q502" s="1357"/>
      <c r="R502" s="1358"/>
      <c r="S502" s="1564"/>
      <c r="T502" s="1565"/>
      <c r="U502" s="1565"/>
      <c r="V502" s="1565"/>
      <c r="W502" s="1565"/>
      <c r="X502" s="1565"/>
      <c r="Y502" s="1565"/>
      <c r="Z502" s="1565"/>
      <c r="AA502" s="1565"/>
      <c r="AB502" s="1565"/>
      <c r="AC502" s="1565"/>
      <c r="AD502" s="1565"/>
      <c r="AE502" s="1565"/>
      <c r="AF502" s="1565"/>
      <c r="AG502" s="1565"/>
      <c r="AH502" s="1565"/>
      <c r="AI502" s="1565"/>
      <c r="AJ502" s="1565"/>
      <c r="AK502" s="156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55" t="s">
        <v>1406</v>
      </c>
      <c r="C503" s="834"/>
      <c r="D503" s="834"/>
      <c r="E503" s="834"/>
      <c r="F503" s="834"/>
      <c r="G503" s="834"/>
      <c r="H503" s="834"/>
      <c r="I503" s="834"/>
      <c r="J503" s="834"/>
      <c r="K503" s="834"/>
      <c r="L503" s="834"/>
      <c r="M503" s="834"/>
      <c r="N503" s="834"/>
      <c r="O503" s="834"/>
      <c r="P503" s="834"/>
      <c r="Q503" s="1256" t="s">
        <v>1407</v>
      </c>
      <c r="R503" s="1257"/>
      <c r="S503" s="1257"/>
      <c r="T503" s="1257"/>
      <c r="U503" s="1257"/>
      <c r="V503" s="1257"/>
      <c r="W503" s="1257"/>
      <c r="X503" s="1257"/>
      <c r="Y503" s="1257"/>
      <c r="Z503" s="1257"/>
      <c r="AA503" s="1257"/>
      <c r="AB503" s="1257"/>
      <c r="AC503" s="1257"/>
      <c r="AD503" s="1257"/>
      <c r="AE503" s="1257"/>
      <c r="AF503" s="1257"/>
      <c r="AG503" s="1257"/>
      <c r="AH503" s="1257"/>
      <c r="AI503" s="1257"/>
      <c r="AJ503" s="1257"/>
      <c r="AK503" s="12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1408</v>
      </c>
      <c r="C504" s="5"/>
      <c r="D504" s="5"/>
      <c r="E504" s="5"/>
      <c r="F504" s="5"/>
      <c r="G504" s="5"/>
      <c r="H504" s="5"/>
      <c r="I504" s="5"/>
      <c r="J504" s="5"/>
      <c r="K504" s="5"/>
      <c r="L504" s="5"/>
      <c r="M504" s="5"/>
      <c r="N504" s="5"/>
      <c r="O504" s="5"/>
      <c r="P504" s="5"/>
      <c r="Q504" s="1310">
        <v>40</v>
      </c>
      <c r="R504" s="1298"/>
      <c r="S504" s="1298"/>
      <c r="T504" s="1298"/>
      <c r="U504" s="1298"/>
      <c r="V504" s="1298"/>
      <c r="W504" s="1298"/>
      <c r="X504" s="1298"/>
      <c r="Y504" s="1298"/>
      <c r="Z504" s="1298"/>
      <c r="AA504" s="1298"/>
      <c r="AB504" s="1298"/>
      <c r="AC504" s="1298"/>
      <c r="AD504" s="1298"/>
      <c r="AE504" s="1298"/>
      <c r="AF504" s="1298"/>
      <c r="AG504" s="1298"/>
      <c r="AH504" s="1298"/>
      <c r="AI504" s="1298"/>
      <c r="AJ504" s="1298"/>
      <c r="AK504" s="131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1409</v>
      </c>
      <c r="C505" s="5"/>
      <c r="D505" s="5"/>
      <c r="E505" s="5"/>
      <c r="F505" s="5"/>
      <c r="G505" s="5"/>
      <c r="H505" s="5"/>
      <c r="I505" s="5"/>
      <c r="J505" s="5"/>
      <c r="K505" s="5"/>
      <c r="L505" s="5"/>
      <c r="M505" s="5"/>
      <c r="N505" s="5"/>
      <c r="O505" s="5"/>
      <c r="P505" s="5"/>
      <c r="Q505" s="1310" t="s">
        <v>1410</v>
      </c>
      <c r="R505" s="1298"/>
      <c r="S505" s="1298"/>
      <c r="T505" s="1298"/>
      <c r="U505" s="1298"/>
      <c r="V505" s="1298"/>
      <c r="W505" s="1298"/>
      <c r="X505" s="1298"/>
      <c r="Y505" s="1298"/>
      <c r="Z505" s="1298"/>
      <c r="AA505" s="1298"/>
      <c r="AB505" s="1298"/>
      <c r="AC505" s="1298"/>
      <c r="AD505" s="1298"/>
      <c r="AE505" s="1298"/>
      <c r="AF505" s="1298"/>
      <c r="AG505" s="1298"/>
      <c r="AH505" s="1298"/>
      <c r="AI505" s="1298"/>
      <c r="AJ505" s="1298"/>
      <c r="AK505" s="131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1411</v>
      </c>
      <c r="C506" s="5"/>
      <c r="D506" s="5"/>
      <c r="E506" s="5"/>
      <c r="F506" s="5"/>
      <c r="G506" s="5"/>
      <c r="H506" s="5"/>
      <c r="I506" s="5"/>
      <c r="J506" s="5"/>
      <c r="K506" s="5"/>
      <c r="L506" s="5"/>
      <c r="M506" s="5"/>
      <c r="N506" s="5"/>
      <c r="O506" s="5"/>
      <c r="P506" s="5"/>
      <c r="Q506" s="1310">
        <v>180</v>
      </c>
      <c r="R506" s="1298"/>
      <c r="S506" s="1298"/>
      <c r="T506" s="1298"/>
      <c r="U506" s="1298"/>
      <c r="V506" s="1298"/>
      <c r="W506" s="1298"/>
      <c r="X506" s="1298"/>
      <c r="Y506" s="1298"/>
      <c r="Z506" s="1298"/>
      <c r="AA506" s="1298"/>
      <c r="AB506" s="1298"/>
      <c r="AC506" s="1298"/>
      <c r="AD506" s="1298"/>
      <c r="AE506" s="1298"/>
      <c r="AF506" s="1298"/>
      <c r="AG506" s="1298"/>
      <c r="AH506" s="1298"/>
      <c r="AI506" s="1298"/>
      <c r="AJ506" s="1298"/>
      <c r="AK506" s="131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1412</v>
      </c>
      <c r="C507" s="5"/>
      <c r="D507" s="5"/>
      <c r="E507" s="5"/>
      <c r="F507" s="5"/>
      <c r="G507" s="5"/>
      <c r="H507" s="5"/>
      <c r="I507" s="5"/>
      <c r="J507" s="5"/>
      <c r="K507" s="5"/>
      <c r="L507" s="5"/>
      <c r="M507" s="1330"/>
      <c r="N507" s="1331"/>
      <c r="O507" s="1331"/>
      <c r="P507" s="1332"/>
      <c r="Q507" s="88" t="s">
        <v>1413</v>
      </c>
      <c r="R507" s="5"/>
      <c r="S507" s="5"/>
      <c r="T507" s="5"/>
      <c r="U507" s="5"/>
      <c r="V507" s="5"/>
      <c r="W507" s="5"/>
      <c r="X507" s="5"/>
      <c r="Y507" s="5"/>
      <c r="Z507" s="5"/>
      <c r="AA507" s="5"/>
      <c r="AB507" s="5"/>
      <c r="AC507" s="5"/>
      <c r="AD507" s="5"/>
      <c r="AE507" s="5"/>
      <c r="AF507" s="5"/>
      <c r="AG507" s="5"/>
      <c r="AH507" s="1330">
        <v>180</v>
      </c>
      <c r="AI507" s="1331"/>
      <c r="AJ507" s="1331"/>
      <c r="AK507" s="133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992</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04" t="s">
        <v>1414</v>
      </c>
      <c r="AD511" s="1305"/>
      <c r="AE511" s="1305"/>
      <c r="AF511" s="1305"/>
      <c r="AG511" s="1305"/>
      <c r="AH511" s="1305"/>
      <c r="AI511" s="1305"/>
      <c r="AJ511" s="1305"/>
      <c r="AK511" s="1306"/>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04" t="s">
        <v>1415</v>
      </c>
      <c r="AD512" s="1305"/>
      <c r="AE512" s="1305"/>
      <c r="AF512" s="1305"/>
      <c r="AG512" s="43" t="s">
        <v>1416</v>
      </c>
      <c r="AH512" s="1305" t="s">
        <v>1417</v>
      </c>
      <c r="AI512" s="1305"/>
      <c r="AJ512" s="1305"/>
      <c r="AK512" s="1306"/>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67" t="s">
        <v>1418</v>
      </c>
      <c r="C513" s="1268"/>
      <c r="D513" s="1268"/>
      <c r="E513" s="1268"/>
      <c r="F513" s="1268"/>
      <c r="G513" s="1268"/>
      <c r="H513" s="1269"/>
      <c r="I513" s="35" t="s">
        <v>1419</v>
      </c>
      <c r="J513" s="35"/>
      <c r="K513" s="35"/>
      <c r="L513" s="35"/>
      <c r="M513" s="35"/>
      <c r="N513" s="35"/>
      <c r="O513" s="35"/>
      <c r="P513" s="35"/>
      <c r="Q513" s="35"/>
      <c r="R513" s="35"/>
      <c r="S513" s="35"/>
      <c r="T513" s="35"/>
      <c r="U513" s="35"/>
      <c r="V513" s="35"/>
      <c r="W513" s="35"/>
      <c r="AC513" s="1354" t="s">
        <v>299</v>
      </c>
      <c r="AD513" s="1275"/>
      <c r="AE513" s="1275"/>
      <c r="AF513" s="1275"/>
      <c r="AG513" s="13" t="s">
        <v>1416</v>
      </c>
      <c r="AH513" s="1286">
        <v>0</v>
      </c>
      <c r="AI513" s="1286"/>
      <c r="AJ513" s="1286"/>
      <c r="AK513" s="1345"/>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70"/>
      <c r="C514" s="1271"/>
      <c r="D514" s="1271"/>
      <c r="E514" s="1271"/>
      <c r="F514" s="1271"/>
      <c r="G514" s="1271"/>
      <c r="H514" s="1272"/>
      <c r="I514" s="41" t="s">
        <v>1420</v>
      </c>
      <c r="J514" s="41"/>
      <c r="K514" s="41"/>
      <c r="L514" s="41"/>
      <c r="M514" s="41"/>
      <c r="N514" s="41"/>
      <c r="O514" s="41"/>
      <c r="P514" s="41"/>
      <c r="Q514" s="41"/>
      <c r="R514" s="41"/>
      <c r="S514" s="41"/>
      <c r="T514" s="41"/>
      <c r="U514" s="41"/>
      <c r="V514" s="41"/>
      <c r="W514" s="41"/>
      <c r="X514" s="41"/>
      <c r="Y514" s="41"/>
      <c r="Z514" s="41"/>
      <c r="AA514" s="41"/>
      <c r="AB514" s="41"/>
      <c r="AC514" s="1354">
        <v>5</v>
      </c>
      <c r="AD514" s="1275"/>
      <c r="AE514" s="1275"/>
      <c r="AF514" s="1275"/>
      <c r="AG514" s="31" t="s">
        <v>1416</v>
      </c>
      <c r="AH514" s="1286">
        <v>2021</v>
      </c>
      <c r="AI514" s="1286"/>
      <c r="AJ514" s="1286"/>
      <c r="AK514" s="1345"/>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67" t="s">
        <v>1421</v>
      </c>
      <c r="C515" s="1268"/>
      <c r="D515" s="1268"/>
      <c r="E515" s="1268"/>
      <c r="F515" s="1268"/>
      <c r="G515" s="1268"/>
      <c r="H515" s="1269"/>
      <c r="I515" s="35" t="s">
        <v>1422</v>
      </c>
      <c r="J515" s="35"/>
      <c r="K515" s="35"/>
      <c r="L515" s="35"/>
      <c r="M515" s="35"/>
      <c r="N515" s="35"/>
      <c r="O515" s="35"/>
      <c r="P515" s="35"/>
      <c r="Q515" s="35"/>
      <c r="R515" s="35"/>
      <c r="S515" s="35"/>
      <c r="T515" s="35"/>
      <c r="U515" s="35"/>
      <c r="V515" s="35"/>
      <c r="W515" s="35"/>
      <c r="AC515" s="1354" t="s">
        <v>299</v>
      </c>
      <c r="AD515" s="1275"/>
      <c r="AE515" s="1275"/>
      <c r="AF515" s="1275"/>
      <c r="AG515" s="13" t="s">
        <v>1416</v>
      </c>
      <c r="AH515" s="1286"/>
      <c r="AI515" s="1286"/>
      <c r="AJ515" s="1286"/>
      <c r="AK515" s="1345"/>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70"/>
      <c r="C516" s="1271"/>
      <c r="D516" s="1271"/>
      <c r="E516" s="1271"/>
      <c r="F516" s="1271"/>
      <c r="G516" s="1271"/>
      <c r="H516" s="1272"/>
      <c r="I516" t="s">
        <v>1423</v>
      </c>
      <c r="AC516" s="1354" t="s">
        <v>299</v>
      </c>
      <c r="AD516" s="1275"/>
      <c r="AE516" s="1275"/>
      <c r="AF516" s="1275"/>
      <c r="AG516" s="13" t="s">
        <v>1416</v>
      </c>
      <c r="AH516" s="1286"/>
      <c r="AI516" s="1286"/>
      <c r="AJ516" s="1286"/>
      <c r="AK516" s="1345"/>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70"/>
      <c r="C517" s="1271"/>
      <c r="D517" s="1271"/>
      <c r="E517" s="1271"/>
      <c r="F517" s="1271"/>
      <c r="G517" s="1271"/>
      <c r="H517" s="1272"/>
      <c r="I517" t="s">
        <v>1424</v>
      </c>
      <c r="AC517" s="1354" t="s">
        <v>299</v>
      </c>
      <c r="AD517" s="1275"/>
      <c r="AE517" s="1275"/>
      <c r="AF517" s="1275"/>
      <c r="AG517" s="13" t="s">
        <v>1416</v>
      </c>
      <c r="AH517" s="1286"/>
      <c r="AI517" s="1286"/>
      <c r="AJ517" s="1286"/>
      <c r="AK517" s="1345"/>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70"/>
      <c r="C518" s="1271"/>
      <c r="D518" s="1271"/>
      <c r="E518" s="1271"/>
      <c r="F518" s="1271"/>
      <c r="G518" s="1271"/>
      <c r="H518" s="1272"/>
      <c r="I518" t="s">
        <v>1425</v>
      </c>
      <c r="AC518" s="1354" t="s">
        <v>299</v>
      </c>
      <c r="AD518" s="1275"/>
      <c r="AE518" s="1275"/>
      <c r="AF518" s="1275"/>
      <c r="AG518" s="13" t="s">
        <v>1416</v>
      </c>
      <c r="AH518" s="1286"/>
      <c r="AI518" s="1286"/>
      <c r="AJ518" s="1286"/>
      <c r="AK518" s="1345"/>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70"/>
      <c r="C519" s="1271"/>
      <c r="D519" s="1271"/>
      <c r="E519" s="1271"/>
      <c r="F519" s="1271"/>
      <c r="G519" s="1271"/>
      <c r="H519" s="1272"/>
      <c r="I519" s="3" t="s">
        <v>1426</v>
      </c>
      <c r="AC519" s="1238" t="s">
        <v>299</v>
      </c>
      <c r="AD519" s="1239"/>
      <c r="AE519" s="1239"/>
      <c r="AF519" s="1239"/>
      <c r="AG519" s="13" t="s">
        <v>1416</v>
      </c>
      <c r="AH519" s="1286"/>
      <c r="AI519" s="1286"/>
      <c r="AJ519" s="1286"/>
      <c r="AK519" s="1345"/>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70"/>
      <c r="C520" s="1271"/>
      <c r="D520" s="1271"/>
      <c r="E520" s="1271"/>
      <c r="F520" s="1271"/>
      <c r="G520" s="1271"/>
      <c r="H520" s="1272"/>
      <c r="I520" s="856" t="s">
        <v>232</v>
      </c>
      <c r="J520" s="41"/>
      <c r="K520" s="41"/>
      <c r="L520" s="1364" t="s">
        <v>1330</v>
      </c>
      <c r="M520" s="1247"/>
      <c r="N520" s="1247"/>
      <c r="O520" s="1247"/>
      <c r="P520" s="1247"/>
      <c r="Q520" s="1247"/>
      <c r="R520" s="1247"/>
      <c r="S520" s="1247"/>
      <c r="T520" s="1247"/>
      <c r="U520" s="1247"/>
      <c r="V520" s="1247"/>
      <c r="W520" s="1247"/>
      <c r="X520" s="1247"/>
      <c r="Y520" s="1247"/>
      <c r="Z520" s="1247"/>
      <c r="AA520" s="1247"/>
      <c r="AB520" s="1365"/>
      <c r="AC520" s="1354" t="s">
        <v>299</v>
      </c>
      <c r="AD520" s="1275"/>
      <c r="AE520" s="1275"/>
      <c r="AF520" s="1275"/>
      <c r="AG520" s="31" t="s">
        <v>1416</v>
      </c>
      <c r="AH520" s="1286"/>
      <c r="AI520" s="1286"/>
      <c r="AJ520" s="1286"/>
      <c r="AK520" s="1345"/>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1427</v>
      </c>
      <c r="AC521" s="1246" t="s">
        <v>1322</v>
      </c>
      <c r="AD521" s="1246"/>
      <c r="AE521" s="1246"/>
      <c r="AF521" s="1246"/>
      <c r="AG521" s="13"/>
      <c r="AH521" s="1162"/>
      <c r="AI521" s="1162"/>
      <c r="AJ521" s="1162"/>
      <c r="AK521" s="123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32"/>
      <c r="C522" s="96"/>
      <c r="D522" s="96"/>
      <c r="E522" s="96"/>
      <c r="F522" s="96"/>
      <c r="G522" s="96"/>
      <c r="H522" s="833"/>
      <c r="I522" t="s">
        <v>1428</v>
      </c>
      <c r="AC522" s="1238"/>
      <c r="AD522" s="1239"/>
      <c r="AE522" s="1239"/>
      <c r="AF522" s="1240"/>
      <c r="AG522" s="13"/>
      <c r="AH522" s="1162"/>
      <c r="AI522" s="1162"/>
      <c r="AJ522" s="1162"/>
      <c r="AK522" s="123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32"/>
      <c r="C523" s="96"/>
      <c r="D523" s="96"/>
      <c r="E523" s="96"/>
      <c r="F523" s="96"/>
      <c r="G523" s="96"/>
      <c r="H523" s="833"/>
      <c r="I523" t="s">
        <v>1429</v>
      </c>
      <c r="AC523" s="1050"/>
      <c r="AD523" s="1052"/>
      <c r="AE523" s="1052"/>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32"/>
      <c r="C524" s="96"/>
      <c r="D524" s="96"/>
      <c r="E524" s="96"/>
      <c r="F524" s="96"/>
      <c r="G524" s="96"/>
      <c r="H524" s="833"/>
      <c r="I524" s="857" t="s">
        <v>1430</v>
      </c>
      <c r="J524" s="41"/>
      <c r="K524" s="41"/>
      <c r="L524" s="41"/>
      <c r="M524" s="41"/>
      <c r="N524" s="41"/>
      <c r="O524" s="41"/>
      <c r="P524" s="41"/>
      <c r="Q524" s="41"/>
      <c r="R524" s="41"/>
      <c r="S524" s="41"/>
      <c r="T524" s="41"/>
      <c r="U524" s="41"/>
      <c r="V524" s="41"/>
      <c r="W524" s="41"/>
      <c r="X524" s="41"/>
      <c r="Y524" s="41"/>
      <c r="Z524" s="41"/>
      <c r="AA524" s="41"/>
      <c r="AB524" s="41"/>
      <c r="AC524" s="1241"/>
      <c r="AD524" s="1242"/>
      <c r="AE524" s="1242"/>
      <c r="AF524" s="1243"/>
      <c r="AG524" s="31"/>
      <c r="AH524" s="1244"/>
      <c r="AI524" s="1244"/>
      <c r="AJ524" s="1244"/>
      <c r="AK524" s="1245"/>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349" t="s">
        <v>1415</v>
      </c>
      <c r="AD525" s="1350"/>
      <c r="AE525" s="1350"/>
      <c r="AF525" s="1350"/>
      <c r="AG525" s="31" t="s">
        <v>1416</v>
      </c>
      <c r="AH525" s="1350" t="s">
        <v>1417</v>
      </c>
      <c r="AI525" s="1350"/>
      <c r="AJ525" s="1350"/>
      <c r="AK525" s="1351"/>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67" t="s">
        <v>1431</v>
      </c>
      <c r="C526" s="1268"/>
      <c r="D526" s="1268"/>
      <c r="E526" s="1268"/>
      <c r="F526" s="1268"/>
      <c r="G526" s="1268"/>
      <c r="H526" s="1269"/>
      <c r="I526" s="35" t="s">
        <v>1432</v>
      </c>
      <c r="J526" s="35"/>
      <c r="K526" s="35"/>
      <c r="L526" s="35"/>
      <c r="M526" s="35"/>
      <c r="N526" s="35"/>
      <c r="O526" s="35"/>
      <c r="P526" s="35"/>
      <c r="Q526" s="35"/>
      <c r="R526" s="35"/>
      <c r="S526" s="35"/>
      <c r="T526" s="35"/>
      <c r="U526" s="35"/>
      <c r="V526" s="35"/>
      <c r="W526" s="35"/>
      <c r="AC526" s="1359">
        <v>8</v>
      </c>
      <c r="AD526" s="1360"/>
      <c r="AE526" s="1360"/>
      <c r="AF526" s="1360"/>
      <c r="AG526" s="13" t="s">
        <v>1416</v>
      </c>
      <c r="AH526" s="1362">
        <v>2022</v>
      </c>
      <c r="AI526" s="1362"/>
      <c r="AJ526" s="1362"/>
      <c r="AK526" s="136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70"/>
      <c r="C527" s="1271"/>
      <c r="D527" s="1271"/>
      <c r="E527" s="1271"/>
      <c r="F527" s="1271"/>
      <c r="G527" s="1271"/>
      <c r="H527" s="1272"/>
      <c r="I527" t="s">
        <v>1433</v>
      </c>
      <c r="AC527" s="1359">
        <v>10</v>
      </c>
      <c r="AD527" s="1360"/>
      <c r="AE527" s="1360"/>
      <c r="AF527" s="1360"/>
      <c r="AG527" s="13" t="s">
        <v>1416</v>
      </c>
      <c r="AH527" s="1362">
        <v>2022</v>
      </c>
      <c r="AI527" s="1362"/>
      <c r="AJ527" s="1362"/>
      <c r="AK527" s="136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70"/>
      <c r="C528" s="1271"/>
      <c r="D528" s="1271"/>
      <c r="E528" s="1271"/>
      <c r="F528" s="1271"/>
      <c r="G528" s="1271"/>
      <c r="H528" s="1272"/>
      <c r="I528" s="41" t="s">
        <v>1434</v>
      </c>
      <c r="J528" s="41"/>
      <c r="K528" s="41"/>
      <c r="L528" s="41"/>
      <c r="M528" s="41"/>
      <c r="N528" s="41"/>
      <c r="O528" s="41"/>
      <c r="P528" s="41"/>
      <c r="Q528" s="41"/>
      <c r="R528" s="41"/>
      <c r="S528" s="41"/>
      <c r="T528" s="41"/>
      <c r="U528" s="41"/>
      <c r="V528" s="41"/>
      <c r="W528" s="41"/>
      <c r="X528" s="41"/>
      <c r="Y528" s="41"/>
      <c r="Z528" s="41"/>
      <c r="AA528" s="41"/>
      <c r="AB528" s="41"/>
      <c r="AC528" s="1359">
        <v>11</v>
      </c>
      <c r="AD528" s="1360"/>
      <c r="AE528" s="1360"/>
      <c r="AF528" s="1360"/>
      <c r="AG528" s="31" t="s">
        <v>1416</v>
      </c>
      <c r="AH528" s="1362">
        <v>2022</v>
      </c>
      <c r="AI528" s="1362"/>
      <c r="AJ528" s="1362"/>
      <c r="AK528" s="136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67" t="s">
        <v>1435</v>
      </c>
      <c r="C529" s="1268"/>
      <c r="D529" s="1268"/>
      <c r="E529" s="1268"/>
      <c r="F529" s="1268"/>
      <c r="G529" s="1268"/>
      <c r="H529" s="1269"/>
      <c r="I529" s="35" t="s">
        <v>1432</v>
      </c>
      <c r="J529" s="35"/>
      <c r="K529" s="35"/>
      <c r="L529" s="35"/>
      <c r="M529" s="35"/>
      <c r="N529" s="35"/>
      <c r="O529" s="35"/>
      <c r="P529" s="35"/>
      <c r="Q529" s="35"/>
      <c r="R529" s="35"/>
      <c r="S529" s="35"/>
      <c r="T529" s="35"/>
      <c r="U529" s="35"/>
      <c r="V529" s="35"/>
      <c r="W529" s="35"/>
      <c r="X529" s="35"/>
      <c r="Y529" s="35"/>
      <c r="Z529" s="35"/>
      <c r="AA529" s="35"/>
      <c r="AB529" s="35"/>
      <c r="AC529" s="1352">
        <v>8</v>
      </c>
      <c r="AD529" s="1233"/>
      <c r="AE529" s="1233"/>
      <c r="AF529" s="1233"/>
      <c r="AG529" s="95" t="s">
        <v>1416</v>
      </c>
      <c r="AH529" s="1362">
        <v>2024</v>
      </c>
      <c r="AI529" s="1362"/>
      <c r="AJ529" s="1362"/>
      <c r="AK529" s="136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70"/>
      <c r="C530" s="1271"/>
      <c r="D530" s="1271"/>
      <c r="E530" s="1271"/>
      <c r="F530" s="1271"/>
      <c r="G530" s="1271"/>
      <c r="H530" s="1272"/>
      <c r="I530" t="s">
        <v>1433</v>
      </c>
      <c r="AC530" s="1359">
        <v>10</v>
      </c>
      <c r="AD530" s="1360"/>
      <c r="AE530" s="1360"/>
      <c r="AF530" s="1360"/>
      <c r="AG530" s="13" t="s">
        <v>1416</v>
      </c>
      <c r="AH530" s="1362">
        <v>2024</v>
      </c>
      <c r="AI530" s="1362"/>
      <c r="AJ530" s="1362"/>
      <c r="AK530" s="1363"/>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379"/>
      <c r="C531" s="1380"/>
      <c r="D531" s="1380"/>
      <c r="E531" s="1380"/>
      <c r="F531" s="1380"/>
      <c r="G531" s="1380"/>
      <c r="H531" s="1381"/>
      <c r="I531" s="41" t="s">
        <v>1434</v>
      </c>
      <c r="J531" s="41"/>
      <c r="K531" s="41"/>
      <c r="L531" s="41"/>
      <c r="M531" s="41"/>
      <c r="N531" s="41"/>
      <c r="O531" s="41"/>
      <c r="P531" s="41"/>
      <c r="Q531" s="41"/>
      <c r="R531" s="41"/>
      <c r="S531" s="41"/>
      <c r="T531" s="41"/>
      <c r="U531" s="41"/>
      <c r="V531" s="41"/>
      <c r="W531" s="41"/>
      <c r="X531" s="41"/>
      <c r="Y531" s="41"/>
      <c r="Z531" s="41"/>
      <c r="AA531" s="41"/>
      <c r="AB531" s="41"/>
      <c r="AC531" s="1359">
        <v>11</v>
      </c>
      <c r="AD531" s="1360"/>
      <c r="AE531" s="1360"/>
      <c r="AF531" s="1360"/>
      <c r="AG531" s="31" t="s">
        <v>1416</v>
      </c>
      <c r="AH531" s="1362">
        <v>2024</v>
      </c>
      <c r="AI531" s="1362"/>
      <c r="AJ531" s="1362"/>
      <c r="AK531" s="136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67" t="s">
        <v>1436</v>
      </c>
      <c r="C532" s="1268"/>
      <c r="D532" s="1268"/>
      <c r="E532" s="1268"/>
      <c r="F532" s="1268"/>
      <c r="G532" s="1268"/>
      <c r="H532" s="1269"/>
      <c r="I532" s="34" t="s">
        <v>1437</v>
      </c>
      <c r="J532" s="35"/>
      <c r="K532" s="35"/>
      <c r="L532" s="35"/>
      <c r="M532" s="35"/>
      <c r="N532" s="35"/>
      <c r="O532" s="1298" t="s">
        <v>1330</v>
      </c>
      <c r="P532" s="1298"/>
      <c r="Q532" s="1298"/>
      <c r="R532" s="1298"/>
      <c r="S532" s="1298"/>
      <c r="T532" s="1298"/>
      <c r="U532" s="1298"/>
      <c r="V532" s="1298"/>
      <c r="W532" s="1298"/>
      <c r="X532" s="1298"/>
      <c r="Y532" s="1298"/>
      <c r="Z532" s="1298"/>
      <c r="AA532" s="1298"/>
      <c r="AB532" s="51"/>
      <c r="AC532" s="1238" t="s">
        <v>299</v>
      </c>
      <c r="AD532" s="1239"/>
      <c r="AE532" s="1239"/>
      <c r="AF532" s="1239"/>
      <c r="AG532" s="95" t="s">
        <v>1416</v>
      </c>
      <c r="AH532" s="1286"/>
      <c r="AI532" s="1286"/>
      <c r="AJ532" s="1286"/>
      <c r="AK532" s="134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70"/>
      <c r="C533" s="1271"/>
      <c r="D533" s="1271"/>
      <c r="E533" s="1271"/>
      <c r="F533" s="1271"/>
      <c r="G533" s="1271"/>
      <c r="H533" s="1272"/>
      <c r="I533" s="83" t="s">
        <v>43</v>
      </c>
      <c r="AB533" s="57"/>
      <c r="AC533" s="1354" t="s">
        <v>299</v>
      </c>
      <c r="AD533" s="1275"/>
      <c r="AE533" s="1275"/>
      <c r="AF533" s="1275"/>
      <c r="AG533" s="13" t="s">
        <v>1416</v>
      </c>
      <c r="AH533" s="1286"/>
      <c r="AI533" s="1286"/>
      <c r="AJ533" s="1286"/>
      <c r="AK533" s="1345"/>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70"/>
      <c r="C534" s="1271"/>
      <c r="D534" s="1271"/>
      <c r="E534" s="1271"/>
      <c r="F534" s="1271"/>
      <c r="G534" s="1271"/>
      <c r="H534" s="1272"/>
      <c r="I534" s="40" t="s">
        <v>1438</v>
      </c>
      <c r="J534" s="41"/>
      <c r="K534" s="41"/>
      <c r="L534" s="41"/>
      <c r="M534" s="41"/>
      <c r="N534" s="41"/>
      <c r="O534" s="41"/>
      <c r="P534" s="41"/>
      <c r="Q534" s="41"/>
      <c r="R534" s="41"/>
      <c r="S534" s="41"/>
      <c r="T534" s="41"/>
      <c r="U534" s="41"/>
      <c r="V534" s="41"/>
      <c r="W534" s="41"/>
      <c r="X534" s="41"/>
      <c r="Y534" s="41"/>
      <c r="Z534" s="41"/>
      <c r="AA534" s="41"/>
      <c r="AB534" s="42"/>
      <c r="AC534" s="1354" t="s">
        <v>299</v>
      </c>
      <c r="AD534" s="1275"/>
      <c r="AE534" s="1275"/>
      <c r="AF534" s="1275"/>
      <c r="AG534" s="31" t="s">
        <v>1416</v>
      </c>
      <c r="AH534" s="1286"/>
      <c r="AI534" s="1286"/>
      <c r="AJ534" s="1286"/>
      <c r="AK534" s="1345"/>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70"/>
      <c r="C535" s="1271"/>
      <c r="D535" s="1271"/>
      <c r="E535" s="1271"/>
      <c r="F535" s="1271"/>
      <c r="G535" s="1271"/>
      <c r="H535" s="1272"/>
      <c r="I535" s="35" t="s">
        <v>1439</v>
      </c>
      <c r="J535" s="35"/>
      <c r="K535" s="35"/>
      <c r="L535" s="35"/>
      <c r="M535" s="35"/>
      <c r="N535" s="35"/>
      <c r="O535" s="1213" t="s">
        <v>1330</v>
      </c>
      <c r="P535" s="1213"/>
      <c r="Q535" s="1213"/>
      <c r="R535" s="1213"/>
      <c r="S535" s="1213"/>
      <c r="T535" s="1213"/>
      <c r="U535" s="1213"/>
      <c r="V535" s="1213"/>
      <c r="W535" s="1213"/>
      <c r="X535" s="1213"/>
      <c r="Y535" s="1213"/>
      <c r="Z535" s="1213"/>
      <c r="AA535" s="1213"/>
      <c r="AC535" s="1354" t="s">
        <v>299</v>
      </c>
      <c r="AD535" s="1275"/>
      <c r="AE535" s="1275"/>
      <c r="AF535" s="1275"/>
      <c r="AG535" s="13" t="s">
        <v>1416</v>
      </c>
      <c r="AH535" s="1286"/>
      <c r="AI535" s="1286"/>
      <c r="AJ535" s="1286"/>
      <c r="AK535" s="1345"/>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70"/>
      <c r="C536" s="1271"/>
      <c r="D536" s="1271"/>
      <c r="E536" s="1271"/>
      <c r="F536" s="1271"/>
      <c r="G536" s="1271"/>
      <c r="H536" s="1272"/>
      <c r="I536" t="s">
        <v>43</v>
      </c>
      <c r="AC536" s="1354" t="s">
        <v>299</v>
      </c>
      <c r="AD536" s="1275"/>
      <c r="AE536" s="1275"/>
      <c r="AF536" s="1275"/>
      <c r="AG536" s="13" t="s">
        <v>1416</v>
      </c>
      <c r="AH536" s="1286"/>
      <c r="AI536" s="1286"/>
      <c r="AJ536" s="1286"/>
      <c r="AK536" s="1345"/>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70"/>
      <c r="C537" s="1271"/>
      <c r="D537" s="1271"/>
      <c r="E537" s="1271"/>
      <c r="F537" s="1271"/>
      <c r="G537" s="1271"/>
      <c r="H537" s="1272"/>
      <c r="I537" s="41" t="s">
        <v>1438</v>
      </c>
      <c r="J537" s="41"/>
      <c r="K537" s="41"/>
      <c r="L537" s="41"/>
      <c r="M537" s="41"/>
      <c r="N537" s="41"/>
      <c r="O537" s="41"/>
      <c r="P537" s="41"/>
      <c r="Q537" s="41"/>
      <c r="R537" s="41"/>
      <c r="S537" s="41"/>
      <c r="T537" s="41"/>
      <c r="U537" s="41"/>
      <c r="V537" s="41"/>
      <c r="W537" s="41"/>
      <c r="X537" s="41"/>
      <c r="Y537" s="41"/>
      <c r="Z537" s="41"/>
      <c r="AA537" s="41"/>
      <c r="AB537" s="41"/>
      <c r="AC537" s="1354" t="s">
        <v>299</v>
      </c>
      <c r="AD537" s="1275"/>
      <c r="AE537" s="1275"/>
      <c r="AF537" s="1275"/>
      <c r="AG537" s="31" t="s">
        <v>1416</v>
      </c>
      <c r="AH537" s="1286"/>
      <c r="AI537" s="1286"/>
      <c r="AJ537" s="1286"/>
      <c r="AK537" s="134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70"/>
      <c r="C538" s="1271"/>
      <c r="D538" s="1271"/>
      <c r="E538" s="1271"/>
      <c r="F538" s="1271"/>
      <c r="G538" s="1271"/>
      <c r="H538" s="1272"/>
      <c r="I538" s="35" t="s">
        <v>1439</v>
      </c>
      <c r="J538" s="35"/>
      <c r="K538" s="35"/>
      <c r="L538" s="35"/>
      <c r="M538" s="35"/>
      <c r="N538" s="35"/>
      <c r="O538" s="1213" t="s">
        <v>1330</v>
      </c>
      <c r="P538" s="1213"/>
      <c r="Q538" s="1213"/>
      <c r="R538" s="1213"/>
      <c r="S538" s="1213"/>
      <c r="T538" s="1213"/>
      <c r="U538" s="1213"/>
      <c r="V538" s="1213"/>
      <c r="W538" s="1213"/>
      <c r="X538" s="1213"/>
      <c r="Y538" s="1213"/>
      <c r="Z538" s="1213"/>
      <c r="AA538" s="1213"/>
      <c r="AC538" s="1354" t="s">
        <v>299</v>
      </c>
      <c r="AD538" s="1275"/>
      <c r="AE538" s="1275"/>
      <c r="AF538" s="1275"/>
      <c r="AG538" s="13" t="s">
        <v>1416</v>
      </c>
      <c r="AH538" s="1286"/>
      <c r="AI538" s="1286"/>
      <c r="AJ538" s="1286"/>
      <c r="AK538" s="134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70"/>
      <c r="C539" s="1271"/>
      <c r="D539" s="1271"/>
      <c r="E539" s="1271"/>
      <c r="F539" s="1271"/>
      <c r="G539" s="1271"/>
      <c r="H539" s="1272"/>
      <c r="I539" t="s">
        <v>43</v>
      </c>
      <c r="AC539" s="1354" t="s">
        <v>299</v>
      </c>
      <c r="AD539" s="1275"/>
      <c r="AE539" s="1275"/>
      <c r="AF539" s="1275"/>
      <c r="AG539" s="13" t="s">
        <v>1416</v>
      </c>
      <c r="AH539" s="1286"/>
      <c r="AI539" s="1286"/>
      <c r="AJ539" s="1286"/>
      <c r="AK539" s="134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70"/>
      <c r="C540" s="1271"/>
      <c r="D540" s="1271"/>
      <c r="E540" s="1271"/>
      <c r="F540" s="1271"/>
      <c r="G540" s="1271"/>
      <c r="H540" s="1272"/>
      <c r="I540" s="41" t="s">
        <v>1438</v>
      </c>
      <c r="J540" s="41"/>
      <c r="K540" s="41"/>
      <c r="L540" s="41"/>
      <c r="M540" s="41"/>
      <c r="N540" s="41"/>
      <c r="O540" s="41"/>
      <c r="P540" s="41"/>
      <c r="Q540" s="41"/>
      <c r="R540" s="41"/>
      <c r="S540" s="41"/>
      <c r="T540" s="41"/>
      <c r="U540" s="41"/>
      <c r="V540" s="41"/>
      <c r="W540" s="41"/>
      <c r="X540" s="41"/>
      <c r="Y540" s="41"/>
      <c r="Z540" s="41"/>
      <c r="AA540" s="41"/>
      <c r="AB540" s="41"/>
      <c r="AC540" s="1354" t="s">
        <v>299</v>
      </c>
      <c r="AD540" s="1275"/>
      <c r="AE540" s="1275"/>
      <c r="AF540" s="1275"/>
      <c r="AG540" s="31" t="s">
        <v>1416</v>
      </c>
      <c r="AH540" s="1286"/>
      <c r="AI540" s="1286"/>
      <c r="AJ540" s="1286"/>
      <c r="AK540" s="134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70"/>
      <c r="C541" s="1271"/>
      <c r="D541" s="1271"/>
      <c r="E541" s="1271"/>
      <c r="F541" s="1271"/>
      <c r="G541" s="1271"/>
      <c r="H541" s="1272"/>
      <c r="I541" s="35" t="s">
        <v>1439</v>
      </c>
      <c r="J541" s="35"/>
      <c r="K541" s="35"/>
      <c r="L541" s="35"/>
      <c r="M541" s="35"/>
      <c r="N541" s="35"/>
      <c r="O541" s="1213" t="s">
        <v>1330</v>
      </c>
      <c r="P541" s="1213"/>
      <c r="Q541" s="1213"/>
      <c r="R541" s="1213"/>
      <c r="S541" s="1213"/>
      <c r="T541" s="1213"/>
      <c r="U541" s="1213"/>
      <c r="V541" s="1213"/>
      <c r="W541" s="1213"/>
      <c r="X541" s="1213"/>
      <c r="Y541" s="1213"/>
      <c r="Z541" s="1213"/>
      <c r="AA541" s="1213"/>
      <c r="AC541" s="1354" t="s">
        <v>299</v>
      </c>
      <c r="AD541" s="1275"/>
      <c r="AE541" s="1275"/>
      <c r="AF541" s="1275"/>
      <c r="AG541" s="13" t="s">
        <v>1416</v>
      </c>
      <c r="AH541" s="1286"/>
      <c r="AI541" s="1286"/>
      <c r="AJ541" s="1286"/>
      <c r="AK541" s="1345"/>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70"/>
      <c r="C542" s="1271"/>
      <c r="D542" s="1271"/>
      <c r="E542" s="1271"/>
      <c r="F542" s="1271"/>
      <c r="G542" s="1271"/>
      <c r="H542" s="1272"/>
      <c r="I542" t="s">
        <v>43</v>
      </c>
      <c r="AC542" s="1354" t="s">
        <v>299</v>
      </c>
      <c r="AD542" s="1275"/>
      <c r="AE542" s="1275"/>
      <c r="AF542" s="1275"/>
      <c r="AG542" s="13" t="s">
        <v>1416</v>
      </c>
      <c r="AH542" s="1286"/>
      <c r="AI542" s="1286"/>
      <c r="AJ542" s="1286"/>
      <c r="AK542" s="1345"/>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70"/>
      <c r="C543" s="1271"/>
      <c r="D543" s="1271"/>
      <c r="E543" s="1271"/>
      <c r="F543" s="1271"/>
      <c r="G543" s="1271"/>
      <c r="H543" s="1272"/>
      <c r="I543" s="41" t="s">
        <v>1438</v>
      </c>
      <c r="J543" s="41"/>
      <c r="K543" s="41"/>
      <c r="L543" s="41"/>
      <c r="M543" s="41"/>
      <c r="N543" s="41"/>
      <c r="O543" s="41"/>
      <c r="P543" s="41"/>
      <c r="Q543" s="41"/>
      <c r="R543" s="41"/>
      <c r="S543" s="41"/>
      <c r="T543" s="41"/>
      <c r="U543" s="41"/>
      <c r="V543" s="41"/>
      <c r="W543" s="41"/>
      <c r="X543" s="41"/>
      <c r="Y543" s="41"/>
      <c r="Z543" s="41"/>
      <c r="AA543" s="41"/>
      <c r="AB543" s="41"/>
      <c r="AC543" s="1354" t="s">
        <v>299</v>
      </c>
      <c r="AD543" s="1275"/>
      <c r="AE543" s="1275"/>
      <c r="AF543" s="1275"/>
      <c r="AG543" s="31" t="s">
        <v>1416</v>
      </c>
      <c r="AH543" s="1286"/>
      <c r="AI543" s="1286"/>
      <c r="AJ543" s="1286"/>
      <c r="AK543" s="1345"/>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70"/>
      <c r="C544" s="1271"/>
      <c r="D544" s="1271"/>
      <c r="E544" s="1271"/>
      <c r="F544" s="1271"/>
      <c r="G544" s="1271"/>
      <c r="H544" s="1272"/>
      <c r="I544" s="35" t="s">
        <v>1439</v>
      </c>
      <c r="J544" s="35"/>
      <c r="K544" s="35"/>
      <c r="L544" s="35"/>
      <c r="M544" s="35"/>
      <c r="N544" s="35"/>
      <c r="O544" s="1213" t="s">
        <v>1330</v>
      </c>
      <c r="P544" s="1213"/>
      <c r="Q544" s="1213"/>
      <c r="R544" s="1213"/>
      <c r="S544" s="1213"/>
      <c r="T544" s="1213"/>
      <c r="U544" s="1213"/>
      <c r="V544" s="1213"/>
      <c r="W544" s="1213"/>
      <c r="X544" s="1213"/>
      <c r="Y544" s="1213"/>
      <c r="Z544" s="1213"/>
      <c r="AA544" s="1213"/>
      <c r="AC544" s="1354" t="s">
        <v>299</v>
      </c>
      <c r="AD544" s="1275"/>
      <c r="AE544" s="1275"/>
      <c r="AF544" s="1275"/>
      <c r="AG544" s="13" t="s">
        <v>1416</v>
      </c>
      <c r="AH544" s="1286"/>
      <c r="AI544" s="1286"/>
      <c r="AJ544" s="1286"/>
      <c r="AK544" s="1345"/>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70"/>
      <c r="C545" s="1271"/>
      <c r="D545" s="1271"/>
      <c r="E545" s="1271"/>
      <c r="F545" s="1271"/>
      <c r="G545" s="1271"/>
      <c r="H545" s="1272"/>
      <c r="I545" t="s">
        <v>43</v>
      </c>
      <c r="AC545" s="1354" t="s">
        <v>299</v>
      </c>
      <c r="AD545" s="1275"/>
      <c r="AE545" s="1275"/>
      <c r="AF545" s="1275"/>
      <c r="AG545" s="31" t="s">
        <v>1416</v>
      </c>
      <c r="AH545" s="1286"/>
      <c r="AI545" s="1286"/>
      <c r="AJ545" s="1286"/>
      <c r="AK545" s="1345"/>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70"/>
      <c r="C546" s="1271"/>
      <c r="D546" s="1271"/>
      <c r="E546" s="1271"/>
      <c r="F546" s="1271"/>
      <c r="G546" s="1271"/>
      <c r="H546" s="1272"/>
      <c r="I546" s="41" t="s">
        <v>1438</v>
      </c>
      <c r="J546" s="41"/>
      <c r="K546" s="41"/>
      <c r="L546" s="41"/>
      <c r="M546" s="41"/>
      <c r="N546" s="41"/>
      <c r="O546" s="41"/>
      <c r="P546" s="41"/>
      <c r="Q546" s="41"/>
      <c r="R546" s="41"/>
      <c r="S546" s="41"/>
      <c r="T546" s="41"/>
      <c r="U546" s="41"/>
      <c r="V546" s="41"/>
      <c r="W546" s="41"/>
      <c r="X546" s="41"/>
      <c r="Y546" s="41"/>
      <c r="Z546" s="41"/>
      <c r="AA546" s="41"/>
      <c r="AB546" s="41"/>
      <c r="AC546" s="1354" t="s">
        <v>299</v>
      </c>
      <c r="AD546" s="1275"/>
      <c r="AE546" s="1275"/>
      <c r="AF546" s="1275"/>
      <c r="AG546" s="13" t="s">
        <v>1416</v>
      </c>
      <c r="AH546" s="1286"/>
      <c r="AI546" s="1286"/>
      <c r="AJ546" s="1286"/>
      <c r="AK546" s="1345"/>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70"/>
      <c r="C547" s="1271"/>
      <c r="D547" s="1271"/>
      <c r="E547" s="1271"/>
      <c r="F547" s="1271"/>
      <c r="G547" s="1271"/>
      <c r="H547" s="1272"/>
      <c r="I547" s="35" t="s">
        <v>1439</v>
      </c>
      <c r="J547" s="35"/>
      <c r="K547" s="35"/>
      <c r="L547" s="35"/>
      <c r="M547" s="35"/>
      <c r="N547" s="35"/>
      <c r="O547" s="1213" t="s">
        <v>1330</v>
      </c>
      <c r="P547" s="1213"/>
      <c r="Q547" s="1213"/>
      <c r="R547" s="1213"/>
      <c r="S547" s="1213"/>
      <c r="T547" s="1213"/>
      <c r="U547" s="1213"/>
      <c r="V547" s="1213"/>
      <c r="W547" s="1213"/>
      <c r="X547" s="1213"/>
      <c r="Y547" s="1213"/>
      <c r="Z547" s="1213"/>
      <c r="AA547" s="1213"/>
      <c r="AC547" s="1354" t="s">
        <v>299</v>
      </c>
      <c r="AD547" s="1275"/>
      <c r="AE547" s="1275"/>
      <c r="AF547" s="1275"/>
      <c r="AG547" s="31" t="s">
        <v>1416</v>
      </c>
      <c r="AH547" s="1286"/>
      <c r="AI547" s="1286"/>
      <c r="AJ547" s="1286"/>
      <c r="AK547" s="1345"/>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70"/>
      <c r="C548" s="1271"/>
      <c r="D548" s="1271"/>
      <c r="E548" s="1271"/>
      <c r="F548" s="1271"/>
      <c r="G548" s="1271"/>
      <c r="H548" s="1272"/>
      <c r="I548" t="s">
        <v>43</v>
      </c>
      <c r="AC548" s="1354" t="s">
        <v>299</v>
      </c>
      <c r="AD548" s="1275"/>
      <c r="AE548" s="1275"/>
      <c r="AF548" s="1275"/>
      <c r="AG548" s="13" t="s">
        <v>1416</v>
      </c>
      <c r="AH548" s="1286"/>
      <c r="AI548" s="1286"/>
      <c r="AJ548" s="1286"/>
      <c r="AK548" s="1345"/>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70"/>
      <c r="C549" s="1271"/>
      <c r="D549" s="1271"/>
      <c r="E549" s="1271"/>
      <c r="F549" s="1271"/>
      <c r="G549" s="1271"/>
      <c r="H549" s="1272"/>
      <c r="I549" s="41" t="s">
        <v>1438</v>
      </c>
      <c r="J549" s="41"/>
      <c r="K549" s="41"/>
      <c r="L549" s="41"/>
      <c r="M549" s="41"/>
      <c r="N549" s="41"/>
      <c r="O549" s="41"/>
      <c r="P549" s="41"/>
      <c r="Q549" s="41"/>
      <c r="R549" s="41"/>
      <c r="S549" s="41"/>
      <c r="T549" s="41"/>
      <c r="U549" s="41"/>
      <c r="V549" s="41"/>
      <c r="W549" s="41"/>
      <c r="X549" s="41"/>
      <c r="Y549" s="41"/>
      <c r="Z549" s="41"/>
      <c r="AA549" s="41"/>
      <c r="AB549" s="41"/>
      <c r="AC549" s="1354" t="s">
        <v>299</v>
      </c>
      <c r="AD549" s="1275"/>
      <c r="AE549" s="1275"/>
      <c r="AF549" s="1275"/>
      <c r="AG549" s="31" t="s">
        <v>1416</v>
      </c>
      <c r="AH549" s="1286"/>
      <c r="AI549" s="1286"/>
      <c r="AJ549" s="1286"/>
      <c r="AK549" s="1345"/>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70"/>
      <c r="C550" s="1271"/>
      <c r="D550" s="1271"/>
      <c r="E550" s="1271"/>
      <c r="F550" s="1271"/>
      <c r="G550" s="1271"/>
      <c r="H550" s="1272"/>
      <c r="I550" s="35" t="s">
        <v>1440</v>
      </c>
      <c r="J550" s="35"/>
      <c r="K550" s="35"/>
      <c r="L550" s="35"/>
      <c r="M550" s="35"/>
      <c r="N550" s="35"/>
      <c r="O550" s="35"/>
      <c r="P550" s="35"/>
      <c r="Q550" s="35"/>
      <c r="R550" s="35"/>
      <c r="S550" s="35"/>
      <c r="T550" s="35"/>
      <c r="U550" s="35"/>
      <c r="V550" s="35"/>
      <c r="W550" s="35"/>
      <c r="AC550" s="1359">
        <v>11</v>
      </c>
      <c r="AD550" s="1360"/>
      <c r="AE550" s="1360"/>
      <c r="AF550" s="1360"/>
      <c r="AG550" s="31" t="s">
        <v>1416</v>
      </c>
      <c r="AH550" s="1362">
        <v>2022</v>
      </c>
      <c r="AI550" s="1362"/>
      <c r="AJ550" s="1362"/>
      <c r="AK550" s="136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70"/>
      <c r="C551" s="1271"/>
      <c r="D551" s="1271"/>
      <c r="E551" s="1271"/>
      <c r="F551" s="1271"/>
      <c r="G551" s="1271"/>
      <c r="H551" s="1272"/>
      <c r="I551" t="s">
        <v>1441</v>
      </c>
      <c r="AC551" s="1359">
        <v>11</v>
      </c>
      <c r="AD551" s="1360"/>
      <c r="AE551" s="1360"/>
      <c r="AF551" s="1360"/>
      <c r="AG551" s="13" t="s">
        <v>1416</v>
      </c>
      <c r="AH551" s="1362">
        <v>2022</v>
      </c>
      <c r="AI551" s="1362"/>
      <c r="AJ551" s="1362"/>
      <c r="AK551" s="136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70"/>
      <c r="C552" s="1271"/>
      <c r="D552" s="1271"/>
      <c r="E552" s="1271"/>
      <c r="F552" s="1271"/>
      <c r="G552" s="1271"/>
      <c r="H552" s="1272"/>
      <c r="I552" t="s">
        <v>1442</v>
      </c>
      <c r="AC552" s="1359">
        <v>5</v>
      </c>
      <c r="AD552" s="1360"/>
      <c r="AE552" s="1360"/>
      <c r="AF552" s="1360"/>
      <c r="AG552" s="31" t="s">
        <v>1416</v>
      </c>
      <c r="AH552" s="1362">
        <v>2024</v>
      </c>
      <c r="AI552" s="1362"/>
      <c r="AJ552" s="1362"/>
      <c r="AK552" s="136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70"/>
      <c r="C553" s="1271"/>
      <c r="D553" s="1271"/>
      <c r="E553" s="1271"/>
      <c r="F553" s="1271"/>
      <c r="G553" s="1271"/>
      <c r="H553" s="1272"/>
      <c r="I553" t="s">
        <v>1443</v>
      </c>
      <c r="AC553" s="1359">
        <v>12</v>
      </c>
      <c r="AD553" s="1360"/>
      <c r="AE553" s="1360"/>
      <c r="AF553" s="1360"/>
      <c r="AG553" s="31" t="s">
        <v>1416</v>
      </c>
      <c r="AH553" s="1362">
        <v>2024</v>
      </c>
      <c r="AI553" s="1362"/>
      <c r="AJ553" s="1362"/>
      <c r="AK553" s="136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379"/>
      <c r="C554" s="1380"/>
      <c r="D554" s="1380"/>
      <c r="E554" s="1380"/>
      <c r="F554" s="1380"/>
      <c r="G554" s="1380"/>
      <c r="H554" s="1381"/>
      <c r="I554" s="41" t="s">
        <v>1444</v>
      </c>
      <c r="J554" s="41"/>
      <c r="K554" s="41"/>
      <c r="L554" s="41"/>
      <c r="M554" s="41"/>
      <c r="N554" s="41"/>
      <c r="O554" s="41"/>
      <c r="P554" s="41"/>
      <c r="Q554" s="41"/>
      <c r="R554" s="41"/>
      <c r="S554" s="41"/>
      <c r="T554" s="41"/>
      <c r="U554" s="41"/>
      <c r="V554" s="41"/>
      <c r="W554" s="41"/>
      <c r="X554" s="41"/>
      <c r="Y554" s="41"/>
      <c r="Z554" s="41"/>
      <c r="AA554" s="41"/>
      <c r="AB554" s="41"/>
      <c r="AC554" s="1359">
        <v>2</v>
      </c>
      <c r="AD554" s="1360"/>
      <c r="AE554" s="1360"/>
      <c r="AF554" s="1360"/>
      <c r="AG554" s="31" t="s">
        <v>1416</v>
      </c>
      <c r="AH554" s="1362">
        <v>2025</v>
      </c>
      <c r="AI554" s="1362"/>
      <c r="AJ554" s="1362"/>
      <c r="AK554" s="136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34" t="s">
        <v>1445</v>
      </c>
      <c r="B556" s="1134"/>
      <c r="C556" s="1134"/>
      <c r="D556" s="1134"/>
      <c r="E556" s="1134"/>
      <c r="F556" s="1134"/>
      <c r="G556" s="1134"/>
      <c r="H556" s="1134"/>
      <c r="I556" s="1134"/>
      <c r="J556" s="1134"/>
      <c r="K556" s="1134"/>
      <c r="L556" s="1134"/>
      <c r="M556" s="1134"/>
      <c r="N556" s="1134"/>
      <c r="O556" s="1134"/>
      <c r="P556" s="1134"/>
      <c r="Q556" s="1134"/>
      <c r="R556" s="1134"/>
      <c r="S556" s="1134"/>
      <c r="T556" s="1134"/>
      <c r="U556" s="1134"/>
      <c r="V556" s="1134"/>
      <c r="W556" s="1134"/>
      <c r="X556" s="1134"/>
      <c r="Y556" s="1134"/>
      <c r="Z556" s="1134"/>
      <c r="AA556" s="1134"/>
      <c r="AB556" s="1134"/>
      <c r="AC556" s="1134"/>
      <c r="AD556" s="1134"/>
      <c r="AE556" s="1134"/>
      <c r="AF556" s="1134"/>
      <c r="AG556" s="1134"/>
      <c r="AH556" s="1134"/>
      <c r="AI556" s="1134"/>
      <c r="AJ556" s="1134"/>
      <c r="AK556" s="1134"/>
      <c r="AL556" s="1134"/>
      <c r="AM556" s="1134"/>
      <c r="AN556" s="1134"/>
      <c r="AO556" s="1134"/>
      <c r="AP556" s="1134"/>
      <c r="AQ556" s="1134"/>
      <c r="AR556" s="1134"/>
      <c r="AS556" s="1134"/>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34"/>
      <c r="B557" s="1134"/>
      <c r="C557" s="1134"/>
      <c r="D557" s="1134"/>
      <c r="E557" s="1134"/>
      <c r="F557" s="1134"/>
      <c r="G557" s="1134"/>
      <c r="H557" s="1134"/>
      <c r="I557" s="1134"/>
      <c r="J557" s="1134"/>
      <c r="K557" s="1134"/>
      <c r="L557" s="1134"/>
      <c r="M557" s="1134"/>
      <c r="N557" s="1134"/>
      <c r="O557" s="1134"/>
      <c r="P557" s="1134"/>
      <c r="Q557" s="1134"/>
      <c r="R557" s="1134"/>
      <c r="S557" s="1134"/>
      <c r="T557" s="1134"/>
      <c r="U557" s="1134"/>
      <c r="V557" s="1134"/>
      <c r="W557" s="1134"/>
      <c r="X557" s="1134"/>
      <c r="Y557" s="1134"/>
      <c r="Z557" s="1134"/>
      <c r="AA557" s="1134"/>
      <c r="AB557" s="1134"/>
      <c r="AC557" s="1134"/>
      <c r="AD557" s="1134"/>
      <c r="AE557" s="1134"/>
      <c r="AF557" s="1134"/>
      <c r="AG557" s="1134"/>
      <c r="AH557" s="1134"/>
      <c r="AI557" s="1134"/>
      <c r="AJ557" s="1134"/>
      <c r="AK557" s="1134"/>
      <c r="AL557" s="1134"/>
      <c r="AM557" s="1134"/>
      <c r="AN557" s="1134"/>
      <c r="AO557" s="1134"/>
      <c r="AP557" s="1134"/>
      <c r="AQ557" s="1134"/>
      <c r="AR557" s="1134"/>
      <c r="AS557" s="1134"/>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956</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1446</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366" t="s">
        <v>1447</v>
      </c>
      <c r="C563" s="1369"/>
      <c r="D563" s="1369"/>
      <c r="E563" s="1369"/>
      <c r="F563" s="1369"/>
      <c r="G563" s="1369"/>
      <c r="H563" s="1369"/>
      <c r="I563" s="1369"/>
      <c r="J563" s="1369"/>
      <c r="K563" s="1369"/>
      <c r="L563" s="1369"/>
      <c r="M563" s="1369"/>
      <c r="N563" s="1369"/>
      <c r="O563" s="1369"/>
      <c r="P563" s="1370"/>
      <c r="Q563" s="1366" t="s">
        <v>1448</v>
      </c>
      <c r="R563" s="1367"/>
      <c r="S563" s="1368"/>
      <c r="T563" s="1366" t="s">
        <v>1449</v>
      </c>
      <c r="U563" s="1367"/>
      <c r="V563" s="1368"/>
      <c r="W563" s="1366" t="s">
        <v>1450</v>
      </c>
      <c r="X563" s="1367"/>
      <c r="Y563" s="1368"/>
      <c r="Z563" s="1366" t="s">
        <v>1451</v>
      </c>
      <c r="AA563" s="1367"/>
      <c r="AB563" s="1367"/>
      <c r="AC563" s="1367"/>
      <c r="AD563" s="1367"/>
      <c r="AE563" s="1366" t="s">
        <v>1452</v>
      </c>
      <c r="AF563" s="1367"/>
      <c r="AG563" s="1367"/>
      <c r="AH563" s="1368"/>
      <c r="AI563" s="1366" t="s">
        <v>1453</v>
      </c>
      <c r="AJ563" s="1367"/>
      <c r="AK563" s="1367"/>
      <c r="AL563" s="1368"/>
      <c r="AM563" s="1366" t="s">
        <v>1454</v>
      </c>
      <c r="AN563" s="1367"/>
      <c r="AO563" s="1367"/>
      <c r="AP563" s="1367"/>
      <c r="AQ563" s="1367"/>
      <c r="AR563" s="1367"/>
      <c r="AS563" s="1368"/>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24" t="s">
        <v>1455</v>
      </c>
      <c r="D564" s="1224"/>
      <c r="E564" s="1224"/>
      <c r="F564" s="1224"/>
      <c r="G564" s="1224"/>
      <c r="H564" s="1224"/>
      <c r="I564" s="1224"/>
      <c r="J564" s="1224"/>
      <c r="K564" s="1224"/>
      <c r="L564" s="1224"/>
      <c r="M564" s="1224"/>
      <c r="N564" s="1224"/>
      <c r="O564" s="1224"/>
      <c r="P564" s="1225"/>
      <c r="Q564" s="1211">
        <v>24</v>
      </c>
      <c r="R564" s="1211"/>
      <c r="S564" s="1212"/>
      <c r="T564" s="1210"/>
      <c r="U564" s="1211"/>
      <c r="V564" s="1212"/>
      <c r="W564" s="1214">
        <v>3.4000000000000002E-2</v>
      </c>
      <c r="X564" s="1215"/>
      <c r="Y564" s="1216"/>
      <c r="Z564" s="1223" t="s">
        <v>1456</v>
      </c>
      <c r="AA564" s="1223"/>
      <c r="AB564" s="1223"/>
      <c r="AC564" s="1223"/>
      <c r="AD564" s="1223"/>
      <c r="AE564" s="1220"/>
      <c r="AF564" s="1221"/>
      <c r="AG564" s="1221"/>
      <c r="AH564" s="1222"/>
      <c r="AI564" s="1217"/>
      <c r="AJ564" s="1218"/>
      <c r="AK564" s="1218"/>
      <c r="AL564" s="1219"/>
      <c r="AM564" s="1226">
        <v>22577145</v>
      </c>
      <c r="AN564" s="1227"/>
      <c r="AO564" s="1227"/>
      <c r="AP564" s="1227"/>
      <c r="AQ564" s="1227"/>
      <c r="AR564" s="1227"/>
      <c r="AS564" s="1228"/>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24" t="s">
        <v>1457</v>
      </c>
      <c r="D565" s="1224"/>
      <c r="E565" s="1224"/>
      <c r="F565" s="1224"/>
      <c r="G565" s="1224"/>
      <c r="H565" s="1224"/>
      <c r="I565" s="1224"/>
      <c r="J565" s="1224"/>
      <c r="K565" s="1224"/>
      <c r="L565" s="1224"/>
      <c r="M565" s="1224"/>
      <c r="N565" s="1224"/>
      <c r="O565" s="1224"/>
      <c r="P565" s="1225"/>
      <c r="Q565" s="1210">
        <v>24</v>
      </c>
      <c r="R565" s="1211"/>
      <c r="S565" s="1212"/>
      <c r="T565" s="1210"/>
      <c r="U565" s="1211"/>
      <c r="V565" s="1212"/>
      <c r="W565" s="1214">
        <v>3.4000000000000002E-2</v>
      </c>
      <c r="X565" s="1215"/>
      <c r="Y565" s="1216"/>
      <c r="Z565" s="1223" t="s">
        <v>1456</v>
      </c>
      <c r="AA565" s="1223"/>
      <c r="AB565" s="1223"/>
      <c r="AC565" s="1223"/>
      <c r="AD565" s="1223"/>
      <c r="AE565" s="1220"/>
      <c r="AF565" s="1221"/>
      <c r="AG565" s="1221"/>
      <c r="AH565" s="1222"/>
      <c r="AI565" s="1217"/>
      <c r="AJ565" s="1218"/>
      <c r="AK565" s="1218"/>
      <c r="AL565" s="1219"/>
      <c r="AM565" s="1226">
        <v>4811771</v>
      </c>
      <c r="AN565" s="1227"/>
      <c r="AO565" s="1227"/>
      <c r="AP565" s="1227"/>
      <c r="AQ565" s="1227"/>
      <c r="AR565" s="1227"/>
      <c r="AS565" s="1228"/>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24" t="s">
        <v>1458</v>
      </c>
      <c r="D566" s="1224"/>
      <c r="E566" s="1224"/>
      <c r="F566" s="1224"/>
      <c r="G566" s="1224"/>
      <c r="H566" s="1224"/>
      <c r="I566" s="1224"/>
      <c r="J566" s="1224"/>
      <c r="K566" s="1224"/>
      <c r="L566" s="1224"/>
      <c r="M566" s="1224"/>
      <c r="N566" s="1224"/>
      <c r="O566" s="1224"/>
      <c r="P566" s="1225"/>
      <c r="Q566" s="1210">
        <v>24</v>
      </c>
      <c r="R566" s="1211"/>
      <c r="S566" s="1212"/>
      <c r="T566" s="1210"/>
      <c r="U566" s="1211"/>
      <c r="V566" s="1212"/>
      <c r="W566" s="1214">
        <v>3.6999999999999998E-2</v>
      </c>
      <c r="X566" s="1215"/>
      <c r="Y566" s="1216"/>
      <c r="Z566" s="1223" t="s">
        <v>1456</v>
      </c>
      <c r="AA566" s="1223"/>
      <c r="AB566" s="1223"/>
      <c r="AC566" s="1223"/>
      <c r="AD566" s="1223"/>
      <c r="AE566" s="1220"/>
      <c r="AF566" s="1221"/>
      <c r="AG566" s="1221"/>
      <c r="AH566" s="1222"/>
      <c r="AI566" s="1217"/>
      <c r="AJ566" s="1218"/>
      <c r="AK566" s="1218"/>
      <c r="AL566" s="1219"/>
      <c r="AM566" s="1226">
        <v>6487205</v>
      </c>
      <c r="AN566" s="1227"/>
      <c r="AO566" s="1227"/>
      <c r="AP566" s="1227"/>
      <c r="AQ566" s="1227"/>
      <c r="AR566" s="1227"/>
      <c r="AS566" s="1228"/>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24" t="s">
        <v>1459</v>
      </c>
      <c r="D567" s="1224"/>
      <c r="E567" s="1224"/>
      <c r="F567" s="1224"/>
      <c r="G567" s="1224"/>
      <c r="H567" s="1224"/>
      <c r="I567" s="1224"/>
      <c r="J567" s="1224"/>
      <c r="K567" s="1224"/>
      <c r="L567" s="1224"/>
      <c r="M567" s="1224"/>
      <c r="N567" s="1224"/>
      <c r="O567" s="1224"/>
      <c r="P567" s="1225"/>
      <c r="Q567" s="1210"/>
      <c r="R567" s="1211"/>
      <c r="S567" s="1212"/>
      <c r="T567" s="1210"/>
      <c r="U567" s="1211"/>
      <c r="V567" s="1212"/>
      <c r="W567" s="1214"/>
      <c r="X567" s="1215"/>
      <c r="Y567" s="1216"/>
      <c r="Z567" s="1223" t="s">
        <v>1322</v>
      </c>
      <c r="AA567" s="1223"/>
      <c r="AB567" s="1223"/>
      <c r="AC567" s="1223"/>
      <c r="AD567" s="1223"/>
      <c r="AE567" s="1220"/>
      <c r="AF567" s="1221"/>
      <c r="AG567" s="1221"/>
      <c r="AH567" s="1222"/>
      <c r="AI567" s="1217"/>
      <c r="AJ567" s="1218"/>
      <c r="AK567" s="1218"/>
      <c r="AL567" s="1219"/>
      <c r="AM567" s="1226">
        <v>7173156</v>
      </c>
      <c r="AN567" s="1227"/>
      <c r="AO567" s="1227"/>
      <c r="AP567" s="1227"/>
      <c r="AQ567" s="1227"/>
      <c r="AR567" s="1227"/>
      <c r="AS567" s="122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24" t="s">
        <v>1460</v>
      </c>
      <c r="D568" s="1224"/>
      <c r="E568" s="1224"/>
      <c r="F568" s="1224"/>
      <c r="G568" s="1224"/>
      <c r="H568" s="1224"/>
      <c r="I568" s="1224"/>
      <c r="J568" s="1224"/>
      <c r="K568" s="1224"/>
      <c r="L568" s="1224"/>
      <c r="M568" s="1224"/>
      <c r="N568" s="1224"/>
      <c r="O568" s="1224"/>
      <c r="P568" s="1225"/>
      <c r="Q568" s="1210"/>
      <c r="R568" s="1211"/>
      <c r="S568" s="1212"/>
      <c r="T568" s="1210"/>
      <c r="U568" s="1211"/>
      <c r="V568" s="1212"/>
      <c r="W568" s="1214"/>
      <c r="X568" s="1215"/>
      <c r="Y568" s="1216"/>
      <c r="Z568" s="1223" t="s">
        <v>1322</v>
      </c>
      <c r="AA568" s="1223"/>
      <c r="AB568" s="1223"/>
      <c r="AC568" s="1223"/>
      <c r="AD568" s="1223"/>
      <c r="AE568" s="1220"/>
      <c r="AF568" s="1221"/>
      <c r="AG568" s="1221"/>
      <c r="AH568" s="1222"/>
      <c r="AI568" s="1217"/>
      <c r="AJ568" s="1218"/>
      <c r="AK568" s="1218"/>
      <c r="AL568" s="1219"/>
      <c r="AM568" s="1226">
        <v>3329970</v>
      </c>
      <c r="AN568" s="1227"/>
      <c r="AO568" s="1227"/>
      <c r="AP568" s="1227"/>
      <c r="AQ568" s="1227"/>
      <c r="AR568" s="1227"/>
      <c r="AS568" s="122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1461</v>
      </c>
      <c r="C569" s="1224" t="s">
        <v>1462</v>
      </c>
      <c r="D569" s="1224"/>
      <c r="E569" s="1224"/>
      <c r="F569" s="1224"/>
      <c r="G569" s="1224"/>
      <c r="H569" s="1224"/>
      <c r="I569" s="1224"/>
      <c r="J569" s="1224"/>
      <c r="K569" s="1224"/>
      <c r="L569" s="1224"/>
      <c r="M569" s="1224"/>
      <c r="N569" s="1224"/>
      <c r="O569" s="1224"/>
      <c r="P569" s="1225"/>
      <c r="Q569" s="1210">
        <v>660</v>
      </c>
      <c r="R569" s="1211"/>
      <c r="S569" s="1212"/>
      <c r="T569" s="1210">
        <v>660</v>
      </c>
      <c r="U569" s="1211"/>
      <c r="V569" s="1212"/>
      <c r="W569" s="1214">
        <v>2.75E-2</v>
      </c>
      <c r="X569" s="1215"/>
      <c r="Y569" s="1216"/>
      <c r="Z569" s="1223" t="s">
        <v>1456</v>
      </c>
      <c r="AA569" s="1223"/>
      <c r="AB569" s="1223"/>
      <c r="AC569" s="1223"/>
      <c r="AD569" s="1223"/>
      <c r="AE569" s="1220"/>
      <c r="AF569" s="1221"/>
      <c r="AG569" s="1221"/>
      <c r="AH569" s="1222"/>
      <c r="AI569" s="1217"/>
      <c r="AJ569" s="1218"/>
      <c r="AK569" s="1218"/>
      <c r="AL569" s="1219"/>
      <c r="AM569" s="1226">
        <v>2020000</v>
      </c>
      <c r="AN569" s="1227"/>
      <c r="AO569" s="1227"/>
      <c r="AP569" s="1227"/>
      <c r="AQ569" s="1227"/>
      <c r="AR569" s="1227"/>
      <c r="AS569" s="122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1463</v>
      </c>
      <c r="C570" s="1224" t="s">
        <v>1464</v>
      </c>
      <c r="D570" s="1224"/>
      <c r="E570" s="1224"/>
      <c r="F570" s="1224"/>
      <c r="G570" s="1224"/>
      <c r="H570" s="1224"/>
      <c r="I570" s="1224"/>
      <c r="J570" s="1224"/>
      <c r="K570" s="1224"/>
      <c r="L570" s="1224"/>
      <c r="M570" s="1224"/>
      <c r="N570" s="1224"/>
      <c r="O570" s="1224"/>
      <c r="P570" s="1225"/>
      <c r="Q570" s="1210"/>
      <c r="R570" s="1211"/>
      <c r="S570" s="1212"/>
      <c r="T570" s="1210"/>
      <c r="U570" s="1211"/>
      <c r="V570" s="1212"/>
      <c r="W570" s="1214"/>
      <c r="X570" s="1215"/>
      <c r="Y570" s="1216"/>
      <c r="Z570" s="1223" t="s">
        <v>1322</v>
      </c>
      <c r="AA570" s="1223"/>
      <c r="AB570" s="1223"/>
      <c r="AC570" s="1223"/>
      <c r="AD570" s="1223"/>
      <c r="AE570" s="1220"/>
      <c r="AF570" s="1221"/>
      <c r="AG570" s="1221"/>
      <c r="AH570" s="1222"/>
      <c r="AI570" s="1217"/>
      <c r="AJ570" s="1218"/>
      <c r="AK570" s="1218"/>
      <c r="AL570" s="1219"/>
      <c r="AM570" s="1226">
        <v>234300</v>
      </c>
      <c r="AN570" s="1227"/>
      <c r="AO570" s="1227"/>
      <c r="AP570" s="1227"/>
      <c r="AQ570" s="1227"/>
      <c r="AR570" s="1227"/>
      <c r="AS570" s="12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1465</v>
      </c>
      <c r="C571" s="1224" t="s">
        <v>1466</v>
      </c>
      <c r="D571" s="1224"/>
      <c r="E571" s="1224"/>
      <c r="F571" s="1224"/>
      <c r="G571" s="1224"/>
      <c r="H571" s="1224"/>
      <c r="I571" s="1224"/>
      <c r="J571" s="1224"/>
      <c r="K571" s="1224"/>
      <c r="L571" s="1224"/>
      <c r="M571" s="1224"/>
      <c r="N571" s="1224"/>
      <c r="O571" s="1224"/>
      <c r="P571" s="1225"/>
      <c r="Q571" s="1210"/>
      <c r="R571" s="1211"/>
      <c r="S571" s="1212"/>
      <c r="T571" s="1210"/>
      <c r="U571" s="1211"/>
      <c r="V571" s="1212"/>
      <c r="W571" s="1214"/>
      <c r="X571" s="1215"/>
      <c r="Y571" s="1216"/>
      <c r="Z571" s="1223" t="s">
        <v>1322</v>
      </c>
      <c r="AA571" s="1223"/>
      <c r="AB571" s="1223"/>
      <c r="AC571" s="1223"/>
      <c r="AD571" s="1223"/>
      <c r="AE571" s="1220"/>
      <c r="AF571" s="1221"/>
      <c r="AG571" s="1221"/>
      <c r="AH571" s="1222"/>
      <c r="AI571" s="1217"/>
      <c r="AJ571" s="1218"/>
      <c r="AK571" s="1218"/>
      <c r="AL571" s="1219"/>
      <c r="AM571" s="1226">
        <v>829012</v>
      </c>
      <c r="AN571" s="1227"/>
      <c r="AO571" s="1227"/>
      <c r="AP571" s="1227"/>
      <c r="AQ571" s="1227"/>
      <c r="AR571" s="1227"/>
      <c r="AS571" s="1228"/>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1467</v>
      </c>
      <c r="C572" s="1224" t="s">
        <v>1468</v>
      </c>
      <c r="D572" s="1224"/>
      <c r="E572" s="1224"/>
      <c r="F572" s="1224"/>
      <c r="G572" s="1224"/>
      <c r="H572" s="1224"/>
      <c r="I572" s="1224"/>
      <c r="J572" s="1224"/>
      <c r="K572" s="1224"/>
      <c r="L572" s="1224"/>
      <c r="M572" s="1224"/>
      <c r="N572" s="1224"/>
      <c r="O572" s="1224"/>
      <c r="P572" s="1225"/>
      <c r="Q572" s="1210"/>
      <c r="R572" s="1211"/>
      <c r="S572" s="1212"/>
      <c r="T572" s="1210"/>
      <c r="U572" s="1211"/>
      <c r="V572" s="1212"/>
      <c r="W572" s="1214"/>
      <c r="X572" s="1215"/>
      <c r="Y572" s="1216"/>
      <c r="Z572" s="1223" t="s">
        <v>1322</v>
      </c>
      <c r="AA572" s="1223"/>
      <c r="AB572" s="1223"/>
      <c r="AC572" s="1223"/>
      <c r="AD572" s="1223"/>
      <c r="AE572" s="1220"/>
      <c r="AF572" s="1221"/>
      <c r="AG572" s="1221"/>
      <c r="AH572" s="1222"/>
      <c r="AI572" s="1217"/>
      <c r="AJ572" s="1218"/>
      <c r="AK572" s="1218"/>
      <c r="AL572" s="1219"/>
      <c r="AM572" s="1226">
        <f>AO651-SUM(AM564:AS571)</f>
        <v>655151</v>
      </c>
      <c r="AN572" s="1227"/>
      <c r="AO572" s="1227"/>
      <c r="AP572" s="1227"/>
      <c r="AQ572" s="1227"/>
      <c r="AR572" s="1227"/>
      <c r="AS572" s="1228"/>
      <c r="BB572" s="3"/>
      <c r="BC572" s="3"/>
      <c r="BD572" s="3"/>
      <c r="BE572" s="3"/>
      <c r="BF572" s="3"/>
      <c r="BG572" s="3"/>
      <c r="BH572" s="3" t="s">
        <v>1461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1469</v>
      </c>
      <c r="C573" s="1224"/>
      <c r="D573" s="1224"/>
      <c r="E573" s="1224"/>
      <c r="F573" s="1224"/>
      <c r="G573" s="1224"/>
      <c r="H573" s="1224"/>
      <c r="I573" s="1224"/>
      <c r="J573" s="1224"/>
      <c r="K573" s="1224"/>
      <c r="L573" s="1224"/>
      <c r="M573" s="1224"/>
      <c r="N573" s="1224"/>
      <c r="O573" s="1224"/>
      <c r="P573" s="1225"/>
      <c r="Q573" s="1210"/>
      <c r="R573" s="1211"/>
      <c r="S573" s="1212"/>
      <c r="T573" s="1210"/>
      <c r="U573" s="1211"/>
      <c r="V573" s="1212"/>
      <c r="W573" s="1214"/>
      <c r="X573" s="1215"/>
      <c r="Y573" s="1216"/>
      <c r="Z573" s="1223" t="s">
        <v>1322</v>
      </c>
      <c r="AA573" s="1223"/>
      <c r="AB573" s="1223"/>
      <c r="AC573" s="1223"/>
      <c r="AD573" s="1223"/>
      <c r="AE573" s="1220"/>
      <c r="AF573" s="1221"/>
      <c r="AG573" s="1221"/>
      <c r="AH573" s="1222"/>
      <c r="AI573" s="1217"/>
      <c r="AJ573" s="1218"/>
      <c r="AK573" s="1218"/>
      <c r="AL573" s="1219"/>
      <c r="AM573" s="1226"/>
      <c r="AN573" s="1227"/>
      <c r="AO573" s="1227"/>
      <c r="AP573" s="1227"/>
      <c r="AQ573" s="1227"/>
      <c r="AR573" s="1227"/>
      <c r="AS573" s="122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1470</v>
      </c>
      <c r="C574" s="1224"/>
      <c r="D574" s="1224"/>
      <c r="E574" s="1224"/>
      <c r="F574" s="1224"/>
      <c r="G574" s="1224"/>
      <c r="H574" s="1224"/>
      <c r="I574" s="1224"/>
      <c r="J574" s="1224"/>
      <c r="K574" s="1224"/>
      <c r="L574" s="1224"/>
      <c r="M574" s="1224"/>
      <c r="N574" s="1224"/>
      <c r="O574" s="1224"/>
      <c r="P574" s="1225"/>
      <c r="Q574" s="1210"/>
      <c r="R574" s="1211"/>
      <c r="S574" s="1212"/>
      <c r="T574" s="1210"/>
      <c r="U574" s="1211"/>
      <c r="V574" s="1212"/>
      <c r="W574" s="1214"/>
      <c r="X574" s="1215"/>
      <c r="Y574" s="1216"/>
      <c r="Z574" s="1223" t="s">
        <v>1322</v>
      </c>
      <c r="AA574" s="1223"/>
      <c r="AB574" s="1223"/>
      <c r="AC574" s="1223"/>
      <c r="AD574" s="1223"/>
      <c r="AE574" s="1220"/>
      <c r="AF574" s="1221"/>
      <c r="AG574" s="1221"/>
      <c r="AH574" s="1222"/>
      <c r="AI574" s="1217"/>
      <c r="AJ574" s="1218"/>
      <c r="AK574" s="1218"/>
      <c r="AL574" s="1219"/>
      <c r="AM574" s="1226"/>
      <c r="AN574" s="1227"/>
      <c r="AO574" s="1227"/>
      <c r="AP574" s="1227"/>
      <c r="AQ574" s="1227"/>
      <c r="AR574" s="1227"/>
      <c r="AS574" s="122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1471</v>
      </c>
      <c r="C575" s="1224"/>
      <c r="D575" s="1224"/>
      <c r="E575" s="1224"/>
      <c r="F575" s="1224"/>
      <c r="G575" s="1224"/>
      <c r="H575" s="1224"/>
      <c r="I575" s="1224"/>
      <c r="J575" s="1224"/>
      <c r="K575" s="1224"/>
      <c r="L575" s="1224"/>
      <c r="M575" s="1224"/>
      <c r="N575" s="1224"/>
      <c r="O575" s="1224"/>
      <c r="P575" s="1225"/>
      <c r="Q575" s="1210"/>
      <c r="R575" s="1211"/>
      <c r="S575" s="1212"/>
      <c r="T575" s="1210"/>
      <c r="U575" s="1211"/>
      <c r="V575" s="1212"/>
      <c r="W575" s="1214"/>
      <c r="X575" s="1215"/>
      <c r="Y575" s="1216"/>
      <c r="Z575" s="1223" t="s">
        <v>1322</v>
      </c>
      <c r="AA575" s="1223"/>
      <c r="AB575" s="1223"/>
      <c r="AC575" s="1223"/>
      <c r="AD575" s="1223"/>
      <c r="AE575" s="1220"/>
      <c r="AF575" s="1221"/>
      <c r="AG575" s="1221"/>
      <c r="AH575" s="1222"/>
      <c r="AI575" s="1217"/>
      <c r="AJ575" s="1218"/>
      <c r="AK575" s="1218"/>
      <c r="AL575" s="1219"/>
      <c r="AM575" s="1226"/>
      <c r="AN575" s="1227"/>
      <c r="AO575" s="1227"/>
      <c r="AP575" s="1227"/>
      <c r="AQ575" s="1227"/>
      <c r="AR575" s="1227"/>
      <c r="AS575" s="122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374" t="s">
        <v>1472</v>
      </c>
      <c r="C576" s="1375"/>
      <c r="D576" s="1375"/>
      <c r="E576" s="1375"/>
      <c r="F576" s="1375"/>
      <c r="G576" s="1375"/>
      <c r="H576" s="1375"/>
      <c r="I576" s="1375"/>
      <c r="J576" s="1375"/>
      <c r="K576" s="1375"/>
      <c r="L576" s="1375"/>
      <c r="M576" s="1375"/>
      <c r="N576" s="1375"/>
      <c r="O576" s="1375"/>
      <c r="P576" s="1375"/>
      <c r="Q576" s="1375"/>
      <c r="R576" s="1375"/>
      <c r="S576" s="1375"/>
      <c r="T576" s="1375"/>
      <c r="U576" s="1376"/>
      <c r="V576" s="1375"/>
      <c r="W576" s="1375"/>
      <c r="X576" s="1375"/>
      <c r="Y576" s="1375"/>
      <c r="Z576" s="1375"/>
      <c r="AA576" s="1375"/>
      <c r="AB576" s="1375"/>
      <c r="AC576" s="1375"/>
      <c r="AD576" s="1375"/>
      <c r="AE576" s="1375"/>
      <c r="AF576" s="1375"/>
      <c r="AG576" s="1375"/>
      <c r="AH576" s="1375"/>
      <c r="AI576" s="1375"/>
      <c r="AJ576" s="1375"/>
      <c r="AK576" s="1375"/>
      <c r="AL576" s="1377"/>
      <c r="AM576" s="1335">
        <f>SUM(AM564:AS575)</f>
        <v>48117710</v>
      </c>
      <c r="AN576" s="1336"/>
      <c r="AO576" s="1336"/>
      <c r="AP576" s="1336"/>
      <c r="AQ576" s="1336"/>
      <c r="AR576" s="1336"/>
      <c r="AS576" s="133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1473</v>
      </c>
      <c r="G578" s="1273" t="str">
        <f>C564</f>
        <v xml:space="preserve">PW Bank/Tax Exempt New Bonds - Construction Loan </v>
      </c>
      <c r="H578" s="1273"/>
      <c r="I578" s="1273"/>
      <c r="J578" s="1273"/>
      <c r="K578" s="1273"/>
      <c r="L578" s="1273"/>
      <c r="M578" s="1273"/>
      <c r="N578" s="1273"/>
      <c r="O578" s="1273"/>
      <c r="P578" s="1273"/>
      <c r="Q578" s="1273"/>
      <c r="R578" s="1273"/>
      <c r="S578" s="8"/>
      <c r="T578" s="48" t="s">
        <v>30</v>
      </c>
      <c r="U578" t="s">
        <v>1473</v>
      </c>
      <c r="Z578" s="1273" t="str">
        <f>C565</f>
        <v xml:space="preserve">PW Bank/Tax Exempt Recycled Bonds - Construction Loan </v>
      </c>
      <c r="AA578" s="1273"/>
      <c r="AB578" s="1273"/>
      <c r="AC578" s="1273"/>
      <c r="AD578" s="1273"/>
      <c r="AE578" s="1273"/>
      <c r="AF578" s="1273"/>
      <c r="AG578" s="1273"/>
      <c r="AH578" s="1273"/>
      <c r="AI578" s="1273"/>
      <c r="AJ578" s="1273"/>
      <c r="AK578" s="127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1137</v>
      </c>
      <c r="G579" s="1213" t="s">
        <v>1474</v>
      </c>
      <c r="H579" s="1213"/>
      <c r="I579" s="1213"/>
      <c r="J579" s="1213"/>
      <c r="K579" s="1213"/>
      <c r="L579" s="1213"/>
      <c r="M579" s="1213"/>
      <c r="N579" s="1213"/>
      <c r="O579" s="1213"/>
      <c r="P579" s="1213"/>
      <c r="Q579" s="1213"/>
      <c r="R579" s="1213"/>
      <c r="S579" s="8"/>
      <c r="T579" s="20"/>
      <c r="U579" t="s">
        <v>1137</v>
      </c>
      <c r="Z579" s="1213" t="s">
        <v>1474</v>
      </c>
      <c r="AA579" s="1213"/>
      <c r="AB579" s="1213"/>
      <c r="AC579" s="1213"/>
      <c r="AD579" s="1213"/>
      <c r="AE579" s="1213"/>
      <c r="AF579" s="1213"/>
      <c r="AG579" s="1213"/>
      <c r="AH579" s="1213"/>
      <c r="AI579" s="1213"/>
      <c r="AJ579" s="1213"/>
      <c r="AK579" s="1213"/>
      <c r="BB579" s="3"/>
      <c r="BC579" s="3"/>
      <c r="BD579" s="3"/>
      <c r="BE579" s="3"/>
      <c r="BF579" s="3"/>
      <c r="BG579" s="3"/>
      <c r="BH579" s="3" t="s">
        <v>1463</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1012</v>
      </c>
      <c r="G580" s="1213" t="s">
        <v>1196</v>
      </c>
      <c r="H580" s="1213"/>
      <c r="I580" s="1213"/>
      <c r="J580" s="1213"/>
      <c r="K580" s="1213"/>
      <c r="L580" s="1213"/>
      <c r="M580" s="1213"/>
      <c r="N580" s="1213"/>
      <c r="O580" s="1213"/>
      <c r="P580" s="1213"/>
      <c r="Q580" s="1213"/>
      <c r="R580" s="1213"/>
      <c r="T580" s="20"/>
      <c r="U580" t="s">
        <v>1012</v>
      </c>
      <c r="Z580" s="1298" t="s">
        <v>1196</v>
      </c>
      <c r="AA580" s="1298"/>
      <c r="AB580" s="1298"/>
      <c r="AC580" s="1298"/>
      <c r="AD580" s="1298"/>
      <c r="AE580" s="1298"/>
      <c r="AF580" s="1298"/>
      <c r="AG580" s="1298"/>
      <c r="AH580" s="1298"/>
      <c r="AI580" s="1298"/>
      <c r="AJ580" s="1298"/>
      <c r="AK580" s="1298"/>
      <c r="BB580" s="3"/>
      <c r="BC580" s="3"/>
      <c r="BD580" s="3"/>
      <c r="BE580" s="3"/>
      <c r="BF580" s="3"/>
      <c r="BG580" s="3"/>
      <c r="BH580" s="3" t="s">
        <v>1465</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1475</v>
      </c>
      <c r="G581" s="1213" t="s">
        <v>1476</v>
      </c>
      <c r="H581" s="1213"/>
      <c r="I581" s="1213"/>
      <c r="J581" s="1213"/>
      <c r="K581" s="1213"/>
      <c r="L581" s="1213"/>
      <c r="M581" s="1213"/>
      <c r="N581" s="1213"/>
      <c r="O581" s="1213"/>
      <c r="P581" s="1213"/>
      <c r="Q581" s="1213"/>
      <c r="R581" s="1213"/>
      <c r="S581" s="8"/>
      <c r="T581" s="20"/>
      <c r="U581" t="s">
        <v>1475</v>
      </c>
      <c r="Z581" s="1298" t="s">
        <v>1476</v>
      </c>
      <c r="AA581" s="1298"/>
      <c r="AB581" s="1298"/>
      <c r="AC581" s="1298"/>
      <c r="AD581" s="1298"/>
      <c r="AE581" s="1298"/>
      <c r="AF581" s="1298"/>
      <c r="AG581" s="1298"/>
      <c r="AH581" s="1298"/>
      <c r="AI581" s="1298"/>
      <c r="AJ581" s="1298"/>
      <c r="AK581" s="129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918</v>
      </c>
      <c r="G582" s="1276" t="s">
        <v>1477</v>
      </c>
      <c r="H582" s="1276"/>
      <c r="I582" s="1276"/>
      <c r="J582" s="1276"/>
      <c r="K582" s="1276"/>
      <c r="L582" s="1276"/>
      <c r="O582" s="998" t="s">
        <v>1145</v>
      </c>
      <c r="P582" s="1224"/>
      <c r="Q582" s="1224"/>
      <c r="R582" s="1224"/>
      <c r="S582" s="10"/>
      <c r="T582" s="20"/>
      <c r="U582" t="s">
        <v>918</v>
      </c>
      <c r="Z582" s="1276" t="s">
        <v>1477</v>
      </c>
      <c r="AA582" s="1276"/>
      <c r="AB582" s="1276"/>
      <c r="AC582" s="1276"/>
      <c r="AD582" s="1276"/>
      <c r="AE582" s="1276"/>
      <c r="AH582" s="998" t="s">
        <v>1145</v>
      </c>
      <c r="AI582" s="1224"/>
      <c r="AJ582" s="1224"/>
      <c r="AK582" s="122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1478</v>
      </c>
      <c r="H583" s="1213" t="s">
        <v>1479</v>
      </c>
      <c r="I583" s="1213"/>
      <c r="J583" s="1213"/>
      <c r="K583" s="1213"/>
      <c r="L583" s="1213"/>
      <c r="M583" s="1213"/>
      <c r="N583" s="1213"/>
      <c r="O583" s="1213"/>
      <c r="P583" s="1213"/>
      <c r="Q583" s="1213"/>
      <c r="R583" s="1213"/>
      <c r="S583" s="8"/>
      <c r="T583" s="20"/>
      <c r="U583" t="s">
        <v>1478</v>
      </c>
      <c r="AA583" s="1213" t="s">
        <v>1480</v>
      </c>
      <c r="AB583" s="1213"/>
      <c r="AC583" s="1213"/>
      <c r="AD583" s="1213"/>
      <c r="AE583" s="1213"/>
      <c r="AF583" s="1213"/>
      <c r="AG583" s="1213"/>
      <c r="AH583" s="1213"/>
      <c r="AI583" s="1213"/>
      <c r="AJ583" s="1213"/>
      <c r="AK583" s="121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1481</v>
      </c>
      <c r="H584" s="8"/>
      <c r="I584" s="8"/>
      <c r="J584" s="8"/>
      <c r="K584" s="8"/>
      <c r="L584" s="8"/>
      <c r="M584" s="1378"/>
      <c r="N584" s="1378"/>
      <c r="O584" s="1378"/>
      <c r="P584" s="1378"/>
      <c r="Q584" s="1378"/>
      <c r="R584" s="1378"/>
      <c r="S584" s="8"/>
      <c r="T584" s="20"/>
      <c r="U584" s="250" t="s">
        <v>1481</v>
      </c>
      <c r="AA584" s="8"/>
      <c r="AB584" s="8"/>
      <c r="AC584" s="8"/>
      <c r="AD584" s="8"/>
      <c r="AE584" s="8"/>
      <c r="AF584" s="1378"/>
      <c r="AG584" s="1378"/>
      <c r="AH584" s="1378"/>
      <c r="AI584" s="1378"/>
      <c r="AJ584" s="1378"/>
      <c r="AK584" s="137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1482</v>
      </c>
      <c r="N585" s="1263" t="s">
        <v>825</v>
      </c>
      <c r="O585" s="1263"/>
      <c r="T585" s="20"/>
      <c r="U585" t="s">
        <v>1482</v>
      </c>
      <c r="AG585" s="1263" t="s">
        <v>825</v>
      </c>
      <c r="AH585" s="12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1473</v>
      </c>
      <c r="G587" s="1273" t="str">
        <f>C566</f>
        <v>PWB/Taxable Construction Loan</v>
      </c>
      <c r="H587" s="1273"/>
      <c r="I587" s="1273"/>
      <c r="J587" s="1273"/>
      <c r="K587" s="1273"/>
      <c r="L587" s="1273"/>
      <c r="M587" s="1273"/>
      <c r="N587" s="1273"/>
      <c r="O587" s="1273"/>
      <c r="P587" s="1273"/>
      <c r="Q587" s="1273"/>
      <c r="R587" s="1273"/>
      <c r="T587" s="48" t="s">
        <v>81</v>
      </c>
      <c r="U587" t="s">
        <v>1473</v>
      </c>
      <c r="Z587" s="1273" t="str">
        <f>C567</f>
        <v>Tax Credit Equity - Candeur</v>
      </c>
      <c r="AA587" s="1273"/>
      <c r="AB587" s="1273"/>
      <c r="AC587" s="1273"/>
      <c r="AD587" s="1273"/>
      <c r="AE587" s="1273"/>
      <c r="AF587" s="1273"/>
      <c r="AG587" s="1273"/>
      <c r="AH587" s="1273"/>
      <c r="AI587" s="1273"/>
      <c r="AJ587" s="1273"/>
      <c r="AK587" s="127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1137</v>
      </c>
      <c r="G588" s="1213" t="s">
        <v>1474</v>
      </c>
      <c r="H588" s="1213"/>
      <c r="I588" s="1213"/>
      <c r="J588" s="1213"/>
      <c r="K588" s="1213"/>
      <c r="L588" s="1213"/>
      <c r="M588" s="1213"/>
      <c r="N588" s="1213"/>
      <c r="O588" s="1213"/>
      <c r="P588" s="1213"/>
      <c r="Q588" s="1213"/>
      <c r="R588" s="1213"/>
      <c r="T588" s="20"/>
      <c r="U588" t="s">
        <v>1137</v>
      </c>
      <c r="Z588" s="1213" t="s">
        <v>1227</v>
      </c>
      <c r="AA588" s="1213"/>
      <c r="AB588" s="1213"/>
      <c r="AC588" s="1213"/>
      <c r="AD588" s="1213"/>
      <c r="AE588" s="1213"/>
      <c r="AF588" s="1213"/>
      <c r="AG588" s="1213"/>
      <c r="AH588" s="1213"/>
      <c r="AI588" s="1213"/>
      <c r="AJ588" s="1213"/>
      <c r="AK588" s="121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1012</v>
      </c>
      <c r="G589" s="1213" t="s">
        <v>1196</v>
      </c>
      <c r="H589" s="1213"/>
      <c r="I589" s="1213"/>
      <c r="J589" s="1213"/>
      <c r="K589" s="1213"/>
      <c r="L589" s="1213"/>
      <c r="M589" s="1213"/>
      <c r="N589" s="1213"/>
      <c r="O589" s="1213"/>
      <c r="P589" s="1213"/>
      <c r="Q589" s="1213"/>
      <c r="R589" s="1213"/>
      <c r="T589" s="20"/>
      <c r="U589" t="s">
        <v>1012</v>
      </c>
      <c r="Z589" s="1213" t="s">
        <v>1228</v>
      </c>
      <c r="AA589" s="1213"/>
      <c r="AB589" s="1213"/>
      <c r="AC589" s="1213"/>
      <c r="AD589" s="1213"/>
      <c r="AE589" s="1213"/>
      <c r="AF589" s="1213"/>
      <c r="AG589" s="1213"/>
      <c r="AH589" s="1213"/>
      <c r="AI589" s="1213"/>
      <c r="AJ589" s="1213"/>
      <c r="AK589" s="121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1475</v>
      </c>
      <c r="G590" s="1213" t="s">
        <v>1476</v>
      </c>
      <c r="H590" s="1213"/>
      <c r="I590" s="1213"/>
      <c r="J590" s="1213"/>
      <c r="K590" s="1213"/>
      <c r="L590" s="1213"/>
      <c r="M590" s="1213"/>
      <c r="N590" s="1213"/>
      <c r="O590" s="1213"/>
      <c r="P590" s="1213"/>
      <c r="Q590" s="1213"/>
      <c r="R590" s="1213"/>
      <c r="T590" s="20"/>
      <c r="U590" t="s">
        <v>1475</v>
      </c>
      <c r="Z590" s="1213" t="s">
        <v>1229</v>
      </c>
      <c r="AA590" s="1213"/>
      <c r="AB590" s="1213"/>
      <c r="AC590" s="1213"/>
      <c r="AD590" s="1213"/>
      <c r="AE590" s="1213"/>
      <c r="AF590" s="1213"/>
      <c r="AG590" s="1213"/>
      <c r="AH590" s="1213"/>
      <c r="AI590" s="1213"/>
      <c r="AJ590" s="1213"/>
      <c r="AK590" s="121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918</v>
      </c>
      <c r="G591" s="1276" t="s">
        <v>1477</v>
      </c>
      <c r="H591" s="1276"/>
      <c r="I591" s="1276"/>
      <c r="J591" s="1276"/>
      <c r="K591" s="1276"/>
      <c r="L591" s="1276"/>
      <c r="O591" s="998" t="s">
        <v>1145</v>
      </c>
      <c r="P591" s="1224"/>
      <c r="Q591" s="1224"/>
      <c r="R591" s="1224"/>
      <c r="T591" s="20"/>
      <c r="U591" t="s">
        <v>918</v>
      </c>
      <c r="Z591" s="1276" t="s">
        <v>1230</v>
      </c>
      <c r="AA591" s="1276"/>
      <c r="AB591" s="1276"/>
      <c r="AC591" s="1276"/>
      <c r="AD591" s="1276"/>
      <c r="AE591" s="1276"/>
      <c r="AH591" s="998" t="s">
        <v>1145</v>
      </c>
      <c r="AI591" s="1224"/>
      <c r="AJ591" s="1224"/>
      <c r="AK591" s="1224"/>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1478</v>
      </c>
      <c r="H592" s="1404" t="s">
        <v>1483</v>
      </c>
      <c r="I592" s="1213"/>
      <c r="J592" s="1213"/>
      <c r="K592" s="1213"/>
      <c r="L592" s="1213"/>
      <c r="M592" s="1213"/>
      <c r="N592" s="1213"/>
      <c r="O592" s="1213"/>
      <c r="P592" s="1213"/>
      <c r="Q592" s="1213"/>
      <c r="R592" s="1213"/>
      <c r="T592" s="20"/>
      <c r="U592" t="s">
        <v>1478</v>
      </c>
      <c r="AA592" s="1213" t="s">
        <v>1484</v>
      </c>
      <c r="AB592" s="1213"/>
      <c r="AC592" s="1213"/>
      <c r="AD592" s="1213"/>
      <c r="AE592" s="1213"/>
      <c r="AF592" s="1213"/>
      <c r="AG592" s="1213"/>
      <c r="AH592" s="1213"/>
      <c r="AI592" s="1213"/>
      <c r="AJ592" s="1213"/>
      <c r="AK592" s="121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1482</v>
      </c>
      <c r="N593" s="1263" t="s">
        <v>825</v>
      </c>
      <c r="O593" s="1263"/>
      <c r="T593" s="20"/>
      <c r="U593" t="s">
        <v>1482</v>
      </c>
      <c r="AG593" s="1263" t="s">
        <v>825</v>
      </c>
      <c r="AH593" s="126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1473</v>
      </c>
      <c r="G595" s="1273" t="str">
        <f>C568</f>
        <v>Deferred Developer Fee</v>
      </c>
      <c r="H595" s="1273"/>
      <c r="I595" s="1273"/>
      <c r="J595" s="1273"/>
      <c r="K595" s="1273"/>
      <c r="L595" s="1273"/>
      <c r="M595" s="1273"/>
      <c r="N595" s="1273"/>
      <c r="O595" s="1273"/>
      <c r="P595" s="1273"/>
      <c r="Q595" s="1273"/>
      <c r="R595" s="1273"/>
      <c r="T595" s="48" t="s">
        <v>1461</v>
      </c>
      <c r="U595" t="s">
        <v>1473</v>
      </c>
      <c r="Z595" s="1273" t="str">
        <f>C569</f>
        <v>Master Developer Land Note</v>
      </c>
      <c r="AA595" s="1273"/>
      <c r="AB595" s="1273"/>
      <c r="AC595" s="1273"/>
      <c r="AD595" s="1273"/>
      <c r="AE595" s="1273"/>
      <c r="AF595" s="1273"/>
      <c r="AG595" s="1273"/>
      <c r="AH595" s="1273"/>
      <c r="AI595" s="1273"/>
      <c r="AJ595" s="1273"/>
      <c r="AK595" s="127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1137</v>
      </c>
      <c r="G596" s="1213" t="s">
        <v>1138</v>
      </c>
      <c r="H596" s="1213"/>
      <c r="I596" s="1213"/>
      <c r="J596" s="1213"/>
      <c r="K596" s="1213"/>
      <c r="L596" s="1213"/>
      <c r="M596" s="1213"/>
      <c r="N596" s="1213"/>
      <c r="O596" s="1213"/>
      <c r="P596" s="1213"/>
      <c r="Q596" s="1213"/>
      <c r="R596" s="1213"/>
      <c r="T596" s="20"/>
      <c r="U596" t="s">
        <v>1137</v>
      </c>
      <c r="Z596" s="1213" t="s">
        <v>1138</v>
      </c>
      <c r="AA596" s="1213"/>
      <c r="AB596" s="1213"/>
      <c r="AC596" s="1213"/>
      <c r="AD596" s="1213"/>
      <c r="AE596" s="1213"/>
      <c r="AF596" s="1213"/>
      <c r="AG596" s="1213"/>
      <c r="AH596" s="1213"/>
      <c r="AI596" s="1213"/>
      <c r="AJ596" s="1213"/>
      <c r="AK596" s="121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1012</v>
      </c>
      <c r="G597" s="1213" t="s">
        <v>1196</v>
      </c>
      <c r="H597" s="1213"/>
      <c r="I597" s="1213"/>
      <c r="J597" s="1213"/>
      <c r="K597" s="1213"/>
      <c r="L597" s="1213"/>
      <c r="M597" s="1213"/>
      <c r="N597" s="1213"/>
      <c r="O597" s="1213"/>
      <c r="P597" s="1213"/>
      <c r="Q597" s="1213"/>
      <c r="R597" s="1213"/>
      <c r="T597" s="20"/>
      <c r="U597" t="s">
        <v>1012</v>
      </c>
      <c r="Z597" s="1213" t="s">
        <v>1196</v>
      </c>
      <c r="AA597" s="1213"/>
      <c r="AB597" s="1213"/>
      <c r="AC597" s="1213"/>
      <c r="AD597" s="1213"/>
      <c r="AE597" s="1213"/>
      <c r="AF597" s="1213"/>
      <c r="AG597" s="1213"/>
      <c r="AH597" s="1213"/>
      <c r="AI597" s="1213"/>
      <c r="AJ597" s="1213"/>
      <c r="AK597" s="121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1475</v>
      </c>
      <c r="G598" s="1213" t="s">
        <v>1142</v>
      </c>
      <c r="H598" s="1213"/>
      <c r="I598" s="1213"/>
      <c r="J598" s="1213"/>
      <c r="K598" s="1213"/>
      <c r="L598" s="1213"/>
      <c r="M598" s="1213"/>
      <c r="N598" s="1213"/>
      <c r="O598" s="1213"/>
      <c r="P598" s="1213"/>
      <c r="Q598" s="1213"/>
      <c r="R598" s="1213"/>
      <c r="T598" s="20"/>
      <c r="U598" t="s">
        <v>1475</v>
      </c>
      <c r="Z598" s="1213" t="s">
        <v>1142</v>
      </c>
      <c r="AA598" s="1213"/>
      <c r="AB598" s="1213"/>
      <c r="AC598" s="1213"/>
      <c r="AD598" s="1213"/>
      <c r="AE598" s="1213"/>
      <c r="AF598" s="1213"/>
      <c r="AG598" s="1213"/>
      <c r="AH598" s="1213"/>
      <c r="AI598" s="1213"/>
      <c r="AJ598" s="1213"/>
      <c r="AK598" s="121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918</v>
      </c>
      <c r="G599" s="1276" t="s">
        <v>1144</v>
      </c>
      <c r="H599" s="1276"/>
      <c r="I599" s="1276"/>
      <c r="J599" s="1276"/>
      <c r="K599" s="1276"/>
      <c r="L599" s="1276"/>
      <c r="O599" s="998" t="s">
        <v>1145</v>
      </c>
      <c r="P599" s="1224"/>
      <c r="Q599" s="1224"/>
      <c r="R599" s="1224"/>
      <c r="T599" s="20"/>
      <c r="U599" t="s">
        <v>918</v>
      </c>
      <c r="Z599" s="1276" t="s">
        <v>1144</v>
      </c>
      <c r="AA599" s="1276"/>
      <c r="AB599" s="1276"/>
      <c r="AC599" s="1276"/>
      <c r="AD599" s="1276"/>
      <c r="AE599" s="1276"/>
      <c r="AH599" s="998" t="s">
        <v>1145</v>
      </c>
      <c r="AI599" s="1224"/>
      <c r="AJ599" s="1224"/>
      <c r="AK599" s="1224"/>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1478</v>
      </c>
      <c r="H600" s="1213" t="s">
        <v>1485</v>
      </c>
      <c r="I600" s="1213"/>
      <c r="J600" s="1213"/>
      <c r="K600" s="1213"/>
      <c r="L600" s="1213"/>
      <c r="M600" s="1213"/>
      <c r="N600" s="1213"/>
      <c r="O600" s="1213"/>
      <c r="P600" s="1213"/>
      <c r="Q600" s="1213"/>
      <c r="R600" s="1213"/>
      <c r="T600" s="20"/>
      <c r="U600" t="s">
        <v>1478</v>
      </c>
      <c r="AA600" s="1213" t="s">
        <v>1485</v>
      </c>
      <c r="AB600" s="1213"/>
      <c r="AC600" s="1213"/>
      <c r="AD600" s="1213"/>
      <c r="AE600" s="1213"/>
      <c r="AF600" s="1213"/>
      <c r="AG600" s="1213"/>
      <c r="AH600" s="1213"/>
      <c r="AI600" s="1213"/>
      <c r="AJ600" s="1213"/>
      <c r="AK600" s="121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1482</v>
      </c>
      <c r="N601" s="1263" t="s">
        <v>825</v>
      </c>
      <c r="O601" s="1263"/>
      <c r="T601" s="20"/>
      <c r="U601" t="s">
        <v>1482</v>
      </c>
      <c r="AG601" s="1263" t="s">
        <v>825</v>
      </c>
      <c r="AH601" s="1263"/>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1463</v>
      </c>
      <c r="B603" t="s">
        <v>1473</v>
      </c>
      <c r="G603" s="1273" t="str">
        <f>C570</f>
        <v>Solar Equity</v>
      </c>
      <c r="H603" s="1273"/>
      <c r="I603" s="1273"/>
      <c r="J603" s="1273"/>
      <c r="K603" s="1273"/>
      <c r="L603" s="1273"/>
      <c r="M603" s="1273"/>
      <c r="N603" s="1273"/>
      <c r="O603" s="1273"/>
      <c r="P603" s="1273"/>
      <c r="Q603" s="1273"/>
      <c r="R603" s="1273"/>
      <c r="T603" s="48" t="s">
        <v>1465</v>
      </c>
      <c r="U603" t="s">
        <v>1473</v>
      </c>
      <c r="Z603" s="1273" t="str">
        <f>C571</f>
        <v>GP Contribution of Developer Fee</v>
      </c>
      <c r="AA603" s="1273"/>
      <c r="AB603" s="1273"/>
      <c r="AC603" s="1273"/>
      <c r="AD603" s="1273"/>
      <c r="AE603" s="1273"/>
      <c r="AF603" s="1273"/>
      <c r="AG603" s="1273"/>
      <c r="AH603" s="1273"/>
      <c r="AI603" s="1273"/>
      <c r="AJ603" s="1273"/>
      <c r="AK603" s="127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1137</v>
      </c>
      <c r="G604" s="1213" t="s">
        <v>1227</v>
      </c>
      <c r="H604" s="1213"/>
      <c r="I604" s="1213"/>
      <c r="J604" s="1213"/>
      <c r="K604" s="1213"/>
      <c r="L604" s="1213"/>
      <c r="M604" s="1213"/>
      <c r="N604" s="1213"/>
      <c r="O604" s="1213"/>
      <c r="P604" s="1213"/>
      <c r="Q604" s="1213"/>
      <c r="R604" s="1213"/>
      <c r="T604" s="20"/>
      <c r="U604" t="s">
        <v>1137</v>
      </c>
      <c r="Z604" s="1213"/>
      <c r="AA604" s="1213"/>
      <c r="AB604" s="1213"/>
      <c r="AC604" s="1213"/>
      <c r="AD604" s="1213"/>
      <c r="AE604" s="1213"/>
      <c r="AF604" s="1213"/>
      <c r="AG604" s="1213"/>
      <c r="AH604" s="1213"/>
      <c r="AI604" s="1213"/>
      <c r="AJ604" s="1213"/>
      <c r="AK604" s="121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1012</v>
      </c>
      <c r="G605" s="1213" t="s">
        <v>1228</v>
      </c>
      <c r="H605" s="1213"/>
      <c r="I605" s="1213"/>
      <c r="J605" s="1213"/>
      <c r="K605" s="1213"/>
      <c r="L605" s="1213"/>
      <c r="M605" s="1213"/>
      <c r="N605" s="1213"/>
      <c r="O605" s="1213"/>
      <c r="P605" s="1213"/>
      <c r="Q605" s="1213"/>
      <c r="R605" s="1213"/>
      <c r="T605" s="20"/>
      <c r="U605" t="s">
        <v>1012</v>
      </c>
      <c r="Z605" s="1298"/>
      <c r="AA605" s="1298"/>
      <c r="AB605" s="1298"/>
      <c r="AC605" s="1298"/>
      <c r="AD605" s="1298"/>
      <c r="AE605" s="1298"/>
      <c r="AF605" s="1298"/>
      <c r="AG605" s="1298"/>
      <c r="AH605" s="1298"/>
      <c r="AI605" s="1298"/>
      <c r="AJ605" s="1298"/>
      <c r="AK605" s="1298"/>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1475</v>
      </c>
      <c r="G606" s="1213" t="s">
        <v>1229</v>
      </c>
      <c r="H606" s="1213"/>
      <c r="I606" s="1213"/>
      <c r="J606" s="1213"/>
      <c r="K606" s="1213"/>
      <c r="L606" s="1213"/>
      <c r="M606" s="1213"/>
      <c r="N606" s="1213"/>
      <c r="O606" s="1213"/>
      <c r="P606" s="1213"/>
      <c r="Q606" s="1213"/>
      <c r="R606" s="1213"/>
      <c r="T606" s="20"/>
      <c r="U606" t="s">
        <v>1475</v>
      </c>
      <c r="Z606" s="1298"/>
      <c r="AA606" s="1298"/>
      <c r="AB606" s="1298"/>
      <c r="AC606" s="1298"/>
      <c r="AD606" s="1298"/>
      <c r="AE606" s="1298"/>
      <c r="AF606" s="1298"/>
      <c r="AG606" s="1298"/>
      <c r="AH606" s="1298"/>
      <c r="AI606" s="1298"/>
      <c r="AJ606" s="1298"/>
      <c r="AK606" s="1298"/>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918</v>
      </c>
      <c r="C607"/>
      <c r="D607"/>
      <c r="E607"/>
      <c r="F607"/>
      <c r="G607" s="1276" t="s">
        <v>1230</v>
      </c>
      <c r="H607" s="1276"/>
      <c r="I607" s="1276"/>
      <c r="J607" s="1276"/>
      <c r="K607" s="1276"/>
      <c r="L607" s="1276"/>
      <c r="M607"/>
      <c r="N607"/>
      <c r="O607" s="998" t="s">
        <v>1145</v>
      </c>
      <c r="P607" s="1224"/>
      <c r="Q607" s="1224"/>
      <c r="R607" s="1224"/>
      <c r="S607"/>
      <c r="T607" s="20"/>
      <c r="U607" t="s">
        <v>918</v>
      </c>
      <c r="V607"/>
      <c r="W607"/>
      <c r="X607"/>
      <c r="Y607"/>
      <c r="Z607" s="1276"/>
      <c r="AA607" s="1276"/>
      <c r="AB607" s="1276"/>
      <c r="AC607" s="1276"/>
      <c r="AD607" s="1276"/>
      <c r="AE607" s="1276"/>
      <c r="AF607"/>
      <c r="AG607"/>
      <c r="AH607" s="998" t="s">
        <v>1145</v>
      </c>
      <c r="AI607" s="1224"/>
      <c r="AJ607" s="1224"/>
      <c r="AK607" s="1224"/>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1478</v>
      </c>
      <c r="C608"/>
      <c r="D608"/>
      <c r="E608"/>
      <c r="F608"/>
      <c r="G608"/>
      <c r="H608" s="1213" t="s">
        <v>1486</v>
      </c>
      <c r="I608" s="1213"/>
      <c r="J608" s="1213"/>
      <c r="K608" s="1213"/>
      <c r="L608" s="1213"/>
      <c r="M608" s="1213"/>
      <c r="N608" s="1213"/>
      <c r="O608" s="1213"/>
      <c r="P608" s="1213"/>
      <c r="Q608" s="1213"/>
      <c r="R608" s="1213"/>
      <c r="S608"/>
      <c r="T608" s="20"/>
      <c r="U608" t="s">
        <v>1478</v>
      </c>
      <c r="V608"/>
      <c r="W608"/>
      <c r="X608"/>
      <c r="Y608"/>
      <c r="Z608"/>
      <c r="AA608" s="1213"/>
      <c r="AB608" s="1213"/>
      <c r="AC608" s="1213"/>
      <c r="AD608" s="1213"/>
      <c r="AE608" s="1213"/>
      <c r="AF608" s="1213"/>
      <c r="AG608" s="1213"/>
      <c r="AH608" s="1213"/>
      <c r="AI608" s="1213"/>
      <c r="AJ608" s="1213"/>
      <c r="AK608" s="1213"/>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1488</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1489</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1482</v>
      </c>
      <c r="C609"/>
      <c r="D609"/>
      <c r="E609"/>
      <c r="F609"/>
      <c r="G609"/>
      <c r="H609"/>
      <c r="I609"/>
      <c r="J609"/>
      <c r="K609"/>
      <c r="L609"/>
      <c r="M609"/>
      <c r="N609" s="1263" t="s">
        <v>825</v>
      </c>
      <c r="O609" s="1263"/>
      <c r="P609"/>
      <c r="Q609"/>
      <c r="R609"/>
      <c r="S609"/>
      <c r="T609" s="20"/>
      <c r="U609" t="s">
        <v>1482</v>
      </c>
      <c r="V609"/>
      <c r="W609"/>
      <c r="X609"/>
      <c r="Y609"/>
      <c r="Z609"/>
      <c r="AA609"/>
      <c r="AB609"/>
      <c r="AC609"/>
      <c r="AD609"/>
      <c r="AE609"/>
      <c r="AF609"/>
      <c r="AG609" s="1263" t="s">
        <v>929</v>
      </c>
      <c r="AH609" s="1263"/>
      <c r="AI609"/>
      <c r="AJ609"/>
      <c r="AK609"/>
      <c r="AL609"/>
      <c r="AM609"/>
      <c r="AN609"/>
      <c r="AO609"/>
      <c r="AP609"/>
      <c r="AQ609"/>
      <c r="AR609"/>
      <c r="AS609"/>
      <c r="AT609"/>
      <c r="AU609"/>
      <c r="AV609"/>
      <c r="AW609"/>
      <c r="AX609"/>
      <c r="AY609"/>
      <c r="AZ609" s="3"/>
      <c r="BA609" s="3" t="s">
        <v>1490</v>
      </c>
      <c r="BB609" s="3"/>
      <c r="BC609" s="3"/>
      <c r="BD609" s="3"/>
      <c r="BE609" s="88" t="s">
        <v>1491</v>
      </c>
      <c r="BF609" s="89"/>
      <c r="BG609" s="1230"/>
      <c r="BH609" s="1232"/>
      <c r="BI609" s="88" t="s">
        <v>1492</v>
      </c>
      <c r="BJ609" s="89"/>
      <c r="BK609" s="1230"/>
      <c r="BL609" s="1232"/>
      <c r="BM609" s="3"/>
      <c r="BN609" s="1546" t="s">
        <v>1493</v>
      </c>
      <c r="BO609" s="1547"/>
      <c r="BP609" s="1547"/>
      <c r="BQ609" s="1547"/>
      <c r="BR609" s="1548"/>
      <c r="BS609" s="1373" t="s">
        <v>1494</v>
      </c>
      <c r="BT609" s="1373"/>
      <c r="BU609" s="1373"/>
      <c r="BV609" s="1373"/>
      <c r="BW609" s="1373"/>
      <c r="BX609" s="1373" t="s">
        <v>1495</v>
      </c>
      <c r="BY609" s="1373"/>
      <c r="BZ609" s="1373"/>
      <c r="CA609" s="1373"/>
      <c r="CB609" s="1373"/>
      <c r="CC609" s="1373" t="s">
        <v>1496</v>
      </c>
      <c r="CD609" s="1373"/>
      <c r="CE609" s="1373"/>
      <c r="CF609" s="1373"/>
      <c r="CG609" s="1373"/>
      <c r="CH609" s="1373" t="s">
        <v>1497</v>
      </c>
      <c r="CI609" s="1373"/>
      <c r="CJ609" s="1373"/>
      <c r="CK609" s="1373"/>
      <c r="CL609" s="1373"/>
      <c r="CM609" s="1373" t="s">
        <v>1498</v>
      </c>
      <c r="CN609" s="1373"/>
      <c r="CO609" s="1373"/>
      <c r="CP609" s="1373"/>
      <c r="CQ609" s="1373"/>
      <c r="CR609" s="66"/>
      <c r="CS609" s="1373" t="s">
        <v>1493</v>
      </c>
      <c r="CT609" s="1373"/>
      <c r="CU609" s="1373"/>
      <c r="CV609" s="1373"/>
      <c r="CW609" s="1373"/>
      <c r="CX609" s="1373" t="s">
        <v>1494</v>
      </c>
      <c r="CY609" s="1373"/>
      <c r="CZ609" s="1373"/>
      <c r="DA609" s="1373"/>
      <c r="DB609" s="1373"/>
      <c r="DC609" s="1373" t="s">
        <v>1495</v>
      </c>
      <c r="DD609" s="1373"/>
      <c r="DE609" s="1373"/>
      <c r="DF609" s="1373"/>
      <c r="DG609" s="1373"/>
      <c r="DH609" s="1373" t="s">
        <v>1496</v>
      </c>
      <c r="DI609" s="1373"/>
      <c r="DJ609" s="1373"/>
      <c r="DK609" s="1373"/>
      <c r="DL609" s="1373"/>
      <c r="DM609" s="1373" t="s">
        <v>1497</v>
      </c>
      <c r="DN609" s="1373"/>
      <c r="DO609" s="1373"/>
      <c r="DP609" s="1373"/>
      <c r="DQ609" s="1373"/>
      <c r="DR609" s="1373" t="s">
        <v>1498</v>
      </c>
      <c r="DS609" s="1373"/>
      <c r="DT609" s="1373"/>
      <c r="DU609" s="1373"/>
      <c r="DV609" s="1373"/>
      <c r="DW609" s="3"/>
      <c r="DX609" s="1373" t="s">
        <v>1493</v>
      </c>
      <c r="DY609" s="1373"/>
      <c r="DZ609" s="1373"/>
      <c r="EA609" s="1373"/>
      <c r="EB609" s="1373"/>
      <c r="EC609" s="1373" t="s">
        <v>1494</v>
      </c>
      <c r="ED609" s="1373"/>
      <c r="EE609" s="1373"/>
      <c r="EF609" s="1373"/>
      <c r="EG609" s="1373"/>
      <c r="EH609" s="1373" t="s">
        <v>1495</v>
      </c>
      <c r="EI609" s="1373"/>
      <c r="EJ609" s="1373"/>
      <c r="EK609" s="1373"/>
      <c r="EL609" s="1373"/>
      <c r="EM609" s="1373" t="s">
        <v>1496</v>
      </c>
      <c r="EN609" s="1373"/>
      <c r="EO609" s="1373"/>
      <c r="EP609" s="1373"/>
      <c r="EQ609" s="1373"/>
      <c r="ER609" s="1373" t="s">
        <v>1497</v>
      </c>
      <c r="ES609" s="1373"/>
      <c r="ET609" s="1373"/>
      <c r="EU609" s="1373"/>
      <c r="EV609" s="1373"/>
      <c r="EW609" s="1373" t="s">
        <v>1498</v>
      </c>
      <c r="EX609" s="1373"/>
      <c r="EY609" s="1373"/>
      <c r="EZ609" s="1373"/>
      <c r="FA609" s="1373"/>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1494</v>
      </c>
      <c r="BB610" s="3"/>
      <c r="BC610" s="3"/>
      <c r="BD610" s="3"/>
      <c r="BE610" s="1230">
        <f t="shared" ref="BE610:BE634" si="0">IF(AND(AH728&lt;=0.5,AH728&gt;=0.36),1,0)</f>
        <v>0</v>
      </c>
      <c r="BF610" s="1232"/>
      <c r="BG610" s="1230">
        <f t="shared" ref="BG610:BG634" si="1">IF(BE610=1,G728,0)</f>
        <v>0</v>
      </c>
      <c r="BH610" s="1232"/>
      <c r="BI610" s="1230">
        <f t="shared" ref="BI610:BI634" si="2">IF(AND(AH728&lt;=0.35,AH728&gt;0),1,0)</f>
        <v>0</v>
      </c>
      <c r="BJ610" s="1232"/>
      <c r="BK610" s="1230">
        <f t="shared" ref="BK610:BK634" si="3">IF(BI610=1,G728,0)</f>
        <v>0</v>
      </c>
      <c r="BL610" s="1232"/>
      <c r="BM610" s="3"/>
      <c r="BN610" s="1279">
        <f t="shared" ref="BN610:BN634" si="4">IF(B728="SRO/Studio",G728,0)</f>
        <v>0</v>
      </c>
      <c r="BO610" s="1280"/>
      <c r="BP610" s="1280"/>
      <c r="BQ610" s="1280"/>
      <c r="BR610" s="1281"/>
      <c r="BS610" s="1234">
        <f t="shared" ref="BS610:BS634" si="5">IF(B728="1 Bedroom",G728,0)</f>
        <v>44</v>
      </c>
      <c r="BT610" s="1234"/>
      <c r="BU610" s="1234"/>
      <c r="BV610" s="1234"/>
      <c r="BW610" s="1234"/>
      <c r="BX610" s="1234">
        <f t="shared" ref="BX610:BX634" si="6">IF(B728="2 Bedrooms",G728,0)</f>
        <v>0</v>
      </c>
      <c r="BY610" s="1234"/>
      <c r="BZ610" s="1234"/>
      <c r="CA610" s="1234"/>
      <c r="CB610" s="1234"/>
      <c r="CC610" s="1234">
        <f t="shared" ref="CC610:CC634" si="7">IF(B728="3 Bedrooms",G728,0)</f>
        <v>0</v>
      </c>
      <c r="CD610" s="1234"/>
      <c r="CE610" s="1234"/>
      <c r="CF610" s="1234"/>
      <c r="CG610" s="1234"/>
      <c r="CH610" s="1234">
        <f t="shared" ref="CH610:CH634" si="8">IF(B728="4 Bedrooms",G728,0)</f>
        <v>0</v>
      </c>
      <c r="CI610" s="1234"/>
      <c r="CJ610" s="1234"/>
      <c r="CK610" s="1234"/>
      <c r="CL610" s="1234"/>
      <c r="CM610" s="1234">
        <f t="shared" ref="CM610:CM634" si="9">IF(B728="5 Bedrooms",G728,0)</f>
        <v>0</v>
      </c>
      <c r="CN610" s="1234"/>
      <c r="CO610" s="1234"/>
      <c r="CP610" s="1234"/>
      <c r="CQ610" s="1234"/>
      <c r="CR610" s="285"/>
      <c r="CS610" s="1542">
        <f t="shared" ref="CS610:CS634" si="10">IF(AND(B728="SRO/Studio",AH728&lt;=0.3),G728,0)</f>
        <v>0</v>
      </c>
      <c r="CT610" s="1542"/>
      <c r="CU610" s="1542"/>
      <c r="CV610" s="1542"/>
      <c r="CW610" s="1542"/>
      <c r="CX610" s="1542">
        <f t="shared" ref="CX610:CX634" si="11">IF(AND(B728="1 Bedroom",AH728&lt;=0.3),G728,0)</f>
        <v>0</v>
      </c>
      <c r="CY610" s="1542"/>
      <c r="CZ610" s="1542"/>
      <c r="DA610" s="1542"/>
      <c r="DB610" s="1542"/>
      <c r="DC610" s="1542">
        <f t="shared" ref="DC610:DC634" si="12">IF(AND(B728="2 Bedrooms",AH728&lt;=0.3),G728,0)</f>
        <v>0</v>
      </c>
      <c r="DD610" s="1542"/>
      <c r="DE610" s="1542"/>
      <c r="DF610" s="1542"/>
      <c r="DG610" s="1542"/>
      <c r="DH610" s="1542">
        <f t="shared" ref="DH610:DH634" si="13">IF(AND(B728="3 Bedrooms",AH728&lt;=0.3),G728,0)</f>
        <v>0</v>
      </c>
      <c r="DI610" s="1542"/>
      <c r="DJ610" s="1542"/>
      <c r="DK610" s="1542"/>
      <c r="DL610" s="1542"/>
      <c r="DM610" s="1542">
        <f t="shared" ref="DM610:DM634" si="14">IF(AND(B728="4 Bedrooms",AH728&lt;=0.3),G728,0)</f>
        <v>0</v>
      </c>
      <c r="DN610" s="1542"/>
      <c r="DO610" s="1542"/>
      <c r="DP610" s="1542"/>
      <c r="DQ610" s="1542"/>
      <c r="DR610" s="1542">
        <f t="shared" ref="DR610:DR634" si="15">IF(AND(B728="5 Bedrooms",AH728&lt;=0.3),G728,0)</f>
        <v>0</v>
      </c>
      <c r="DS610" s="1542"/>
      <c r="DT610" s="1542"/>
      <c r="DU610" s="1542"/>
      <c r="DV610" s="1542"/>
      <c r="DW610" s="3"/>
      <c r="DX610" s="1230" t="str">
        <f t="shared" ref="DX610:DX634" si="16">IF(BN610&gt;0,O728," ")</f>
        <v xml:space="preserve"> </v>
      </c>
      <c r="DY610" s="1231"/>
      <c r="DZ610" s="1231"/>
      <c r="EA610" s="1231"/>
      <c r="EB610" s="1232"/>
      <c r="EC610" s="1230">
        <f t="shared" ref="EC610:EC634" si="17">IF(BS610&gt;0,O728," ")</f>
        <v>1350.64</v>
      </c>
      <c r="ED610" s="1231"/>
      <c r="EE610" s="1231"/>
      <c r="EF610" s="1231"/>
      <c r="EG610" s="1232"/>
      <c r="EH610" s="1230" t="str">
        <f t="shared" ref="EH610:EH634" si="18">IF(BX610&gt;0,O728," ")</f>
        <v xml:space="preserve"> </v>
      </c>
      <c r="EI610" s="1231"/>
      <c r="EJ610" s="1231"/>
      <c r="EK610" s="1231"/>
      <c r="EL610" s="1232"/>
      <c r="EM610" s="1230" t="str">
        <f t="shared" ref="EM610:EM634" si="19">IF(CC610&gt;0,O728," ")</f>
        <v xml:space="preserve"> </v>
      </c>
      <c r="EN610" s="1231"/>
      <c r="EO610" s="1231"/>
      <c r="EP610" s="1231"/>
      <c r="EQ610" s="1232"/>
      <c r="ER610" s="1230" t="str">
        <f t="shared" ref="ER610:ER634" si="20">IF(CH610&gt;0,O728," ")</f>
        <v xml:space="preserve"> </v>
      </c>
      <c r="ES610" s="1231"/>
      <c r="ET610" s="1231"/>
      <c r="EU610" s="1231"/>
      <c r="EV610" s="1232"/>
      <c r="EW610" s="1230" t="str">
        <f t="shared" ref="EW610:EW634" si="21">IF(CM610&gt;0,O728," ")</f>
        <v xml:space="preserve"> </v>
      </c>
      <c r="EX610" s="1231"/>
      <c r="EY610" s="1231"/>
      <c r="EZ610" s="1231"/>
      <c r="FA610" s="1232"/>
    </row>
    <row r="611" spans="1:157" s="4" customFormat="1" ht="12.75">
      <c r="A611" s="48" t="s">
        <v>1467</v>
      </c>
      <c r="B611" t="s">
        <v>1473</v>
      </c>
      <c r="C611"/>
      <c r="D611"/>
      <c r="E611"/>
      <c r="F611"/>
      <c r="G611" s="1273" t="str">
        <f>C572</f>
        <v>Deferred Costs</v>
      </c>
      <c r="H611" s="1273"/>
      <c r="I611" s="1273"/>
      <c r="J611" s="1273"/>
      <c r="K611" s="1273"/>
      <c r="L611" s="1273"/>
      <c r="M611" s="1273"/>
      <c r="N611" s="1273"/>
      <c r="O611" s="1273"/>
      <c r="P611" s="1273"/>
      <c r="Q611" s="1273"/>
      <c r="R611" s="1273"/>
      <c r="S611"/>
      <c r="T611" s="48" t="s">
        <v>1469</v>
      </c>
      <c r="U611" t="s">
        <v>1473</v>
      </c>
      <c r="V611"/>
      <c r="W611"/>
      <c r="X611"/>
      <c r="Y611"/>
      <c r="Z611" s="1273">
        <f>C573</f>
        <v>0</v>
      </c>
      <c r="AA611" s="1273"/>
      <c r="AB611" s="1273"/>
      <c r="AC611" s="1273"/>
      <c r="AD611" s="1273"/>
      <c r="AE611" s="1273"/>
      <c r="AF611" s="1273"/>
      <c r="AG611" s="1273"/>
      <c r="AH611" s="1273"/>
      <c r="AI611" s="1273"/>
      <c r="AJ611" s="1273"/>
      <c r="AK611" s="1273"/>
      <c r="AL611"/>
      <c r="AM611"/>
      <c r="AN611"/>
      <c r="AO611"/>
      <c r="AP611"/>
      <c r="AQ611"/>
      <c r="AR611"/>
      <c r="AS611"/>
      <c r="AT611"/>
      <c r="AU611"/>
      <c r="AV611"/>
      <c r="AW611"/>
      <c r="AX611"/>
      <c r="AY611"/>
      <c r="AZ611" s="3"/>
      <c r="BA611" s="3" t="s">
        <v>1495</v>
      </c>
      <c r="BB611" s="3"/>
      <c r="BC611" s="3"/>
      <c r="BD611" s="3"/>
      <c r="BE611" s="1230">
        <f t="shared" si="0"/>
        <v>1</v>
      </c>
      <c r="BF611" s="1232"/>
      <c r="BG611" s="1230">
        <f t="shared" si="1"/>
        <v>6</v>
      </c>
      <c r="BH611" s="1232"/>
      <c r="BI611" s="1230">
        <f t="shared" si="2"/>
        <v>0</v>
      </c>
      <c r="BJ611" s="1232"/>
      <c r="BK611" s="1230">
        <f t="shared" si="3"/>
        <v>0</v>
      </c>
      <c r="BL611" s="1232"/>
      <c r="BM611" s="3"/>
      <c r="BN611" s="1279">
        <f t="shared" si="4"/>
        <v>0</v>
      </c>
      <c r="BO611" s="1280"/>
      <c r="BP611" s="1280"/>
      <c r="BQ611" s="1280"/>
      <c r="BR611" s="1281"/>
      <c r="BS611" s="1234">
        <f t="shared" si="5"/>
        <v>6</v>
      </c>
      <c r="BT611" s="1234"/>
      <c r="BU611" s="1234"/>
      <c r="BV611" s="1234"/>
      <c r="BW611" s="1234"/>
      <c r="BX611" s="1234">
        <f t="shared" si="6"/>
        <v>0</v>
      </c>
      <c r="BY611" s="1234"/>
      <c r="BZ611" s="1234"/>
      <c r="CA611" s="1234"/>
      <c r="CB611" s="1234"/>
      <c r="CC611" s="1234">
        <f t="shared" si="7"/>
        <v>0</v>
      </c>
      <c r="CD611" s="1234"/>
      <c r="CE611" s="1234"/>
      <c r="CF611" s="1234"/>
      <c r="CG611" s="1234"/>
      <c r="CH611" s="1234">
        <f t="shared" si="8"/>
        <v>0</v>
      </c>
      <c r="CI611" s="1234"/>
      <c r="CJ611" s="1234"/>
      <c r="CK611" s="1234"/>
      <c r="CL611" s="1234"/>
      <c r="CM611" s="1234">
        <f t="shared" si="9"/>
        <v>0</v>
      </c>
      <c r="CN611" s="1234"/>
      <c r="CO611" s="1234"/>
      <c r="CP611" s="1234"/>
      <c r="CQ611" s="1234"/>
      <c r="CR611" s="285"/>
      <c r="CS611" s="1542">
        <f t="shared" si="10"/>
        <v>0</v>
      </c>
      <c r="CT611" s="1542"/>
      <c r="CU611" s="1542"/>
      <c r="CV611" s="1542"/>
      <c r="CW611" s="1542"/>
      <c r="CX611" s="1542">
        <f t="shared" si="11"/>
        <v>0</v>
      </c>
      <c r="CY611" s="1542"/>
      <c r="CZ611" s="1542"/>
      <c r="DA611" s="1542"/>
      <c r="DB611" s="1542"/>
      <c r="DC611" s="1542">
        <f t="shared" si="12"/>
        <v>0</v>
      </c>
      <c r="DD611" s="1542"/>
      <c r="DE611" s="1542"/>
      <c r="DF611" s="1542"/>
      <c r="DG611" s="1542"/>
      <c r="DH611" s="1542">
        <f t="shared" si="13"/>
        <v>0</v>
      </c>
      <c r="DI611" s="1542"/>
      <c r="DJ611" s="1542"/>
      <c r="DK611" s="1542"/>
      <c r="DL611" s="1542"/>
      <c r="DM611" s="1542">
        <f t="shared" si="14"/>
        <v>0</v>
      </c>
      <c r="DN611" s="1542"/>
      <c r="DO611" s="1542"/>
      <c r="DP611" s="1542"/>
      <c r="DQ611" s="1542"/>
      <c r="DR611" s="1542">
        <f t="shared" si="15"/>
        <v>0</v>
      </c>
      <c r="DS611" s="1542"/>
      <c r="DT611" s="1542"/>
      <c r="DU611" s="1542"/>
      <c r="DV611" s="1542"/>
      <c r="DW611" s="3"/>
      <c r="DX611" s="1230" t="str">
        <f t="shared" si="16"/>
        <v xml:space="preserve"> </v>
      </c>
      <c r="DY611" s="1231"/>
      <c r="DZ611" s="1231"/>
      <c r="EA611" s="1231"/>
      <c r="EB611" s="1232"/>
      <c r="EC611" s="1230">
        <f t="shared" si="17"/>
        <v>1122.6400000000001</v>
      </c>
      <c r="ED611" s="1231"/>
      <c r="EE611" s="1231"/>
      <c r="EF611" s="1231"/>
      <c r="EG611" s="1232"/>
      <c r="EH611" s="1230" t="str">
        <f t="shared" si="18"/>
        <v xml:space="preserve"> </v>
      </c>
      <c r="EI611" s="1231"/>
      <c r="EJ611" s="1231"/>
      <c r="EK611" s="1231"/>
      <c r="EL611" s="1232"/>
      <c r="EM611" s="1230" t="str">
        <f t="shared" si="19"/>
        <v xml:space="preserve"> </v>
      </c>
      <c r="EN611" s="1231"/>
      <c r="EO611" s="1231"/>
      <c r="EP611" s="1231"/>
      <c r="EQ611" s="1232"/>
      <c r="ER611" s="1230" t="str">
        <f t="shared" si="20"/>
        <v xml:space="preserve"> </v>
      </c>
      <c r="ES611" s="1231"/>
      <c r="ET611" s="1231"/>
      <c r="EU611" s="1231"/>
      <c r="EV611" s="1232"/>
      <c r="EW611" s="1230" t="str">
        <f t="shared" si="21"/>
        <v xml:space="preserve"> </v>
      </c>
      <c r="EX611" s="1231"/>
      <c r="EY611" s="1231"/>
      <c r="EZ611" s="1231"/>
      <c r="FA611" s="1232"/>
    </row>
    <row r="612" spans="1:157" ht="12.75">
      <c r="A612" s="20"/>
      <c r="B612" t="s">
        <v>1137</v>
      </c>
      <c r="G612" s="1213"/>
      <c r="H612" s="1213"/>
      <c r="I612" s="1213"/>
      <c r="J612" s="1213"/>
      <c r="K612" s="1213"/>
      <c r="L612" s="1213"/>
      <c r="M612" s="1213"/>
      <c r="N612" s="1213"/>
      <c r="O612" s="1213"/>
      <c r="P612" s="1213"/>
      <c r="Q612" s="1213"/>
      <c r="R612" s="1213"/>
      <c r="T612" s="20"/>
      <c r="U612" t="s">
        <v>1137</v>
      </c>
      <c r="Z612" s="1213"/>
      <c r="AA612" s="1213"/>
      <c r="AB612" s="1213"/>
      <c r="AC612" s="1213"/>
      <c r="AD612" s="1213"/>
      <c r="AE612" s="1213"/>
      <c r="AF612" s="1213"/>
      <c r="AG612" s="1213"/>
      <c r="AH612" s="1213"/>
      <c r="AI612" s="1213"/>
      <c r="AJ612" s="1213"/>
      <c r="AK612" s="1213"/>
      <c r="BA612" s="3" t="s">
        <v>1496</v>
      </c>
      <c r="BB612" s="3"/>
      <c r="BC612" s="3"/>
      <c r="BD612" s="3"/>
      <c r="BE612" s="1230">
        <f t="shared" si="0"/>
        <v>0</v>
      </c>
      <c r="BF612" s="1232"/>
      <c r="BG612" s="1230">
        <f t="shared" si="1"/>
        <v>0</v>
      </c>
      <c r="BH612" s="1232"/>
      <c r="BI612" s="1230">
        <f t="shared" si="2"/>
        <v>1</v>
      </c>
      <c r="BJ612" s="1232"/>
      <c r="BK612" s="1230">
        <f t="shared" si="3"/>
        <v>6</v>
      </c>
      <c r="BL612" s="1232"/>
      <c r="BM612" s="3"/>
      <c r="BN612" s="1279">
        <f t="shared" si="4"/>
        <v>0</v>
      </c>
      <c r="BO612" s="1280"/>
      <c r="BP612" s="1280"/>
      <c r="BQ612" s="1280"/>
      <c r="BR612" s="1281"/>
      <c r="BS612" s="1234">
        <f t="shared" si="5"/>
        <v>6</v>
      </c>
      <c r="BT612" s="1234"/>
      <c r="BU612" s="1234"/>
      <c r="BV612" s="1234"/>
      <c r="BW612" s="1234"/>
      <c r="BX612" s="1234">
        <f t="shared" si="6"/>
        <v>0</v>
      </c>
      <c r="BY612" s="1234"/>
      <c r="BZ612" s="1234"/>
      <c r="CA612" s="1234"/>
      <c r="CB612" s="1234"/>
      <c r="CC612" s="1234">
        <f t="shared" si="7"/>
        <v>0</v>
      </c>
      <c r="CD612" s="1234"/>
      <c r="CE612" s="1234"/>
      <c r="CF612" s="1234"/>
      <c r="CG612" s="1234"/>
      <c r="CH612" s="1234">
        <f t="shared" si="8"/>
        <v>0</v>
      </c>
      <c r="CI612" s="1234"/>
      <c r="CJ612" s="1234"/>
      <c r="CK612" s="1234"/>
      <c r="CL612" s="1234"/>
      <c r="CM612" s="1234">
        <f t="shared" si="9"/>
        <v>0</v>
      </c>
      <c r="CN612" s="1234"/>
      <c r="CO612" s="1234"/>
      <c r="CP612" s="1234"/>
      <c r="CQ612" s="1234"/>
      <c r="CR612" s="285"/>
      <c r="CS612" s="1542">
        <f t="shared" si="10"/>
        <v>0</v>
      </c>
      <c r="CT612" s="1542"/>
      <c r="CU612" s="1542"/>
      <c r="CV612" s="1542"/>
      <c r="CW612" s="1542"/>
      <c r="CX612" s="1542">
        <f t="shared" si="11"/>
        <v>6</v>
      </c>
      <c r="CY612" s="1542"/>
      <c r="CZ612" s="1542"/>
      <c r="DA612" s="1542"/>
      <c r="DB612" s="1542"/>
      <c r="DC612" s="1542">
        <f t="shared" si="12"/>
        <v>0</v>
      </c>
      <c r="DD612" s="1542"/>
      <c r="DE612" s="1542"/>
      <c r="DF612" s="1542"/>
      <c r="DG612" s="1542"/>
      <c r="DH612" s="1542">
        <f t="shared" si="13"/>
        <v>0</v>
      </c>
      <c r="DI612" s="1542"/>
      <c r="DJ612" s="1542"/>
      <c r="DK612" s="1542"/>
      <c r="DL612" s="1542"/>
      <c r="DM612" s="1542">
        <f t="shared" si="14"/>
        <v>0</v>
      </c>
      <c r="DN612" s="1542"/>
      <c r="DO612" s="1542"/>
      <c r="DP612" s="1542"/>
      <c r="DQ612" s="1542"/>
      <c r="DR612" s="1542">
        <f t="shared" si="15"/>
        <v>0</v>
      </c>
      <c r="DS612" s="1542"/>
      <c r="DT612" s="1542"/>
      <c r="DU612" s="1542"/>
      <c r="DV612" s="1542"/>
      <c r="DX612" s="1230" t="str">
        <f t="shared" si="16"/>
        <v xml:space="preserve"> </v>
      </c>
      <c r="DY612" s="1231"/>
      <c r="DZ612" s="1231"/>
      <c r="EA612" s="1231"/>
      <c r="EB612" s="1232"/>
      <c r="EC612" s="1230">
        <f t="shared" si="17"/>
        <v>668.64</v>
      </c>
      <c r="ED612" s="1231"/>
      <c r="EE612" s="1231"/>
      <c r="EF612" s="1231"/>
      <c r="EG612" s="1232"/>
      <c r="EH612" s="1230" t="str">
        <f t="shared" si="18"/>
        <v xml:space="preserve"> </v>
      </c>
      <c r="EI612" s="1231"/>
      <c r="EJ612" s="1231"/>
      <c r="EK612" s="1231"/>
      <c r="EL612" s="1232"/>
      <c r="EM612" s="1230" t="str">
        <f t="shared" si="19"/>
        <v xml:space="preserve"> </v>
      </c>
      <c r="EN612" s="1231"/>
      <c r="EO612" s="1231"/>
      <c r="EP612" s="1231"/>
      <c r="EQ612" s="1232"/>
      <c r="ER612" s="1230" t="str">
        <f t="shared" si="20"/>
        <v xml:space="preserve"> </v>
      </c>
      <c r="ES612" s="1231"/>
      <c r="ET612" s="1231"/>
      <c r="EU612" s="1231"/>
      <c r="EV612" s="1232"/>
      <c r="EW612" s="1230" t="str">
        <f t="shared" si="21"/>
        <v xml:space="preserve"> </v>
      </c>
      <c r="EX612" s="1231"/>
      <c r="EY612" s="1231"/>
      <c r="EZ612" s="1231"/>
      <c r="FA612" s="1232"/>
    </row>
    <row r="613" spans="1:157" ht="12.75">
      <c r="A613" s="20"/>
      <c r="B613" t="s">
        <v>1012</v>
      </c>
      <c r="G613" s="1213"/>
      <c r="H613" s="1213"/>
      <c r="I613" s="1213"/>
      <c r="J613" s="1213"/>
      <c r="K613" s="1213"/>
      <c r="L613" s="1213"/>
      <c r="M613" s="1213"/>
      <c r="N613" s="1213"/>
      <c r="O613" s="1213"/>
      <c r="P613" s="1213"/>
      <c r="Q613" s="1213"/>
      <c r="R613" s="1213"/>
      <c r="T613" s="20"/>
      <c r="U613" t="s">
        <v>1012</v>
      </c>
      <c r="Z613" s="1298"/>
      <c r="AA613" s="1298"/>
      <c r="AB613" s="1298"/>
      <c r="AC613" s="1298"/>
      <c r="AD613" s="1298"/>
      <c r="AE613" s="1298"/>
      <c r="AF613" s="1298"/>
      <c r="AG613" s="1298"/>
      <c r="AH613" s="1298"/>
      <c r="AI613" s="1298"/>
      <c r="AJ613" s="1298"/>
      <c r="AK613" s="1298"/>
      <c r="BA613" s="3" t="s">
        <v>1499</v>
      </c>
      <c r="BB613" s="3"/>
      <c r="BC613" s="3"/>
      <c r="BD613" s="3"/>
      <c r="BE613" s="1230">
        <f t="shared" si="0"/>
        <v>0</v>
      </c>
      <c r="BF613" s="1232"/>
      <c r="BG613" s="1230">
        <f t="shared" si="1"/>
        <v>0</v>
      </c>
      <c r="BH613" s="1232"/>
      <c r="BI613" s="1230">
        <f t="shared" si="2"/>
        <v>0</v>
      </c>
      <c r="BJ613" s="1232"/>
      <c r="BK613" s="1230">
        <f t="shared" si="3"/>
        <v>0</v>
      </c>
      <c r="BL613" s="1232"/>
      <c r="BM613" s="3"/>
      <c r="BN613" s="1279">
        <f t="shared" si="4"/>
        <v>0</v>
      </c>
      <c r="BO613" s="1280"/>
      <c r="BP613" s="1280"/>
      <c r="BQ613" s="1280"/>
      <c r="BR613" s="1281"/>
      <c r="BS613" s="1234">
        <f t="shared" si="5"/>
        <v>0</v>
      </c>
      <c r="BT613" s="1234"/>
      <c r="BU613" s="1234"/>
      <c r="BV613" s="1234"/>
      <c r="BW613" s="1234"/>
      <c r="BX613" s="1234">
        <f t="shared" si="6"/>
        <v>23</v>
      </c>
      <c r="BY613" s="1234"/>
      <c r="BZ613" s="1234"/>
      <c r="CA613" s="1234"/>
      <c r="CB613" s="1234"/>
      <c r="CC613" s="1234">
        <f t="shared" si="7"/>
        <v>0</v>
      </c>
      <c r="CD613" s="1234"/>
      <c r="CE613" s="1234"/>
      <c r="CF613" s="1234"/>
      <c r="CG613" s="1234"/>
      <c r="CH613" s="1234">
        <f t="shared" si="8"/>
        <v>0</v>
      </c>
      <c r="CI613" s="1234"/>
      <c r="CJ613" s="1234"/>
      <c r="CK613" s="1234"/>
      <c r="CL613" s="1234"/>
      <c r="CM613" s="1234">
        <f t="shared" si="9"/>
        <v>0</v>
      </c>
      <c r="CN613" s="1234"/>
      <c r="CO613" s="1234"/>
      <c r="CP613" s="1234"/>
      <c r="CQ613" s="1234"/>
      <c r="CR613" s="285"/>
      <c r="CS613" s="1542">
        <f t="shared" si="10"/>
        <v>0</v>
      </c>
      <c r="CT613" s="1542"/>
      <c r="CU613" s="1542"/>
      <c r="CV613" s="1542"/>
      <c r="CW613" s="1542"/>
      <c r="CX613" s="1542">
        <f t="shared" si="11"/>
        <v>0</v>
      </c>
      <c r="CY613" s="1542"/>
      <c r="CZ613" s="1542"/>
      <c r="DA613" s="1542"/>
      <c r="DB613" s="1542"/>
      <c r="DC613" s="1542">
        <f t="shared" si="12"/>
        <v>0</v>
      </c>
      <c r="DD613" s="1542"/>
      <c r="DE613" s="1542"/>
      <c r="DF613" s="1542"/>
      <c r="DG613" s="1542"/>
      <c r="DH613" s="1542">
        <f t="shared" si="13"/>
        <v>0</v>
      </c>
      <c r="DI613" s="1542"/>
      <c r="DJ613" s="1542"/>
      <c r="DK613" s="1542"/>
      <c r="DL613" s="1542"/>
      <c r="DM613" s="1542">
        <f t="shared" si="14"/>
        <v>0</v>
      </c>
      <c r="DN613" s="1542"/>
      <c r="DO613" s="1542"/>
      <c r="DP613" s="1542"/>
      <c r="DQ613" s="1542"/>
      <c r="DR613" s="1542">
        <f t="shared" si="15"/>
        <v>0</v>
      </c>
      <c r="DS613" s="1542"/>
      <c r="DT613" s="1542"/>
      <c r="DU613" s="1542"/>
      <c r="DV613" s="1542"/>
      <c r="DX613" s="1230" t="str">
        <f t="shared" si="16"/>
        <v xml:space="preserve"> </v>
      </c>
      <c r="DY613" s="1231"/>
      <c r="DZ613" s="1231"/>
      <c r="EA613" s="1231"/>
      <c r="EB613" s="1232"/>
      <c r="EC613" s="1230" t="str">
        <f t="shared" si="17"/>
        <v xml:space="preserve"> </v>
      </c>
      <c r="ED613" s="1231"/>
      <c r="EE613" s="1231"/>
      <c r="EF613" s="1231"/>
      <c r="EG613" s="1232"/>
      <c r="EH613" s="1230">
        <f t="shared" si="18"/>
        <v>1622.27</v>
      </c>
      <c r="EI613" s="1231"/>
      <c r="EJ613" s="1231"/>
      <c r="EK613" s="1231"/>
      <c r="EL613" s="1232"/>
      <c r="EM613" s="1230" t="str">
        <f t="shared" si="19"/>
        <v xml:space="preserve"> </v>
      </c>
      <c r="EN613" s="1231"/>
      <c r="EO613" s="1231"/>
      <c r="EP613" s="1231"/>
      <c r="EQ613" s="1232"/>
      <c r="ER613" s="1230" t="str">
        <f t="shared" si="20"/>
        <v xml:space="preserve"> </v>
      </c>
      <c r="ES613" s="1231"/>
      <c r="ET613" s="1231"/>
      <c r="EU613" s="1231"/>
      <c r="EV613" s="1232"/>
      <c r="EW613" s="1230" t="str">
        <f t="shared" si="21"/>
        <v xml:space="preserve"> </v>
      </c>
      <c r="EX613" s="1231"/>
      <c r="EY613" s="1231"/>
      <c r="EZ613" s="1231"/>
      <c r="FA613" s="1232"/>
    </row>
    <row r="614" spans="1:157" ht="12.75">
      <c r="A614" s="20"/>
      <c r="B614" t="s">
        <v>1475</v>
      </c>
      <c r="G614" s="1213"/>
      <c r="H614" s="1213"/>
      <c r="I614" s="1213"/>
      <c r="J614" s="1213"/>
      <c r="K614" s="1213"/>
      <c r="L614" s="1213"/>
      <c r="M614" s="1213"/>
      <c r="N614" s="1213"/>
      <c r="O614" s="1213"/>
      <c r="P614" s="1213"/>
      <c r="Q614" s="1213"/>
      <c r="R614" s="1213"/>
      <c r="T614" s="20"/>
      <c r="U614" t="s">
        <v>1475</v>
      </c>
      <c r="Z614" s="1298"/>
      <c r="AA614" s="1298"/>
      <c r="AB614" s="1298"/>
      <c r="AC614" s="1298"/>
      <c r="AD614" s="1298"/>
      <c r="AE614" s="1298"/>
      <c r="AF614" s="1298"/>
      <c r="AG614" s="1298"/>
      <c r="AH614" s="1298"/>
      <c r="AI614" s="1298"/>
      <c r="AJ614" s="1298"/>
      <c r="AK614" s="1298"/>
      <c r="BA614" s="3" t="s">
        <v>1498</v>
      </c>
      <c r="BB614" s="3"/>
      <c r="BC614" s="3"/>
      <c r="BD614" s="3"/>
      <c r="BE614" s="1230">
        <f t="shared" si="0"/>
        <v>1</v>
      </c>
      <c r="BF614" s="1232"/>
      <c r="BG614" s="1230">
        <f t="shared" si="1"/>
        <v>4</v>
      </c>
      <c r="BH614" s="1232"/>
      <c r="BI614" s="1230">
        <f t="shared" si="2"/>
        <v>0</v>
      </c>
      <c r="BJ614" s="1232"/>
      <c r="BK614" s="1230">
        <f t="shared" si="3"/>
        <v>0</v>
      </c>
      <c r="BL614" s="1232"/>
      <c r="BM614" s="3"/>
      <c r="BN614" s="1279">
        <f t="shared" si="4"/>
        <v>0</v>
      </c>
      <c r="BO614" s="1280"/>
      <c r="BP614" s="1280"/>
      <c r="BQ614" s="1280"/>
      <c r="BR614" s="1281"/>
      <c r="BS614" s="1234">
        <f t="shared" si="5"/>
        <v>0</v>
      </c>
      <c r="BT614" s="1234"/>
      <c r="BU614" s="1234"/>
      <c r="BV614" s="1234"/>
      <c r="BW614" s="1234"/>
      <c r="BX614" s="1234">
        <f t="shared" si="6"/>
        <v>4</v>
      </c>
      <c r="BY614" s="1234"/>
      <c r="BZ614" s="1234"/>
      <c r="CA614" s="1234"/>
      <c r="CB614" s="1234"/>
      <c r="CC614" s="1234">
        <f t="shared" si="7"/>
        <v>0</v>
      </c>
      <c r="CD614" s="1234"/>
      <c r="CE614" s="1234"/>
      <c r="CF614" s="1234"/>
      <c r="CG614" s="1234"/>
      <c r="CH614" s="1234">
        <f t="shared" si="8"/>
        <v>0</v>
      </c>
      <c r="CI614" s="1234"/>
      <c r="CJ614" s="1234"/>
      <c r="CK614" s="1234"/>
      <c r="CL614" s="1234"/>
      <c r="CM614" s="1234">
        <f t="shared" si="9"/>
        <v>0</v>
      </c>
      <c r="CN614" s="1234"/>
      <c r="CO614" s="1234"/>
      <c r="CP614" s="1234"/>
      <c r="CQ614" s="1234"/>
      <c r="CR614" s="285"/>
      <c r="CS614" s="1542">
        <f t="shared" si="10"/>
        <v>0</v>
      </c>
      <c r="CT614" s="1542"/>
      <c r="CU614" s="1542"/>
      <c r="CV614" s="1542"/>
      <c r="CW614" s="1542"/>
      <c r="CX614" s="1542">
        <f t="shared" si="11"/>
        <v>0</v>
      </c>
      <c r="CY614" s="1542"/>
      <c r="CZ614" s="1542"/>
      <c r="DA614" s="1542"/>
      <c r="DB614" s="1542"/>
      <c r="DC614" s="1542">
        <f t="shared" si="12"/>
        <v>0</v>
      </c>
      <c r="DD614" s="1542"/>
      <c r="DE614" s="1542"/>
      <c r="DF614" s="1542"/>
      <c r="DG614" s="1542"/>
      <c r="DH614" s="1542">
        <f t="shared" si="13"/>
        <v>0</v>
      </c>
      <c r="DI614" s="1542"/>
      <c r="DJ614" s="1542"/>
      <c r="DK614" s="1542"/>
      <c r="DL614" s="1542"/>
      <c r="DM614" s="1542">
        <f t="shared" si="14"/>
        <v>0</v>
      </c>
      <c r="DN614" s="1542"/>
      <c r="DO614" s="1542"/>
      <c r="DP614" s="1542"/>
      <c r="DQ614" s="1542"/>
      <c r="DR614" s="1542">
        <f t="shared" si="15"/>
        <v>0</v>
      </c>
      <c r="DS614" s="1542"/>
      <c r="DT614" s="1542"/>
      <c r="DU614" s="1542"/>
      <c r="DV614" s="1542"/>
      <c r="DX614" s="1230" t="str">
        <f t="shared" si="16"/>
        <v xml:space="preserve"> </v>
      </c>
      <c r="DY614" s="1231"/>
      <c r="DZ614" s="1231"/>
      <c r="EA614" s="1231"/>
      <c r="EB614" s="1232"/>
      <c r="EC614" s="1230" t="str">
        <f t="shared" si="17"/>
        <v xml:space="preserve"> </v>
      </c>
      <c r="ED614" s="1231"/>
      <c r="EE614" s="1231"/>
      <c r="EF614" s="1231"/>
      <c r="EG614" s="1232"/>
      <c r="EH614" s="1230">
        <f t="shared" si="18"/>
        <v>1349.27</v>
      </c>
      <c r="EI614" s="1231"/>
      <c r="EJ614" s="1231"/>
      <c r="EK614" s="1231"/>
      <c r="EL614" s="1232"/>
      <c r="EM614" s="1230" t="str">
        <f t="shared" si="19"/>
        <v xml:space="preserve"> </v>
      </c>
      <c r="EN614" s="1231"/>
      <c r="EO614" s="1231"/>
      <c r="EP614" s="1231"/>
      <c r="EQ614" s="1232"/>
      <c r="ER614" s="1230" t="str">
        <f t="shared" si="20"/>
        <v xml:space="preserve"> </v>
      </c>
      <c r="ES614" s="1231"/>
      <c r="ET614" s="1231"/>
      <c r="EU614" s="1231"/>
      <c r="EV614" s="1232"/>
      <c r="EW614" s="1230" t="str">
        <f t="shared" si="21"/>
        <v xml:space="preserve"> </v>
      </c>
      <c r="EX614" s="1231"/>
      <c r="EY614" s="1231"/>
      <c r="EZ614" s="1231"/>
      <c r="FA614" s="1232"/>
    </row>
    <row r="615" spans="1:157" ht="12.75">
      <c r="A615" s="20"/>
      <c r="B615" t="s">
        <v>918</v>
      </c>
      <c r="G615" s="1276"/>
      <c r="H615" s="1276"/>
      <c r="I615" s="1276"/>
      <c r="J615" s="1276"/>
      <c r="K615" s="1276"/>
      <c r="L615" s="1276"/>
      <c r="O615" s="998" t="s">
        <v>1145</v>
      </c>
      <c r="P615" s="1224"/>
      <c r="Q615" s="1224"/>
      <c r="R615" s="1224"/>
      <c r="T615" s="20"/>
      <c r="U615" t="s">
        <v>918</v>
      </c>
      <c r="Z615" s="1276"/>
      <c r="AA615" s="1276"/>
      <c r="AB615" s="1276"/>
      <c r="AC615" s="1276"/>
      <c r="AD615" s="1276"/>
      <c r="AE615" s="1276"/>
      <c r="AH615" s="998" t="s">
        <v>1145</v>
      </c>
      <c r="AI615" s="1224"/>
      <c r="AJ615" s="1224"/>
      <c r="AK615" s="1224"/>
      <c r="AZ615" s="3"/>
      <c r="BA615" s="3"/>
      <c r="BB615" s="3"/>
      <c r="BC615" s="3"/>
      <c r="BD615" s="3"/>
      <c r="BE615" s="1230">
        <f t="shared" si="0"/>
        <v>0</v>
      </c>
      <c r="BF615" s="1232"/>
      <c r="BG615" s="1230">
        <f t="shared" si="1"/>
        <v>0</v>
      </c>
      <c r="BH615" s="1232"/>
      <c r="BI615" s="1230">
        <f t="shared" si="2"/>
        <v>1</v>
      </c>
      <c r="BJ615" s="1232"/>
      <c r="BK615" s="1230">
        <f t="shared" si="3"/>
        <v>4</v>
      </c>
      <c r="BL615" s="1232"/>
      <c r="BM615" s="3"/>
      <c r="BN615" s="1279">
        <f t="shared" si="4"/>
        <v>0</v>
      </c>
      <c r="BO615" s="1280"/>
      <c r="BP615" s="1280"/>
      <c r="BQ615" s="1280"/>
      <c r="BR615" s="1281"/>
      <c r="BS615" s="1234">
        <f t="shared" si="5"/>
        <v>0</v>
      </c>
      <c r="BT615" s="1234"/>
      <c r="BU615" s="1234"/>
      <c r="BV615" s="1234"/>
      <c r="BW615" s="1234"/>
      <c r="BX615" s="1234">
        <f t="shared" si="6"/>
        <v>4</v>
      </c>
      <c r="BY615" s="1234"/>
      <c r="BZ615" s="1234"/>
      <c r="CA615" s="1234"/>
      <c r="CB615" s="1234"/>
      <c r="CC615" s="1234">
        <f t="shared" si="7"/>
        <v>0</v>
      </c>
      <c r="CD615" s="1234"/>
      <c r="CE615" s="1234"/>
      <c r="CF615" s="1234"/>
      <c r="CG615" s="1234"/>
      <c r="CH615" s="1234">
        <f t="shared" si="8"/>
        <v>0</v>
      </c>
      <c r="CI615" s="1234"/>
      <c r="CJ615" s="1234"/>
      <c r="CK615" s="1234"/>
      <c r="CL615" s="1234"/>
      <c r="CM615" s="1234">
        <f t="shared" si="9"/>
        <v>0</v>
      </c>
      <c r="CN615" s="1234"/>
      <c r="CO615" s="1234"/>
      <c r="CP615" s="1234"/>
      <c r="CQ615" s="1234"/>
      <c r="CR615" s="285"/>
      <c r="CS615" s="1542">
        <f t="shared" si="10"/>
        <v>0</v>
      </c>
      <c r="CT615" s="1542"/>
      <c r="CU615" s="1542"/>
      <c r="CV615" s="1542"/>
      <c r="CW615" s="1542"/>
      <c r="CX615" s="1542">
        <f t="shared" si="11"/>
        <v>0</v>
      </c>
      <c r="CY615" s="1542"/>
      <c r="CZ615" s="1542"/>
      <c r="DA615" s="1542"/>
      <c r="DB615" s="1542"/>
      <c r="DC615" s="1542">
        <f t="shared" si="12"/>
        <v>4</v>
      </c>
      <c r="DD615" s="1542"/>
      <c r="DE615" s="1542"/>
      <c r="DF615" s="1542"/>
      <c r="DG615" s="1542"/>
      <c r="DH615" s="1542">
        <f t="shared" si="13"/>
        <v>0</v>
      </c>
      <c r="DI615" s="1542"/>
      <c r="DJ615" s="1542"/>
      <c r="DK615" s="1542"/>
      <c r="DL615" s="1542"/>
      <c r="DM615" s="1542">
        <f t="shared" si="14"/>
        <v>0</v>
      </c>
      <c r="DN615" s="1542"/>
      <c r="DO615" s="1542"/>
      <c r="DP615" s="1542"/>
      <c r="DQ615" s="1542"/>
      <c r="DR615" s="1542">
        <f t="shared" si="15"/>
        <v>0</v>
      </c>
      <c r="DS615" s="1542"/>
      <c r="DT615" s="1542"/>
      <c r="DU615" s="1542"/>
      <c r="DV615" s="1542"/>
      <c r="DX615" s="1230" t="str">
        <f t="shared" si="16"/>
        <v xml:space="preserve"> </v>
      </c>
      <c r="DY615" s="1231"/>
      <c r="DZ615" s="1231"/>
      <c r="EA615" s="1231"/>
      <c r="EB615" s="1232"/>
      <c r="EC615" s="1230" t="str">
        <f t="shared" si="17"/>
        <v xml:space="preserve"> </v>
      </c>
      <c r="ED615" s="1231"/>
      <c r="EE615" s="1231"/>
      <c r="EF615" s="1231"/>
      <c r="EG615" s="1232"/>
      <c r="EH615" s="1230">
        <f t="shared" si="18"/>
        <v>804.27</v>
      </c>
      <c r="EI615" s="1231"/>
      <c r="EJ615" s="1231"/>
      <c r="EK615" s="1231"/>
      <c r="EL615" s="1232"/>
      <c r="EM615" s="1230" t="str">
        <f t="shared" si="19"/>
        <v xml:space="preserve"> </v>
      </c>
      <c r="EN615" s="1231"/>
      <c r="EO615" s="1231"/>
      <c r="EP615" s="1231"/>
      <c r="EQ615" s="1232"/>
      <c r="ER615" s="1230" t="str">
        <f t="shared" si="20"/>
        <v xml:space="preserve"> </v>
      </c>
      <c r="ES615" s="1231"/>
      <c r="ET615" s="1231"/>
      <c r="EU615" s="1231"/>
      <c r="EV615" s="1232"/>
      <c r="EW615" s="1230" t="str">
        <f t="shared" si="21"/>
        <v xml:space="preserve"> </v>
      </c>
      <c r="EX615" s="1231"/>
      <c r="EY615" s="1231"/>
      <c r="EZ615" s="1231"/>
      <c r="FA615" s="1232"/>
    </row>
    <row r="616" spans="1:157" ht="12.75">
      <c r="A616" s="20"/>
      <c r="B616" t="s">
        <v>1478</v>
      </c>
      <c r="H616" s="1213"/>
      <c r="I616" s="1213"/>
      <c r="J616" s="1213"/>
      <c r="K616" s="1213"/>
      <c r="L616" s="1213"/>
      <c r="M616" s="1213"/>
      <c r="N616" s="1213"/>
      <c r="O616" s="1213"/>
      <c r="P616" s="1213"/>
      <c r="Q616" s="1213"/>
      <c r="R616" s="1213"/>
      <c r="T616" s="20"/>
      <c r="U616" t="s">
        <v>1478</v>
      </c>
      <c r="AA616" s="1213"/>
      <c r="AB616" s="1213"/>
      <c r="AC616" s="1213"/>
      <c r="AD616" s="1213"/>
      <c r="AE616" s="1213"/>
      <c r="AF616" s="1213"/>
      <c r="AG616" s="1213"/>
      <c r="AH616" s="1213"/>
      <c r="AI616" s="1213"/>
      <c r="AJ616" s="1213"/>
      <c r="AK616" s="1213"/>
      <c r="AZ616" s="3"/>
      <c r="BA616" s="3"/>
      <c r="BB616" s="3"/>
      <c r="BC616" s="3"/>
      <c r="BD616" s="3"/>
      <c r="BE616" s="1230">
        <f t="shared" si="0"/>
        <v>0</v>
      </c>
      <c r="BF616" s="1232"/>
      <c r="BG616" s="1230">
        <f t="shared" si="1"/>
        <v>0</v>
      </c>
      <c r="BH616" s="1232"/>
      <c r="BI616" s="1230">
        <f t="shared" si="2"/>
        <v>0</v>
      </c>
      <c r="BJ616" s="1232"/>
      <c r="BK616" s="1230">
        <f t="shared" si="3"/>
        <v>0</v>
      </c>
      <c r="BL616" s="1232"/>
      <c r="BM616" s="3"/>
      <c r="BN616" s="1279">
        <f t="shared" si="4"/>
        <v>0</v>
      </c>
      <c r="BO616" s="1280"/>
      <c r="BP616" s="1280"/>
      <c r="BQ616" s="1280"/>
      <c r="BR616" s="1281"/>
      <c r="BS616" s="1234">
        <f t="shared" si="5"/>
        <v>0</v>
      </c>
      <c r="BT616" s="1234"/>
      <c r="BU616" s="1234"/>
      <c r="BV616" s="1234"/>
      <c r="BW616" s="1234"/>
      <c r="BX616" s="1234">
        <f t="shared" si="6"/>
        <v>0</v>
      </c>
      <c r="BY616" s="1234"/>
      <c r="BZ616" s="1234"/>
      <c r="CA616" s="1234"/>
      <c r="CB616" s="1234"/>
      <c r="CC616" s="1234">
        <f t="shared" si="7"/>
        <v>24</v>
      </c>
      <c r="CD616" s="1234"/>
      <c r="CE616" s="1234"/>
      <c r="CF616" s="1234"/>
      <c r="CG616" s="1234"/>
      <c r="CH616" s="1234">
        <f t="shared" si="8"/>
        <v>0</v>
      </c>
      <c r="CI616" s="1234"/>
      <c r="CJ616" s="1234"/>
      <c r="CK616" s="1234"/>
      <c r="CL616" s="1234"/>
      <c r="CM616" s="1234">
        <f t="shared" si="9"/>
        <v>0</v>
      </c>
      <c r="CN616" s="1234"/>
      <c r="CO616" s="1234"/>
      <c r="CP616" s="1234"/>
      <c r="CQ616" s="1234"/>
      <c r="CR616" s="285"/>
      <c r="CS616" s="1542">
        <f t="shared" si="10"/>
        <v>0</v>
      </c>
      <c r="CT616" s="1542"/>
      <c r="CU616" s="1542"/>
      <c r="CV616" s="1542"/>
      <c r="CW616" s="1542"/>
      <c r="CX616" s="1542">
        <f t="shared" si="11"/>
        <v>0</v>
      </c>
      <c r="CY616" s="1542"/>
      <c r="CZ616" s="1542"/>
      <c r="DA616" s="1542"/>
      <c r="DB616" s="1542"/>
      <c r="DC616" s="1542">
        <f t="shared" si="12"/>
        <v>0</v>
      </c>
      <c r="DD616" s="1542"/>
      <c r="DE616" s="1542"/>
      <c r="DF616" s="1542"/>
      <c r="DG616" s="1542"/>
      <c r="DH616" s="1542">
        <f t="shared" si="13"/>
        <v>0</v>
      </c>
      <c r="DI616" s="1542"/>
      <c r="DJ616" s="1542"/>
      <c r="DK616" s="1542"/>
      <c r="DL616" s="1542"/>
      <c r="DM616" s="1542">
        <f t="shared" si="14"/>
        <v>0</v>
      </c>
      <c r="DN616" s="1542"/>
      <c r="DO616" s="1542"/>
      <c r="DP616" s="1542"/>
      <c r="DQ616" s="1542"/>
      <c r="DR616" s="1542">
        <f t="shared" si="15"/>
        <v>0</v>
      </c>
      <c r="DS616" s="1542"/>
      <c r="DT616" s="1542"/>
      <c r="DU616" s="1542"/>
      <c r="DV616" s="1542"/>
      <c r="DX616" s="1230" t="str">
        <f t="shared" si="16"/>
        <v xml:space="preserve"> </v>
      </c>
      <c r="DY616" s="1231"/>
      <c r="DZ616" s="1231"/>
      <c r="EA616" s="1231"/>
      <c r="EB616" s="1232"/>
      <c r="EC616" s="1230" t="str">
        <f t="shared" si="17"/>
        <v xml:space="preserve"> </v>
      </c>
      <c r="ED616" s="1231"/>
      <c r="EE616" s="1231"/>
      <c r="EF616" s="1231"/>
      <c r="EG616" s="1232"/>
      <c r="EH616" s="1230" t="str">
        <f t="shared" si="18"/>
        <v xml:space="preserve"> </v>
      </c>
      <c r="EI616" s="1231"/>
      <c r="EJ616" s="1231"/>
      <c r="EK616" s="1231"/>
      <c r="EL616" s="1232"/>
      <c r="EM616" s="1230">
        <f t="shared" si="19"/>
        <v>1874.56</v>
      </c>
      <c r="EN616" s="1231"/>
      <c r="EO616" s="1231"/>
      <c r="EP616" s="1231"/>
      <c r="EQ616" s="1232"/>
      <c r="ER616" s="1230" t="str">
        <f t="shared" si="20"/>
        <v xml:space="preserve"> </v>
      </c>
      <c r="ES616" s="1231"/>
      <c r="ET616" s="1231"/>
      <c r="EU616" s="1231"/>
      <c r="EV616" s="1232"/>
      <c r="EW616" s="1230" t="str">
        <f t="shared" si="21"/>
        <v xml:space="preserve"> </v>
      </c>
      <c r="EX616" s="1231"/>
      <c r="EY616" s="1231"/>
      <c r="EZ616" s="1231"/>
      <c r="FA616" s="1232"/>
    </row>
    <row r="617" spans="1:157" ht="12.75">
      <c r="A617" s="20"/>
      <c r="B617" t="s">
        <v>1482</v>
      </c>
      <c r="N617" s="1263" t="s">
        <v>929</v>
      </c>
      <c r="O617" s="1263"/>
      <c r="T617" s="20"/>
      <c r="U617" t="s">
        <v>1482</v>
      </c>
      <c r="AG617" s="1263" t="s">
        <v>929</v>
      </c>
      <c r="AH617" s="1263"/>
      <c r="AZ617" s="3"/>
      <c r="BA617" s="3"/>
      <c r="BB617" s="3"/>
      <c r="BC617" s="3"/>
      <c r="BD617" s="3"/>
      <c r="BE617" s="1230">
        <f t="shared" si="0"/>
        <v>1</v>
      </c>
      <c r="BF617" s="1232"/>
      <c r="BG617" s="1230">
        <f t="shared" si="1"/>
        <v>4</v>
      </c>
      <c r="BH617" s="1232"/>
      <c r="BI617" s="1230">
        <f t="shared" si="2"/>
        <v>0</v>
      </c>
      <c r="BJ617" s="1232"/>
      <c r="BK617" s="1230">
        <f t="shared" si="3"/>
        <v>0</v>
      </c>
      <c r="BL617" s="1232"/>
      <c r="BM617" s="3"/>
      <c r="BN617" s="1279">
        <f t="shared" si="4"/>
        <v>0</v>
      </c>
      <c r="BO617" s="1280"/>
      <c r="BP617" s="1280"/>
      <c r="BQ617" s="1280"/>
      <c r="BR617" s="1281"/>
      <c r="BS617" s="1234">
        <f t="shared" si="5"/>
        <v>0</v>
      </c>
      <c r="BT617" s="1234"/>
      <c r="BU617" s="1234"/>
      <c r="BV617" s="1234"/>
      <c r="BW617" s="1234"/>
      <c r="BX617" s="1234">
        <f t="shared" si="6"/>
        <v>0</v>
      </c>
      <c r="BY617" s="1234"/>
      <c r="BZ617" s="1234"/>
      <c r="CA617" s="1234"/>
      <c r="CB617" s="1234"/>
      <c r="CC617" s="1234">
        <f t="shared" si="7"/>
        <v>4</v>
      </c>
      <c r="CD617" s="1234"/>
      <c r="CE617" s="1234"/>
      <c r="CF617" s="1234"/>
      <c r="CG617" s="1234"/>
      <c r="CH617" s="1234">
        <f t="shared" si="8"/>
        <v>0</v>
      </c>
      <c r="CI617" s="1234"/>
      <c r="CJ617" s="1234"/>
      <c r="CK617" s="1234"/>
      <c r="CL617" s="1234"/>
      <c r="CM617" s="1234">
        <f t="shared" si="9"/>
        <v>0</v>
      </c>
      <c r="CN617" s="1234"/>
      <c r="CO617" s="1234"/>
      <c r="CP617" s="1234"/>
      <c r="CQ617" s="1234"/>
      <c r="CR617" s="285"/>
      <c r="CS617" s="1542">
        <f t="shared" si="10"/>
        <v>0</v>
      </c>
      <c r="CT617" s="1542"/>
      <c r="CU617" s="1542"/>
      <c r="CV617" s="1542"/>
      <c r="CW617" s="1542"/>
      <c r="CX617" s="1542">
        <f t="shared" si="11"/>
        <v>0</v>
      </c>
      <c r="CY617" s="1542"/>
      <c r="CZ617" s="1542"/>
      <c r="DA617" s="1542"/>
      <c r="DB617" s="1542"/>
      <c r="DC617" s="1542">
        <f t="shared" si="12"/>
        <v>0</v>
      </c>
      <c r="DD617" s="1542"/>
      <c r="DE617" s="1542"/>
      <c r="DF617" s="1542"/>
      <c r="DG617" s="1542"/>
      <c r="DH617" s="1542">
        <f t="shared" si="13"/>
        <v>0</v>
      </c>
      <c r="DI617" s="1542"/>
      <c r="DJ617" s="1542"/>
      <c r="DK617" s="1542"/>
      <c r="DL617" s="1542"/>
      <c r="DM617" s="1542">
        <f t="shared" si="14"/>
        <v>0</v>
      </c>
      <c r="DN617" s="1542"/>
      <c r="DO617" s="1542"/>
      <c r="DP617" s="1542"/>
      <c r="DQ617" s="1542"/>
      <c r="DR617" s="1542">
        <f t="shared" si="15"/>
        <v>0</v>
      </c>
      <c r="DS617" s="1542"/>
      <c r="DT617" s="1542"/>
      <c r="DU617" s="1542"/>
      <c r="DV617" s="1542"/>
      <c r="DX617" s="1230" t="str">
        <f t="shared" si="16"/>
        <v xml:space="preserve"> </v>
      </c>
      <c r="DY617" s="1231"/>
      <c r="DZ617" s="1231"/>
      <c r="EA617" s="1231"/>
      <c r="EB617" s="1232"/>
      <c r="EC617" s="1230" t="str">
        <f t="shared" si="17"/>
        <v xml:space="preserve"> </v>
      </c>
      <c r="ED617" s="1231"/>
      <c r="EE617" s="1231"/>
      <c r="EF617" s="1231"/>
      <c r="EG617" s="1232"/>
      <c r="EH617" s="1230" t="str">
        <f t="shared" si="18"/>
        <v xml:space="preserve"> </v>
      </c>
      <c r="EI617" s="1231"/>
      <c r="EJ617" s="1231"/>
      <c r="EK617" s="1231"/>
      <c r="EL617" s="1232"/>
      <c r="EM617" s="1230">
        <f t="shared" si="19"/>
        <v>1559.56</v>
      </c>
      <c r="EN617" s="1231"/>
      <c r="EO617" s="1231"/>
      <c r="EP617" s="1231"/>
      <c r="EQ617" s="1232"/>
      <c r="ER617" s="1230" t="str">
        <f t="shared" si="20"/>
        <v xml:space="preserve"> </v>
      </c>
      <c r="ES617" s="1231"/>
      <c r="ET617" s="1231"/>
      <c r="EU617" s="1231"/>
      <c r="EV617" s="1232"/>
      <c r="EW617" s="1230" t="str">
        <f t="shared" si="21"/>
        <v xml:space="preserve"> </v>
      </c>
      <c r="EX617" s="1231"/>
      <c r="EY617" s="1231"/>
      <c r="EZ617" s="1231"/>
      <c r="FA617" s="1232"/>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30">
        <f t="shared" si="0"/>
        <v>0</v>
      </c>
      <c r="BF618" s="1232"/>
      <c r="BG618" s="1230">
        <f t="shared" si="1"/>
        <v>0</v>
      </c>
      <c r="BH618" s="1232"/>
      <c r="BI618" s="1230">
        <f t="shared" si="2"/>
        <v>1</v>
      </c>
      <c r="BJ618" s="1232"/>
      <c r="BK618" s="1230">
        <f t="shared" si="3"/>
        <v>4</v>
      </c>
      <c r="BL618" s="1232"/>
      <c r="BM618" s="3"/>
      <c r="BN618" s="1279">
        <f t="shared" si="4"/>
        <v>0</v>
      </c>
      <c r="BO618" s="1280"/>
      <c r="BP618" s="1280"/>
      <c r="BQ618" s="1280"/>
      <c r="BR618" s="1281"/>
      <c r="BS618" s="1234">
        <f t="shared" si="5"/>
        <v>0</v>
      </c>
      <c r="BT618" s="1234"/>
      <c r="BU618" s="1234"/>
      <c r="BV618" s="1234"/>
      <c r="BW618" s="1234"/>
      <c r="BX618" s="1234">
        <f t="shared" si="6"/>
        <v>0</v>
      </c>
      <c r="BY618" s="1234"/>
      <c r="BZ618" s="1234"/>
      <c r="CA618" s="1234"/>
      <c r="CB618" s="1234"/>
      <c r="CC618" s="1234">
        <f t="shared" si="7"/>
        <v>4</v>
      </c>
      <c r="CD618" s="1234"/>
      <c r="CE618" s="1234"/>
      <c r="CF618" s="1234"/>
      <c r="CG618" s="1234"/>
      <c r="CH618" s="1234">
        <f t="shared" si="8"/>
        <v>0</v>
      </c>
      <c r="CI618" s="1234"/>
      <c r="CJ618" s="1234"/>
      <c r="CK618" s="1234"/>
      <c r="CL618" s="1234"/>
      <c r="CM618" s="1234">
        <f t="shared" si="9"/>
        <v>0</v>
      </c>
      <c r="CN618" s="1234"/>
      <c r="CO618" s="1234"/>
      <c r="CP618" s="1234"/>
      <c r="CQ618" s="1234"/>
      <c r="CR618" s="285"/>
      <c r="CS618" s="1542">
        <f t="shared" si="10"/>
        <v>0</v>
      </c>
      <c r="CT618" s="1542"/>
      <c r="CU618" s="1542"/>
      <c r="CV618" s="1542"/>
      <c r="CW618" s="1542"/>
      <c r="CX618" s="1542">
        <f t="shared" si="11"/>
        <v>0</v>
      </c>
      <c r="CY618" s="1542"/>
      <c r="CZ618" s="1542"/>
      <c r="DA618" s="1542"/>
      <c r="DB618" s="1542"/>
      <c r="DC618" s="1542">
        <f t="shared" si="12"/>
        <v>0</v>
      </c>
      <c r="DD618" s="1542"/>
      <c r="DE618" s="1542"/>
      <c r="DF618" s="1542"/>
      <c r="DG618" s="1542"/>
      <c r="DH618" s="1542">
        <f t="shared" si="13"/>
        <v>4</v>
      </c>
      <c r="DI618" s="1542"/>
      <c r="DJ618" s="1542"/>
      <c r="DK618" s="1542"/>
      <c r="DL618" s="1542"/>
      <c r="DM618" s="1542">
        <f t="shared" si="14"/>
        <v>0</v>
      </c>
      <c r="DN618" s="1542"/>
      <c r="DO618" s="1542"/>
      <c r="DP618" s="1542"/>
      <c r="DQ618" s="1542"/>
      <c r="DR618" s="1542">
        <f t="shared" si="15"/>
        <v>0</v>
      </c>
      <c r="DS618" s="1542"/>
      <c r="DT618" s="1542"/>
      <c r="DU618" s="1542"/>
      <c r="DV618" s="1542"/>
      <c r="DW618" s="3"/>
      <c r="DX618" s="1230" t="str">
        <f t="shared" si="16"/>
        <v xml:space="preserve"> </v>
      </c>
      <c r="DY618" s="1231"/>
      <c r="DZ618" s="1231"/>
      <c r="EA618" s="1231"/>
      <c r="EB618" s="1232"/>
      <c r="EC618" s="1230" t="str">
        <f t="shared" si="17"/>
        <v xml:space="preserve"> </v>
      </c>
      <c r="ED618" s="1231"/>
      <c r="EE618" s="1231"/>
      <c r="EF618" s="1231"/>
      <c r="EG618" s="1232"/>
      <c r="EH618" s="1230" t="str">
        <f t="shared" si="18"/>
        <v xml:space="preserve"> </v>
      </c>
      <c r="EI618" s="1231"/>
      <c r="EJ618" s="1231"/>
      <c r="EK618" s="1231"/>
      <c r="EL618" s="1232"/>
      <c r="EM618" s="1230">
        <f t="shared" si="19"/>
        <v>929.56</v>
      </c>
      <c r="EN618" s="1231"/>
      <c r="EO618" s="1231"/>
      <c r="EP618" s="1231"/>
      <c r="EQ618" s="1232"/>
      <c r="ER618" s="1230" t="str">
        <f t="shared" si="20"/>
        <v xml:space="preserve"> </v>
      </c>
      <c r="ES618" s="1231"/>
      <c r="ET618" s="1231"/>
      <c r="EU618" s="1231"/>
      <c r="EV618" s="1232"/>
      <c r="EW618" s="1230" t="str">
        <f t="shared" si="21"/>
        <v xml:space="preserve"> </v>
      </c>
      <c r="EX618" s="1231"/>
      <c r="EY618" s="1231"/>
      <c r="EZ618" s="1231"/>
      <c r="FA618" s="1232"/>
    </row>
    <row r="619" spans="1:157" s="4" customFormat="1" ht="12.75">
      <c r="A619" s="48" t="s">
        <v>1470</v>
      </c>
      <c r="B619" t="s">
        <v>1473</v>
      </c>
      <c r="C619"/>
      <c r="D619"/>
      <c r="E619"/>
      <c r="F619"/>
      <c r="G619" s="1273">
        <f>C574</f>
        <v>0</v>
      </c>
      <c r="H619" s="1273"/>
      <c r="I619" s="1273"/>
      <c r="J619" s="1273"/>
      <c r="K619" s="1273"/>
      <c r="L619" s="1273"/>
      <c r="M619" s="1273"/>
      <c r="N619" s="1273"/>
      <c r="O619" s="1273"/>
      <c r="P619" s="1273"/>
      <c r="Q619" s="1273"/>
      <c r="R619" s="1273"/>
      <c r="S619"/>
      <c r="T619" s="48" t="s">
        <v>1471</v>
      </c>
      <c r="U619" t="s">
        <v>1473</v>
      </c>
      <c r="V619"/>
      <c r="W619"/>
      <c r="X619"/>
      <c r="Y619"/>
      <c r="Z619" s="1273">
        <f>C575</f>
        <v>0</v>
      </c>
      <c r="AA619" s="1273"/>
      <c r="AB619" s="1273"/>
      <c r="AC619" s="1273"/>
      <c r="AD619" s="1273"/>
      <c r="AE619" s="1273"/>
      <c r="AF619" s="1273"/>
      <c r="AG619" s="1273"/>
      <c r="AH619" s="1273"/>
      <c r="AI619" s="1273"/>
      <c r="AJ619" s="1273"/>
      <c r="AK619" s="1273"/>
      <c r="AL619"/>
      <c r="AM619"/>
      <c r="AN619"/>
      <c r="AO619"/>
      <c r="AP619"/>
      <c r="AQ619"/>
      <c r="AR619"/>
      <c r="AS619"/>
      <c r="AT619"/>
      <c r="AU619"/>
      <c r="AV619"/>
      <c r="AW619"/>
      <c r="AX619"/>
      <c r="AY619"/>
      <c r="AZ619" s="3"/>
      <c r="BA619" s="3"/>
      <c r="BB619" s="3"/>
      <c r="BC619" s="3"/>
      <c r="BD619" s="3"/>
      <c r="BE619" s="1230">
        <f t="shared" si="0"/>
        <v>0</v>
      </c>
      <c r="BF619" s="1232"/>
      <c r="BG619" s="1230">
        <f t="shared" si="1"/>
        <v>0</v>
      </c>
      <c r="BH619" s="1232"/>
      <c r="BI619" s="1230">
        <f t="shared" si="2"/>
        <v>0</v>
      </c>
      <c r="BJ619" s="1232"/>
      <c r="BK619" s="1230">
        <f t="shared" si="3"/>
        <v>0</v>
      </c>
      <c r="BL619" s="1232"/>
      <c r="BM619" s="3"/>
      <c r="BN619" s="1279">
        <f t="shared" si="4"/>
        <v>0</v>
      </c>
      <c r="BO619" s="1280"/>
      <c r="BP619" s="1280"/>
      <c r="BQ619" s="1280"/>
      <c r="BR619" s="1281"/>
      <c r="BS619" s="1234">
        <f t="shared" si="5"/>
        <v>0</v>
      </c>
      <c r="BT619" s="1234"/>
      <c r="BU619" s="1234"/>
      <c r="BV619" s="1234"/>
      <c r="BW619" s="1234"/>
      <c r="BX619" s="1234">
        <f t="shared" si="6"/>
        <v>0</v>
      </c>
      <c r="BY619" s="1234"/>
      <c r="BZ619" s="1234"/>
      <c r="CA619" s="1234"/>
      <c r="CB619" s="1234"/>
      <c r="CC619" s="1234">
        <f t="shared" si="7"/>
        <v>0</v>
      </c>
      <c r="CD619" s="1234"/>
      <c r="CE619" s="1234"/>
      <c r="CF619" s="1234"/>
      <c r="CG619" s="1234"/>
      <c r="CH619" s="1234">
        <f t="shared" si="8"/>
        <v>0</v>
      </c>
      <c r="CI619" s="1234"/>
      <c r="CJ619" s="1234"/>
      <c r="CK619" s="1234"/>
      <c r="CL619" s="1234"/>
      <c r="CM619" s="1234">
        <f t="shared" si="9"/>
        <v>0</v>
      </c>
      <c r="CN619" s="1234"/>
      <c r="CO619" s="1234"/>
      <c r="CP619" s="1234"/>
      <c r="CQ619" s="1234"/>
      <c r="CR619" s="285"/>
      <c r="CS619" s="1542">
        <f t="shared" si="10"/>
        <v>0</v>
      </c>
      <c r="CT619" s="1542"/>
      <c r="CU619" s="1542"/>
      <c r="CV619" s="1542"/>
      <c r="CW619" s="1542"/>
      <c r="CX619" s="1542">
        <f t="shared" si="11"/>
        <v>0</v>
      </c>
      <c r="CY619" s="1542"/>
      <c r="CZ619" s="1542"/>
      <c r="DA619" s="1542"/>
      <c r="DB619" s="1542"/>
      <c r="DC619" s="1542">
        <f t="shared" si="12"/>
        <v>0</v>
      </c>
      <c r="DD619" s="1542"/>
      <c r="DE619" s="1542"/>
      <c r="DF619" s="1542"/>
      <c r="DG619" s="1542"/>
      <c r="DH619" s="1542">
        <f t="shared" si="13"/>
        <v>0</v>
      </c>
      <c r="DI619" s="1542"/>
      <c r="DJ619" s="1542"/>
      <c r="DK619" s="1542"/>
      <c r="DL619" s="1542"/>
      <c r="DM619" s="1542">
        <f t="shared" si="14"/>
        <v>0</v>
      </c>
      <c r="DN619" s="1542"/>
      <c r="DO619" s="1542"/>
      <c r="DP619" s="1542"/>
      <c r="DQ619" s="1542"/>
      <c r="DR619" s="1542">
        <f t="shared" si="15"/>
        <v>0</v>
      </c>
      <c r="DS619" s="1542"/>
      <c r="DT619" s="1542"/>
      <c r="DU619" s="1542"/>
      <c r="DV619" s="1542"/>
      <c r="DW619" s="3"/>
      <c r="DX619" s="1230" t="str">
        <f t="shared" si="16"/>
        <v xml:space="preserve"> </v>
      </c>
      <c r="DY619" s="1231"/>
      <c r="DZ619" s="1231"/>
      <c r="EA619" s="1231"/>
      <c r="EB619" s="1232"/>
      <c r="EC619" s="1230" t="str">
        <f t="shared" si="17"/>
        <v xml:space="preserve"> </v>
      </c>
      <c r="ED619" s="1231"/>
      <c r="EE619" s="1231"/>
      <c r="EF619" s="1231"/>
      <c r="EG619" s="1232"/>
      <c r="EH619" s="1230" t="str">
        <f t="shared" si="18"/>
        <v xml:space="preserve"> </v>
      </c>
      <c r="EI619" s="1231"/>
      <c r="EJ619" s="1231"/>
      <c r="EK619" s="1231"/>
      <c r="EL619" s="1232"/>
      <c r="EM619" s="1230" t="str">
        <f t="shared" si="19"/>
        <v xml:space="preserve"> </v>
      </c>
      <c r="EN619" s="1231"/>
      <c r="EO619" s="1231"/>
      <c r="EP619" s="1231"/>
      <c r="EQ619" s="1232"/>
      <c r="ER619" s="1230" t="str">
        <f t="shared" si="20"/>
        <v xml:space="preserve"> </v>
      </c>
      <c r="ES619" s="1231"/>
      <c r="ET619" s="1231"/>
      <c r="EU619" s="1231"/>
      <c r="EV619" s="1232"/>
      <c r="EW619" s="1230" t="str">
        <f t="shared" si="21"/>
        <v xml:space="preserve"> </v>
      </c>
      <c r="EX619" s="1231"/>
      <c r="EY619" s="1231"/>
      <c r="EZ619" s="1231"/>
      <c r="FA619" s="1232"/>
    </row>
    <row r="620" spans="1:157" s="4" customFormat="1" ht="12.75">
      <c r="A620"/>
      <c r="B620" t="s">
        <v>1137</v>
      </c>
      <c r="C620"/>
      <c r="D620"/>
      <c r="E620"/>
      <c r="F620"/>
      <c r="G620" s="1213"/>
      <c r="H620" s="1213"/>
      <c r="I620" s="1213"/>
      <c r="J620" s="1213"/>
      <c r="K620" s="1213"/>
      <c r="L620" s="1213"/>
      <c r="M620" s="1213"/>
      <c r="N620" s="1213"/>
      <c r="O620" s="1213"/>
      <c r="P620" s="1213"/>
      <c r="Q620" s="1213"/>
      <c r="R620" s="1213"/>
      <c r="S620"/>
      <c r="T620"/>
      <c r="U620" t="s">
        <v>1137</v>
      </c>
      <c r="V620"/>
      <c r="W620"/>
      <c r="X620"/>
      <c r="Y620"/>
      <c r="Z620" s="1213"/>
      <c r="AA620" s="1213"/>
      <c r="AB620" s="1213"/>
      <c r="AC620" s="1213"/>
      <c r="AD620" s="1213"/>
      <c r="AE620" s="1213"/>
      <c r="AF620" s="1213"/>
      <c r="AG620" s="1213"/>
      <c r="AH620" s="1213"/>
      <c r="AI620" s="1213"/>
      <c r="AJ620" s="1213"/>
      <c r="AK620" s="1213"/>
      <c r="AL620"/>
      <c r="AM620"/>
      <c r="AN620"/>
      <c r="AO620"/>
      <c r="AP620"/>
      <c r="AQ620"/>
      <c r="AR620"/>
      <c r="AS620"/>
      <c r="AT620"/>
      <c r="AU620"/>
      <c r="AV620"/>
      <c r="AW620"/>
      <c r="AX620"/>
      <c r="AY620"/>
      <c r="AZ620" s="3"/>
      <c r="BA620" s="3"/>
      <c r="BB620" s="3"/>
      <c r="BC620" s="3"/>
      <c r="BD620" s="3"/>
      <c r="BE620" s="1230">
        <f t="shared" si="0"/>
        <v>0</v>
      </c>
      <c r="BF620" s="1232"/>
      <c r="BG620" s="1230">
        <f t="shared" si="1"/>
        <v>0</v>
      </c>
      <c r="BH620" s="1232"/>
      <c r="BI620" s="1230">
        <f t="shared" si="2"/>
        <v>0</v>
      </c>
      <c r="BJ620" s="1232"/>
      <c r="BK620" s="1230">
        <f t="shared" si="3"/>
        <v>0</v>
      </c>
      <c r="BL620" s="1232"/>
      <c r="BM620" s="3"/>
      <c r="BN620" s="1279">
        <f t="shared" si="4"/>
        <v>0</v>
      </c>
      <c r="BO620" s="1280"/>
      <c r="BP620" s="1280"/>
      <c r="BQ620" s="1280"/>
      <c r="BR620" s="1281"/>
      <c r="BS620" s="1234">
        <f t="shared" si="5"/>
        <v>0</v>
      </c>
      <c r="BT620" s="1234"/>
      <c r="BU620" s="1234"/>
      <c r="BV620" s="1234"/>
      <c r="BW620" s="1234"/>
      <c r="BX620" s="1234">
        <f t="shared" si="6"/>
        <v>0</v>
      </c>
      <c r="BY620" s="1234"/>
      <c r="BZ620" s="1234"/>
      <c r="CA620" s="1234"/>
      <c r="CB620" s="1234"/>
      <c r="CC620" s="1234">
        <f t="shared" si="7"/>
        <v>0</v>
      </c>
      <c r="CD620" s="1234"/>
      <c r="CE620" s="1234"/>
      <c r="CF620" s="1234"/>
      <c r="CG620" s="1234"/>
      <c r="CH620" s="1234">
        <f t="shared" si="8"/>
        <v>0</v>
      </c>
      <c r="CI620" s="1234"/>
      <c r="CJ620" s="1234"/>
      <c r="CK620" s="1234"/>
      <c r="CL620" s="1234"/>
      <c r="CM620" s="1234">
        <f t="shared" si="9"/>
        <v>0</v>
      </c>
      <c r="CN620" s="1234"/>
      <c r="CO620" s="1234"/>
      <c r="CP620" s="1234"/>
      <c r="CQ620" s="1234"/>
      <c r="CR620" s="285"/>
      <c r="CS620" s="1542">
        <f t="shared" si="10"/>
        <v>0</v>
      </c>
      <c r="CT620" s="1542"/>
      <c r="CU620" s="1542"/>
      <c r="CV620" s="1542"/>
      <c r="CW620" s="1542"/>
      <c r="CX620" s="1542">
        <f t="shared" si="11"/>
        <v>0</v>
      </c>
      <c r="CY620" s="1542"/>
      <c r="CZ620" s="1542"/>
      <c r="DA620" s="1542"/>
      <c r="DB620" s="1542"/>
      <c r="DC620" s="1542">
        <f t="shared" si="12"/>
        <v>0</v>
      </c>
      <c r="DD620" s="1542"/>
      <c r="DE620" s="1542"/>
      <c r="DF620" s="1542"/>
      <c r="DG620" s="1542"/>
      <c r="DH620" s="1542">
        <f t="shared" si="13"/>
        <v>0</v>
      </c>
      <c r="DI620" s="1542"/>
      <c r="DJ620" s="1542"/>
      <c r="DK620" s="1542"/>
      <c r="DL620" s="1542"/>
      <c r="DM620" s="1542">
        <f t="shared" si="14"/>
        <v>0</v>
      </c>
      <c r="DN620" s="1542"/>
      <c r="DO620" s="1542"/>
      <c r="DP620" s="1542"/>
      <c r="DQ620" s="1542"/>
      <c r="DR620" s="1542">
        <f t="shared" si="15"/>
        <v>0</v>
      </c>
      <c r="DS620" s="1542"/>
      <c r="DT620" s="1542"/>
      <c r="DU620" s="1542"/>
      <c r="DV620" s="1542"/>
      <c r="DW620" s="3"/>
      <c r="DX620" s="1230" t="str">
        <f t="shared" si="16"/>
        <v xml:space="preserve"> </v>
      </c>
      <c r="DY620" s="1231"/>
      <c r="DZ620" s="1231"/>
      <c r="EA620" s="1231"/>
      <c r="EB620" s="1232"/>
      <c r="EC620" s="1230" t="str">
        <f t="shared" si="17"/>
        <v xml:space="preserve"> </v>
      </c>
      <c r="ED620" s="1231"/>
      <c r="EE620" s="1231"/>
      <c r="EF620" s="1231"/>
      <c r="EG620" s="1232"/>
      <c r="EH620" s="1230" t="str">
        <f t="shared" si="18"/>
        <v xml:space="preserve"> </v>
      </c>
      <c r="EI620" s="1231"/>
      <c r="EJ620" s="1231"/>
      <c r="EK620" s="1231"/>
      <c r="EL620" s="1232"/>
      <c r="EM620" s="1230" t="str">
        <f t="shared" si="19"/>
        <v xml:space="preserve"> </v>
      </c>
      <c r="EN620" s="1231"/>
      <c r="EO620" s="1231"/>
      <c r="EP620" s="1231"/>
      <c r="EQ620" s="1232"/>
      <c r="ER620" s="1230" t="str">
        <f t="shared" si="20"/>
        <v xml:space="preserve"> </v>
      </c>
      <c r="ES620" s="1231"/>
      <c r="ET620" s="1231"/>
      <c r="EU620" s="1231"/>
      <c r="EV620" s="1232"/>
      <c r="EW620" s="1230" t="str">
        <f t="shared" si="21"/>
        <v xml:space="preserve"> </v>
      </c>
      <c r="EX620" s="1231"/>
      <c r="EY620" s="1231"/>
      <c r="EZ620" s="1231"/>
      <c r="FA620" s="1232"/>
    </row>
    <row r="621" spans="1:157" ht="12.75">
      <c r="B621" t="s">
        <v>1012</v>
      </c>
      <c r="G621" s="1213"/>
      <c r="H621" s="1213"/>
      <c r="I621" s="1213"/>
      <c r="J621" s="1213"/>
      <c r="K621" s="1213"/>
      <c r="L621" s="1213"/>
      <c r="M621" s="1213"/>
      <c r="N621" s="1213"/>
      <c r="O621" s="1213"/>
      <c r="P621" s="1213"/>
      <c r="Q621" s="1213"/>
      <c r="R621" s="1213"/>
      <c r="U621" t="s">
        <v>1012</v>
      </c>
      <c r="Z621" s="1298"/>
      <c r="AA621" s="1298"/>
      <c r="AB621" s="1298"/>
      <c r="AC621" s="1298"/>
      <c r="AD621" s="1298"/>
      <c r="AE621" s="1298"/>
      <c r="AF621" s="1298"/>
      <c r="AG621" s="1298"/>
      <c r="AH621" s="1298"/>
      <c r="AI621" s="1298"/>
      <c r="AJ621" s="1298"/>
      <c r="AK621" s="1298"/>
      <c r="AZ621" s="3"/>
      <c r="BA621" s="3"/>
      <c r="BB621" s="3"/>
      <c r="BC621" s="3"/>
      <c r="BD621" s="3"/>
      <c r="BE621" s="1230">
        <f t="shared" si="0"/>
        <v>0</v>
      </c>
      <c r="BF621" s="1232"/>
      <c r="BG621" s="1230">
        <f t="shared" si="1"/>
        <v>0</v>
      </c>
      <c r="BH621" s="1232"/>
      <c r="BI621" s="1230">
        <f t="shared" si="2"/>
        <v>0</v>
      </c>
      <c r="BJ621" s="1232"/>
      <c r="BK621" s="1230">
        <f t="shared" si="3"/>
        <v>0</v>
      </c>
      <c r="BL621" s="1232"/>
      <c r="BM621" s="3"/>
      <c r="BN621" s="1279">
        <f t="shared" si="4"/>
        <v>0</v>
      </c>
      <c r="BO621" s="1280"/>
      <c r="BP621" s="1280"/>
      <c r="BQ621" s="1280"/>
      <c r="BR621" s="1281"/>
      <c r="BS621" s="1234">
        <f t="shared" si="5"/>
        <v>0</v>
      </c>
      <c r="BT621" s="1234"/>
      <c r="BU621" s="1234"/>
      <c r="BV621" s="1234"/>
      <c r="BW621" s="1234"/>
      <c r="BX621" s="1234">
        <f t="shared" si="6"/>
        <v>0</v>
      </c>
      <c r="BY621" s="1234"/>
      <c r="BZ621" s="1234"/>
      <c r="CA621" s="1234"/>
      <c r="CB621" s="1234"/>
      <c r="CC621" s="1234">
        <f t="shared" si="7"/>
        <v>0</v>
      </c>
      <c r="CD621" s="1234"/>
      <c r="CE621" s="1234"/>
      <c r="CF621" s="1234"/>
      <c r="CG621" s="1234"/>
      <c r="CH621" s="1234">
        <f t="shared" si="8"/>
        <v>0</v>
      </c>
      <c r="CI621" s="1234"/>
      <c r="CJ621" s="1234"/>
      <c r="CK621" s="1234"/>
      <c r="CL621" s="1234"/>
      <c r="CM621" s="1234">
        <f t="shared" si="9"/>
        <v>0</v>
      </c>
      <c r="CN621" s="1234"/>
      <c r="CO621" s="1234"/>
      <c r="CP621" s="1234"/>
      <c r="CQ621" s="1234"/>
      <c r="CR621" s="285"/>
      <c r="CS621" s="1542">
        <f t="shared" si="10"/>
        <v>0</v>
      </c>
      <c r="CT621" s="1542"/>
      <c r="CU621" s="1542"/>
      <c r="CV621" s="1542"/>
      <c r="CW621" s="1542"/>
      <c r="CX621" s="1542">
        <f t="shared" si="11"/>
        <v>0</v>
      </c>
      <c r="CY621" s="1542"/>
      <c r="CZ621" s="1542"/>
      <c r="DA621" s="1542"/>
      <c r="DB621" s="1542"/>
      <c r="DC621" s="1542">
        <f t="shared" si="12"/>
        <v>0</v>
      </c>
      <c r="DD621" s="1542"/>
      <c r="DE621" s="1542"/>
      <c r="DF621" s="1542"/>
      <c r="DG621" s="1542"/>
      <c r="DH621" s="1542">
        <f t="shared" si="13"/>
        <v>0</v>
      </c>
      <c r="DI621" s="1542"/>
      <c r="DJ621" s="1542"/>
      <c r="DK621" s="1542"/>
      <c r="DL621" s="1542"/>
      <c r="DM621" s="1542">
        <f t="shared" si="14"/>
        <v>0</v>
      </c>
      <c r="DN621" s="1542"/>
      <c r="DO621" s="1542"/>
      <c r="DP621" s="1542"/>
      <c r="DQ621" s="1542"/>
      <c r="DR621" s="1542">
        <f t="shared" si="15"/>
        <v>0</v>
      </c>
      <c r="DS621" s="1542"/>
      <c r="DT621" s="1542"/>
      <c r="DU621" s="1542"/>
      <c r="DV621" s="1542"/>
      <c r="DX621" s="1230" t="str">
        <f t="shared" si="16"/>
        <v xml:space="preserve"> </v>
      </c>
      <c r="DY621" s="1231"/>
      <c r="DZ621" s="1231"/>
      <c r="EA621" s="1231"/>
      <c r="EB621" s="1232"/>
      <c r="EC621" s="1230" t="str">
        <f t="shared" si="17"/>
        <v xml:space="preserve"> </v>
      </c>
      <c r="ED621" s="1231"/>
      <c r="EE621" s="1231"/>
      <c r="EF621" s="1231"/>
      <c r="EG621" s="1232"/>
      <c r="EH621" s="1230" t="str">
        <f t="shared" si="18"/>
        <v xml:space="preserve"> </v>
      </c>
      <c r="EI621" s="1231"/>
      <c r="EJ621" s="1231"/>
      <c r="EK621" s="1231"/>
      <c r="EL621" s="1232"/>
      <c r="EM621" s="1230" t="str">
        <f t="shared" si="19"/>
        <v xml:space="preserve"> </v>
      </c>
      <c r="EN621" s="1231"/>
      <c r="EO621" s="1231"/>
      <c r="EP621" s="1231"/>
      <c r="EQ621" s="1232"/>
      <c r="ER621" s="1230" t="str">
        <f t="shared" si="20"/>
        <v xml:space="preserve"> </v>
      </c>
      <c r="ES621" s="1231"/>
      <c r="ET621" s="1231"/>
      <c r="EU621" s="1231"/>
      <c r="EV621" s="1232"/>
      <c r="EW621" s="1230" t="str">
        <f t="shared" si="21"/>
        <v xml:space="preserve"> </v>
      </c>
      <c r="EX621" s="1231"/>
      <c r="EY621" s="1231"/>
      <c r="EZ621" s="1231"/>
      <c r="FA621" s="1232"/>
    </row>
    <row r="622" spans="1:157" ht="12.75">
      <c r="B622" t="s">
        <v>1475</v>
      </c>
      <c r="G622" s="1213"/>
      <c r="H622" s="1213"/>
      <c r="I622" s="1213"/>
      <c r="J622" s="1213"/>
      <c r="K622" s="1213"/>
      <c r="L622" s="1213"/>
      <c r="M622" s="1213"/>
      <c r="N622" s="1213"/>
      <c r="O622" s="1213"/>
      <c r="P622" s="1213"/>
      <c r="Q622" s="1213"/>
      <c r="R622" s="1213"/>
      <c r="U622" t="s">
        <v>1475</v>
      </c>
      <c r="Z622" s="1298"/>
      <c r="AA622" s="1298"/>
      <c r="AB622" s="1298"/>
      <c r="AC622" s="1298"/>
      <c r="AD622" s="1298"/>
      <c r="AE622" s="1298"/>
      <c r="AF622" s="1298"/>
      <c r="AG622" s="1298"/>
      <c r="AH622" s="1298"/>
      <c r="AI622" s="1298"/>
      <c r="AJ622" s="1298"/>
      <c r="AK622" s="1298"/>
      <c r="AZ622" s="3"/>
      <c r="BA622" s="3"/>
      <c r="BB622" s="3"/>
      <c r="BC622" s="3"/>
      <c r="BD622" s="3"/>
      <c r="BE622" s="1230">
        <f t="shared" si="0"/>
        <v>0</v>
      </c>
      <c r="BF622" s="1232"/>
      <c r="BG622" s="1230">
        <f t="shared" si="1"/>
        <v>0</v>
      </c>
      <c r="BH622" s="1232"/>
      <c r="BI622" s="1230">
        <f t="shared" si="2"/>
        <v>0</v>
      </c>
      <c r="BJ622" s="1232"/>
      <c r="BK622" s="1230">
        <f t="shared" si="3"/>
        <v>0</v>
      </c>
      <c r="BL622" s="1232"/>
      <c r="BM622" s="3"/>
      <c r="BN622" s="1279">
        <f t="shared" si="4"/>
        <v>0</v>
      </c>
      <c r="BO622" s="1280"/>
      <c r="BP622" s="1280"/>
      <c r="BQ622" s="1280"/>
      <c r="BR622" s="1281"/>
      <c r="BS622" s="1234">
        <f t="shared" si="5"/>
        <v>0</v>
      </c>
      <c r="BT622" s="1234"/>
      <c r="BU622" s="1234"/>
      <c r="BV622" s="1234"/>
      <c r="BW622" s="1234"/>
      <c r="BX622" s="1234">
        <f t="shared" si="6"/>
        <v>0</v>
      </c>
      <c r="BY622" s="1234"/>
      <c r="BZ622" s="1234"/>
      <c r="CA622" s="1234"/>
      <c r="CB622" s="1234"/>
      <c r="CC622" s="1234">
        <f t="shared" si="7"/>
        <v>0</v>
      </c>
      <c r="CD622" s="1234"/>
      <c r="CE622" s="1234"/>
      <c r="CF622" s="1234"/>
      <c r="CG622" s="1234"/>
      <c r="CH622" s="1234">
        <f t="shared" si="8"/>
        <v>0</v>
      </c>
      <c r="CI622" s="1234"/>
      <c r="CJ622" s="1234"/>
      <c r="CK622" s="1234"/>
      <c r="CL622" s="1234"/>
      <c r="CM622" s="1234">
        <f t="shared" si="9"/>
        <v>0</v>
      </c>
      <c r="CN622" s="1234"/>
      <c r="CO622" s="1234"/>
      <c r="CP622" s="1234"/>
      <c r="CQ622" s="1234"/>
      <c r="CR622" s="285"/>
      <c r="CS622" s="1542">
        <f t="shared" si="10"/>
        <v>0</v>
      </c>
      <c r="CT622" s="1542"/>
      <c r="CU622" s="1542"/>
      <c r="CV622" s="1542"/>
      <c r="CW622" s="1542"/>
      <c r="CX622" s="1542">
        <f t="shared" si="11"/>
        <v>0</v>
      </c>
      <c r="CY622" s="1542"/>
      <c r="CZ622" s="1542"/>
      <c r="DA622" s="1542"/>
      <c r="DB622" s="1542"/>
      <c r="DC622" s="1542">
        <f t="shared" si="12"/>
        <v>0</v>
      </c>
      <c r="DD622" s="1542"/>
      <c r="DE622" s="1542"/>
      <c r="DF622" s="1542"/>
      <c r="DG622" s="1542"/>
      <c r="DH622" s="1542">
        <f t="shared" si="13"/>
        <v>0</v>
      </c>
      <c r="DI622" s="1542"/>
      <c r="DJ622" s="1542"/>
      <c r="DK622" s="1542"/>
      <c r="DL622" s="1542"/>
      <c r="DM622" s="1542">
        <f t="shared" si="14"/>
        <v>0</v>
      </c>
      <c r="DN622" s="1542"/>
      <c r="DO622" s="1542"/>
      <c r="DP622" s="1542"/>
      <c r="DQ622" s="1542"/>
      <c r="DR622" s="1542">
        <f t="shared" si="15"/>
        <v>0</v>
      </c>
      <c r="DS622" s="1542"/>
      <c r="DT622" s="1542"/>
      <c r="DU622" s="1542"/>
      <c r="DV622" s="1542"/>
      <c r="DX622" s="1230" t="str">
        <f t="shared" si="16"/>
        <v xml:space="preserve"> </v>
      </c>
      <c r="DY622" s="1231"/>
      <c r="DZ622" s="1231"/>
      <c r="EA622" s="1231"/>
      <c r="EB622" s="1232"/>
      <c r="EC622" s="1230" t="str">
        <f t="shared" si="17"/>
        <v xml:space="preserve"> </v>
      </c>
      <c r="ED622" s="1231"/>
      <c r="EE622" s="1231"/>
      <c r="EF622" s="1231"/>
      <c r="EG622" s="1232"/>
      <c r="EH622" s="1230" t="str">
        <f t="shared" si="18"/>
        <v xml:space="preserve"> </v>
      </c>
      <c r="EI622" s="1231"/>
      <c r="EJ622" s="1231"/>
      <c r="EK622" s="1231"/>
      <c r="EL622" s="1232"/>
      <c r="EM622" s="1230" t="str">
        <f t="shared" si="19"/>
        <v xml:space="preserve"> </v>
      </c>
      <c r="EN622" s="1231"/>
      <c r="EO622" s="1231"/>
      <c r="EP622" s="1231"/>
      <c r="EQ622" s="1232"/>
      <c r="ER622" s="1230" t="str">
        <f t="shared" si="20"/>
        <v xml:space="preserve"> </v>
      </c>
      <c r="ES622" s="1231"/>
      <c r="ET622" s="1231"/>
      <c r="EU622" s="1231"/>
      <c r="EV622" s="1232"/>
      <c r="EW622" s="1230" t="str">
        <f t="shared" si="21"/>
        <v xml:space="preserve"> </v>
      </c>
      <c r="EX622" s="1231"/>
      <c r="EY622" s="1231"/>
      <c r="EZ622" s="1231"/>
      <c r="FA622" s="1232"/>
    </row>
    <row r="623" spans="1:157" ht="12.75">
      <c r="B623" t="s">
        <v>918</v>
      </c>
      <c r="G623" s="1276"/>
      <c r="H623" s="1276"/>
      <c r="I623" s="1276"/>
      <c r="J623" s="1276"/>
      <c r="K623" s="1276"/>
      <c r="L623" s="1276"/>
      <c r="O623" s="998" t="s">
        <v>1145</v>
      </c>
      <c r="P623" s="1224"/>
      <c r="Q623" s="1224"/>
      <c r="R623" s="1224"/>
      <c r="U623" t="s">
        <v>918</v>
      </c>
      <c r="Z623" s="1276"/>
      <c r="AA623" s="1276"/>
      <c r="AB623" s="1276"/>
      <c r="AC623" s="1276"/>
      <c r="AD623" s="1276"/>
      <c r="AE623" s="1276"/>
      <c r="AH623" s="998" t="s">
        <v>1145</v>
      </c>
      <c r="AI623" s="1224"/>
      <c r="AJ623" s="1224"/>
      <c r="AK623" s="1224"/>
      <c r="AZ623" s="3"/>
      <c r="BA623" s="3"/>
      <c r="BB623" s="3"/>
      <c r="BC623" s="3"/>
      <c r="BD623" s="3"/>
      <c r="BE623" s="1230">
        <f t="shared" si="0"/>
        <v>0</v>
      </c>
      <c r="BF623" s="1232"/>
      <c r="BG623" s="1230">
        <f t="shared" si="1"/>
        <v>0</v>
      </c>
      <c r="BH623" s="1232"/>
      <c r="BI623" s="1230">
        <f t="shared" si="2"/>
        <v>0</v>
      </c>
      <c r="BJ623" s="1232"/>
      <c r="BK623" s="1230">
        <f t="shared" si="3"/>
        <v>0</v>
      </c>
      <c r="BL623" s="1232"/>
      <c r="BM623" s="3"/>
      <c r="BN623" s="1279">
        <f t="shared" si="4"/>
        <v>0</v>
      </c>
      <c r="BO623" s="1280"/>
      <c r="BP623" s="1280"/>
      <c r="BQ623" s="1280"/>
      <c r="BR623" s="1281"/>
      <c r="BS623" s="1234">
        <f t="shared" si="5"/>
        <v>0</v>
      </c>
      <c r="BT623" s="1234"/>
      <c r="BU623" s="1234"/>
      <c r="BV623" s="1234"/>
      <c r="BW623" s="1234"/>
      <c r="BX623" s="1234">
        <f t="shared" si="6"/>
        <v>0</v>
      </c>
      <c r="BY623" s="1234"/>
      <c r="BZ623" s="1234"/>
      <c r="CA623" s="1234"/>
      <c r="CB623" s="1234"/>
      <c r="CC623" s="1234">
        <f t="shared" si="7"/>
        <v>0</v>
      </c>
      <c r="CD623" s="1234"/>
      <c r="CE623" s="1234"/>
      <c r="CF623" s="1234"/>
      <c r="CG623" s="1234"/>
      <c r="CH623" s="1234">
        <f t="shared" si="8"/>
        <v>0</v>
      </c>
      <c r="CI623" s="1234"/>
      <c r="CJ623" s="1234"/>
      <c r="CK623" s="1234"/>
      <c r="CL623" s="1234"/>
      <c r="CM623" s="1234">
        <f t="shared" si="9"/>
        <v>0</v>
      </c>
      <c r="CN623" s="1234"/>
      <c r="CO623" s="1234"/>
      <c r="CP623" s="1234"/>
      <c r="CQ623" s="1234"/>
      <c r="CR623" s="285"/>
      <c r="CS623" s="1542">
        <f t="shared" si="10"/>
        <v>0</v>
      </c>
      <c r="CT623" s="1542"/>
      <c r="CU623" s="1542"/>
      <c r="CV623" s="1542"/>
      <c r="CW623" s="1542"/>
      <c r="CX623" s="1542">
        <f t="shared" si="11"/>
        <v>0</v>
      </c>
      <c r="CY623" s="1542"/>
      <c r="CZ623" s="1542"/>
      <c r="DA623" s="1542"/>
      <c r="DB623" s="1542"/>
      <c r="DC623" s="1542">
        <f t="shared" si="12"/>
        <v>0</v>
      </c>
      <c r="DD623" s="1542"/>
      <c r="DE623" s="1542"/>
      <c r="DF623" s="1542"/>
      <c r="DG623" s="1542"/>
      <c r="DH623" s="1542">
        <f t="shared" si="13"/>
        <v>0</v>
      </c>
      <c r="DI623" s="1542"/>
      <c r="DJ623" s="1542"/>
      <c r="DK623" s="1542"/>
      <c r="DL623" s="1542"/>
      <c r="DM623" s="1542">
        <f t="shared" si="14"/>
        <v>0</v>
      </c>
      <c r="DN623" s="1542"/>
      <c r="DO623" s="1542"/>
      <c r="DP623" s="1542"/>
      <c r="DQ623" s="1542"/>
      <c r="DR623" s="1542">
        <f t="shared" si="15"/>
        <v>0</v>
      </c>
      <c r="DS623" s="1542"/>
      <c r="DT623" s="1542"/>
      <c r="DU623" s="1542"/>
      <c r="DV623" s="1542"/>
      <c r="DX623" s="1230" t="str">
        <f t="shared" si="16"/>
        <v xml:space="preserve"> </v>
      </c>
      <c r="DY623" s="1231"/>
      <c r="DZ623" s="1231"/>
      <c r="EA623" s="1231"/>
      <c r="EB623" s="1232"/>
      <c r="EC623" s="1230" t="str">
        <f t="shared" si="17"/>
        <v xml:space="preserve"> </v>
      </c>
      <c r="ED623" s="1231"/>
      <c r="EE623" s="1231"/>
      <c r="EF623" s="1231"/>
      <c r="EG623" s="1232"/>
      <c r="EH623" s="1230" t="str">
        <f t="shared" si="18"/>
        <v xml:space="preserve"> </v>
      </c>
      <c r="EI623" s="1231"/>
      <c r="EJ623" s="1231"/>
      <c r="EK623" s="1231"/>
      <c r="EL623" s="1232"/>
      <c r="EM623" s="1230" t="str">
        <f t="shared" si="19"/>
        <v xml:space="preserve"> </v>
      </c>
      <c r="EN623" s="1231"/>
      <c r="EO623" s="1231"/>
      <c r="EP623" s="1231"/>
      <c r="EQ623" s="1232"/>
      <c r="ER623" s="1230" t="str">
        <f t="shared" si="20"/>
        <v xml:space="preserve"> </v>
      </c>
      <c r="ES623" s="1231"/>
      <c r="ET623" s="1231"/>
      <c r="EU623" s="1231"/>
      <c r="EV623" s="1232"/>
      <c r="EW623" s="1230" t="str">
        <f t="shared" si="21"/>
        <v xml:space="preserve"> </v>
      </c>
      <c r="EX623" s="1231"/>
      <c r="EY623" s="1231"/>
      <c r="EZ623" s="1231"/>
      <c r="FA623" s="1232"/>
    </row>
    <row r="624" spans="1:157" ht="12.75">
      <c r="B624" t="s">
        <v>1478</v>
      </c>
      <c r="H624" s="1213"/>
      <c r="I624" s="1213"/>
      <c r="J624" s="1213"/>
      <c r="K624" s="1213"/>
      <c r="L624" s="1213"/>
      <c r="M624" s="1213"/>
      <c r="N624" s="1213"/>
      <c r="O624" s="1213"/>
      <c r="P624" s="1213"/>
      <c r="Q624" s="1213"/>
      <c r="R624" s="1213"/>
      <c r="U624" t="s">
        <v>1478</v>
      </c>
      <c r="AA624" s="1213"/>
      <c r="AB624" s="1213"/>
      <c r="AC624" s="1213"/>
      <c r="AD624" s="1213"/>
      <c r="AE624" s="1213"/>
      <c r="AF624" s="1213"/>
      <c r="AG624" s="1213"/>
      <c r="AH624" s="1213"/>
      <c r="AI624" s="1213"/>
      <c r="AJ624" s="1213"/>
      <c r="AK624" s="1213"/>
      <c r="AZ624" s="3"/>
      <c r="BA624" s="3"/>
      <c r="BB624" s="3"/>
      <c r="BC624" s="3"/>
      <c r="BD624" s="3"/>
      <c r="BE624" s="1230">
        <f t="shared" si="0"/>
        <v>0</v>
      </c>
      <c r="BF624" s="1232"/>
      <c r="BG624" s="1230">
        <f t="shared" si="1"/>
        <v>0</v>
      </c>
      <c r="BH624" s="1232"/>
      <c r="BI624" s="1230">
        <f t="shared" si="2"/>
        <v>0</v>
      </c>
      <c r="BJ624" s="1232"/>
      <c r="BK624" s="1230">
        <f t="shared" si="3"/>
        <v>0</v>
      </c>
      <c r="BL624" s="1232"/>
      <c r="BM624" s="3"/>
      <c r="BN624" s="1279">
        <f t="shared" si="4"/>
        <v>0</v>
      </c>
      <c r="BO624" s="1280"/>
      <c r="BP624" s="1280"/>
      <c r="BQ624" s="1280"/>
      <c r="BR624" s="1281"/>
      <c r="BS624" s="1234">
        <f t="shared" si="5"/>
        <v>0</v>
      </c>
      <c r="BT624" s="1234"/>
      <c r="BU624" s="1234"/>
      <c r="BV624" s="1234"/>
      <c r="BW624" s="1234"/>
      <c r="BX624" s="1234">
        <f t="shared" si="6"/>
        <v>0</v>
      </c>
      <c r="BY624" s="1234"/>
      <c r="BZ624" s="1234"/>
      <c r="CA624" s="1234"/>
      <c r="CB624" s="1234"/>
      <c r="CC624" s="1234">
        <f t="shared" si="7"/>
        <v>0</v>
      </c>
      <c r="CD624" s="1234"/>
      <c r="CE624" s="1234"/>
      <c r="CF624" s="1234"/>
      <c r="CG624" s="1234"/>
      <c r="CH624" s="1234">
        <f t="shared" si="8"/>
        <v>0</v>
      </c>
      <c r="CI624" s="1234"/>
      <c r="CJ624" s="1234"/>
      <c r="CK624" s="1234"/>
      <c r="CL624" s="1234"/>
      <c r="CM624" s="1234">
        <f t="shared" si="9"/>
        <v>0</v>
      </c>
      <c r="CN624" s="1234"/>
      <c r="CO624" s="1234"/>
      <c r="CP624" s="1234"/>
      <c r="CQ624" s="1234"/>
      <c r="CR624" s="285"/>
      <c r="CS624" s="1542">
        <f t="shared" si="10"/>
        <v>0</v>
      </c>
      <c r="CT624" s="1542"/>
      <c r="CU624" s="1542"/>
      <c r="CV624" s="1542"/>
      <c r="CW624" s="1542"/>
      <c r="CX624" s="1542">
        <f t="shared" si="11"/>
        <v>0</v>
      </c>
      <c r="CY624" s="1542"/>
      <c r="CZ624" s="1542"/>
      <c r="DA624" s="1542"/>
      <c r="DB624" s="1542"/>
      <c r="DC624" s="1542">
        <f t="shared" si="12"/>
        <v>0</v>
      </c>
      <c r="DD624" s="1542"/>
      <c r="DE624" s="1542"/>
      <c r="DF624" s="1542"/>
      <c r="DG624" s="1542"/>
      <c r="DH624" s="1542">
        <f t="shared" si="13"/>
        <v>0</v>
      </c>
      <c r="DI624" s="1542"/>
      <c r="DJ624" s="1542"/>
      <c r="DK624" s="1542"/>
      <c r="DL624" s="1542"/>
      <c r="DM624" s="1542">
        <f t="shared" si="14"/>
        <v>0</v>
      </c>
      <c r="DN624" s="1542"/>
      <c r="DO624" s="1542"/>
      <c r="DP624" s="1542"/>
      <c r="DQ624" s="1542"/>
      <c r="DR624" s="1542">
        <f t="shared" si="15"/>
        <v>0</v>
      </c>
      <c r="DS624" s="1542"/>
      <c r="DT624" s="1542"/>
      <c r="DU624" s="1542"/>
      <c r="DV624" s="1542"/>
      <c r="DX624" s="1230" t="str">
        <f t="shared" si="16"/>
        <v xml:space="preserve"> </v>
      </c>
      <c r="DY624" s="1231"/>
      <c r="DZ624" s="1231"/>
      <c r="EA624" s="1231"/>
      <c r="EB624" s="1232"/>
      <c r="EC624" s="1230" t="str">
        <f t="shared" si="17"/>
        <v xml:space="preserve"> </v>
      </c>
      <c r="ED624" s="1231"/>
      <c r="EE624" s="1231"/>
      <c r="EF624" s="1231"/>
      <c r="EG624" s="1232"/>
      <c r="EH624" s="1230" t="str">
        <f t="shared" si="18"/>
        <v xml:space="preserve"> </v>
      </c>
      <c r="EI624" s="1231"/>
      <c r="EJ624" s="1231"/>
      <c r="EK624" s="1231"/>
      <c r="EL624" s="1232"/>
      <c r="EM624" s="1230" t="str">
        <f t="shared" si="19"/>
        <v xml:space="preserve"> </v>
      </c>
      <c r="EN624" s="1231"/>
      <c r="EO624" s="1231"/>
      <c r="EP624" s="1231"/>
      <c r="EQ624" s="1232"/>
      <c r="ER624" s="1230" t="str">
        <f t="shared" si="20"/>
        <v xml:space="preserve"> </v>
      </c>
      <c r="ES624" s="1231"/>
      <c r="ET624" s="1231"/>
      <c r="EU624" s="1231"/>
      <c r="EV624" s="1232"/>
      <c r="EW624" s="1230" t="str">
        <f t="shared" si="21"/>
        <v xml:space="preserve"> </v>
      </c>
      <c r="EX624" s="1231"/>
      <c r="EY624" s="1231"/>
      <c r="EZ624" s="1231"/>
      <c r="FA624" s="1232"/>
    </row>
    <row r="625" spans="1:157" ht="12.75">
      <c r="B625" t="s">
        <v>1482</v>
      </c>
      <c r="N625" s="1263" t="s">
        <v>929</v>
      </c>
      <c r="O625" s="1263"/>
      <c r="U625" t="s">
        <v>1482</v>
      </c>
      <c r="AG625" s="1263" t="s">
        <v>929</v>
      </c>
      <c r="AH625" s="1263"/>
      <c r="AZ625" s="3"/>
      <c r="BA625" s="3"/>
      <c r="BB625" s="3"/>
      <c r="BC625" s="3"/>
      <c r="BD625" s="3"/>
      <c r="BE625" s="1230">
        <f t="shared" si="0"/>
        <v>0</v>
      </c>
      <c r="BF625" s="1232"/>
      <c r="BG625" s="1230">
        <f t="shared" si="1"/>
        <v>0</v>
      </c>
      <c r="BH625" s="1232"/>
      <c r="BI625" s="1230">
        <f t="shared" si="2"/>
        <v>0</v>
      </c>
      <c r="BJ625" s="1232"/>
      <c r="BK625" s="1230">
        <f t="shared" si="3"/>
        <v>0</v>
      </c>
      <c r="BL625" s="1232"/>
      <c r="BM625" s="3"/>
      <c r="BN625" s="1279">
        <f t="shared" si="4"/>
        <v>0</v>
      </c>
      <c r="BO625" s="1280"/>
      <c r="BP625" s="1280"/>
      <c r="BQ625" s="1280"/>
      <c r="BR625" s="1281"/>
      <c r="BS625" s="1234">
        <f t="shared" si="5"/>
        <v>0</v>
      </c>
      <c r="BT625" s="1234"/>
      <c r="BU625" s="1234"/>
      <c r="BV625" s="1234"/>
      <c r="BW625" s="1234"/>
      <c r="BX625" s="1234">
        <f t="shared" si="6"/>
        <v>0</v>
      </c>
      <c r="BY625" s="1234"/>
      <c r="BZ625" s="1234"/>
      <c r="CA625" s="1234"/>
      <c r="CB625" s="1234"/>
      <c r="CC625" s="1234">
        <f t="shared" si="7"/>
        <v>0</v>
      </c>
      <c r="CD625" s="1234"/>
      <c r="CE625" s="1234"/>
      <c r="CF625" s="1234"/>
      <c r="CG625" s="1234"/>
      <c r="CH625" s="1234">
        <f t="shared" si="8"/>
        <v>0</v>
      </c>
      <c r="CI625" s="1234"/>
      <c r="CJ625" s="1234"/>
      <c r="CK625" s="1234"/>
      <c r="CL625" s="1234"/>
      <c r="CM625" s="1234">
        <f t="shared" si="9"/>
        <v>0</v>
      </c>
      <c r="CN625" s="1234"/>
      <c r="CO625" s="1234"/>
      <c r="CP625" s="1234"/>
      <c r="CQ625" s="1234"/>
      <c r="CR625" s="285"/>
      <c r="CS625" s="1542">
        <f t="shared" si="10"/>
        <v>0</v>
      </c>
      <c r="CT625" s="1542"/>
      <c r="CU625" s="1542"/>
      <c r="CV625" s="1542"/>
      <c r="CW625" s="1542"/>
      <c r="CX625" s="1542">
        <f t="shared" si="11"/>
        <v>0</v>
      </c>
      <c r="CY625" s="1542"/>
      <c r="CZ625" s="1542"/>
      <c r="DA625" s="1542"/>
      <c r="DB625" s="1542"/>
      <c r="DC625" s="1542">
        <f t="shared" si="12"/>
        <v>0</v>
      </c>
      <c r="DD625" s="1542"/>
      <c r="DE625" s="1542"/>
      <c r="DF625" s="1542"/>
      <c r="DG625" s="1542"/>
      <c r="DH625" s="1542">
        <f t="shared" si="13"/>
        <v>0</v>
      </c>
      <c r="DI625" s="1542"/>
      <c r="DJ625" s="1542"/>
      <c r="DK625" s="1542"/>
      <c r="DL625" s="1542"/>
      <c r="DM625" s="1542">
        <f t="shared" si="14"/>
        <v>0</v>
      </c>
      <c r="DN625" s="1542"/>
      <c r="DO625" s="1542"/>
      <c r="DP625" s="1542"/>
      <c r="DQ625" s="1542"/>
      <c r="DR625" s="1542">
        <f t="shared" si="15"/>
        <v>0</v>
      </c>
      <c r="DS625" s="1542"/>
      <c r="DT625" s="1542"/>
      <c r="DU625" s="1542"/>
      <c r="DV625" s="1542"/>
      <c r="DX625" s="1230" t="str">
        <f t="shared" si="16"/>
        <v xml:space="preserve"> </v>
      </c>
      <c r="DY625" s="1231"/>
      <c r="DZ625" s="1231"/>
      <c r="EA625" s="1231"/>
      <c r="EB625" s="1232"/>
      <c r="EC625" s="1230" t="str">
        <f t="shared" si="17"/>
        <v xml:space="preserve"> </v>
      </c>
      <c r="ED625" s="1231"/>
      <c r="EE625" s="1231"/>
      <c r="EF625" s="1231"/>
      <c r="EG625" s="1232"/>
      <c r="EH625" s="1230" t="str">
        <f t="shared" si="18"/>
        <v xml:space="preserve"> </v>
      </c>
      <c r="EI625" s="1231"/>
      <c r="EJ625" s="1231"/>
      <c r="EK625" s="1231"/>
      <c r="EL625" s="1232"/>
      <c r="EM625" s="1230" t="str">
        <f t="shared" si="19"/>
        <v xml:space="preserve"> </v>
      </c>
      <c r="EN625" s="1231"/>
      <c r="EO625" s="1231"/>
      <c r="EP625" s="1231"/>
      <c r="EQ625" s="1232"/>
      <c r="ER625" s="1230" t="str">
        <f t="shared" si="20"/>
        <v xml:space="preserve"> </v>
      </c>
      <c r="ES625" s="1231"/>
      <c r="ET625" s="1231"/>
      <c r="EU625" s="1231"/>
      <c r="EV625" s="1232"/>
      <c r="EW625" s="1230" t="str">
        <f t="shared" si="21"/>
        <v xml:space="preserve"> </v>
      </c>
      <c r="EX625" s="1231"/>
      <c r="EY625" s="1231"/>
      <c r="EZ625" s="1231"/>
      <c r="FA625" s="1232"/>
    </row>
    <row r="626" spans="1:157" ht="12.75">
      <c r="AZ626" s="3"/>
      <c r="BA626" s="3"/>
      <c r="BB626" s="3"/>
      <c r="BC626" s="3"/>
      <c r="BD626" s="3"/>
      <c r="BE626" s="1230">
        <f t="shared" si="0"/>
        <v>0</v>
      </c>
      <c r="BF626" s="1232"/>
      <c r="BG626" s="1230">
        <f t="shared" si="1"/>
        <v>0</v>
      </c>
      <c r="BH626" s="1232"/>
      <c r="BI626" s="1230">
        <f t="shared" si="2"/>
        <v>0</v>
      </c>
      <c r="BJ626" s="1232"/>
      <c r="BK626" s="1230">
        <f t="shared" si="3"/>
        <v>0</v>
      </c>
      <c r="BL626" s="1232"/>
      <c r="BM626" s="3"/>
      <c r="BN626" s="1279">
        <f t="shared" si="4"/>
        <v>0</v>
      </c>
      <c r="BO626" s="1280"/>
      <c r="BP626" s="1280"/>
      <c r="BQ626" s="1280"/>
      <c r="BR626" s="1281"/>
      <c r="BS626" s="1234">
        <f t="shared" si="5"/>
        <v>0</v>
      </c>
      <c r="BT626" s="1234"/>
      <c r="BU626" s="1234"/>
      <c r="BV626" s="1234"/>
      <c r="BW626" s="1234"/>
      <c r="BX626" s="1234">
        <f t="shared" si="6"/>
        <v>0</v>
      </c>
      <c r="BY626" s="1234"/>
      <c r="BZ626" s="1234"/>
      <c r="CA626" s="1234"/>
      <c r="CB626" s="1234"/>
      <c r="CC626" s="1234">
        <f t="shared" si="7"/>
        <v>0</v>
      </c>
      <c r="CD626" s="1234"/>
      <c r="CE626" s="1234"/>
      <c r="CF626" s="1234"/>
      <c r="CG626" s="1234"/>
      <c r="CH626" s="1234">
        <f t="shared" si="8"/>
        <v>0</v>
      </c>
      <c r="CI626" s="1234"/>
      <c r="CJ626" s="1234"/>
      <c r="CK626" s="1234"/>
      <c r="CL626" s="1234"/>
      <c r="CM626" s="1234">
        <f t="shared" si="9"/>
        <v>0</v>
      </c>
      <c r="CN626" s="1234"/>
      <c r="CO626" s="1234"/>
      <c r="CP626" s="1234"/>
      <c r="CQ626" s="1234"/>
      <c r="CR626" s="285"/>
      <c r="CS626" s="1542">
        <f t="shared" si="10"/>
        <v>0</v>
      </c>
      <c r="CT626" s="1542"/>
      <c r="CU626" s="1542"/>
      <c r="CV626" s="1542"/>
      <c r="CW626" s="1542"/>
      <c r="CX626" s="1542">
        <f t="shared" si="11"/>
        <v>0</v>
      </c>
      <c r="CY626" s="1542"/>
      <c r="CZ626" s="1542"/>
      <c r="DA626" s="1542"/>
      <c r="DB626" s="1542"/>
      <c r="DC626" s="1542">
        <f t="shared" si="12"/>
        <v>0</v>
      </c>
      <c r="DD626" s="1542"/>
      <c r="DE626" s="1542"/>
      <c r="DF626" s="1542"/>
      <c r="DG626" s="1542"/>
      <c r="DH626" s="1542">
        <f t="shared" si="13"/>
        <v>0</v>
      </c>
      <c r="DI626" s="1542"/>
      <c r="DJ626" s="1542"/>
      <c r="DK626" s="1542"/>
      <c r="DL626" s="1542"/>
      <c r="DM626" s="1542">
        <f t="shared" si="14"/>
        <v>0</v>
      </c>
      <c r="DN626" s="1542"/>
      <c r="DO626" s="1542"/>
      <c r="DP626" s="1542"/>
      <c r="DQ626" s="1542"/>
      <c r="DR626" s="1542">
        <f t="shared" si="15"/>
        <v>0</v>
      </c>
      <c r="DS626" s="1542"/>
      <c r="DT626" s="1542"/>
      <c r="DU626" s="1542"/>
      <c r="DV626" s="1542"/>
      <c r="DX626" s="1230" t="str">
        <f t="shared" si="16"/>
        <v xml:space="preserve"> </v>
      </c>
      <c r="DY626" s="1231"/>
      <c r="DZ626" s="1231"/>
      <c r="EA626" s="1231"/>
      <c r="EB626" s="1232"/>
      <c r="EC626" s="1230" t="str">
        <f t="shared" si="17"/>
        <v xml:space="preserve"> </v>
      </c>
      <c r="ED626" s="1231"/>
      <c r="EE626" s="1231"/>
      <c r="EF626" s="1231"/>
      <c r="EG626" s="1232"/>
      <c r="EH626" s="1230" t="str">
        <f t="shared" si="18"/>
        <v xml:space="preserve"> </v>
      </c>
      <c r="EI626" s="1231"/>
      <c r="EJ626" s="1231"/>
      <c r="EK626" s="1231"/>
      <c r="EL626" s="1232"/>
      <c r="EM626" s="1230" t="str">
        <f t="shared" si="19"/>
        <v xml:space="preserve"> </v>
      </c>
      <c r="EN626" s="1231"/>
      <c r="EO626" s="1231"/>
      <c r="EP626" s="1231"/>
      <c r="EQ626" s="1232"/>
      <c r="ER626" s="1230" t="str">
        <f t="shared" si="20"/>
        <v xml:space="preserve"> </v>
      </c>
      <c r="ES626" s="1231"/>
      <c r="ET626" s="1231"/>
      <c r="EU626" s="1231"/>
      <c r="EV626" s="1232"/>
      <c r="EW626" s="1230" t="str">
        <f t="shared" si="21"/>
        <v xml:space="preserve"> </v>
      </c>
      <c r="EX626" s="1231"/>
      <c r="EY626" s="1231"/>
      <c r="EZ626" s="1231"/>
      <c r="FA626" s="1232"/>
    </row>
    <row r="627" spans="1:157" ht="12.75" customHeight="1">
      <c r="A627" s="1134" t="s">
        <v>1500</v>
      </c>
      <c r="B627" s="1134"/>
      <c r="C627" s="1134"/>
      <c r="D627" s="1134"/>
      <c r="E627" s="1134"/>
      <c r="F627" s="1134"/>
      <c r="G627" s="1134"/>
      <c r="H627" s="1134"/>
      <c r="I627" s="1134"/>
      <c r="J627" s="1134"/>
      <c r="K627" s="1134"/>
      <c r="L627" s="1134"/>
      <c r="M627" s="1134"/>
      <c r="N627" s="1134"/>
      <c r="O627" s="1134"/>
      <c r="P627" s="1134"/>
      <c r="Q627" s="1134"/>
      <c r="R627" s="1134"/>
      <c r="S627" s="1134"/>
      <c r="T627" s="1134"/>
      <c r="U627" s="1134"/>
      <c r="V627" s="1134"/>
      <c r="W627" s="1134"/>
      <c r="X627" s="1134"/>
      <c r="Y627" s="1134"/>
      <c r="Z627" s="1134"/>
      <c r="AA627" s="1134"/>
      <c r="AB627" s="1134"/>
      <c r="AC627" s="1134"/>
      <c r="AD627" s="1134"/>
      <c r="AE627" s="1134"/>
      <c r="AF627" s="1134"/>
      <c r="AG627" s="1134"/>
      <c r="AH627" s="1134"/>
      <c r="AI627" s="1134"/>
      <c r="AJ627" s="1134"/>
      <c r="AK627" s="1134"/>
      <c r="AL627" s="1134"/>
      <c r="AM627" s="1134"/>
      <c r="AN627" s="1134"/>
      <c r="AO627" s="1134"/>
      <c r="AP627" s="1134"/>
      <c r="AQ627" s="1134"/>
      <c r="AR627" s="1134"/>
      <c r="AS627" s="1134"/>
      <c r="AT627" s="859"/>
      <c r="AU627" s="859"/>
      <c r="AV627" s="859"/>
      <c r="AW627" s="859"/>
      <c r="AX627" s="859"/>
      <c r="AY627" s="859"/>
      <c r="AZ627" s="3"/>
      <c r="BA627" s="3"/>
      <c r="BB627" s="3"/>
      <c r="BC627" s="3"/>
      <c r="BD627" s="3"/>
      <c r="BE627" s="1230">
        <f t="shared" si="0"/>
        <v>0</v>
      </c>
      <c r="BF627" s="1232"/>
      <c r="BG627" s="1230">
        <f t="shared" si="1"/>
        <v>0</v>
      </c>
      <c r="BH627" s="1232"/>
      <c r="BI627" s="1230">
        <f t="shared" si="2"/>
        <v>0</v>
      </c>
      <c r="BJ627" s="1232"/>
      <c r="BK627" s="1230">
        <f t="shared" si="3"/>
        <v>0</v>
      </c>
      <c r="BL627" s="1232"/>
      <c r="BM627" s="3"/>
      <c r="BN627" s="1279">
        <f t="shared" si="4"/>
        <v>0</v>
      </c>
      <c r="BO627" s="1280"/>
      <c r="BP627" s="1280"/>
      <c r="BQ627" s="1280"/>
      <c r="BR627" s="1281"/>
      <c r="BS627" s="1234">
        <f t="shared" si="5"/>
        <v>0</v>
      </c>
      <c r="BT627" s="1234"/>
      <c r="BU627" s="1234"/>
      <c r="BV627" s="1234"/>
      <c r="BW627" s="1234"/>
      <c r="BX627" s="1234">
        <f t="shared" si="6"/>
        <v>0</v>
      </c>
      <c r="BY627" s="1234"/>
      <c r="BZ627" s="1234"/>
      <c r="CA627" s="1234"/>
      <c r="CB627" s="1234"/>
      <c r="CC627" s="1234">
        <f t="shared" si="7"/>
        <v>0</v>
      </c>
      <c r="CD627" s="1234"/>
      <c r="CE627" s="1234"/>
      <c r="CF627" s="1234"/>
      <c r="CG627" s="1234"/>
      <c r="CH627" s="1234">
        <f t="shared" si="8"/>
        <v>0</v>
      </c>
      <c r="CI627" s="1234"/>
      <c r="CJ627" s="1234"/>
      <c r="CK627" s="1234"/>
      <c r="CL627" s="1234"/>
      <c r="CM627" s="1234">
        <f t="shared" si="9"/>
        <v>0</v>
      </c>
      <c r="CN627" s="1234"/>
      <c r="CO627" s="1234"/>
      <c r="CP627" s="1234"/>
      <c r="CQ627" s="1234"/>
      <c r="CR627" s="285"/>
      <c r="CS627" s="1542">
        <f t="shared" si="10"/>
        <v>0</v>
      </c>
      <c r="CT627" s="1542"/>
      <c r="CU627" s="1542"/>
      <c r="CV627" s="1542"/>
      <c r="CW627" s="1542"/>
      <c r="CX627" s="1542">
        <f t="shared" si="11"/>
        <v>0</v>
      </c>
      <c r="CY627" s="1542"/>
      <c r="CZ627" s="1542"/>
      <c r="DA627" s="1542"/>
      <c r="DB627" s="1542"/>
      <c r="DC627" s="1542">
        <f t="shared" si="12"/>
        <v>0</v>
      </c>
      <c r="DD627" s="1542"/>
      <c r="DE627" s="1542"/>
      <c r="DF627" s="1542"/>
      <c r="DG627" s="1542"/>
      <c r="DH627" s="1542">
        <f t="shared" si="13"/>
        <v>0</v>
      </c>
      <c r="DI627" s="1542"/>
      <c r="DJ627" s="1542"/>
      <c r="DK627" s="1542"/>
      <c r="DL627" s="1542"/>
      <c r="DM627" s="1542">
        <f t="shared" si="14"/>
        <v>0</v>
      </c>
      <c r="DN627" s="1542"/>
      <c r="DO627" s="1542"/>
      <c r="DP627" s="1542"/>
      <c r="DQ627" s="1542"/>
      <c r="DR627" s="1542">
        <f t="shared" si="15"/>
        <v>0</v>
      </c>
      <c r="DS627" s="1542"/>
      <c r="DT627" s="1542"/>
      <c r="DU627" s="1542"/>
      <c r="DV627" s="1542"/>
      <c r="DX627" s="1230" t="str">
        <f t="shared" si="16"/>
        <v xml:space="preserve"> </v>
      </c>
      <c r="DY627" s="1231"/>
      <c r="DZ627" s="1231"/>
      <c r="EA627" s="1231"/>
      <c r="EB627" s="1232"/>
      <c r="EC627" s="1230" t="str">
        <f t="shared" si="17"/>
        <v xml:space="preserve"> </v>
      </c>
      <c r="ED627" s="1231"/>
      <c r="EE627" s="1231"/>
      <c r="EF627" s="1231"/>
      <c r="EG627" s="1232"/>
      <c r="EH627" s="1230" t="str">
        <f t="shared" si="18"/>
        <v xml:space="preserve"> </v>
      </c>
      <c r="EI627" s="1231"/>
      <c r="EJ627" s="1231"/>
      <c r="EK627" s="1231"/>
      <c r="EL627" s="1232"/>
      <c r="EM627" s="1230" t="str">
        <f t="shared" si="19"/>
        <v xml:space="preserve"> </v>
      </c>
      <c r="EN627" s="1231"/>
      <c r="EO627" s="1231"/>
      <c r="EP627" s="1231"/>
      <c r="EQ627" s="1232"/>
      <c r="ER627" s="1230" t="str">
        <f t="shared" si="20"/>
        <v xml:space="preserve"> </v>
      </c>
      <c r="ES627" s="1231"/>
      <c r="ET627" s="1231"/>
      <c r="EU627" s="1231"/>
      <c r="EV627" s="1232"/>
      <c r="EW627" s="1230" t="str">
        <f t="shared" si="21"/>
        <v xml:space="preserve"> </v>
      </c>
      <c r="EX627" s="1231"/>
      <c r="EY627" s="1231"/>
      <c r="EZ627" s="1231"/>
      <c r="FA627" s="1232"/>
    </row>
    <row r="628" spans="1:157" ht="12.75">
      <c r="A628" s="1134"/>
      <c r="B628" s="1134"/>
      <c r="C628" s="1134"/>
      <c r="D628" s="1134"/>
      <c r="E628" s="1134"/>
      <c r="F628" s="1134"/>
      <c r="G628" s="1134"/>
      <c r="H628" s="1134"/>
      <c r="I628" s="1134"/>
      <c r="J628" s="1134"/>
      <c r="K628" s="1134"/>
      <c r="L628" s="1134"/>
      <c r="M628" s="1134"/>
      <c r="N628" s="1134"/>
      <c r="O628" s="1134"/>
      <c r="P628" s="1134"/>
      <c r="Q628" s="1134"/>
      <c r="R628" s="1134"/>
      <c r="S628" s="1134"/>
      <c r="T628" s="1134"/>
      <c r="U628" s="1134"/>
      <c r="V628" s="1134"/>
      <c r="W628" s="1134"/>
      <c r="X628" s="1134"/>
      <c r="Y628" s="1134"/>
      <c r="Z628" s="1134"/>
      <c r="AA628" s="1134"/>
      <c r="AB628" s="1134"/>
      <c r="AC628" s="1134"/>
      <c r="AD628" s="1134"/>
      <c r="AE628" s="1134"/>
      <c r="AF628" s="1134"/>
      <c r="AG628" s="1134"/>
      <c r="AH628" s="1134"/>
      <c r="AI628" s="1134"/>
      <c r="AJ628" s="1134"/>
      <c r="AK628" s="1134"/>
      <c r="AL628" s="1134"/>
      <c r="AM628" s="1134"/>
      <c r="AN628" s="1134"/>
      <c r="AO628" s="1134"/>
      <c r="AP628" s="1134"/>
      <c r="AQ628" s="1134"/>
      <c r="AR628" s="1134"/>
      <c r="AS628" s="1134"/>
      <c r="AT628" s="859"/>
      <c r="AU628" s="859"/>
      <c r="AV628" s="859"/>
      <c r="AW628" s="859"/>
      <c r="AX628" s="859"/>
      <c r="AY628" s="859"/>
      <c r="AZ628" s="3"/>
      <c r="BA628" s="3"/>
      <c r="BB628" s="3"/>
      <c r="BC628" s="3"/>
      <c r="BD628" s="3"/>
      <c r="BE628" s="1230">
        <f t="shared" si="0"/>
        <v>0</v>
      </c>
      <c r="BF628" s="1232"/>
      <c r="BG628" s="1230">
        <f t="shared" si="1"/>
        <v>0</v>
      </c>
      <c r="BH628" s="1232"/>
      <c r="BI628" s="1230">
        <f t="shared" si="2"/>
        <v>0</v>
      </c>
      <c r="BJ628" s="1232"/>
      <c r="BK628" s="1230">
        <f t="shared" si="3"/>
        <v>0</v>
      </c>
      <c r="BL628" s="1232"/>
      <c r="BM628" s="3"/>
      <c r="BN628" s="1279">
        <f t="shared" si="4"/>
        <v>0</v>
      </c>
      <c r="BO628" s="1280"/>
      <c r="BP628" s="1280"/>
      <c r="BQ628" s="1280"/>
      <c r="BR628" s="1281"/>
      <c r="BS628" s="1234">
        <f t="shared" si="5"/>
        <v>0</v>
      </c>
      <c r="BT628" s="1234"/>
      <c r="BU628" s="1234"/>
      <c r="BV628" s="1234"/>
      <c r="BW628" s="1234"/>
      <c r="BX628" s="1234">
        <f t="shared" si="6"/>
        <v>0</v>
      </c>
      <c r="BY628" s="1234"/>
      <c r="BZ628" s="1234"/>
      <c r="CA628" s="1234"/>
      <c r="CB628" s="1234"/>
      <c r="CC628" s="1234">
        <f t="shared" si="7"/>
        <v>0</v>
      </c>
      <c r="CD628" s="1234"/>
      <c r="CE628" s="1234"/>
      <c r="CF628" s="1234"/>
      <c r="CG628" s="1234"/>
      <c r="CH628" s="1234">
        <f t="shared" si="8"/>
        <v>0</v>
      </c>
      <c r="CI628" s="1234"/>
      <c r="CJ628" s="1234"/>
      <c r="CK628" s="1234"/>
      <c r="CL628" s="1234"/>
      <c r="CM628" s="1234">
        <f t="shared" si="9"/>
        <v>0</v>
      </c>
      <c r="CN628" s="1234"/>
      <c r="CO628" s="1234"/>
      <c r="CP628" s="1234"/>
      <c r="CQ628" s="1234"/>
      <c r="CR628" s="285"/>
      <c r="CS628" s="1542">
        <f t="shared" si="10"/>
        <v>0</v>
      </c>
      <c r="CT628" s="1542"/>
      <c r="CU628" s="1542"/>
      <c r="CV628" s="1542"/>
      <c r="CW628" s="1542"/>
      <c r="CX628" s="1542">
        <f t="shared" si="11"/>
        <v>0</v>
      </c>
      <c r="CY628" s="1542"/>
      <c r="CZ628" s="1542"/>
      <c r="DA628" s="1542"/>
      <c r="DB628" s="1542"/>
      <c r="DC628" s="1542">
        <f t="shared" si="12"/>
        <v>0</v>
      </c>
      <c r="DD628" s="1542"/>
      <c r="DE628" s="1542"/>
      <c r="DF628" s="1542"/>
      <c r="DG628" s="1542"/>
      <c r="DH628" s="1542">
        <f t="shared" si="13"/>
        <v>0</v>
      </c>
      <c r="DI628" s="1542"/>
      <c r="DJ628" s="1542"/>
      <c r="DK628" s="1542"/>
      <c r="DL628" s="1542"/>
      <c r="DM628" s="1542">
        <f t="shared" si="14"/>
        <v>0</v>
      </c>
      <c r="DN628" s="1542"/>
      <c r="DO628" s="1542"/>
      <c r="DP628" s="1542"/>
      <c r="DQ628" s="1542"/>
      <c r="DR628" s="1542">
        <f t="shared" si="15"/>
        <v>0</v>
      </c>
      <c r="DS628" s="1542"/>
      <c r="DT628" s="1542"/>
      <c r="DU628" s="1542"/>
      <c r="DV628" s="1542"/>
      <c r="DX628" s="1230" t="str">
        <f t="shared" si="16"/>
        <v xml:space="preserve"> </v>
      </c>
      <c r="DY628" s="1231"/>
      <c r="DZ628" s="1231"/>
      <c r="EA628" s="1231"/>
      <c r="EB628" s="1232"/>
      <c r="EC628" s="1230" t="str">
        <f t="shared" si="17"/>
        <v xml:space="preserve"> </v>
      </c>
      <c r="ED628" s="1231"/>
      <c r="EE628" s="1231"/>
      <c r="EF628" s="1231"/>
      <c r="EG628" s="1232"/>
      <c r="EH628" s="1230" t="str">
        <f t="shared" si="18"/>
        <v xml:space="preserve"> </v>
      </c>
      <c r="EI628" s="1231"/>
      <c r="EJ628" s="1231"/>
      <c r="EK628" s="1231"/>
      <c r="EL628" s="1232"/>
      <c r="EM628" s="1230" t="str">
        <f t="shared" si="19"/>
        <v xml:space="preserve"> </v>
      </c>
      <c r="EN628" s="1231"/>
      <c r="EO628" s="1231"/>
      <c r="EP628" s="1231"/>
      <c r="EQ628" s="1232"/>
      <c r="ER628" s="1230" t="str">
        <f t="shared" si="20"/>
        <v xml:space="preserve"> </v>
      </c>
      <c r="ES628" s="1231"/>
      <c r="ET628" s="1231"/>
      <c r="EU628" s="1231"/>
      <c r="EV628" s="1232"/>
      <c r="EW628" s="1230" t="str">
        <f t="shared" si="21"/>
        <v xml:space="preserve"> </v>
      </c>
      <c r="EX628" s="1231"/>
      <c r="EY628" s="1231"/>
      <c r="EZ628" s="1231"/>
      <c r="FA628" s="1232"/>
    </row>
    <row r="629" spans="1:157" ht="12.75">
      <c r="AZ629" s="3"/>
      <c r="BA629" s="3"/>
      <c r="BB629" s="3"/>
      <c r="BC629" s="3"/>
      <c r="BD629" s="3"/>
      <c r="BE629" s="1230">
        <f t="shared" si="0"/>
        <v>0</v>
      </c>
      <c r="BF629" s="1232"/>
      <c r="BG629" s="1230">
        <f t="shared" si="1"/>
        <v>0</v>
      </c>
      <c r="BH629" s="1232"/>
      <c r="BI629" s="1230">
        <f t="shared" si="2"/>
        <v>0</v>
      </c>
      <c r="BJ629" s="1232"/>
      <c r="BK629" s="1230">
        <f t="shared" si="3"/>
        <v>0</v>
      </c>
      <c r="BL629" s="1232"/>
      <c r="BM629" s="3"/>
      <c r="BN629" s="1279">
        <f t="shared" si="4"/>
        <v>0</v>
      </c>
      <c r="BO629" s="1280"/>
      <c r="BP629" s="1280"/>
      <c r="BQ629" s="1280"/>
      <c r="BR629" s="1281"/>
      <c r="BS629" s="1234">
        <f t="shared" si="5"/>
        <v>0</v>
      </c>
      <c r="BT629" s="1234"/>
      <c r="BU629" s="1234"/>
      <c r="BV629" s="1234"/>
      <c r="BW629" s="1234"/>
      <c r="BX629" s="1234">
        <f t="shared" si="6"/>
        <v>0</v>
      </c>
      <c r="BY629" s="1234"/>
      <c r="BZ629" s="1234"/>
      <c r="CA629" s="1234"/>
      <c r="CB629" s="1234"/>
      <c r="CC629" s="1234">
        <f t="shared" si="7"/>
        <v>0</v>
      </c>
      <c r="CD629" s="1234"/>
      <c r="CE629" s="1234"/>
      <c r="CF629" s="1234"/>
      <c r="CG629" s="1234"/>
      <c r="CH629" s="1234">
        <f t="shared" si="8"/>
        <v>0</v>
      </c>
      <c r="CI629" s="1234"/>
      <c r="CJ629" s="1234"/>
      <c r="CK629" s="1234"/>
      <c r="CL629" s="1234"/>
      <c r="CM629" s="1234">
        <f t="shared" si="9"/>
        <v>0</v>
      </c>
      <c r="CN629" s="1234"/>
      <c r="CO629" s="1234"/>
      <c r="CP629" s="1234"/>
      <c r="CQ629" s="1234"/>
      <c r="CR629" s="285"/>
      <c r="CS629" s="1542">
        <f t="shared" si="10"/>
        <v>0</v>
      </c>
      <c r="CT629" s="1542"/>
      <c r="CU629" s="1542"/>
      <c r="CV629" s="1542"/>
      <c r="CW629" s="1542"/>
      <c r="CX629" s="1542">
        <f t="shared" si="11"/>
        <v>0</v>
      </c>
      <c r="CY629" s="1542"/>
      <c r="CZ629" s="1542"/>
      <c r="DA629" s="1542"/>
      <c r="DB629" s="1542"/>
      <c r="DC629" s="1542">
        <f t="shared" si="12"/>
        <v>0</v>
      </c>
      <c r="DD629" s="1542"/>
      <c r="DE629" s="1542"/>
      <c r="DF629" s="1542"/>
      <c r="DG629" s="1542"/>
      <c r="DH629" s="1542">
        <f t="shared" si="13"/>
        <v>0</v>
      </c>
      <c r="DI629" s="1542"/>
      <c r="DJ629" s="1542"/>
      <c r="DK629" s="1542"/>
      <c r="DL629" s="1542"/>
      <c r="DM629" s="1542">
        <f t="shared" si="14"/>
        <v>0</v>
      </c>
      <c r="DN629" s="1542"/>
      <c r="DO629" s="1542"/>
      <c r="DP629" s="1542"/>
      <c r="DQ629" s="1542"/>
      <c r="DR629" s="1542">
        <f t="shared" si="15"/>
        <v>0</v>
      </c>
      <c r="DS629" s="1542"/>
      <c r="DT629" s="1542"/>
      <c r="DU629" s="1542"/>
      <c r="DV629" s="1542"/>
      <c r="DX629" s="1230" t="str">
        <f t="shared" si="16"/>
        <v xml:space="preserve"> </v>
      </c>
      <c r="DY629" s="1231"/>
      <c r="DZ629" s="1231"/>
      <c r="EA629" s="1231"/>
      <c r="EB629" s="1232"/>
      <c r="EC629" s="1230" t="str">
        <f t="shared" si="17"/>
        <v xml:space="preserve"> </v>
      </c>
      <c r="ED629" s="1231"/>
      <c r="EE629" s="1231"/>
      <c r="EF629" s="1231"/>
      <c r="EG629" s="1232"/>
      <c r="EH629" s="1230" t="str">
        <f t="shared" si="18"/>
        <v xml:space="preserve"> </v>
      </c>
      <c r="EI629" s="1231"/>
      <c r="EJ629" s="1231"/>
      <c r="EK629" s="1231"/>
      <c r="EL629" s="1232"/>
      <c r="EM629" s="1230" t="str">
        <f t="shared" si="19"/>
        <v xml:space="preserve"> </v>
      </c>
      <c r="EN629" s="1231"/>
      <c r="EO629" s="1231"/>
      <c r="EP629" s="1231"/>
      <c r="EQ629" s="1232"/>
      <c r="ER629" s="1230" t="str">
        <f t="shared" si="20"/>
        <v xml:space="preserve"> </v>
      </c>
      <c r="ES629" s="1231"/>
      <c r="ET629" s="1231"/>
      <c r="EU629" s="1231"/>
      <c r="EV629" s="1232"/>
      <c r="EW629" s="1230" t="str">
        <f t="shared" si="21"/>
        <v xml:space="preserve"> </v>
      </c>
      <c r="EX629" s="1231"/>
      <c r="EY629" s="1231"/>
      <c r="EZ629" s="1231"/>
      <c r="FA629" s="1232"/>
    </row>
    <row r="630" spans="1:157" ht="12.75">
      <c r="A630" s="2" t="s">
        <v>956</v>
      </c>
      <c r="B630" s="2"/>
      <c r="C630" s="2" t="s">
        <v>174</v>
      </c>
      <c r="AZ630" s="3"/>
      <c r="BA630" s="3"/>
      <c r="BB630" s="3"/>
      <c r="BC630" s="3"/>
      <c r="BD630" s="3"/>
      <c r="BE630" s="1230">
        <f t="shared" si="0"/>
        <v>0</v>
      </c>
      <c r="BF630" s="1232"/>
      <c r="BG630" s="1230">
        <f t="shared" si="1"/>
        <v>0</v>
      </c>
      <c r="BH630" s="1232"/>
      <c r="BI630" s="1230">
        <f t="shared" si="2"/>
        <v>0</v>
      </c>
      <c r="BJ630" s="1232"/>
      <c r="BK630" s="1230">
        <f t="shared" si="3"/>
        <v>0</v>
      </c>
      <c r="BL630" s="1232"/>
      <c r="BM630" s="3"/>
      <c r="BN630" s="1279">
        <f t="shared" si="4"/>
        <v>0</v>
      </c>
      <c r="BO630" s="1280"/>
      <c r="BP630" s="1280"/>
      <c r="BQ630" s="1280"/>
      <c r="BR630" s="1281"/>
      <c r="BS630" s="1234">
        <f t="shared" si="5"/>
        <v>0</v>
      </c>
      <c r="BT630" s="1234"/>
      <c r="BU630" s="1234"/>
      <c r="BV630" s="1234"/>
      <c r="BW630" s="1234"/>
      <c r="BX630" s="1234">
        <f t="shared" si="6"/>
        <v>0</v>
      </c>
      <c r="BY630" s="1234"/>
      <c r="BZ630" s="1234"/>
      <c r="CA630" s="1234"/>
      <c r="CB630" s="1234"/>
      <c r="CC630" s="1234">
        <f t="shared" si="7"/>
        <v>0</v>
      </c>
      <c r="CD630" s="1234"/>
      <c r="CE630" s="1234"/>
      <c r="CF630" s="1234"/>
      <c r="CG630" s="1234"/>
      <c r="CH630" s="1234">
        <f t="shared" si="8"/>
        <v>0</v>
      </c>
      <c r="CI630" s="1234"/>
      <c r="CJ630" s="1234"/>
      <c r="CK630" s="1234"/>
      <c r="CL630" s="1234"/>
      <c r="CM630" s="1234">
        <f t="shared" si="9"/>
        <v>0</v>
      </c>
      <c r="CN630" s="1234"/>
      <c r="CO630" s="1234"/>
      <c r="CP630" s="1234"/>
      <c r="CQ630" s="1234"/>
      <c r="CR630" s="285"/>
      <c r="CS630" s="1542">
        <f t="shared" si="10"/>
        <v>0</v>
      </c>
      <c r="CT630" s="1542"/>
      <c r="CU630" s="1542"/>
      <c r="CV630" s="1542"/>
      <c r="CW630" s="1542"/>
      <c r="CX630" s="1542">
        <f t="shared" si="11"/>
        <v>0</v>
      </c>
      <c r="CY630" s="1542"/>
      <c r="CZ630" s="1542"/>
      <c r="DA630" s="1542"/>
      <c r="DB630" s="1542"/>
      <c r="DC630" s="1542">
        <f t="shared" si="12"/>
        <v>0</v>
      </c>
      <c r="DD630" s="1542"/>
      <c r="DE630" s="1542"/>
      <c r="DF630" s="1542"/>
      <c r="DG630" s="1542"/>
      <c r="DH630" s="1542">
        <f t="shared" si="13"/>
        <v>0</v>
      </c>
      <c r="DI630" s="1542"/>
      <c r="DJ630" s="1542"/>
      <c r="DK630" s="1542"/>
      <c r="DL630" s="1542"/>
      <c r="DM630" s="1542">
        <f t="shared" si="14"/>
        <v>0</v>
      </c>
      <c r="DN630" s="1542"/>
      <c r="DO630" s="1542"/>
      <c r="DP630" s="1542"/>
      <c r="DQ630" s="1542"/>
      <c r="DR630" s="1542">
        <f t="shared" si="15"/>
        <v>0</v>
      </c>
      <c r="DS630" s="1542"/>
      <c r="DT630" s="1542"/>
      <c r="DU630" s="1542"/>
      <c r="DV630" s="1542"/>
      <c r="DX630" s="1230" t="str">
        <f t="shared" si="16"/>
        <v xml:space="preserve"> </v>
      </c>
      <c r="DY630" s="1231"/>
      <c r="DZ630" s="1231"/>
      <c r="EA630" s="1231"/>
      <c r="EB630" s="1232"/>
      <c r="EC630" s="1230" t="str">
        <f t="shared" si="17"/>
        <v xml:space="preserve"> </v>
      </c>
      <c r="ED630" s="1231"/>
      <c r="EE630" s="1231"/>
      <c r="EF630" s="1231"/>
      <c r="EG630" s="1232"/>
      <c r="EH630" s="1230" t="str">
        <f t="shared" si="18"/>
        <v xml:space="preserve"> </v>
      </c>
      <c r="EI630" s="1231"/>
      <c r="EJ630" s="1231"/>
      <c r="EK630" s="1231"/>
      <c r="EL630" s="1232"/>
      <c r="EM630" s="1230" t="str">
        <f t="shared" si="19"/>
        <v xml:space="preserve"> </v>
      </c>
      <c r="EN630" s="1231"/>
      <c r="EO630" s="1231"/>
      <c r="EP630" s="1231"/>
      <c r="EQ630" s="1232"/>
      <c r="ER630" s="1230" t="str">
        <f t="shared" si="20"/>
        <v xml:space="preserve"> </v>
      </c>
      <c r="ES630" s="1231"/>
      <c r="ET630" s="1231"/>
      <c r="EU630" s="1231"/>
      <c r="EV630" s="1232"/>
      <c r="EW630" s="1230" t="str">
        <f t="shared" si="21"/>
        <v xml:space="preserve"> </v>
      </c>
      <c r="EX630" s="1231"/>
      <c r="EY630" s="1231"/>
      <c r="EZ630" s="1231"/>
      <c r="FA630" s="1232"/>
    </row>
    <row r="631" spans="1:157" ht="12.75">
      <c r="A631" s="2"/>
      <c r="B631" s="2"/>
      <c r="C631" s="2"/>
      <c r="AZ631" s="3"/>
      <c r="BA631" s="3"/>
      <c r="BB631" s="3"/>
      <c r="BC631" s="3"/>
      <c r="BD631" s="3"/>
      <c r="BE631" s="1230">
        <f t="shared" si="0"/>
        <v>0</v>
      </c>
      <c r="BF631" s="1232"/>
      <c r="BG631" s="1230">
        <f t="shared" si="1"/>
        <v>0</v>
      </c>
      <c r="BH631" s="1232"/>
      <c r="BI631" s="1230">
        <f t="shared" si="2"/>
        <v>0</v>
      </c>
      <c r="BJ631" s="1232"/>
      <c r="BK631" s="1230">
        <f t="shared" si="3"/>
        <v>0</v>
      </c>
      <c r="BL631" s="1232"/>
      <c r="BM631" s="3"/>
      <c r="BN631" s="1279">
        <f t="shared" si="4"/>
        <v>0</v>
      </c>
      <c r="BO631" s="1280"/>
      <c r="BP631" s="1280"/>
      <c r="BQ631" s="1280"/>
      <c r="BR631" s="1281"/>
      <c r="BS631" s="1234">
        <f t="shared" si="5"/>
        <v>0</v>
      </c>
      <c r="BT631" s="1234"/>
      <c r="BU631" s="1234"/>
      <c r="BV631" s="1234"/>
      <c r="BW631" s="1234"/>
      <c r="BX631" s="1234">
        <f t="shared" si="6"/>
        <v>0</v>
      </c>
      <c r="BY631" s="1234"/>
      <c r="BZ631" s="1234"/>
      <c r="CA631" s="1234"/>
      <c r="CB631" s="1234"/>
      <c r="CC631" s="1234">
        <f t="shared" si="7"/>
        <v>0</v>
      </c>
      <c r="CD631" s="1234"/>
      <c r="CE631" s="1234"/>
      <c r="CF631" s="1234"/>
      <c r="CG631" s="1234"/>
      <c r="CH631" s="1234">
        <f t="shared" si="8"/>
        <v>0</v>
      </c>
      <c r="CI631" s="1234"/>
      <c r="CJ631" s="1234"/>
      <c r="CK631" s="1234"/>
      <c r="CL631" s="1234"/>
      <c r="CM631" s="1234">
        <f t="shared" si="9"/>
        <v>0</v>
      </c>
      <c r="CN631" s="1234"/>
      <c r="CO631" s="1234"/>
      <c r="CP631" s="1234"/>
      <c r="CQ631" s="1234"/>
      <c r="CR631" s="285"/>
      <c r="CS631" s="1542">
        <f t="shared" si="10"/>
        <v>0</v>
      </c>
      <c r="CT631" s="1542"/>
      <c r="CU631" s="1542"/>
      <c r="CV631" s="1542"/>
      <c r="CW631" s="1542"/>
      <c r="CX631" s="1542">
        <f t="shared" si="11"/>
        <v>0</v>
      </c>
      <c r="CY631" s="1542"/>
      <c r="CZ631" s="1542"/>
      <c r="DA631" s="1542"/>
      <c r="DB631" s="1542"/>
      <c r="DC631" s="1542">
        <f t="shared" si="12"/>
        <v>0</v>
      </c>
      <c r="DD631" s="1542"/>
      <c r="DE631" s="1542"/>
      <c r="DF631" s="1542"/>
      <c r="DG631" s="1542"/>
      <c r="DH631" s="1542">
        <f t="shared" si="13"/>
        <v>0</v>
      </c>
      <c r="DI631" s="1542"/>
      <c r="DJ631" s="1542"/>
      <c r="DK631" s="1542"/>
      <c r="DL631" s="1542"/>
      <c r="DM631" s="1542">
        <f t="shared" si="14"/>
        <v>0</v>
      </c>
      <c r="DN631" s="1542"/>
      <c r="DO631" s="1542"/>
      <c r="DP631" s="1542"/>
      <c r="DQ631" s="1542"/>
      <c r="DR631" s="1542">
        <f t="shared" si="15"/>
        <v>0</v>
      </c>
      <c r="DS631" s="1542"/>
      <c r="DT631" s="1542"/>
      <c r="DU631" s="1542"/>
      <c r="DV631" s="1542"/>
      <c r="DX631" s="1230" t="str">
        <f t="shared" si="16"/>
        <v xml:space="preserve"> </v>
      </c>
      <c r="DY631" s="1231"/>
      <c r="DZ631" s="1231"/>
      <c r="EA631" s="1231"/>
      <c r="EB631" s="1232"/>
      <c r="EC631" s="1230" t="str">
        <f t="shared" si="17"/>
        <v xml:space="preserve"> </v>
      </c>
      <c r="ED631" s="1231"/>
      <c r="EE631" s="1231"/>
      <c r="EF631" s="1231"/>
      <c r="EG631" s="1232"/>
      <c r="EH631" s="1230" t="str">
        <f t="shared" si="18"/>
        <v xml:space="preserve"> </v>
      </c>
      <c r="EI631" s="1231"/>
      <c r="EJ631" s="1231"/>
      <c r="EK631" s="1231"/>
      <c r="EL631" s="1232"/>
      <c r="EM631" s="1230" t="str">
        <f t="shared" si="19"/>
        <v xml:space="preserve"> </v>
      </c>
      <c r="EN631" s="1231"/>
      <c r="EO631" s="1231"/>
      <c r="EP631" s="1231"/>
      <c r="EQ631" s="1232"/>
      <c r="ER631" s="1230" t="str">
        <f t="shared" si="20"/>
        <v xml:space="preserve"> </v>
      </c>
      <c r="ES631" s="1231"/>
      <c r="ET631" s="1231"/>
      <c r="EU631" s="1231"/>
      <c r="EV631" s="1232"/>
      <c r="EW631" s="1230" t="str">
        <f t="shared" si="21"/>
        <v xml:space="preserve"> </v>
      </c>
      <c r="EX631" s="1231"/>
      <c r="EY631" s="1231"/>
      <c r="EZ631" s="1231"/>
      <c r="FA631" s="1232"/>
    </row>
    <row r="632" spans="1:157" ht="12.75">
      <c r="C632" s="2" t="s">
        <v>1446</v>
      </c>
      <c r="AZ632" s="3"/>
      <c r="BA632" s="3"/>
      <c r="BB632" s="3"/>
      <c r="BC632" s="3"/>
      <c r="BD632" s="3"/>
      <c r="BE632" s="1230">
        <f t="shared" si="0"/>
        <v>0</v>
      </c>
      <c r="BF632" s="1232"/>
      <c r="BG632" s="1230">
        <f t="shared" si="1"/>
        <v>0</v>
      </c>
      <c r="BH632" s="1232"/>
      <c r="BI632" s="1230">
        <f t="shared" si="2"/>
        <v>0</v>
      </c>
      <c r="BJ632" s="1232"/>
      <c r="BK632" s="1230">
        <f t="shared" si="3"/>
        <v>0</v>
      </c>
      <c r="BL632" s="1232"/>
      <c r="BM632" s="3"/>
      <c r="BN632" s="1279">
        <f t="shared" si="4"/>
        <v>0</v>
      </c>
      <c r="BO632" s="1280"/>
      <c r="BP632" s="1280"/>
      <c r="BQ632" s="1280"/>
      <c r="BR632" s="1281"/>
      <c r="BS632" s="1234">
        <f t="shared" si="5"/>
        <v>0</v>
      </c>
      <c r="BT632" s="1234"/>
      <c r="BU632" s="1234"/>
      <c r="BV632" s="1234"/>
      <c r="BW632" s="1234"/>
      <c r="BX632" s="1234">
        <f t="shared" si="6"/>
        <v>0</v>
      </c>
      <c r="BY632" s="1234"/>
      <c r="BZ632" s="1234"/>
      <c r="CA632" s="1234"/>
      <c r="CB632" s="1234"/>
      <c r="CC632" s="1234">
        <f t="shared" si="7"/>
        <v>0</v>
      </c>
      <c r="CD632" s="1234"/>
      <c r="CE632" s="1234"/>
      <c r="CF632" s="1234"/>
      <c r="CG632" s="1234"/>
      <c r="CH632" s="1234">
        <f t="shared" si="8"/>
        <v>0</v>
      </c>
      <c r="CI632" s="1234"/>
      <c r="CJ632" s="1234"/>
      <c r="CK632" s="1234"/>
      <c r="CL632" s="1234"/>
      <c r="CM632" s="1234">
        <f t="shared" si="9"/>
        <v>0</v>
      </c>
      <c r="CN632" s="1234"/>
      <c r="CO632" s="1234"/>
      <c r="CP632" s="1234"/>
      <c r="CQ632" s="1234"/>
      <c r="CR632" s="285"/>
      <c r="CS632" s="1542">
        <f t="shared" si="10"/>
        <v>0</v>
      </c>
      <c r="CT632" s="1542"/>
      <c r="CU632" s="1542"/>
      <c r="CV632" s="1542"/>
      <c r="CW632" s="1542"/>
      <c r="CX632" s="1542">
        <f t="shared" si="11"/>
        <v>0</v>
      </c>
      <c r="CY632" s="1542"/>
      <c r="CZ632" s="1542"/>
      <c r="DA632" s="1542"/>
      <c r="DB632" s="1542"/>
      <c r="DC632" s="1542">
        <f t="shared" si="12"/>
        <v>0</v>
      </c>
      <c r="DD632" s="1542"/>
      <c r="DE632" s="1542"/>
      <c r="DF632" s="1542"/>
      <c r="DG632" s="1542"/>
      <c r="DH632" s="1542">
        <f t="shared" si="13"/>
        <v>0</v>
      </c>
      <c r="DI632" s="1542"/>
      <c r="DJ632" s="1542"/>
      <c r="DK632" s="1542"/>
      <c r="DL632" s="1542"/>
      <c r="DM632" s="1542">
        <f t="shared" si="14"/>
        <v>0</v>
      </c>
      <c r="DN632" s="1542"/>
      <c r="DO632" s="1542"/>
      <c r="DP632" s="1542"/>
      <c r="DQ632" s="1542"/>
      <c r="DR632" s="1542">
        <f t="shared" si="15"/>
        <v>0</v>
      </c>
      <c r="DS632" s="1542"/>
      <c r="DT632" s="1542"/>
      <c r="DU632" s="1542"/>
      <c r="DV632" s="1542"/>
      <c r="DX632" s="1230" t="str">
        <f t="shared" si="16"/>
        <v xml:space="preserve"> </v>
      </c>
      <c r="DY632" s="1231"/>
      <c r="DZ632" s="1231"/>
      <c r="EA632" s="1231"/>
      <c r="EB632" s="1232"/>
      <c r="EC632" s="1230" t="str">
        <f t="shared" si="17"/>
        <v xml:space="preserve"> </v>
      </c>
      <c r="ED632" s="1231"/>
      <c r="EE632" s="1231"/>
      <c r="EF632" s="1231"/>
      <c r="EG632" s="1232"/>
      <c r="EH632" s="1230" t="str">
        <f t="shared" si="18"/>
        <v xml:space="preserve"> </v>
      </c>
      <c r="EI632" s="1231"/>
      <c r="EJ632" s="1231"/>
      <c r="EK632" s="1231"/>
      <c r="EL632" s="1232"/>
      <c r="EM632" s="1230" t="str">
        <f t="shared" si="19"/>
        <v xml:space="preserve"> </v>
      </c>
      <c r="EN632" s="1231"/>
      <c r="EO632" s="1231"/>
      <c r="EP632" s="1231"/>
      <c r="EQ632" s="1232"/>
      <c r="ER632" s="1230" t="str">
        <f t="shared" si="20"/>
        <v xml:space="preserve"> </v>
      </c>
      <c r="ES632" s="1231"/>
      <c r="ET632" s="1231"/>
      <c r="EU632" s="1231"/>
      <c r="EV632" s="1232"/>
      <c r="EW632" s="1230" t="str">
        <f t="shared" si="21"/>
        <v xml:space="preserve"> </v>
      </c>
      <c r="EX632" s="1231"/>
      <c r="EY632" s="1231"/>
      <c r="EZ632" s="1231"/>
      <c r="FA632" s="1232"/>
    </row>
    <row r="633" spans="1:157" ht="12.75">
      <c r="B633" s="445"/>
      <c r="C633" s="2"/>
      <c r="AZ633" s="3"/>
      <c r="BA633" s="3"/>
      <c r="BB633" s="3"/>
      <c r="BC633" s="3"/>
      <c r="BD633" s="3"/>
      <c r="BE633" s="1230">
        <f t="shared" si="0"/>
        <v>0</v>
      </c>
      <c r="BF633" s="1232"/>
      <c r="BG633" s="1230">
        <f t="shared" si="1"/>
        <v>0</v>
      </c>
      <c r="BH633" s="1232"/>
      <c r="BI633" s="1230">
        <f t="shared" si="2"/>
        <v>0</v>
      </c>
      <c r="BJ633" s="1232"/>
      <c r="BK633" s="1230">
        <f t="shared" si="3"/>
        <v>0</v>
      </c>
      <c r="BL633" s="1232"/>
      <c r="BM633" s="3"/>
      <c r="BN633" s="1279">
        <f t="shared" si="4"/>
        <v>0</v>
      </c>
      <c r="BO633" s="1280"/>
      <c r="BP633" s="1280"/>
      <c r="BQ633" s="1280"/>
      <c r="BR633" s="1281"/>
      <c r="BS633" s="1234">
        <f t="shared" si="5"/>
        <v>0</v>
      </c>
      <c r="BT633" s="1234"/>
      <c r="BU633" s="1234"/>
      <c r="BV633" s="1234"/>
      <c r="BW633" s="1234"/>
      <c r="BX633" s="1234">
        <f t="shared" si="6"/>
        <v>0</v>
      </c>
      <c r="BY633" s="1234"/>
      <c r="BZ633" s="1234"/>
      <c r="CA633" s="1234"/>
      <c r="CB633" s="1234"/>
      <c r="CC633" s="1234">
        <f t="shared" si="7"/>
        <v>0</v>
      </c>
      <c r="CD633" s="1234"/>
      <c r="CE633" s="1234"/>
      <c r="CF633" s="1234"/>
      <c r="CG633" s="1234"/>
      <c r="CH633" s="1234">
        <f t="shared" si="8"/>
        <v>0</v>
      </c>
      <c r="CI633" s="1234"/>
      <c r="CJ633" s="1234"/>
      <c r="CK633" s="1234"/>
      <c r="CL633" s="1234"/>
      <c r="CM633" s="1234">
        <f t="shared" si="9"/>
        <v>0</v>
      </c>
      <c r="CN633" s="1234"/>
      <c r="CO633" s="1234"/>
      <c r="CP633" s="1234"/>
      <c r="CQ633" s="1234"/>
      <c r="CR633" s="285"/>
      <c r="CS633" s="1542">
        <f t="shared" si="10"/>
        <v>0</v>
      </c>
      <c r="CT633" s="1542"/>
      <c r="CU633" s="1542"/>
      <c r="CV633" s="1542"/>
      <c r="CW633" s="1542"/>
      <c r="CX633" s="1542">
        <f t="shared" si="11"/>
        <v>0</v>
      </c>
      <c r="CY633" s="1542"/>
      <c r="CZ633" s="1542"/>
      <c r="DA633" s="1542"/>
      <c r="DB633" s="1542"/>
      <c r="DC633" s="1542">
        <f t="shared" si="12"/>
        <v>0</v>
      </c>
      <c r="DD633" s="1542"/>
      <c r="DE633" s="1542"/>
      <c r="DF633" s="1542"/>
      <c r="DG633" s="1542"/>
      <c r="DH633" s="1542">
        <f t="shared" si="13"/>
        <v>0</v>
      </c>
      <c r="DI633" s="1542"/>
      <c r="DJ633" s="1542"/>
      <c r="DK633" s="1542"/>
      <c r="DL633" s="1542"/>
      <c r="DM633" s="1542">
        <f t="shared" si="14"/>
        <v>0</v>
      </c>
      <c r="DN633" s="1542"/>
      <c r="DO633" s="1542"/>
      <c r="DP633" s="1542"/>
      <c r="DQ633" s="1542"/>
      <c r="DR633" s="1542">
        <f t="shared" si="15"/>
        <v>0</v>
      </c>
      <c r="DS633" s="1542"/>
      <c r="DT633" s="1542"/>
      <c r="DU633" s="1542"/>
      <c r="DV633" s="1542"/>
      <c r="DX633" s="1230" t="str">
        <f t="shared" si="16"/>
        <v xml:space="preserve"> </v>
      </c>
      <c r="DY633" s="1231"/>
      <c r="DZ633" s="1231"/>
      <c r="EA633" s="1231"/>
      <c r="EB633" s="1232"/>
      <c r="EC633" s="1230" t="str">
        <f t="shared" si="17"/>
        <v xml:space="preserve"> </v>
      </c>
      <c r="ED633" s="1231"/>
      <c r="EE633" s="1231"/>
      <c r="EF633" s="1231"/>
      <c r="EG633" s="1232"/>
      <c r="EH633" s="1230" t="str">
        <f t="shared" si="18"/>
        <v xml:space="preserve"> </v>
      </c>
      <c r="EI633" s="1231"/>
      <c r="EJ633" s="1231"/>
      <c r="EK633" s="1231"/>
      <c r="EL633" s="1232"/>
      <c r="EM633" s="1230" t="str">
        <f t="shared" si="19"/>
        <v xml:space="preserve"> </v>
      </c>
      <c r="EN633" s="1231"/>
      <c r="EO633" s="1231"/>
      <c r="EP633" s="1231"/>
      <c r="EQ633" s="1232"/>
      <c r="ER633" s="1230" t="str">
        <f t="shared" si="20"/>
        <v xml:space="preserve"> </v>
      </c>
      <c r="ES633" s="1231"/>
      <c r="ET633" s="1231"/>
      <c r="EU633" s="1231"/>
      <c r="EV633" s="1232"/>
      <c r="EW633" s="1230" t="str">
        <f t="shared" si="21"/>
        <v xml:space="preserve"> </v>
      </c>
      <c r="EX633" s="1231"/>
      <c r="EY633" s="1231"/>
      <c r="EZ633" s="1231"/>
      <c r="FA633" s="1232"/>
    </row>
    <row r="634" spans="1:157" ht="12.75" customHeight="1">
      <c r="B634" s="1643" t="s">
        <v>1447</v>
      </c>
      <c r="C634" s="1644"/>
      <c r="D634" s="1644"/>
      <c r="E634" s="1644"/>
      <c r="F634" s="1644"/>
      <c r="G634" s="1644"/>
      <c r="H634" s="1644"/>
      <c r="I634" s="1644"/>
      <c r="J634" s="1644"/>
      <c r="K634" s="1644"/>
      <c r="L634" s="1644"/>
      <c r="M634" s="1644"/>
      <c r="N634" s="1645"/>
      <c r="O634" s="1441" t="s">
        <v>1448</v>
      </c>
      <c r="P634" s="1369"/>
      <c r="Q634" s="1370"/>
      <c r="R634" s="1441" t="s">
        <v>1449</v>
      </c>
      <c r="S634" s="1369"/>
      <c r="T634" s="1370"/>
      <c r="U634" s="1698" t="s">
        <v>1450</v>
      </c>
      <c r="V634" s="1698"/>
      <c r="W634" s="1699"/>
      <c r="X634" s="1441" t="s">
        <v>1501</v>
      </c>
      <c r="Y634" s="1369"/>
      <c r="Z634" s="1369"/>
      <c r="AA634" s="1369"/>
      <c r="AB634" s="1370"/>
      <c r="AC634" s="1578" t="s">
        <v>1452</v>
      </c>
      <c r="AD634" s="1579"/>
      <c r="AE634" s="1580"/>
      <c r="AF634" s="1441" t="s">
        <v>1502</v>
      </c>
      <c r="AG634" s="1369"/>
      <c r="AH634" s="1369"/>
      <c r="AI634" s="1369"/>
      <c r="AJ634" s="1370"/>
      <c r="AK634" s="1568" t="s">
        <v>1503</v>
      </c>
      <c r="AL634" s="1569"/>
      <c r="AM634" s="1569"/>
      <c r="AN634" s="1570"/>
      <c r="AO634" s="1538" t="s">
        <v>1454</v>
      </c>
      <c r="AP634" s="1538"/>
      <c r="AQ634" s="1538"/>
      <c r="AR634" s="1538"/>
      <c r="AS634" s="1538"/>
      <c r="AZ634" s="3"/>
      <c r="BA634" s="3"/>
      <c r="BB634" s="3"/>
      <c r="BC634" s="3"/>
      <c r="BD634" s="3"/>
      <c r="BE634" s="1230">
        <f t="shared" si="0"/>
        <v>0</v>
      </c>
      <c r="BF634" s="1232"/>
      <c r="BG634" s="1230">
        <f t="shared" si="1"/>
        <v>0</v>
      </c>
      <c r="BH634" s="1232"/>
      <c r="BI634" s="1230">
        <f t="shared" si="2"/>
        <v>0</v>
      </c>
      <c r="BJ634" s="1232"/>
      <c r="BK634" s="1230">
        <f t="shared" si="3"/>
        <v>0</v>
      </c>
      <c r="BL634" s="1232"/>
      <c r="BM634" s="3"/>
      <c r="BN634" s="1279">
        <f t="shared" si="4"/>
        <v>0</v>
      </c>
      <c r="BO634" s="1280"/>
      <c r="BP634" s="1280"/>
      <c r="BQ634" s="1280"/>
      <c r="BR634" s="1281"/>
      <c r="BS634" s="1234">
        <f t="shared" si="5"/>
        <v>0</v>
      </c>
      <c r="BT634" s="1234"/>
      <c r="BU634" s="1234"/>
      <c r="BV634" s="1234"/>
      <c r="BW634" s="1234"/>
      <c r="BX634" s="1234">
        <f t="shared" si="6"/>
        <v>0</v>
      </c>
      <c r="BY634" s="1234"/>
      <c r="BZ634" s="1234"/>
      <c r="CA634" s="1234"/>
      <c r="CB634" s="1234"/>
      <c r="CC634" s="1234">
        <f t="shared" si="7"/>
        <v>0</v>
      </c>
      <c r="CD634" s="1234"/>
      <c r="CE634" s="1234"/>
      <c r="CF634" s="1234"/>
      <c r="CG634" s="1234"/>
      <c r="CH634" s="1234">
        <f t="shared" si="8"/>
        <v>0</v>
      </c>
      <c r="CI634" s="1234"/>
      <c r="CJ634" s="1234"/>
      <c r="CK634" s="1234"/>
      <c r="CL634" s="1234"/>
      <c r="CM634" s="1234">
        <f t="shared" si="9"/>
        <v>0</v>
      </c>
      <c r="CN634" s="1234"/>
      <c r="CO634" s="1234"/>
      <c r="CP634" s="1234"/>
      <c r="CQ634" s="1234"/>
      <c r="CR634" s="285"/>
      <c r="CS634" s="1542">
        <f t="shared" si="10"/>
        <v>0</v>
      </c>
      <c r="CT634" s="1542"/>
      <c r="CU634" s="1542"/>
      <c r="CV634" s="1542"/>
      <c r="CW634" s="1542"/>
      <c r="CX634" s="1542">
        <f t="shared" si="11"/>
        <v>0</v>
      </c>
      <c r="CY634" s="1542"/>
      <c r="CZ634" s="1542"/>
      <c r="DA634" s="1542"/>
      <c r="DB634" s="1542"/>
      <c r="DC634" s="1542">
        <f t="shared" si="12"/>
        <v>0</v>
      </c>
      <c r="DD634" s="1542"/>
      <c r="DE634" s="1542"/>
      <c r="DF634" s="1542"/>
      <c r="DG634" s="1542"/>
      <c r="DH634" s="1542">
        <f t="shared" si="13"/>
        <v>0</v>
      </c>
      <c r="DI634" s="1542"/>
      <c r="DJ634" s="1542"/>
      <c r="DK634" s="1542"/>
      <c r="DL634" s="1542"/>
      <c r="DM634" s="1542">
        <f t="shared" si="14"/>
        <v>0</v>
      </c>
      <c r="DN634" s="1542"/>
      <c r="DO634" s="1542"/>
      <c r="DP634" s="1542"/>
      <c r="DQ634" s="1542"/>
      <c r="DR634" s="1542">
        <f t="shared" si="15"/>
        <v>0</v>
      </c>
      <c r="DS634" s="1542"/>
      <c r="DT634" s="1542"/>
      <c r="DU634" s="1542"/>
      <c r="DV634" s="1542"/>
      <c r="DX634" s="1230" t="str">
        <f t="shared" si="16"/>
        <v xml:space="preserve"> </v>
      </c>
      <c r="DY634" s="1231"/>
      <c r="DZ634" s="1231"/>
      <c r="EA634" s="1231"/>
      <c r="EB634" s="1232"/>
      <c r="EC634" s="1230" t="str">
        <f t="shared" si="17"/>
        <v xml:space="preserve"> </v>
      </c>
      <c r="ED634" s="1231"/>
      <c r="EE634" s="1231"/>
      <c r="EF634" s="1231"/>
      <c r="EG634" s="1232"/>
      <c r="EH634" s="1230" t="str">
        <f t="shared" si="18"/>
        <v xml:space="preserve"> </v>
      </c>
      <c r="EI634" s="1231"/>
      <c r="EJ634" s="1231"/>
      <c r="EK634" s="1231"/>
      <c r="EL634" s="1232"/>
      <c r="EM634" s="1230" t="str">
        <f t="shared" si="19"/>
        <v xml:space="preserve"> </v>
      </c>
      <c r="EN634" s="1231"/>
      <c r="EO634" s="1231"/>
      <c r="EP634" s="1231"/>
      <c r="EQ634" s="1232"/>
      <c r="ER634" s="1230" t="str">
        <f t="shared" si="20"/>
        <v xml:space="preserve"> </v>
      </c>
      <c r="ES634" s="1231"/>
      <c r="ET634" s="1231"/>
      <c r="EU634" s="1231"/>
      <c r="EV634" s="1232"/>
      <c r="EW634" s="1230" t="str">
        <f t="shared" si="21"/>
        <v xml:space="preserve"> </v>
      </c>
      <c r="EX634" s="1231"/>
      <c r="EY634" s="1231"/>
      <c r="EZ634" s="1231"/>
      <c r="FA634" s="1232"/>
    </row>
    <row r="635" spans="1:157" ht="12.75">
      <c r="B635" s="1704"/>
      <c r="C635" s="1163"/>
      <c r="D635" s="1163"/>
      <c r="E635" s="1163"/>
      <c r="F635" s="1163"/>
      <c r="G635" s="1163"/>
      <c r="H635" s="1163"/>
      <c r="I635" s="1163"/>
      <c r="J635" s="1163"/>
      <c r="K635" s="1163"/>
      <c r="L635" s="1163"/>
      <c r="M635" s="1163"/>
      <c r="N635" s="1705"/>
      <c r="O635" s="1442"/>
      <c r="P635" s="1443"/>
      <c r="Q635" s="1444"/>
      <c r="R635" s="1442"/>
      <c r="S635" s="1443"/>
      <c r="T635" s="1444"/>
      <c r="U635" s="1700"/>
      <c r="V635" s="1700"/>
      <c r="W635" s="1701"/>
      <c r="X635" s="1442"/>
      <c r="Y635" s="1443"/>
      <c r="Z635" s="1443"/>
      <c r="AA635" s="1443"/>
      <c r="AB635" s="1444"/>
      <c r="AC635" s="1581"/>
      <c r="AD635" s="1582"/>
      <c r="AE635" s="1583"/>
      <c r="AF635" s="1442"/>
      <c r="AG635" s="1443"/>
      <c r="AH635" s="1443"/>
      <c r="AI635" s="1443"/>
      <c r="AJ635" s="1444"/>
      <c r="AK635" s="1571"/>
      <c r="AL635" s="1572"/>
      <c r="AM635" s="1572"/>
      <c r="AN635" s="1573"/>
      <c r="AO635" s="1538"/>
      <c r="AP635" s="1538"/>
      <c r="AQ635" s="1538"/>
      <c r="AR635" s="1538"/>
      <c r="AS635" s="1538"/>
      <c r="AZ635" s="3"/>
      <c r="BA635" s="3"/>
      <c r="BB635" s="3"/>
      <c r="BC635" s="3"/>
      <c r="BD635" s="3"/>
      <c r="BE635" s="3"/>
      <c r="BF635" s="3"/>
      <c r="BG635" s="1230">
        <f>SUM(BG610:BH634)</f>
        <v>14</v>
      </c>
      <c r="BH635" s="1232"/>
      <c r="BI635" s="3"/>
      <c r="BJ635" s="3"/>
      <c r="BK635" s="1230">
        <f>SUM(BK610:BL634)</f>
        <v>14</v>
      </c>
      <c r="BL635" s="1232"/>
      <c r="BM635" s="3"/>
      <c r="BN635" s="1230">
        <f>SUM(BN610:BR634)</f>
        <v>0</v>
      </c>
      <c r="BO635" s="1231"/>
      <c r="BP635" s="1231"/>
      <c r="BQ635" s="1231"/>
      <c r="BR635" s="1232"/>
      <c r="BS635" s="1372">
        <f>SUM(BS610:BW634)</f>
        <v>56</v>
      </c>
      <c r="BT635" s="1372"/>
      <c r="BU635" s="1372"/>
      <c r="BV635" s="1372"/>
      <c r="BW635" s="1372"/>
      <c r="BX635" s="1372">
        <f>SUM(BX610:CB634)</f>
        <v>31</v>
      </c>
      <c r="BY635" s="1372"/>
      <c r="BZ635" s="1372"/>
      <c r="CA635" s="1372"/>
      <c r="CB635" s="1372"/>
      <c r="CC635" s="1372">
        <f>SUM(CC610:CG634)</f>
        <v>32</v>
      </c>
      <c r="CD635" s="1372"/>
      <c r="CE635" s="1372"/>
      <c r="CF635" s="1372"/>
      <c r="CG635" s="1372"/>
      <c r="CH635" s="1372">
        <f>SUM(CH610:CL634)</f>
        <v>0</v>
      </c>
      <c r="CI635" s="1372"/>
      <c r="CJ635" s="1372"/>
      <c r="CK635" s="1372"/>
      <c r="CL635" s="1372"/>
      <c r="CM635" s="1372">
        <f>SUM(CM610:CQ634)</f>
        <v>0</v>
      </c>
      <c r="CN635" s="1372"/>
      <c r="CO635" s="1372"/>
      <c r="CP635" s="1372"/>
      <c r="CQ635" s="1372"/>
      <c r="CR635" s="285"/>
      <c r="CS635" s="1372">
        <f>SUM(CS610:CW634)</f>
        <v>0</v>
      </c>
      <c r="CT635" s="1372"/>
      <c r="CU635" s="1372"/>
      <c r="CV635" s="1372"/>
      <c r="CW635" s="1372"/>
      <c r="CX635" s="1372">
        <f>SUM(CX610:DB634)</f>
        <v>6</v>
      </c>
      <c r="CY635" s="1372"/>
      <c r="CZ635" s="1372"/>
      <c r="DA635" s="1372"/>
      <c r="DB635" s="1372"/>
      <c r="DC635" s="1372">
        <f>SUM(DC610:DG634)</f>
        <v>4</v>
      </c>
      <c r="DD635" s="1372"/>
      <c r="DE635" s="1372"/>
      <c r="DF635" s="1372"/>
      <c r="DG635" s="1372"/>
      <c r="DH635" s="1372">
        <f>SUM(DH610:DL634)</f>
        <v>4</v>
      </c>
      <c r="DI635" s="1372"/>
      <c r="DJ635" s="1372"/>
      <c r="DK635" s="1372"/>
      <c r="DL635" s="1372"/>
      <c r="DM635" s="1372">
        <f>SUM(DM610:DQ634)</f>
        <v>0</v>
      </c>
      <c r="DN635" s="1372"/>
      <c r="DO635" s="1372"/>
      <c r="DP635" s="1372"/>
      <c r="DQ635" s="1372"/>
      <c r="DR635" s="1372">
        <f>SUM(DR610:DV634)</f>
        <v>0</v>
      </c>
      <c r="DS635" s="1372"/>
      <c r="DT635" s="1372"/>
      <c r="DU635" s="1372"/>
      <c r="DV635" s="1372"/>
      <c r="DX635" s="1372">
        <f>SUM(DX610:EB634)</f>
        <v>0</v>
      </c>
      <c r="DY635" s="1372"/>
      <c r="DZ635" s="1372"/>
      <c r="EA635" s="1372"/>
      <c r="EB635" s="1372"/>
      <c r="EC635" s="1372">
        <f>SUM(EC610:EG634)</f>
        <v>3141.92</v>
      </c>
      <c r="ED635" s="1372"/>
      <c r="EE635" s="1372"/>
      <c r="EF635" s="1372"/>
      <c r="EG635" s="1372"/>
      <c r="EH635" s="1372">
        <f>SUM(EH610:EL634)</f>
        <v>3775.81</v>
      </c>
      <c r="EI635" s="1372"/>
      <c r="EJ635" s="1372"/>
      <c r="EK635" s="1372"/>
      <c r="EL635" s="1372"/>
      <c r="EM635" s="1372">
        <f>SUM(EM610:EQ634)</f>
        <v>4363.68</v>
      </c>
      <c r="EN635" s="1372"/>
      <c r="EO635" s="1372"/>
      <c r="EP635" s="1372"/>
      <c r="EQ635" s="1372"/>
      <c r="ER635" s="1372">
        <f>SUM(ER610:EV634)</f>
        <v>0</v>
      </c>
      <c r="ES635" s="1372"/>
      <c r="ET635" s="1372"/>
      <c r="EU635" s="1372"/>
      <c r="EV635" s="1372"/>
      <c r="EW635" s="1372">
        <f>SUM(EW610:FA634)</f>
        <v>0</v>
      </c>
      <c r="EX635" s="1372"/>
      <c r="EY635" s="1372"/>
      <c r="EZ635" s="1372"/>
      <c r="FA635" s="1372"/>
    </row>
    <row r="636" spans="1:157" ht="12.75">
      <c r="B636" s="1349"/>
      <c r="C636" s="1163"/>
      <c r="D636" s="1163"/>
      <c r="E636" s="1163"/>
      <c r="F636" s="1163"/>
      <c r="G636" s="1163"/>
      <c r="H636" s="1163"/>
      <c r="I636" s="1163"/>
      <c r="J636" s="1163"/>
      <c r="K636" s="1163"/>
      <c r="L636" s="1163"/>
      <c r="M636" s="1163"/>
      <c r="N636" s="1705"/>
      <c r="O636" s="1445"/>
      <c r="P636" s="1446"/>
      <c r="Q636" s="1447"/>
      <c r="R636" s="1445"/>
      <c r="S636" s="1446"/>
      <c r="T636" s="1447"/>
      <c r="U636" s="1702"/>
      <c r="V636" s="1702"/>
      <c r="W636" s="1703"/>
      <c r="X636" s="1445"/>
      <c r="Y636" s="1446"/>
      <c r="Z636" s="1446"/>
      <c r="AA636" s="1446"/>
      <c r="AB636" s="1447"/>
      <c r="AC636" s="1584"/>
      <c r="AD636" s="1585"/>
      <c r="AE636" s="1586"/>
      <c r="AF636" s="1445"/>
      <c r="AG636" s="1446"/>
      <c r="AH636" s="1446"/>
      <c r="AI636" s="1446"/>
      <c r="AJ636" s="1447"/>
      <c r="AK636" s="1574"/>
      <c r="AL636" s="1575"/>
      <c r="AM636" s="1575"/>
      <c r="AN636" s="1576"/>
      <c r="AO636" s="1538"/>
      <c r="AP636" s="1538"/>
      <c r="AQ636" s="1538"/>
      <c r="AR636" s="1538"/>
      <c r="AS636" s="153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1504</v>
      </c>
      <c r="CM636" s="1230">
        <f>BN635+BS635+BX635+CC635+CH635+CM635</f>
        <v>119</v>
      </c>
      <c r="CN636" s="1231"/>
      <c r="CO636" s="1231"/>
      <c r="CP636" s="1231"/>
      <c r="CQ636" s="1232"/>
      <c r="CR636" s="285"/>
      <c r="CS636" s="3"/>
      <c r="CT636" s="3"/>
      <c r="CU636" s="3"/>
      <c r="CV636" s="3"/>
      <c r="CW636" s="3"/>
      <c r="CX636" s="3"/>
      <c r="CY636" s="3"/>
      <c r="CZ636" s="3"/>
      <c r="DA636" s="3"/>
      <c r="DB636" s="3"/>
      <c r="DC636" s="3"/>
      <c r="DD636" s="3"/>
      <c r="DE636" s="3"/>
      <c r="DF636" s="3"/>
    </row>
    <row r="637" spans="1:157" ht="12.75">
      <c r="B637" s="44" t="s">
        <v>17</v>
      </c>
      <c r="C637" s="1224" t="s">
        <v>1505</v>
      </c>
      <c r="D637" s="1224"/>
      <c r="E637" s="1224"/>
      <c r="F637" s="1224"/>
      <c r="G637" s="1224"/>
      <c r="H637" s="1224"/>
      <c r="I637" s="1224"/>
      <c r="J637" s="1224"/>
      <c r="K637" s="1224"/>
      <c r="L637" s="1224"/>
      <c r="M637" s="1224"/>
      <c r="N637" s="1225"/>
      <c r="O637" s="1539">
        <v>204</v>
      </c>
      <c r="P637" s="1540"/>
      <c r="Q637" s="1541"/>
      <c r="R637" s="1210">
        <v>480</v>
      </c>
      <c r="S637" s="1211"/>
      <c r="T637" s="1212"/>
      <c r="U637" s="1553">
        <v>3.7499999999999999E-2</v>
      </c>
      <c r="V637" s="1554"/>
      <c r="W637" s="1555"/>
      <c r="X637" s="1471" t="s">
        <v>1453</v>
      </c>
      <c r="Y637" s="1472"/>
      <c r="Z637" s="1472"/>
      <c r="AA637" s="1472"/>
      <c r="AB637" s="1473"/>
      <c r="AC637" s="1330"/>
      <c r="AD637" s="1331"/>
      <c r="AE637" s="1332"/>
      <c r="AF637" s="1448">
        <v>1115961</v>
      </c>
      <c r="AG637" s="1449"/>
      <c r="AH637" s="1449"/>
      <c r="AI637" s="1449"/>
      <c r="AJ637" s="1450"/>
      <c r="AK637" s="1543"/>
      <c r="AL637" s="1544"/>
      <c r="AM637" s="1544"/>
      <c r="AN637" s="1545"/>
      <c r="AO637" s="1333">
        <v>22934095</v>
      </c>
      <c r="AP637" s="1333"/>
      <c r="AQ637" s="1333"/>
      <c r="AR637" s="1333"/>
      <c r="AS637" s="1333"/>
      <c r="AT637" s="3"/>
      <c r="AU637" s="3"/>
      <c r="AV637" s="3"/>
      <c r="AW637" s="3"/>
      <c r="AX637" s="3"/>
      <c r="AY637" s="3"/>
      <c r="AZ637" s="3"/>
      <c r="BA637" s="3" t="s">
        <v>1322</v>
      </c>
      <c r="BB637" s="3"/>
      <c r="BC637" s="3"/>
      <c r="BD637" s="3"/>
      <c r="BE637" s="3"/>
      <c r="BF637" s="3"/>
      <c r="BG637" s="3"/>
      <c r="BH637" s="3"/>
      <c r="BI637" s="3"/>
      <c r="BJ637" s="3"/>
      <c r="BK637" s="3"/>
      <c r="BL637" s="3"/>
      <c r="BM637" s="3"/>
      <c r="BR637" s="822">
        <f>BN635*1</f>
        <v>0</v>
      </c>
      <c r="BS637" s="3"/>
      <c r="BT637" s="3"/>
      <c r="BU637" s="3"/>
      <c r="BV637" s="3"/>
      <c r="BW637" s="822">
        <f>BS635*1</f>
        <v>56</v>
      </c>
      <c r="BX637" s="3"/>
      <c r="BY637" s="3"/>
      <c r="BZ637" s="3"/>
      <c r="CA637" s="3"/>
      <c r="CB637" s="822">
        <f>BX635*2</f>
        <v>62</v>
      </c>
      <c r="CC637" s="3"/>
      <c r="CD637" s="3"/>
      <c r="CE637" s="3"/>
      <c r="CF637" s="3"/>
      <c r="CG637" s="822">
        <f>CC635*3</f>
        <v>96</v>
      </c>
      <c r="CH637" s="3"/>
      <c r="CI637" s="3"/>
      <c r="CJ637" s="3"/>
      <c r="CK637" s="3"/>
      <c r="CL637" s="822">
        <f>CH635*4</f>
        <v>0</v>
      </c>
      <c r="CM637" s="3"/>
      <c r="CN637" s="3"/>
      <c r="CO637" s="3"/>
      <c r="CP637" s="3"/>
      <c r="CQ637" s="822">
        <f>CM635*5</f>
        <v>0</v>
      </c>
      <c r="CS637" s="822">
        <f>BR637+BW637+CB637+CG637+CL637+CQ637</f>
        <v>214</v>
      </c>
      <c r="CT637" s="50" t="s">
        <v>1506</v>
      </c>
      <c r="CU637" s="3"/>
      <c r="CV637" s="3"/>
      <c r="CW637" s="3"/>
      <c r="CX637" s="3"/>
      <c r="CY637" s="3"/>
      <c r="CZ637" s="3"/>
      <c r="DA637" s="3"/>
      <c r="DB637" s="3"/>
      <c r="DC637" s="3"/>
      <c r="DD637" s="3"/>
      <c r="DE637" s="3"/>
      <c r="DF637" s="3"/>
    </row>
    <row r="638" spans="1:157" ht="12.75" customHeight="1">
      <c r="B638" s="45" t="s">
        <v>30</v>
      </c>
      <c r="C638" s="1224" t="s">
        <v>1460</v>
      </c>
      <c r="D638" s="1224"/>
      <c r="E638" s="1224"/>
      <c r="F638" s="1224"/>
      <c r="G638" s="1224"/>
      <c r="H638" s="1224"/>
      <c r="I638" s="1224"/>
      <c r="J638" s="1224"/>
      <c r="K638" s="1224"/>
      <c r="L638" s="1224"/>
      <c r="M638" s="1224"/>
      <c r="N638" s="1225"/>
      <c r="O638" s="1539"/>
      <c r="P638" s="1540"/>
      <c r="Q638" s="1541"/>
      <c r="R638" s="1210"/>
      <c r="S638" s="1211"/>
      <c r="T638" s="1212"/>
      <c r="U638" s="1553"/>
      <c r="V638" s="1554"/>
      <c r="W638" s="1555"/>
      <c r="X638" s="1471" t="s">
        <v>1322</v>
      </c>
      <c r="Y638" s="1472"/>
      <c r="Z638" s="1472"/>
      <c r="AA638" s="1472"/>
      <c r="AB638" s="1473"/>
      <c r="AC638" s="1330"/>
      <c r="AD638" s="1331"/>
      <c r="AE638" s="1332"/>
      <c r="AF638" s="1448"/>
      <c r="AG638" s="1449"/>
      <c r="AH638" s="1449"/>
      <c r="AI638" s="1449"/>
      <c r="AJ638" s="1450"/>
      <c r="AK638" s="1543"/>
      <c r="AL638" s="1544"/>
      <c r="AM638" s="1544"/>
      <c r="AN638" s="1545"/>
      <c r="AO638" s="1333">
        <f>AM568</f>
        <v>3329970</v>
      </c>
      <c r="AP638" s="1333"/>
      <c r="AQ638" s="1333"/>
      <c r="AR638" s="1333"/>
      <c r="AS638" s="1333"/>
      <c r="AT638" s="3"/>
      <c r="AU638" s="3"/>
      <c r="AV638" s="3"/>
      <c r="AW638" s="3"/>
      <c r="AX638" s="3"/>
      <c r="AY638" s="3"/>
      <c r="AZ638" s="3"/>
      <c r="BA638" s="3" t="s">
        <v>1507</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697" t="e">
        <f t="shared" ref="DX638:DX662" si="22">DX610*(BN610/$BN$635)</f>
        <v>#VALUE!</v>
      </c>
      <c r="DY638" s="1697"/>
      <c r="DZ638" s="1697"/>
      <c r="EA638" s="1697"/>
      <c r="EB638" s="1697"/>
      <c r="EC638" s="1697">
        <f t="shared" ref="EC638:EC662" si="23">EC610*(BS610/$BS$635)</f>
        <v>1061.217142857143</v>
      </c>
      <c r="ED638" s="1697"/>
      <c r="EE638" s="1697"/>
      <c r="EF638" s="1697"/>
      <c r="EG638" s="1697"/>
      <c r="EH638" s="1697" t="e">
        <f t="shared" ref="EH638:EH662" si="24">EH610*(BX610/$BX$635)</f>
        <v>#VALUE!</v>
      </c>
      <c r="EI638" s="1697"/>
      <c r="EJ638" s="1697"/>
      <c r="EK638" s="1697"/>
      <c r="EL638" s="1697"/>
      <c r="EM638" s="1697" t="e">
        <f t="shared" ref="EM638:EM662" si="25">EM610*(CC610/$CC$635)</f>
        <v>#VALUE!</v>
      </c>
      <c r="EN638" s="1697"/>
      <c r="EO638" s="1697"/>
      <c r="EP638" s="1697"/>
      <c r="EQ638" s="1697"/>
      <c r="ER638" s="1697" t="e">
        <f t="shared" ref="ER638:ER662" si="26">ER610*(CH610/$CH$635)</f>
        <v>#VALUE!</v>
      </c>
      <c r="ES638" s="1697"/>
      <c r="ET638" s="1697"/>
      <c r="EU638" s="1697"/>
      <c r="EV638" s="1697"/>
      <c r="EW638" s="1697" t="e">
        <f t="shared" ref="EW638:EW662" si="27">EW610*(CM610/$CM$635)</f>
        <v>#VALUE!</v>
      </c>
      <c r="EX638" s="1697"/>
      <c r="EY638" s="1697"/>
      <c r="EZ638" s="1697"/>
      <c r="FA638" s="1697"/>
    </row>
    <row r="639" spans="1:157" ht="12.75" customHeight="1">
      <c r="B639" s="45" t="s">
        <v>38</v>
      </c>
      <c r="C639" s="1224" t="s">
        <v>1462</v>
      </c>
      <c r="D639" s="1224"/>
      <c r="E639" s="1224"/>
      <c r="F639" s="1224"/>
      <c r="G639" s="1224"/>
      <c r="H639" s="1224"/>
      <c r="I639" s="1224"/>
      <c r="J639" s="1224"/>
      <c r="K639" s="1224"/>
      <c r="L639" s="1224"/>
      <c r="M639" s="1224"/>
      <c r="N639" s="1225"/>
      <c r="O639" s="1539">
        <v>660</v>
      </c>
      <c r="P639" s="1540"/>
      <c r="Q639" s="1541"/>
      <c r="R639" s="1210">
        <v>660</v>
      </c>
      <c r="S639" s="1211"/>
      <c r="T639" s="1212"/>
      <c r="U639" s="1553">
        <v>2.75E-2</v>
      </c>
      <c r="V639" s="1554"/>
      <c r="W639" s="1555"/>
      <c r="X639" s="1471" t="s">
        <v>1508</v>
      </c>
      <c r="Y639" s="1472"/>
      <c r="Z639" s="1472"/>
      <c r="AA639" s="1472"/>
      <c r="AB639" s="1473"/>
      <c r="AC639" s="1330"/>
      <c r="AD639" s="1331"/>
      <c r="AE639" s="1332"/>
      <c r="AF639" s="1448"/>
      <c r="AG639" s="1449"/>
      <c r="AH639" s="1449"/>
      <c r="AI639" s="1449"/>
      <c r="AJ639" s="1450"/>
      <c r="AK639" s="1543"/>
      <c r="AL639" s="1544"/>
      <c r="AM639" s="1544"/>
      <c r="AN639" s="1545"/>
      <c r="AO639" s="1333">
        <f>AM569</f>
        <v>2020000</v>
      </c>
      <c r="AP639" s="1333"/>
      <c r="AQ639" s="1333"/>
      <c r="AR639" s="1333"/>
      <c r="AS639" s="1333"/>
      <c r="AT639" s="3"/>
      <c r="AU639" s="3"/>
      <c r="AV639" s="3"/>
      <c r="AW639" s="3"/>
      <c r="AX639" s="3"/>
      <c r="AY639" s="3"/>
      <c r="AZ639" s="3"/>
      <c r="BA639" s="3" t="s">
        <v>1508</v>
      </c>
      <c r="BB639" s="3"/>
      <c r="BC639" s="3"/>
      <c r="BD639" s="3"/>
      <c r="BE639" s="3"/>
      <c r="BF639" s="3"/>
      <c r="BG639" s="3"/>
      <c r="BH639" s="3"/>
      <c r="BI639" s="3"/>
      <c r="BJ639" s="3"/>
      <c r="BK639" s="3"/>
      <c r="BL639" s="3"/>
      <c r="BM639" s="3"/>
      <c r="BN639" s="3" t="s">
        <v>1509</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697" t="e">
        <f t="shared" si="22"/>
        <v>#VALUE!</v>
      </c>
      <c r="DY639" s="1697"/>
      <c r="DZ639" s="1697"/>
      <c r="EA639" s="1697"/>
      <c r="EB639" s="1697"/>
      <c r="EC639" s="1697">
        <f t="shared" si="23"/>
        <v>120.28285714285715</v>
      </c>
      <c r="ED639" s="1697"/>
      <c r="EE639" s="1697"/>
      <c r="EF639" s="1697"/>
      <c r="EG639" s="1697"/>
      <c r="EH639" s="1697" t="e">
        <f t="shared" si="24"/>
        <v>#VALUE!</v>
      </c>
      <c r="EI639" s="1697"/>
      <c r="EJ639" s="1697"/>
      <c r="EK639" s="1697"/>
      <c r="EL639" s="1697"/>
      <c r="EM639" s="1697" t="e">
        <f t="shared" si="25"/>
        <v>#VALUE!</v>
      </c>
      <c r="EN639" s="1697"/>
      <c r="EO639" s="1697"/>
      <c r="EP639" s="1697"/>
      <c r="EQ639" s="1697"/>
      <c r="ER639" s="1697" t="e">
        <f t="shared" si="26"/>
        <v>#VALUE!</v>
      </c>
      <c r="ES639" s="1697"/>
      <c r="ET639" s="1697"/>
      <c r="EU639" s="1697"/>
      <c r="EV639" s="1697"/>
      <c r="EW639" s="1697" t="e">
        <f t="shared" si="27"/>
        <v>#VALUE!</v>
      </c>
      <c r="EX639" s="1697"/>
      <c r="EY639" s="1697"/>
      <c r="EZ639" s="1697"/>
      <c r="FA639" s="1697"/>
    </row>
    <row r="640" spans="1:157" ht="12.75">
      <c r="B640" s="45" t="s">
        <v>81</v>
      </c>
      <c r="C640" s="1224" t="s">
        <v>1464</v>
      </c>
      <c r="D640" s="1224"/>
      <c r="E640" s="1224"/>
      <c r="F640" s="1224"/>
      <c r="G640" s="1224"/>
      <c r="H640" s="1224"/>
      <c r="I640" s="1224"/>
      <c r="J640" s="1224"/>
      <c r="K640" s="1224"/>
      <c r="L640" s="1224"/>
      <c r="M640" s="1224"/>
      <c r="N640" s="1225"/>
      <c r="O640" s="1539"/>
      <c r="P640" s="1540"/>
      <c r="Q640" s="1541"/>
      <c r="R640" s="1210"/>
      <c r="S640" s="1211"/>
      <c r="T640" s="1212"/>
      <c r="U640" s="1553"/>
      <c r="V640" s="1554"/>
      <c r="W640" s="1555"/>
      <c r="X640" s="1471" t="s">
        <v>1322</v>
      </c>
      <c r="Y640" s="1472"/>
      <c r="Z640" s="1472"/>
      <c r="AA640" s="1472"/>
      <c r="AB640" s="1473"/>
      <c r="AC640" s="1330"/>
      <c r="AD640" s="1331"/>
      <c r="AE640" s="1332"/>
      <c r="AF640" s="1448"/>
      <c r="AG640" s="1449"/>
      <c r="AH640" s="1449"/>
      <c r="AI640" s="1449"/>
      <c r="AJ640" s="1450"/>
      <c r="AK640" s="1543"/>
      <c r="AL640" s="1544"/>
      <c r="AM640" s="1544"/>
      <c r="AN640" s="1545"/>
      <c r="AO640" s="1333">
        <f>AM570</f>
        <v>234300</v>
      </c>
      <c r="AP640" s="1333"/>
      <c r="AQ640" s="1333"/>
      <c r="AR640" s="1333"/>
      <c r="AS640" s="1333"/>
      <c r="AT640" s="3"/>
      <c r="AU640" s="3"/>
      <c r="AV640" s="3"/>
      <c r="AW640" s="3"/>
      <c r="AX640" s="3"/>
      <c r="AY640" s="3"/>
      <c r="AZ640" s="3"/>
      <c r="BA640" s="3" t="s">
        <v>1453</v>
      </c>
      <c r="BB640" s="3"/>
      <c r="BC640" s="3"/>
      <c r="BD640" s="3"/>
      <c r="BE640" s="3"/>
      <c r="BF640" s="3"/>
      <c r="BG640" s="3"/>
      <c r="BH640" s="3"/>
      <c r="BI640" s="3"/>
      <c r="BJ640" s="3"/>
      <c r="BK640" s="3"/>
      <c r="BL640" s="3"/>
      <c r="BM640" s="3"/>
      <c r="BN640" s="1279">
        <f>IF(J772="SRO/Studio",O772,0)</f>
        <v>0</v>
      </c>
      <c r="BO640" s="1280"/>
      <c r="BP640" s="1280"/>
      <c r="BQ640" s="1280"/>
      <c r="BR640" s="1281"/>
      <c r="BS640" s="1234">
        <f>IF(J772="1 Bedroom",O772,0)</f>
        <v>0</v>
      </c>
      <c r="BT640" s="1234"/>
      <c r="BU640" s="1234"/>
      <c r="BV640" s="1234"/>
      <c r="BW640" s="1234"/>
      <c r="BX640" s="1234">
        <f>IF(J772="2 Bedrooms",O772,0)</f>
        <v>1</v>
      </c>
      <c r="BY640" s="1234"/>
      <c r="BZ640" s="1234"/>
      <c r="CA640" s="1234"/>
      <c r="CB640" s="1234"/>
      <c r="CC640" s="1234">
        <f>IF(J772="3 Bedrooms",O772,0)</f>
        <v>0</v>
      </c>
      <c r="CD640" s="1234"/>
      <c r="CE640" s="1234"/>
      <c r="CF640" s="1234"/>
      <c r="CG640" s="1234"/>
      <c r="CH640" s="1234">
        <f>IF(J772="4 Bedrooms",O772,0)</f>
        <v>0</v>
      </c>
      <c r="CI640" s="1234"/>
      <c r="CJ640" s="1234"/>
      <c r="CK640" s="1234"/>
      <c r="CL640" s="1234"/>
      <c r="CM640" s="1234">
        <f>IF(J772="5 Bedrooms",O772,0)</f>
        <v>0</v>
      </c>
      <c r="CN640" s="1234"/>
      <c r="CO640" s="1234"/>
      <c r="CP640" s="1234"/>
      <c r="CQ640" s="1234"/>
      <c r="CR640" s="285"/>
      <c r="CS640" s="3"/>
      <c r="CT640" s="3"/>
      <c r="CU640" s="3"/>
      <c r="CV640" s="3"/>
      <c r="CW640" s="3"/>
      <c r="CX640" s="3"/>
      <c r="CY640" s="3"/>
      <c r="CZ640" s="3"/>
      <c r="DA640" s="3"/>
      <c r="DB640" s="3"/>
      <c r="DC640" s="3"/>
      <c r="DD640" s="3"/>
      <c r="DE640" s="3"/>
      <c r="DF640" s="3"/>
      <c r="DX640" s="1697" t="e">
        <f t="shared" si="22"/>
        <v>#VALUE!</v>
      </c>
      <c r="DY640" s="1697"/>
      <c r="DZ640" s="1697"/>
      <c r="EA640" s="1697"/>
      <c r="EB640" s="1697"/>
      <c r="EC640" s="1697">
        <f t="shared" si="23"/>
        <v>71.64</v>
      </c>
      <c r="ED640" s="1697"/>
      <c r="EE640" s="1697"/>
      <c r="EF640" s="1697"/>
      <c r="EG640" s="1697"/>
      <c r="EH640" s="1697" t="e">
        <f t="shared" si="24"/>
        <v>#VALUE!</v>
      </c>
      <c r="EI640" s="1697"/>
      <c r="EJ640" s="1697"/>
      <c r="EK640" s="1697"/>
      <c r="EL640" s="1697"/>
      <c r="EM640" s="1697" t="e">
        <f t="shared" si="25"/>
        <v>#VALUE!</v>
      </c>
      <c r="EN640" s="1697"/>
      <c r="EO640" s="1697"/>
      <c r="EP640" s="1697"/>
      <c r="EQ640" s="1697"/>
      <c r="ER640" s="1697" t="e">
        <f t="shared" si="26"/>
        <v>#VALUE!</v>
      </c>
      <c r="ES640" s="1697"/>
      <c r="ET640" s="1697"/>
      <c r="EU640" s="1697"/>
      <c r="EV640" s="1697"/>
      <c r="EW640" s="1697" t="e">
        <f t="shared" si="27"/>
        <v>#VALUE!</v>
      </c>
      <c r="EX640" s="1697"/>
      <c r="EY640" s="1697"/>
      <c r="EZ640" s="1697"/>
      <c r="FA640" s="1697"/>
    </row>
    <row r="641" spans="1:157" ht="12.75">
      <c r="B641" s="45" t="s">
        <v>85</v>
      </c>
      <c r="C641" s="1224" t="s">
        <v>1510</v>
      </c>
      <c r="D641" s="1224"/>
      <c r="E641" s="1224"/>
      <c r="F641" s="1224"/>
      <c r="G641" s="1224"/>
      <c r="H641" s="1224"/>
      <c r="I641" s="1224"/>
      <c r="J641" s="1224"/>
      <c r="K641" s="1224"/>
      <c r="L641" s="1224"/>
      <c r="M641" s="1224"/>
      <c r="N641" s="1225"/>
      <c r="O641" s="1539"/>
      <c r="P641" s="1540"/>
      <c r="Q641" s="1541"/>
      <c r="R641" s="1210"/>
      <c r="S641" s="1211"/>
      <c r="T641" s="1212"/>
      <c r="U641" s="1553"/>
      <c r="V641" s="1554"/>
      <c r="W641" s="1555"/>
      <c r="X641" s="1471" t="s">
        <v>1322</v>
      </c>
      <c r="Y641" s="1472"/>
      <c r="Z641" s="1472"/>
      <c r="AA641" s="1472"/>
      <c r="AB641" s="1473"/>
      <c r="AC641" s="1330"/>
      <c r="AD641" s="1331"/>
      <c r="AE641" s="1332"/>
      <c r="AF641" s="1448"/>
      <c r="AG641" s="1449"/>
      <c r="AH641" s="1449"/>
      <c r="AI641" s="1449"/>
      <c r="AJ641" s="1450"/>
      <c r="AK641" s="1543"/>
      <c r="AL641" s="1544"/>
      <c r="AM641" s="1544"/>
      <c r="AN641" s="1545"/>
      <c r="AO641" s="1333">
        <v>111100</v>
      </c>
      <c r="AP641" s="1333"/>
      <c r="AQ641" s="1333"/>
      <c r="AR641" s="1333"/>
      <c r="AS641" s="1333"/>
      <c r="AT641" s="3"/>
      <c r="AU641" s="3"/>
      <c r="AV641" s="3"/>
      <c r="AW641" s="3"/>
      <c r="AX641" s="3"/>
      <c r="AY641" s="3"/>
      <c r="AZ641" s="3"/>
      <c r="BA641" s="3" t="s">
        <v>1127</v>
      </c>
      <c r="BB641" s="3"/>
      <c r="BC641" s="3"/>
      <c r="BD641" s="3"/>
      <c r="BE641" s="3"/>
      <c r="BF641" s="3"/>
      <c r="BG641" s="3"/>
      <c r="BH641" s="3"/>
      <c r="BI641" s="3"/>
      <c r="BJ641" s="3"/>
      <c r="BK641" s="3"/>
      <c r="BL641" s="3"/>
      <c r="BM641" s="3"/>
      <c r="BN641" s="1279">
        <f>IF(J773="SRO/Studio",O773,0)</f>
        <v>0</v>
      </c>
      <c r="BO641" s="1280"/>
      <c r="BP641" s="1280"/>
      <c r="BQ641" s="1280"/>
      <c r="BR641" s="1281"/>
      <c r="BS641" s="1234">
        <f>IF(J773="1 Bedroom",O773,0)</f>
        <v>0</v>
      </c>
      <c r="BT641" s="1234"/>
      <c r="BU641" s="1234"/>
      <c r="BV641" s="1234"/>
      <c r="BW641" s="1234"/>
      <c r="BX641" s="1234">
        <f>IF(J773="2 Bedrooms",O773,0)</f>
        <v>0</v>
      </c>
      <c r="BY641" s="1234"/>
      <c r="BZ641" s="1234"/>
      <c r="CA641" s="1234"/>
      <c r="CB641" s="1234"/>
      <c r="CC641" s="1234">
        <f>IF(J773="3 Bedrooms",O773,0)</f>
        <v>0</v>
      </c>
      <c r="CD641" s="1234"/>
      <c r="CE641" s="1234"/>
      <c r="CF641" s="1234"/>
      <c r="CG641" s="1234"/>
      <c r="CH641" s="1234">
        <f>IF(J773="4 Bedrooms",O773,0)</f>
        <v>0</v>
      </c>
      <c r="CI641" s="1234"/>
      <c r="CJ641" s="1234"/>
      <c r="CK641" s="1234"/>
      <c r="CL641" s="1234"/>
      <c r="CM641" s="1234">
        <f>IF(J773="5 Bedrooms",O773,0)</f>
        <v>0</v>
      </c>
      <c r="CN641" s="1234"/>
      <c r="CO641" s="1234"/>
      <c r="CP641" s="1234"/>
      <c r="CQ641" s="1234"/>
      <c r="CR641" s="285"/>
      <c r="CS641" s="3"/>
      <c r="CT641" s="3"/>
      <c r="CU641" s="3"/>
      <c r="CV641" s="3"/>
      <c r="CW641" s="3"/>
      <c r="CX641" s="3"/>
      <c r="CY641" s="3"/>
      <c r="CZ641" s="3"/>
      <c r="DA641" s="3"/>
      <c r="DB641" s="3"/>
      <c r="DC641" s="3"/>
      <c r="DD641" s="3"/>
      <c r="DE641" s="3"/>
      <c r="DF641" s="3"/>
      <c r="DX641" s="1697" t="e">
        <f t="shared" si="22"/>
        <v>#VALUE!</v>
      </c>
      <c r="DY641" s="1697"/>
      <c r="DZ641" s="1697"/>
      <c r="EA641" s="1697"/>
      <c r="EB641" s="1697"/>
      <c r="EC641" s="1697" t="e">
        <f t="shared" si="23"/>
        <v>#VALUE!</v>
      </c>
      <c r="ED641" s="1697"/>
      <c r="EE641" s="1697"/>
      <c r="EF641" s="1697"/>
      <c r="EG641" s="1697"/>
      <c r="EH641" s="1697">
        <f t="shared" si="24"/>
        <v>1203.6196774193547</v>
      </c>
      <c r="EI641" s="1697"/>
      <c r="EJ641" s="1697"/>
      <c r="EK641" s="1697"/>
      <c r="EL641" s="1697"/>
      <c r="EM641" s="1697" t="e">
        <f t="shared" si="25"/>
        <v>#VALUE!</v>
      </c>
      <c r="EN641" s="1697"/>
      <c r="EO641" s="1697"/>
      <c r="EP641" s="1697"/>
      <c r="EQ641" s="1697"/>
      <c r="ER641" s="1697" t="e">
        <f t="shared" si="26"/>
        <v>#VALUE!</v>
      </c>
      <c r="ES641" s="1697"/>
      <c r="ET641" s="1697"/>
      <c r="EU641" s="1697"/>
      <c r="EV641" s="1697"/>
      <c r="EW641" s="1697" t="e">
        <f t="shared" si="27"/>
        <v>#VALUE!</v>
      </c>
      <c r="EX641" s="1697"/>
      <c r="EY641" s="1697"/>
      <c r="EZ641" s="1697"/>
      <c r="FA641" s="1697"/>
    </row>
    <row r="642" spans="1:157" ht="12.75">
      <c r="B642" s="45" t="s">
        <v>1461</v>
      </c>
      <c r="C642" s="1224" t="str">
        <f>C571</f>
        <v>GP Contribution of Developer Fee</v>
      </c>
      <c r="D642" s="1224"/>
      <c r="E642" s="1224"/>
      <c r="F642" s="1224"/>
      <c r="G642" s="1224"/>
      <c r="H642" s="1224"/>
      <c r="I642" s="1224"/>
      <c r="J642" s="1224"/>
      <c r="K642" s="1224"/>
      <c r="L642" s="1224"/>
      <c r="M642" s="1224"/>
      <c r="N642" s="1225"/>
      <c r="O642" s="1539"/>
      <c r="P642" s="1540"/>
      <c r="Q642" s="1541"/>
      <c r="R642" s="1210"/>
      <c r="S642" s="1211"/>
      <c r="T642" s="1212"/>
      <c r="U642" s="1553"/>
      <c r="V642" s="1554"/>
      <c r="W642" s="1555"/>
      <c r="X642" s="1471" t="s">
        <v>1322</v>
      </c>
      <c r="Y642" s="1472"/>
      <c r="Z642" s="1472"/>
      <c r="AA642" s="1472"/>
      <c r="AB642" s="1473"/>
      <c r="AC642" s="1330"/>
      <c r="AD642" s="1331"/>
      <c r="AE642" s="1332"/>
      <c r="AF642" s="1448"/>
      <c r="AG642" s="1449"/>
      <c r="AH642" s="1449"/>
      <c r="AI642" s="1449"/>
      <c r="AJ642" s="1450"/>
      <c r="AK642" s="1543"/>
      <c r="AL642" s="1544"/>
      <c r="AM642" s="1544"/>
      <c r="AN642" s="1545"/>
      <c r="AO642" s="1333">
        <f>AM571</f>
        <v>829012</v>
      </c>
      <c r="AP642" s="1333"/>
      <c r="AQ642" s="1333"/>
      <c r="AR642" s="1333"/>
      <c r="AS642" s="1333"/>
      <c r="AT642" s="3"/>
      <c r="AU642" s="3"/>
      <c r="AV642" s="3"/>
      <c r="AW642" s="3"/>
      <c r="AX642" s="3"/>
      <c r="AY642" s="3"/>
      <c r="AZ642" s="3"/>
      <c r="BA642" s="3"/>
      <c r="BB642" s="3"/>
      <c r="BC642" s="3"/>
      <c r="BD642" s="3"/>
      <c r="BE642" s="3"/>
      <c r="BF642" s="3"/>
      <c r="BG642" s="3"/>
      <c r="BH642" s="3"/>
      <c r="BI642" s="3"/>
      <c r="BJ642" s="3"/>
      <c r="BK642" s="3"/>
      <c r="BL642" s="3"/>
      <c r="BM642" s="3"/>
      <c r="BN642" s="1279">
        <f>IF(J774="SRO/Studio",O774,0)</f>
        <v>0</v>
      </c>
      <c r="BO642" s="1280"/>
      <c r="BP642" s="1280"/>
      <c r="BQ642" s="1280"/>
      <c r="BR642" s="1281"/>
      <c r="BS642" s="1234">
        <f>IF(J774="1 Bedroom",O774,0)</f>
        <v>0</v>
      </c>
      <c r="BT642" s="1234"/>
      <c r="BU642" s="1234"/>
      <c r="BV642" s="1234"/>
      <c r="BW642" s="1234"/>
      <c r="BX642" s="1234">
        <f>IF(J774="2 Bedrooms",O774,0)</f>
        <v>0</v>
      </c>
      <c r="BY642" s="1234"/>
      <c r="BZ642" s="1234"/>
      <c r="CA642" s="1234"/>
      <c r="CB642" s="1234"/>
      <c r="CC642" s="1234">
        <f>IF(J774="3 Bedrooms",O774,0)</f>
        <v>0</v>
      </c>
      <c r="CD642" s="1234"/>
      <c r="CE642" s="1234"/>
      <c r="CF642" s="1234"/>
      <c r="CG642" s="1234"/>
      <c r="CH642" s="1234">
        <f>IF(J774="4 Bedrooms",O774,0)</f>
        <v>0</v>
      </c>
      <c r="CI642" s="1234"/>
      <c r="CJ642" s="1234"/>
      <c r="CK642" s="1234"/>
      <c r="CL642" s="1234"/>
      <c r="CM642" s="1234">
        <f>IF(J774="5 Bedrooms",O774,0)</f>
        <v>0</v>
      </c>
      <c r="CN642" s="1234"/>
      <c r="CO642" s="1234"/>
      <c r="CP642" s="1234"/>
      <c r="CQ642" s="1234"/>
      <c r="CR642" s="285"/>
      <c r="CV642" s="3"/>
      <c r="CW642" s="3"/>
      <c r="CX642" s="3"/>
      <c r="CY642" s="3"/>
      <c r="CZ642" s="3"/>
      <c r="DA642" s="3"/>
      <c r="DB642" s="3"/>
      <c r="DC642" s="3"/>
      <c r="DD642" s="3"/>
      <c r="DE642" s="3"/>
      <c r="DF642" s="3"/>
      <c r="DX642" s="1697" t="e">
        <f t="shared" si="22"/>
        <v>#VALUE!</v>
      </c>
      <c r="DY642" s="1697"/>
      <c r="DZ642" s="1697"/>
      <c r="EA642" s="1697"/>
      <c r="EB642" s="1697"/>
      <c r="EC642" s="1697" t="e">
        <f t="shared" si="23"/>
        <v>#VALUE!</v>
      </c>
      <c r="ED642" s="1697"/>
      <c r="EE642" s="1697"/>
      <c r="EF642" s="1697"/>
      <c r="EG642" s="1697"/>
      <c r="EH642" s="1697">
        <f t="shared" si="24"/>
        <v>174.09935483870967</v>
      </c>
      <c r="EI642" s="1697"/>
      <c r="EJ642" s="1697"/>
      <c r="EK642" s="1697"/>
      <c r="EL642" s="1697"/>
      <c r="EM642" s="1697" t="e">
        <f t="shared" si="25"/>
        <v>#VALUE!</v>
      </c>
      <c r="EN642" s="1697"/>
      <c r="EO642" s="1697"/>
      <c r="EP642" s="1697"/>
      <c r="EQ642" s="1697"/>
      <c r="ER642" s="1697" t="e">
        <f t="shared" si="26"/>
        <v>#VALUE!</v>
      </c>
      <c r="ES642" s="1697"/>
      <c r="ET642" s="1697"/>
      <c r="EU642" s="1697"/>
      <c r="EV642" s="1697"/>
      <c r="EW642" s="1697" t="e">
        <f t="shared" si="27"/>
        <v>#VALUE!</v>
      </c>
      <c r="EX642" s="1697"/>
      <c r="EY642" s="1697"/>
      <c r="EZ642" s="1697"/>
      <c r="FA642" s="1697"/>
    </row>
    <row r="643" spans="1:157" ht="12.75">
      <c r="B643" s="45" t="s">
        <v>1463</v>
      </c>
      <c r="C643" s="1224"/>
      <c r="D643" s="1224"/>
      <c r="E643" s="1224"/>
      <c r="F643" s="1224"/>
      <c r="G643" s="1224"/>
      <c r="H643" s="1224"/>
      <c r="I643" s="1224"/>
      <c r="J643" s="1224"/>
      <c r="K643" s="1224"/>
      <c r="L643" s="1224"/>
      <c r="M643" s="1224"/>
      <c r="N643" s="1225"/>
      <c r="O643" s="1539"/>
      <c r="P643" s="1540"/>
      <c r="Q643" s="1541"/>
      <c r="R643" s="1210"/>
      <c r="S643" s="1211"/>
      <c r="T643" s="1212"/>
      <c r="U643" s="1553"/>
      <c r="V643" s="1554"/>
      <c r="W643" s="1555"/>
      <c r="X643" s="1471" t="s">
        <v>1322</v>
      </c>
      <c r="Y643" s="1472"/>
      <c r="Z643" s="1472"/>
      <c r="AA643" s="1472"/>
      <c r="AB643" s="1473"/>
      <c r="AC643" s="1330"/>
      <c r="AD643" s="1331"/>
      <c r="AE643" s="1332"/>
      <c r="AF643" s="1448"/>
      <c r="AG643" s="1449"/>
      <c r="AH643" s="1449"/>
      <c r="AI643" s="1449"/>
      <c r="AJ643" s="1450"/>
      <c r="AK643" s="1543"/>
      <c r="AL643" s="1544"/>
      <c r="AM643" s="1544"/>
      <c r="AN643" s="1545"/>
      <c r="AO643" s="1333"/>
      <c r="AP643" s="1333"/>
      <c r="AQ643" s="1333"/>
      <c r="AR643" s="1333"/>
      <c r="AS643" s="1333"/>
      <c r="AT643" s="3"/>
      <c r="AU643" s="3"/>
      <c r="AV643" s="3"/>
      <c r="AW643" s="3"/>
      <c r="AX643" s="3"/>
      <c r="AY643" s="3"/>
      <c r="AZ643" s="3"/>
      <c r="BA643" s="3"/>
      <c r="BB643" s="3"/>
      <c r="BC643" s="3"/>
      <c r="BD643" s="3"/>
      <c r="BE643" s="3"/>
      <c r="BF643" s="3"/>
      <c r="BG643" s="3"/>
      <c r="BH643" s="3"/>
      <c r="BI643" s="3"/>
      <c r="BJ643" s="3"/>
      <c r="BK643" s="3"/>
      <c r="BL643" s="3"/>
      <c r="BM643" s="3"/>
      <c r="BN643" s="1279">
        <f>IF(J775="SRO/Studio",O775,0)</f>
        <v>0</v>
      </c>
      <c r="BO643" s="1280"/>
      <c r="BP643" s="1280"/>
      <c r="BQ643" s="1280"/>
      <c r="BR643" s="1281"/>
      <c r="BS643" s="1234">
        <f>IF(J775="1 Bedroom",O775,0)</f>
        <v>0</v>
      </c>
      <c r="BT643" s="1234"/>
      <c r="BU643" s="1234"/>
      <c r="BV643" s="1234"/>
      <c r="BW643" s="1234"/>
      <c r="BX643" s="1234">
        <f>IF(J775="2 Bedrooms",O775,0)</f>
        <v>0</v>
      </c>
      <c r="BY643" s="1234"/>
      <c r="BZ643" s="1234"/>
      <c r="CA643" s="1234"/>
      <c r="CB643" s="1234"/>
      <c r="CC643" s="1234">
        <f>IF(J775="3 Bedrooms",O775,0)</f>
        <v>0</v>
      </c>
      <c r="CD643" s="1234"/>
      <c r="CE643" s="1234"/>
      <c r="CF643" s="1234"/>
      <c r="CG643" s="1234"/>
      <c r="CH643" s="1234">
        <f>IF(J775="4 Bedrooms",O775,0)</f>
        <v>0</v>
      </c>
      <c r="CI643" s="1234"/>
      <c r="CJ643" s="1234"/>
      <c r="CK643" s="1234"/>
      <c r="CL643" s="1234"/>
      <c r="CM643" s="1234">
        <f>IF(J775="5 Bedrooms",O775,0)</f>
        <v>0</v>
      </c>
      <c r="CN643" s="1234"/>
      <c r="CO643" s="1234"/>
      <c r="CP643" s="1234"/>
      <c r="CQ643" s="1234"/>
      <c r="CV643" s="3"/>
      <c r="CW643" s="3"/>
      <c r="CX643" s="3"/>
      <c r="CY643" s="3"/>
      <c r="CZ643" s="3"/>
      <c r="DA643" s="3"/>
      <c r="DB643" s="3"/>
      <c r="DC643" s="3"/>
      <c r="DD643" s="3"/>
      <c r="DE643" s="3"/>
      <c r="DF643" s="3"/>
      <c r="DX643" s="1697" t="e">
        <f t="shared" si="22"/>
        <v>#VALUE!</v>
      </c>
      <c r="DY643" s="1697"/>
      <c r="DZ643" s="1697"/>
      <c r="EA643" s="1697"/>
      <c r="EB643" s="1697"/>
      <c r="EC643" s="1697" t="e">
        <f t="shared" si="23"/>
        <v>#VALUE!</v>
      </c>
      <c r="ED643" s="1697"/>
      <c r="EE643" s="1697"/>
      <c r="EF643" s="1697"/>
      <c r="EG643" s="1697"/>
      <c r="EH643" s="1697">
        <f t="shared" si="24"/>
        <v>103.77677419354838</v>
      </c>
      <c r="EI643" s="1697"/>
      <c r="EJ643" s="1697"/>
      <c r="EK643" s="1697"/>
      <c r="EL643" s="1697"/>
      <c r="EM643" s="1697" t="e">
        <f t="shared" si="25"/>
        <v>#VALUE!</v>
      </c>
      <c r="EN643" s="1697"/>
      <c r="EO643" s="1697"/>
      <c r="EP643" s="1697"/>
      <c r="EQ643" s="1697"/>
      <c r="ER643" s="1697" t="e">
        <f t="shared" si="26"/>
        <v>#VALUE!</v>
      </c>
      <c r="ES643" s="1697"/>
      <c r="ET643" s="1697"/>
      <c r="EU643" s="1697"/>
      <c r="EV643" s="1697"/>
      <c r="EW643" s="1697" t="e">
        <f t="shared" si="27"/>
        <v>#VALUE!</v>
      </c>
      <c r="EX643" s="1697"/>
      <c r="EY643" s="1697"/>
      <c r="EZ643" s="1697"/>
      <c r="FA643" s="1697"/>
    </row>
    <row r="644" spans="1:157" ht="12.75">
      <c r="B644" s="45" t="s">
        <v>1465</v>
      </c>
      <c r="C644" s="1224"/>
      <c r="D644" s="1224"/>
      <c r="E644" s="1224"/>
      <c r="F644" s="1224"/>
      <c r="G644" s="1224"/>
      <c r="H644" s="1224"/>
      <c r="I644" s="1224"/>
      <c r="J644" s="1224"/>
      <c r="K644" s="1224"/>
      <c r="L644" s="1224"/>
      <c r="M644" s="1224"/>
      <c r="N644" s="1225"/>
      <c r="O644" s="1539"/>
      <c r="P644" s="1540"/>
      <c r="Q644" s="1541"/>
      <c r="R644" s="1210"/>
      <c r="S644" s="1211"/>
      <c r="T644" s="1212"/>
      <c r="U644" s="1553"/>
      <c r="V644" s="1554"/>
      <c r="W644" s="1555"/>
      <c r="X644" s="1471" t="s">
        <v>1322</v>
      </c>
      <c r="Y644" s="1472"/>
      <c r="Z644" s="1472"/>
      <c r="AA644" s="1472"/>
      <c r="AB644" s="1473"/>
      <c r="AC644" s="1330"/>
      <c r="AD644" s="1331"/>
      <c r="AE644" s="1332"/>
      <c r="AF644" s="1448"/>
      <c r="AG644" s="1449"/>
      <c r="AH644" s="1449"/>
      <c r="AI644" s="1449"/>
      <c r="AJ644" s="1450"/>
      <c r="AK644" s="1543"/>
      <c r="AL644" s="1544"/>
      <c r="AM644" s="1544"/>
      <c r="AN644" s="1545"/>
      <c r="AO644" s="1333"/>
      <c r="AP644" s="1333"/>
      <c r="AQ644" s="1333"/>
      <c r="AR644" s="1333"/>
      <c r="AS644" s="1333"/>
      <c r="AT644" s="3"/>
      <c r="AU644" s="3"/>
      <c r="AV644" s="3"/>
      <c r="AW644" s="3"/>
      <c r="AX644" s="3"/>
      <c r="AY644" s="3"/>
      <c r="AZ644" s="3"/>
      <c r="BA644" s="3"/>
      <c r="BB644" s="3"/>
      <c r="BC644" s="3"/>
      <c r="BD644" s="3"/>
      <c r="BE644" s="3"/>
      <c r="BF644" s="3"/>
      <c r="BG644" s="3"/>
      <c r="BH644" s="3"/>
      <c r="BI644" s="3"/>
      <c r="BJ644" s="3"/>
      <c r="BK644" s="3"/>
      <c r="BL644" s="3"/>
      <c r="BM644" s="3"/>
      <c r="BN644" s="1230">
        <f>SUM(BN640:BR643)</f>
        <v>0</v>
      </c>
      <c r="BO644" s="1231"/>
      <c r="BP644" s="1231"/>
      <c r="BQ644" s="1231"/>
      <c r="BR644" s="1232"/>
      <c r="BS644" s="1230">
        <f>SUM(BS640:BW643)</f>
        <v>0</v>
      </c>
      <c r="BT644" s="1231"/>
      <c r="BU644" s="1231"/>
      <c r="BV644" s="1231"/>
      <c r="BW644" s="1232"/>
      <c r="BX644" s="1230">
        <f>SUM(BX640:CB643)</f>
        <v>1</v>
      </c>
      <c r="BY644" s="1231"/>
      <c r="BZ644" s="1231"/>
      <c r="CA644" s="1231"/>
      <c r="CB644" s="1232"/>
      <c r="CC644" s="1230">
        <f>SUM(CC640:CG643)</f>
        <v>0</v>
      </c>
      <c r="CD644" s="1231"/>
      <c r="CE644" s="1231"/>
      <c r="CF644" s="1231"/>
      <c r="CG644" s="1232"/>
      <c r="CH644" s="1230">
        <f>SUM(CH640:CL643)</f>
        <v>0</v>
      </c>
      <c r="CI644" s="1231"/>
      <c r="CJ644" s="1231"/>
      <c r="CK644" s="1231"/>
      <c r="CL644" s="1232"/>
      <c r="CM644" s="1230">
        <f>SUM(CM640:CQ643)</f>
        <v>0</v>
      </c>
      <c r="CN644" s="1231"/>
      <c r="CO644" s="1231"/>
      <c r="CP644" s="1231"/>
      <c r="CQ644" s="1232"/>
      <c r="CS644" s="822">
        <f>BN644+BS644+BX644+CC644+CH644+CM644</f>
        <v>1</v>
      </c>
      <c r="CT644" s="50" t="s">
        <v>1511</v>
      </c>
      <c r="CU644" s="3"/>
      <c r="CV644" s="3"/>
      <c r="CW644" s="3"/>
      <c r="CX644" s="3"/>
      <c r="CY644" s="3"/>
      <c r="CZ644" s="3"/>
      <c r="DA644" s="3"/>
      <c r="DB644" s="3"/>
      <c r="DC644" s="3"/>
      <c r="DD644" s="3"/>
      <c r="DE644" s="3"/>
      <c r="DF644" s="3"/>
      <c r="DX644" s="1697" t="e">
        <f t="shared" si="22"/>
        <v>#VALUE!</v>
      </c>
      <c r="DY644" s="1697"/>
      <c r="DZ644" s="1697"/>
      <c r="EA644" s="1697"/>
      <c r="EB644" s="1697"/>
      <c r="EC644" s="1697" t="e">
        <f t="shared" si="23"/>
        <v>#VALUE!</v>
      </c>
      <c r="ED644" s="1697"/>
      <c r="EE644" s="1697"/>
      <c r="EF644" s="1697"/>
      <c r="EG644" s="1697"/>
      <c r="EH644" s="1697" t="e">
        <f t="shared" si="24"/>
        <v>#VALUE!</v>
      </c>
      <c r="EI644" s="1697"/>
      <c r="EJ644" s="1697"/>
      <c r="EK644" s="1697"/>
      <c r="EL644" s="1697"/>
      <c r="EM644" s="1697">
        <f t="shared" si="25"/>
        <v>1405.92</v>
      </c>
      <c r="EN644" s="1697"/>
      <c r="EO644" s="1697"/>
      <c r="EP644" s="1697"/>
      <c r="EQ644" s="1697"/>
      <c r="ER644" s="1697" t="e">
        <f t="shared" si="26"/>
        <v>#VALUE!</v>
      </c>
      <c r="ES644" s="1697"/>
      <c r="ET644" s="1697"/>
      <c r="EU644" s="1697"/>
      <c r="EV644" s="1697"/>
      <c r="EW644" s="1697" t="e">
        <f t="shared" si="27"/>
        <v>#VALUE!</v>
      </c>
      <c r="EX644" s="1697"/>
      <c r="EY644" s="1697"/>
      <c r="EZ644" s="1697"/>
      <c r="FA644" s="1697"/>
    </row>
    <row r="645" spans="1:157" ht="12.75">
      <c r="B645" s="45" t="s">
        <v>1467</v>
      </c>
      <c r="C645" s="1224"/>
      <c r="D645" s="1224"/>
      <c r="E645" s="1224"/>
      <c r="F645" s="1224"/>
      <c r="G645" s="1224"/>
      <c r="H645" s="1224"/>
      <c r="I645" s="1224"/>
      <c r="J645" s="1224"/>
      <c r="K645" s="1224"/>
      <c r="L645" s="1224"/>
      <c r="M645" s="1224"/>
      <c r="N645" s="1225"/>
      <c r="O645" s="1539"/>
      <c r="P645" s="1540"/>
      <c r="Q645" s="1541"/>
      <c r="R645" s="1210"/>
      <c r="S645" s="1211"/>
      <c r="T645" s="1212"/>
      <c r="U645" s="1553"/>
      <c r="V645" s="1554"/>
      <c r="W645" s="1555"/>
      <c r="X645" s="1471" t="s">
        <v>1322</v>
      </c>
      <c r="Y645" s="1472"/>
      <c r="Z645" s="1472"/>
      <c r="AA645" s="1472"/>
      <c r="AB645" s="1473"/>
      <c r="AC645" s="1330"/>
      <c r="AD645" s="1331"/>
      <c r="AE645" s="1332"/>
      <c r="AF645" s="1448"/>
      <c r="AG645" s="1449"/>
      <c r="AH645" s="1449"/>
      <c r="AI645" s="1449"/>
      <c r="AJ645" s="1450"/>
      <c r="AK645" s="1543"/>
      <c r="AL645" s="1544"/>
      <c r="AM645" s="1544"/>
      <c r="AN645" s="1545"/>
      <c r="AO645" s="1333"/>
      <c r="AP645" s="1333"/>
      <c r="AQ645" s="1333"/>
      <c r="AR645" s="1333"/>
      <c r="AS645" s="1333"/>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1512</v>
      </c>
      <c r="CU645" s="3"/>
      <c r="CV645" s="3"/>
      <c r="CW645" s="3"/>
      <c r="CX645" s="3"/>
      <c r="CY645" s="3"/>
      <c r="CZ645" s="3"/>
      <c r="DA645" s="3"/>
      <c r="DB645" s="3"/>
      <c r="DC645" s="3"/>
      <c r="DD645" s="3"/>
      <c r="DE645" s="3"/>
      <c r="DF645" s="3"/>
      <c r="DX645" s="1697" t="e">
        <f t="shared" si="22"/>
        <v>#VALUE!</v>
      </c>
      <c r="DY645" s="1697"/>
      <c r="DZ645" s="1697"/>
      <c r="EA645" s="1697"/>
      <c r="EB645" s="1697"/>
      <c r="EC645" s="1697" t="e">
        <f t="shared" si="23"/>
        <v>#VALUE!</v>
      </c>
      <c r="ED645" s="1697"/>
      <c r="EE645" s="1697"/>
      <c r="EF645" s="1697"/>
      <c r="EG645" s="1697"/>
      <c r="EH645" s="1697" t="e">
        <f t="shared" si="24"/>
        <v>#VALUE!</v>
      </c>
      <c r="EI645" s="1697"/>
      <c r="EJ645" s="1697"/>
      <c r="EK645" s="1697"/>
      <c r="EL645" s="1697"/>
      <c r="EM645" s="1697">
        <f t="shared" si="25"/>
        <v>194.94499999999999</v>
      </c>
      <c r="EN645" s="1697"/>
      <c r="EO645" s="1697"/>
      <c r="EP645" s="1697"/>
      <c r="EQ645" s="1697"/>
      <c r="ER645" s="1697" t="e">
        <f t="shared" si="26"/>
        <v>#VALUE!</v>
      </c>
      <c r="ES645" s="1697"/>
      <c r="ET645" s="1697"/>
      <c r="EU645" s="1697"/>
      <c r="EV645" s="1697"/>
      <c r="EW645" s="1697" t="e">
        <f t="shared" si="27"/>
        <v>#VALUE!</v>
      </c>
      <c r="EX645" s="1697"/>
      <c r="EY645" s="1697"/>
      <c r="EZ645" s="1697"/>
      <c r="FA645" s="1697"/>
    </row>
    <row r="646" spans="1:157" ht="12.75">
      <c r="B646" s="45" t="s">
        <v>1469</v>
      </c>
      <c r="C646" s="1224"/>
      <c r="D646" s="1224"/>
      <c r="E646" s="1224"/>
      <c r="F646" s="1224"/>
      <c r="G646" s="1224"/>
      <c r="H646" s="1224"/>
      <c r="I646" s="1224"/>
      <c r="J646" s="1224"/>
      <c r="K646" s="1224"/>
      <c r="L646" s="1224"/>
      <c r="M646" s="1224"/>
      <c r="N646" s="1225"/>
      <c r="O646" s="1539"/>
      <c r="P646" s="1540"/>
      <c r="Q646" s="1541"/>
      <c r="R646" s="1210"/>
      <c r="S646" s="1211"/>
      <c r="T646" s="1212"/>
      <c r="U646" s="1553"/>
      <c r="V646" s="1554"/>
      <c r="W646" s="1555"/>
      <c r="X646" s="1471" t="s">
        <v>1322</v>
      </c>
      <c r="Y646" s="1472"/>
      <c r="Z646" s="1472"/>
      <c r="AA646" s="1472"/>
      <c r="AB646" s="1473"/>
      <c r="AC646" s="1330"/>
      <c r="AD646" s="1331"/>
      <c r="AE646" s="1332"/>
      <c r="AF646" s="1448"/>
      <c r="AG646" s="1449"/>
      <c r="AH646" s="1449"/>
      <c r="AI646" s="1449"/>
      <c r="AJ646" s="1450"/>
      <c r="AK646" s="1543"/>
      <c r="AL646" s="1544"/>
      <c r="AM646" s="1544"/>
      <c r="AN646" s="1545"/>
      <c r="AO646" s="1333"/>
      <c r="AP646" s="1333"/>
      <c r="AQ646" s="1333"/>
      <c r="AR646" s="1333"/>
      <c r="AS646" s="1333"/>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697" t="e">
        <f t="shared" si="22"/>
        <v>#VALUE!</v>
      </c>
      <c r="DY646" s="1697"/>
      <c r="DZ646" s="1697"/>
      <c r="EA646" s="1697"/>
      <c r="EB646" s="1697"/>
      <c r="EC646" s="1697" t="e">
        <f t="shared" si="23"/>
        <v>#VALUE!</v>
      </c>
      <c r="ED646" s="1697"/>
      <c r="EE646" s="1697"/>
      <c r="EF646" s="1697"/>
      <c r="EG646" s="1697"/>
      <c r="EH646" s="1697" t="e">
        <f t="shared" si="24"/>
        <v>#VALUE!</v>
      </c>
      <c r="EI646" s="1697"/>
      <c r="EJ646" s="1697"/>
      <c r="EK646" s="1697"/>
      <c r="EL646" s="1697"/>
      <c r="EM646" s="1697">
        <f t="shared" si="25"/>
        <v>116.19499999999999</v>
      </c>
      <c r="EN646" s="1697"/>
      <c r="EO646" s="1697"/>
      <c r="EP646" s="1697"/>
      <c r="EQ646" s="1697"/>
      <c r="ER646" s="1697" t="e">
        <f t="shared" si="26"/>
        <v>#VALUE!</v>
      </c>
      <c r="ES646" s="1697"/>
      <c r="ET646" s="1697"/>
      <c r="EU646" s="1697"/>
      <c r="EV646" s="1697"/>
      <c r="EW646" s="1697" t="e">
        <f t="shared" si="27"/>
        <v>#VALUE!</v>
      </c>
      <c r="EX646" s="1697"/>
      <c r="EY646" s="1697"/>
      <c r="EZ646" s="1697"/>
      <c r="FA646" s="1697"/>
    </row>
    <row r="647" spans="1:157" ht="12.75">
      <c r="B647" s="45" t="s">
        <v>1470</v>
      </c>
      <c r="C647" s="1224"/>
      <c r="D647" s="1224"/>
      <c r="E647" s="1224"/>
      <c r="F647" s="1224"/>
      <c r="G647" s="1224"/>
      <c r="H647" s="1224"/>
      <c r="I647" s="1224"/>
      <c r="J647" s="1224"/>
      <c r="K647" s="1224"/>
      <c r="L647" s="1224"/>
      <c r="M647" s="1224"/>
      <c r="N647" s="1225"/>
      <c r="O647" s="1539"/>
      <c r="P647" s="1540"/>
      <c r="Q647" s="1541"/>
      <c r="R647" s="1210"/>
      <c r="S647" s="1211"/>
      <c r="T647" s="1212"/>
      <c r="U647" s="1553"/>
      <c r="V647" s="1554"/>
      <c r="W647" s="1555"/>
      <c r="X647" s="1471" t="s">
        <v>1322</v>
      </c>
      <c r="Y647" s="1472"/>
      <c r="Z647" s="1472"/>
      <c r="AA647" s="1472"/>
      <c r="AB647" s="1473"/>
      <c r="AC647" s="1330"/>
      <c r="AD647" s="1331"/>
      <c r="AE647" s="1332"/>
      <c r="AF647" s="1448"/>
      <c r="AG647" s="1449"/>
      <c r="AH647" s="1449"/>
      <c r="AI647" s="1449"/>
      <c r="AJ647" s="1450"/>
      <c r="AK647" s="1543"/>
      <c r="AL647" s="1544"/>
      <c r="AM647" s="1544"/>
      <c r="AN647" s="1545"/>
      <c r="AO647" s="1333"/>
      <c r="AP647" s="1333"/>
      <c r="AQ647" s="1333"/>
      <c r="AR647" s="1333"/>
      <c r="AS647" s="1333"/>
      <c r="AT647" s="3"/>
      <c r="AU647" s="3"/>
      <c r="AV647" s="3"/>
      <c r="AW647" s="3"/>
      <c r="AX647" s="3"/>
      <c r="AY647" s="3"/>
      <c r="AZ647" s="3"/>
      <c r="BA647" s="3"/>
      <c r="BB647" s="3"/>
      <c r="BC647" s="3"/>
      <c r="BD647" s="3"/>
      <c r="BE647" s="3"/>
      <c r="BF647" s="3"/>
      <c r="BG647" s="3"/>
      <c r="BH647" s="3"/>
      <c r="BI647" s="3"/>
      <c r="BJ647" s="3"/>
      <c r="BK647" s="3"/>
      <c r="BL647" s="3"/>
      <c r="BM647" s="3"/>
      <c r="BN647" s="3" t="s">
        <v>1513</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1514</v>
      </c>
      <c r="CT647" s="3"/>
      <c r="CU647" s="3"/>
      <c r="CV647" s="3"/>
      <c r="CW647" s="3"/>
      <c r="CX647" s="3"/>
      <c r="CY647" s="3"/>
      <c r="CZ647" s="3"/>
      <c r="DA647" s="3"/>
      <c r="DB647" s="3"/>
      <c r="DC647" s="3"/>
      <c r="DD647" s="3"/>
      <c r="DE647" s="3"/>
      <c r="DF647" s="3"/>
      <c r="DX647" s="1697" t="e">
        <f t="shared" si="22"/>
        <v>#VALUE!</v>
      </c>
      <c r="DY647" s="1697"/>
      <c r="DZ647" s="1697"/>
      <c r="EA647" s="1697"/>
      <c r="EB647" s="1697"/>
      <c r="EC647" s="1697" t="e">
        <f t="shared" si="23"/>
        <v>#VALUE!</v>
      </c>
      <c r="ED647" s="1697"/>
      <c r="EE647" s="1697"/>
      <c r="EF647" s="1697"/>
      <c r="EG647" s="1697"/>
      <c r="EH647" s="1697" t="e">
        <f t="shared" si="24"/>
        <v>#VALUE!</v>
      </c>
      <c r="EI647" s="1697"/>
      <c r="EJ647" s="1697"/>
      <c r="EK647" s="1697"/>
      <c r="EL647" s="1697"/>
      <c r="EM647" s="1697" t="e">
        <f t="shared" si="25"/>
        <v>#VALUE!</v>
      </c>
      <c r="EN647" s="1697"/>
      <c r="EO647" s="1697"/>
      <c r="EP647" s="1697"/>
      <c r="EQ647" s="1697"/>
      <c r="ER647" s="1697" t="e">
        <f t="shared" si="26"/>
        <v>#VALUE!</v>
      </c>
      <c r="ES647" s="1697"/>
      <c r="ET647" s="1697"/>
      <c r="EU647" s="1697"/>
      <c r="EV647" s="1697"/>
      <c r="EW647" s="1697" t="e">
        <f t="shared" si="27"/>
        <v>#VALUE!</v>
      </c>
      <c r="EX647" s="1697"/>
      <c r="EY647" s="1697"/>
      <c r="EZ647" s="1697"/>
      <c r="FA647" s="1697"/>
    </row>
    <row r="648" spans="1:157" ht="12.75">
      <c r="B648" s="45" t="s">
        <v>1471</v>
      </c>
      <c r="C648" s="1224"/>
      <c r="D648" s="1224"/>
      <c r="E648" s="1224"/>
      <c r="F648" s="1224"/>
      <c r="G648" s="1224"/>
      <c r="H648" s="1224"/>
      <c r="I648" s="1224"/>
      <c r="J648" s="1224"/>
      <c r="K648" s="1224"/>
      <c r="L648" s="1224"/>
      <c r="M648" s="1224"/>
      <c r="N648" s="1225"/>
      <c r="O648" s="1539"/>
      <c r="P648" s="1540"/>
      <c r="Q648" s="1541"/>
      <c r="R648" s="1210"/>
      <c r="S648" s="1211"/>
      <c r="T648" s="1212"/>
      <c r="U648" s="1553"/>
      <c r="V648" s="1554"/>
      <c r="W648" s="1555"/>
      <c r="X648" s="1471" t="s">
        <v>1322</v>
      </c>
      <c r="Y648" s="1472"/>
      <c r="Z648" s="1472"/>
      <c r="AA648" s="1472"/>
      <c r="AB648" s="1473"/>
      <c r="AC648" s="1330"/>
      <c r="AD648" s="1331"/>
      <c r="AE648" s="1332"/>
      <c r="AF648" s="1448"/>
      <c r="AG648" s="1449"/>
      <c r="AH648" s="1449"/>
      <c r="AI648" s="1449"/>
      <c r="AJ648" s="1450"/>
      <c r="AK648" s="1543"/>
      <c r="AL648" s="1544"/>
      <c r="AM648" s="1544"/>
      <c r="AN648" s="1545"/>
      <c r="AO648" s="1333"/>
      <c r="AP648" s="1333"/>
      <c r="AQ648" s="1333"/>
      <c r="AR648" s="1333"/>
      <c r="AS648" s="1333"/>
      <c r="AT648" s="3"/>
      <c r="AU648" s="3"/>
      <c r="AV648" s="3"/>
      <c r="AW648" s="3"/>
      <c r="AX648" s="3"/>
      <c r="AY648" s="3"/>
      <c r="AZ648" s="3"/>
      <c r="BA648" s="3"/>
      <c r="BB648" s="3"/>
      <c r="BC648" s="3"/>
      <c r="BD648" s="3"/>
      <c r="BE648" s="3"/>
      <c r="BF648" s="3"/>
      <c r="BG648" s="3"/>
      <c r="BH648" s="3"/>
      <c r="BI648" s="3"/>
      <c r="BJ648" s="3"/>
      <c r="BK648" s="3"/>
      <c r="BL648" s="3"/>
      <c r="BM648" s="3"/>
      <c r="BN648" s="1279">
        <f t="shared" ref="BN648:BN657" si="28">IF(J786="SRO/Studio",O786,0)</f>
        <v>0</v>
      </c>
      <c r="BO648" s="1280"/>
      <c r="BP648" s="1280"/>
      <c r="BQ648" s="1280"/>
      <c r="BR648" s="1281"/>
      <c r="BS648" s="1234">
        <f t="shared" ref="BS648:BS657" si="29">IF(J786="1 Bedroom",O786,0)</f>
        <v>0</v>
      </c>
      <c r="BT648" s="1234"/>
      <c r="BU648" s="1234"/>
      <c r="BV648" s="1234"/>
      <c r="BW648" s="1234"/>
      <c r="BX648" s="1234">
        <f t="shared" ref="BX648:BX657" si="30">IF(J786="2 Bedrooms",O786,0)</f>
        <v>0</v>
      </c>
      <c r="BY648" s="1234"/>
      <c r="BZ648" s="1234"/>
      <c r="CA648" s="1234"/>
      <c r="CB648" s="1234"/>
      <c r="CC648" s="1234">
        <f t="shared" ref="CC648:CC657" si="31">IF(J786="3 Bedrooms",O786,0)</f>
        <v>0</v>
      </c>
      <c r="CD648" s="1234"/>
      <c r="CE648" s="1234"/>
      <c r="CF648" s="1234"/>
      <c r="CG648" s="1234"/>
      <c r="CH648" s="1234">
        <f t="shared" ref="CH648:CH657" si="32">IF(J786="4 Bedrooms",O786,0)</f>
        <v>0</v>
      </c>
      <c r="CI648" s="1234"/>
      <c r="CJ648" s="1234"/>
      <c r="CK648" s="1234"/>
      <c r="CL648" s="1234"/>
      <c r="CM648" s="1234">
        <f t="shared" ref="CM648:CM657" si="33">IF(J786="5 Bedrooms",O786,0)</f>
        <v>0</v>
      </c>
      <c r="CN648" s="1234"/>
      <c r="CO648" s="1234"/>
      <c r="CP648" s="1234"/>
      <c r="CQ648" s="1234"/>
      <c r="CR648" s="285"/>
      <c r="CS648" s="1279">
        <f>IF(AND(BN648&gt;=1,AH786&gt;=0.1,AH786&lt;=1),O786,0)</f>
        <v>0</v>
      </c>
      <c r="CT648" s="1280"/>
      <c r="CU648" s="1280"/>
      <c r="CV648" s="1280"/>
      <c r="CW648" s="1281"/>
      <c r="CX648" s="1279">
        <f>IF(AND(BS648&gt;=1,AH786&gt;=0.1,AH786&lt;=1),O786,0)</f>
        <v>0</v>
      </c>
      <c r="CY648" s="1280"/>
      <c r="CZ648" s="1280"/>
      <c r="DA648" s="1280"/>
      <c r="DB648" s="1281"/>
      <c r="DC648" s="1279">
        <f>IF(AND(BX648&gt;=1,AH786&gt;=0.1,AH786&lt;=1),O786,0)</f>
        <v>0</v>
      </c>
      <c r="DD648" s="1280"/>
      <c r="DE648" s="1280"/>
      <c r="DF648" s="1280"/>
      <c r="DG648" s="1281"/>
      <c r="DH648" s="1279">
        <f>IF(AND(CC648&gt;=1,AH786&gt;=0.1,AH786&lt;=1),O786,0)</f>
        <v>0</v>
      </c>
      <c r="DI648" s="1280"/>
      <c r="DJ648" s="1280"/>
      <c r="DK648" s="1280"/>
      <c r="DL648" s="1281"/>
      <c r="DM648" s="1279">
        <f>IF(AND(CH648&gt;=1,AH786&gt;=0.1,AH786&lt;=1),O786,0)</f>
        <v>0</v>
      </c>
      <c r="DN648" s="1280"/>
      <c r="DO648" s="1280"/>
      <c r="DP648" s="1280"/>
      <c r="DQ648" s="1281"/>
      <c r="DR648" s="1279">
        <f>IF(AND(CM648&gt;=1,AH786&gt;=0.1,AH786&lt;=1),O786,0)</f>
        <v>0</v>
      </c>
      <c r="DS648" s="1280"/>
      <c r="DT648" s="1280"/>
      <c r="DU648" s="1280"/>
      <c r="DV648" s="1281"/>
      <c r="DX648" s="1697" t="e">
        <f t="shared" si="22"/>
        <v>#VALUE!</v>
      </c>
      <c r="DY648" s="1697"/>
      <c r="DZ648" s="1697"/>
      <c r="EA648" s="1697"/>
      <c r="EB648" s="1697"/>
      <c r="EC648" s="1697" t="e">
        <f t="shared" si="23"/>
        <v>#VALUE!</v>
      </c>
      <c r="ED648" s="1697"/>
      <c r="EE648" s="1697"/>
      <c r="EF648" s="1697"/>
      <c r="EG648" s="1697"/>
      <c r="EH648" s="1697" t="e">
        <f t="shared" si="24"/>
        <v>#VALUE!</v>
      </c>
      <c r="EI648" s="1697"/>
      <c r="EJ648" s="1697"/>
      <c r="EK648" s="1697"/>
      <c r="EL648" s="1697"/>
      <c r="EM648" s="1697" t="e">
        <f t="shared" si="25"/>
        <v>#VALUE!</v>
      </c>
      <c r="EN648" s="1697"/>
      <c r="EO648" s="1697"/>
      <c r="EP648" s="1697"/>
      <c r="EQ648" s="1697"/>
      <c r="ER648" s="1697" t="e">
        <f t="shared" si="26"/>
        <v>#VALUE!</v>
      </c>
      <c r="ES648" s="1697"/>
      <c r="ET648" s="1697"/>
      <c r="EU648" s="1697"/>
      <c r="EV648" s="1697"/>
      <c r="EW648" s="1697" t="e">
        <f t="shared" si="27"/>
        <v>#VALUE!</v>
      </c>
      <c r="EX648" s="1697"/>
      <c r="EY648" s="1697"/>
      <c r="EZ648" s="1697"/>
      <c r="FA648" s="1697"/>
    </row>
    <row r="649" spans="1:157" ht="12.75">
      <c r="B649" s="1374" t="s">
        <v>1515</v>
      </c>
      <c r="C649" s="1375"/>
      <c r="D649" s="1375"/>
      <c r="E649" s="1375"/>
      <c r="F649" s="1375"/>
      <c r="G649" s="1375"/>
      <c r="H649" s="1375"/>
      <c r="I649" s="1375"/>
      <c r="J649" s="1375"/>
      <c r="K649" s="1375"/>
      <c r="L649" s="1375"/>
      <c r="M649" s="1375"/>
      <c r="N649" s="1375"/>
      <c r="O649" s="1375"/>
      <c r="P649" s="1375"/>
      <c r="Q649" s="1375"/>
      <c r="R649" s="1375"/>
      <c r="S649" s="1375"/>
      <c r="T649" s="1375"/>
      <c r="U649" s="1375"/>
      <c r="V649" s="1375"/>
      <c r="W649" s="1375"/>
      <c r="X649" s="1375"/>
      <c r="Y649" s="1375"/>
      <c r="Z649" s="1375"/>
      <c r="AA649" s="1375"/>
      <c r="AB649" s="1375"/>
      <c r="AC649" s="1375"/>
      <c r="AD649" s="1375"/>
      <c r="AE649" s="1375"/>
      <c r="AF649" s="1375"/>
      <c r="AG649" s="1375"/>
      <c r="AH649" s="1375"/>
      <c r="AI649" s="1375"/>
      <c r="AJ649" s="1375"/>
      <c r="AK649" s="1375"/>
      <c r="AL649" s="1375"/>
      <c r="AM649" s="1375"/>
      <c r="AN649" s="1377"/>
      <c r="AO649" s="1335">
        <f>SUM(AO637:AR648)</f>
        <v>29458477</v>
      </c>
      <c r="AP649" s="1336"/>
      <c r="AQ649" s="1336"/>
      <c r="AR649" s="1336"/>
      <c r="AS649" s="1337"/>
      <c r="AZ649" s="3"/>
      <c r="BA649" s="3"/>
      <c r="BB649" s="3"/>
      <c r="BC649" s="3"/>
      <c r="BD649" s="3"/>
      <c r="BE649" s="3"/>
      <c r="BF649" s="3"/>
      <c r="BG649" s="3"/>
      <c r="BH649" s="3"/>
      <c r="BI649" s="3"/>
      <c r="BJ649" s="3"/>
      <c r="BK649" s="3"/>
      <c r="BL649" s="3"/>
      <c r="BM649" s="3"/>
      <c r="BN649" s="1279">
        <f t="shared" si="28"/>
        <v>0</v>
      </c>
      <c r="BO649" s="1280"/>
      <c r="BP649" s="1280"/>
      <c r="BQ649" s="1280"/>
      <c r="BR649" s="1281"/>
      <c r="BS649" s="1234">
        <f t="shared" si="29"/>
        <v>0</v>
      </c>
      <c r="BT649" s="1234"/>
      <c r="BU649" s="1234"/>
      <c r="BV649" s="1234"/>
      <c r="BW649" s="1234"/>
      <c r="BX649" s="1234">
        <f t="shared" si="30"/>
        <v>0</v>
      </c>
      <c r="BY649" s="1234"/>
      <c r="BZ649" s="1234"/>
      <c r="CA649" s="1234"/>
      <c r="CB649" s="1234"/>
      <c r="CC649" s="1234">
        <f t="shared" si="31"/>
        <v>0</v>
      </c>
      <c r="CD649" s="1234"/>
      <c r="CE649" s="1234"/>
      <c r="CF649" s="1234"/>
      <c r="CG649" s="1234"/>
      <c r="CH649" s="1234">
        <f t="shared" si="32"/>
        <v>0</v>
      </c>
      <c r="CI649" s="1234"/>
      <c r="CJ649" s="1234"/>
      <c r="CK649" s="1234"/>
      <c r="CL649" s="1234"/>
      <c r="CM649" s="1234">
        <f t="shared" si="33"/>
        <v>0</v>
      </c>
      <c r="CN649" s="1234"/>
      <c r="CO649" s="1234"/>
      <c r="CP649" s="1234"/>
      <c r="CQ649" s="1234"/>
      <c r="CR649" s="285"/>
      <c r="CS649" s="1279">
        <f t="shared" ref="CS649:CS657" si="34">IF(AND(BN649&gt;=1,AH787&gt;=0.1,AH787&lt;=1),O787,0)</f>
        <v>0</v>
      </c>
      <c r="CT649" s="1280"/>
      <c r="CU649" s="1280"/>
      <c r="CV649" s="1280"/>
      <c r="CW649" s="1281"/>
      <c r="CX649" s="1279">
        <f t="shared" ref="CX649:CX657" si="35">IF(AND(BS649&gt;=1,AH787&gt;=0.1,AH787&lt;=1),O787,0)</f>
        <v>0</v>
      </c>
      <c r="CY649" s="1280"/>
      <c r="CZ649" s="1280"/>
      <c r="DA649" s="1280"/>
      <c r="DB649" s="1281"/>
      <c r="DC649" s="1279">
        <f t="shared" ref="DC649:DC657" si="36">IF(AND(BX649&gt;=1,AH787&gt;=0.1,AH787&lt;=1),O787,0)</f>
        <v>0</v>
      </c>
      <c r="DD649" s="1280"/>
      <c r="DE649" s="1280"/>
      <c r="DF649" s="1280"/>
      <c r="DG649" s="1281"/>
      <c r="DH649" s="1279">
        <f t="shared" ref="DH649:DH657" si="37">IF(AND(CC649&gt;=1,AH787&gt;=0.1,AH787&lt;=1),O787,0)</f>
        <v>0</v>
      </c>
      <c r="DI649" s="1280"/>
      <c r="DJ649" s="1280"/>
      <c r="DK649" s="1280"/>
      <c r="DL649" s="1281"/>
      <c r="DM649" s="1279">
        <f t="shared" ref="DM649:DM657" si="38">IF(AND(CH649&gt;=1,AH787&gt;=0.1,AH787&lt;=1),O787,0)</f>
        <v>0</v>
      </c>
      <c r="DN649" s="1280"/>
      <c r="DO649" s="1280"/>
      <c r="DP649" s="1280"/>
      <c r="DQ649" s="1281"/>
      <c r="DR649" s="1279">
        <f t="shared" ref="DR649:DR657" si="39">IF(AND(CM649&gt;=1,AH787&gt;=0.1,AH787&lt;=1),O787,0)</f>
        <v>0</v>
      </c>
      <c r="DS649" s="1280"/>
      <c r="DT649" s="1280"/>
      <c r="DU649" s="1280"/>
      <c r="DV649" s="1281"/>
      <c r="DX649" s="1697" t="e">
        <f t="shared" si="22"/>
        <v>#VALUE!</v>
      </c>
      <c r="DY649" s="1697"/>
      <c r="DZ649" s="1697"/>
      <c r="EA649" s="1697"/>
      <c r="EB649" s="1697"/>
      <c r="EC649" s="1697" t="e">
        <f t="shared" si="23"/>
        <v>#VALUE!</v>
      </c>
      <c r="ED649" s="1697"/>
      <c r="EE649" s="1697"/>
      <c r="EF649" s="1697"/>
      <c r="EG649" s="1697"/>
      <c r="EH649" s="1697" t="e">
        <f t="shared" si="24"/>
        <v>#VALUE!</v>
      </c>
      <c r="EI649" s="1697"/>
      <c r="EJ649" s="1697"/>
      <c r="EK649" s="1697"/>
      <c r="EL649" s="1697"/>
      <c r="EM649" s="1697" t="e">
        <f t="shared" si="25"/>
        <v>#VALUE!</v>
      </c>
      <c r="EN649" s="1697"/>
      <c r="EO649" s="1697"/>
      <c r="EP649" s="1697"/>
      <c r="EQ649" s="1697"/>
      <c r="ER649" s="1697" t="e">
        <f t="shared" si="26"/>
        <v>#VALUE!</v>
      </c>
      <c r="ES649" s="1697"/>
      <c r="ET649" s="1697"/>
      <c r="EU649" s="1697"/>
      <c r="EV649" s="1697"/>
      <c r="EW649" s="1697" t="e">
        <f t="shared" si="27"/>
        <v>#VALUE!</v>
      </c>
      <c r="EX649" s="1697"/>
      <c r="EY649" s="1697"/>
      <c r="EZ649" s="1697"/>
      <c r="FA649" s="1697"/>
    </row>
    <row r="650" spans="1:157" ht="12.75" customHeight="1">
      <c r="B650" s="1374" t="s">
        <v>1516</v>
      </c>
      <c r="C650" s="1375"/>
      <c r="D650" s="1375"/>
      <c r="E650" s="1375"/>
      <c r="F650" s="1375"/>
      <c r="G650" s="1375"/>
      <c r="H650" s="1375"/>
      <c r="I650" s="1375"/>
      <c r="J650" s="1375"/>
      <c r="K650" s="1375"/>
      <c r="L650" s="1375"/>
      <c r="M650" s="1375"/>
      <c r="N650" s="1375"/>
      <c r="O650" s="1375"/>
      <c r="P650" s="1375"/>
      <c r="Q650" s="1375"/>
      <c r="R650" s="1375"/>
      <c r="S650" s="1375"/>
      <c r="T650" s="1375"/>
      <c r="U650" s="1375"/>
      <c r="V650" s="1375"/>
      <c r="W650" s="1375"/>
      <c r="X650" s="1375"/>
      <c r="Y650" s="1375"/>
      <c r="Z650" s="1375"/>
      <c r="AA650" s="1375"/>
      <c r="AB650" s="1375"/>
      <c r="AC650" s="1375"/>
      <c r="AD650" s="1375"/>
      <c r="AE650" s="1375"/>
      <c r="AF650" s="1375"/>
      <c r="AG650" s="1375"/>
      <c r="AH650" s="1375"/>
      <c r="AI650" s="1375"/>
      <c r="AJ650" s="1375"/>
      <c r="AK650" s="1375"/>
      <c r="AL650" s="1375"/>
      <c r="AM650" s="1375"/>
      <c r="AN650" s="1377"/>
      <c r="AO650" s="1226">
        <v>18659233</v>
      </c>
      <c r="AP650" s="1227"/>
      <c r="AQ650" s="1227"/>
      <c r="AR650" s="1227"/>
      <c r="AS650" s="1228"/>
      <c r="AZ650" s="3"/>
      <c r="BA650" s="3"/>
      <c r="BB650" s="3"/>
      <c r="BC650" s="3"/>
      <c r="BD650" s="3"/>
      <c r="BE650" s="3"/>
      <c r="BF650" s="3"/>
      <c r="BG650" s="3"/>
      <c r="BH650" s="3"/>
      <c r="BI650" s="3"/>
      <c r="BJ650" s="3"/>
      <c r="BK650" s="3"/>
      <c r="BL650" s="3"/>
      <c r="BM650" s="3"/>
      <c r="BN650" s="1279">
        <f t="shared" si="28"/>
        <v>0</v>
      </c>
      <c r="BO650" s="1280"/>
      <c r="BP650" s="1280"/>
      <c r="BQ650" s="1280"/>
      <c r="BR650" s="1281"/>
      <c r="BS650" s="1234">
        <f t="shared" si="29"/>
        <v>0</v>
      </c>
      <c r="BT650" s="1234"/>
      <c r="BU650" s="1234"/>
      <c r="BV650" s="1234"/>
      <c r="BW650" s="1234"/>
      <c r="BX650" s="1234">
        <f t="shared" si="30"/>
        <v>0</v>
      </c>
      <c r="BY650" s="1234"/>
      <c r="BZ650" s="1234"/>
      <c r="CA650" s="1234"/>
      <c r="CB650" s="1234"/>
      <c r="CC650" s="1234">
        <f t="shared" si="31"/>
        <v>0</v>
      </c>
      <c r="CD650" s="1234"/>
      <c r="CE650" s="1234"/>
      <c r="CF650" s="1234"/>
      <c r="CG650" s="1234"/>
      <c r="CH650" s="1234">
        <f t="shared" si="32"/>
        <v>0</v>
      </c>
      <c r="CI650" s="1234"/>
      <c r="CJ650" s="1234"/>
      <c r="CK650" s="1234"/>
      <c r="CL650" s="1234"/>
      <c r="CM650" s="1234">
        <f t="shared" si="33"/>
        <v>0</v>
      </c>
      <c r="CN650" s="1234"/>
      <c r="CO650" s="1234"/>
      <c r="CP650" s="1234"/>
      <c r="CQ650" s="1234"/>
      <c r="CR650" s="285"/>
      <c r="CS650" s="1279">
        <f t="shared" si="34"/>
        <v>0</v>
      </c>
      <c r="CT650" s="1280"/>
      <c r="CU650" s="1280"/>
      <c r="CV650" s="1280"/>
      <c r="CW650" s="1281"/>
      <c r="CX650" s="1279">
        <f t="shared" si="35"/>
        <v>0</v>
      </c>
      <c r="CY650" s="1280"/>
      <c r="CZ650" s="1280"/>
      <c r="DA650" s="1280"/>
      <c r="DB650" s="1281"/>
      <c r="DC650" s="1279">
        <f t="shared" si="36"/>
        <v>0</v>
      </c>
      <c r="DD650" s="1280"/>
      <c r="DE650" s="1280"/>
      <c r="DF650" s="1280"/>
      <c r="DG650" s="1281"/>
      <c r="DH650" s="1279">
        <f t="shared" si="37"/>
        <v>0</v>
      </c>
      <c r="DI650" s="1280"/>
      <c r="DJ650" s="1280"/>
      <c r="DK650" s="1280"/>
      <c r="DL650" s="1281"/>
      <c r="DM650" s="1279">
        <f t="shared" si="38"/>
        <v>0</v>
      </c>
      <c r="DN650" s="1280"/>
      <c r="DO650" s="1280"/>
      <c r="DP650" s="1280"/>
      <c r="DQ650" s="1281"/>
      <c r="DR650" s="1279">
        <f t="shared" si="39"/>
        <v>0</v>
      </c>
      <c r="DS650" s="1280"/>
      <c r="DT650" s="1280"/>
      <c r="DU650" s="1280"/>
      <c r="DV650" s="1281"/>
      <c r="DX650" s="1697" t="e">
        <f t="shared" si="22"/>
        <v>#VALUE!</v>
      </c>
      <c r="DY650" s="1697"/>
      <c r="DZ650" s="1697"/>
      <c r="EA650" s="1697"/>
      <c r="EB650" s="1697"/>
      <c r="EC650" s="1697" t="e">
        <f t="shared" si="23"/>
        <v>#VALUE!</v>
      </c>
      <c r="ED650" s="1697"/>
      <c r="EE650" s="1697"/>
      <c r="EF650" s="1697"/>
      <c r="EG650" s="1697"/>
      <c r="EH650" s="1697" t="e">
        <f t="shared" si="24"/>
        <v>#VALUE!</v>
      </c>
      <c r="EI650" s="1697"/>
      <c r="EJ650" s="1697"/>
      <c r="EK650" s="1697"/>
      <c r="EL650" s="1697"/>
      <c r="EM650" s="1697" t="e">
        <f t="shared" si="25"/>
        <v>#VALUE!</v>
      </c>
      <c r="EN650" s="1697"/>
      <c r="EO650" s="1697"/>
      <c r="EP650" s="1697"/>
      <c r="EQ650" s="1697"/>
      <c r="ER650" s="1697" t="e">
        <f t="shared" si="26"/>
        <v>#VALUE!</v>
      </c>
      <c r="ES650" s="1697"/>
      <c r="ET650" s="1697"/>
      <c r="EU650" s="1697"/>
      <c r="EV650" s="1697"/>
      <c r="EW650" s="1697" t="e">
        <f t="shared" si="27"/>
        <v>#VALUE!</v>
      </c>
      <c r="EX650" s="1697"/>
      <c r="EY650" s="1697"/>
      <c r="EZ650" s="1697"/>
      <c r="FA650" s="1697"/>
    </row>
    <row r="651" spans="1:157" ht="12.75" customHeight="1">
      <c r="B651" s="1439" t="s">
        <v>1517</v>
      </c>
      <c r="C651" s="1376"/>
      <c r="D651" s="1376"/>
      <c r="E651" s="1376"/>
      <c r="F651" s="1376"/>
      <c r="G651" s="1376"/>
      <c r="H651" s="1376"/>
      <c r="I651" s="1376"/>
      <c r="J651" s="1376"/>
      <c r="K651" s="1376"/>
      <c r="L651" s="1376"/>
      <c r="M651" s="1376"/>
      <c r="N651" s="1376"/>
      <c r="O651" s="1376"/>
      <c r="P651" s="1376"/>
      <c r="Q651" s="1376"/>
      <c r="R651" s="1376"/>
      <c r="S651" s="1376"/>
      <c r="T651" s="1376"/>
      <c r="U651" s="1376"/>
      <c r="V651" s="1376"/>
      <c r="W651" s="1376"/>
      <c r="X651" s="1376"/>
      <c r="Y651" s="1376"/>
      <c r="Z651" s="1376"/>
      <c r="AA651" s="1376"/>
      <c r="AB651" s="1376"/>
      <c r="AC651" s="1376"/>
      <c r="AD651" s="1376"/>
      <c r="AE651" s="1376"/>
      <c r="AF651" s="1376"/>
      <c r="AG651" s="1376"/>
      <c r="AH651" s="1376"/>
      <c r="AI651" s="1376"/>
      <c r="AJ651" s="1376"/>
      <c r="AK651" s="1376"/>
      <c r="AL651" s="1376"/>
      <c r="AM651" s="1376"/>
      <c r="AN651" s="1440"/>
      <c r="AO651" s="1335">
        <f>AO649+AO650</f>
        <v>48117710</v>
      </c>
      <c r="AP651" s="1336"/>
      <c r="AQ651" s="1336"/>
      <c r="AR651" s="1336"/>
      <c r="AS651" s="1337"/>
      <c r="AZ651" s="3"/>
      <c r="BA651" s="3"/>
      <c r="BB651" s="3"/>
      <c r="BC651" s="3"/>
      <c r="BD651" s="3"/>
      <c r="BE651" s="3"/>
      <c r="BF651" s="3"/>
      <c r="BG651" s="3"/>
      <c r="BH651" s="3"/>
      <c r="BI651" s="3"/>
      <c r="BJ651" s="3"/>
      <c r="BK651" s="3"/>
      <c r="BL651" s="3"/>
      <c r="BM651" s="3"/>
      <c r="BN651" s="1279">
        <f t="shared" si="28"/>
        <v>0</v>
      </c>
      <c r="BO651" s="1280"/>
      <c r="BP651" s="1280"/>
      <c r="BQ651" s="1280"/>
      <c r="BR651" s="1281"/>
      <c r="BS651" s="1234">
        <f t="shared" si="29"/>
        <v>0</v>
      </c>
      <c r="BT651" s="1234"/>
      <c r="BU651" s="1234"/>
      <c r="BV651" s="1234"/>
      <c r="BW651" s="1234"/>
      <c r="BX651" s="1234">
        <f t="shared" si="30"/>
        <v>0</v>
      </c>
      <c r="BY651" s="1234"/>
      <c r="BZ651" s="1234"/>
      <c r="CA651" s="1234"/>
      <c r="CB651" s="1234"/>
      <c r="CC651" s="1234">
        <f t="shared" si="31"/>
        <v>0</v>
      </c>
      <c r="CD651" s="1234"/>
      <c r="CE651" s="1234"/>
      <c r="CF651" s="1234"/>
      <c r="CG651" s="1234"/>
      <c r="CH651" s="1234">
        <f t="shared" si="32"/>
        <v>0</v>
      </c>
      <c r="CI651" s="1234"/>
      <c r="CJ651" s="1234"/>
      <c r="CK651" s="1234"/>
      <c r="CL651" s="1234"/>
      <c r="CM651" s="1234">
        <f t="shared" si="33"/>
        <v>0</v>
      </c>
      <c r="CN651" s="1234"/>
      <c r="CO651" s="1234"/>
      <c r="CP651" s="1234"/>
      <c r="CQ651" s="1234"/>
      <c r="CR651" s="285"/>
      <c r="CS651" s="1279">
        <f t="shared" si="34"/>
        <v>0</v>
      </c>
      <c r="CT651" s="1280"/>
      <c r="CU651" s="1280"/>
      <c r="CV651" s="1280"/>
      <c r="CW651" s="1281"/>
      <c r="CX651" s="1279">
        <f t="shared" si="35"/>
        <v>0</v>
      </c>
      <c r="CY651" s="1280"/>
      <c r="CZ651" s="1280"/>
      <c r="DA651" s="1280"/>
      <c r="DB651" s="1281"/>
      <c r="DC651" s="1279">
        <f t="shared" si="36"/>
        <v>0</v>
      </c>
      <c r="DD651" s="1280"/>
      <c r="DE651" s="1280"/>
      <c r="DF651" s="1280"/>
      <c r="DG651" s="1281"/>
      <c r="DH651" s="1279">
        <f t="shared" si="37"/>
        <v>0</v>
      </c>
      <c r="DI651" s="1280"/>
      <c r="DJ651" s="1280"/>
      <c r="DK651" s="1280"/>
      <c r="DL651" s="1281"/>
      <c r="DM651" s="1279">
        <f t="shared" si="38"/>
        <v>0</v>
      </c>
      <c r="DN651" s="1280"/>
      <c r="DO651" s="1280"/>
      <c r="DP651" s="1280"/>
      <c r="DQ651" s="1281"/>
      <c r="DR651" s="1279">
        <f t="shared" si="39"/>
        <v>0</v>
      </c>
      <c r="DS651" s="1280"/>
      <c r="DT651" s="1280"/>
      <c r="DU651" s="1280"/>
      <c r="DV651" s="1281"/>
      <c r="DX651" s="1697" t="e">
        <f t="shared" si="22"/>
        <v>#VALUE!</v>
      </c>
      <c r="DY651" s="1697"/>
      <c r="DZ651" s="1697"/>
      <c r="EA651" s="1697"/>
      <c r="EB651" s="1697"/>
      <c r="EC651" s="1697" t="e">
        <f t="shared" si="23"/>
        <v>#VALUE!</v>
      </c>
      <c r="ED651" s="1697"/>
      <c r="EE651" s="1697"/>
      <c r="EF651" s="1697"/>
      <c r="EG651" s="1697"/>
      <c r="EH651" s="1697" t="e">
        <f t="shared" si="24"/>
        <v>#VALUE!</v>
      </c>
      <c r="EI651" s="1697"/>
      <c r="EJ651" s="1697"/>
      <c r="EK651" s="1697"/>
      <c r="EL651" s="1697"/>
      <c r="EM651" s="1697" t="e">
        <f t="shared" si="25"/>
        <v>#VALUE!</v>
      </c>
      <c r="EN651" s="1697"/>
      <c r="EO651" s="1697"/>
      <c r="EP651" s="1697"/>
      <c r="EQ651" s="1697"/>
      <c r="ER651" s="1697" t="e">
        <f t="shared" si="26"/>
        <v>#VALUE!</v>
      </c>
      <c r="ES651" s="1697"/>
      <c r="ET651" s="1697"/>
      <c r="EU651" s="1697"/>
      <c r="EV651" s="1697"/>
      <c r="EW651" s="1697" t="e">
        <f t="shared" si="27"/>
        <v>#VALUE!</v>
      </c>
      <c r="EX651" s="1697"/>
      <c r="EY651" s="1697"/>
      <c r="EZ651" s="1697"/>
      <c r="FA651" s="1697"/>
    </row>
    <row r="652" spans="1:157" ht="12.7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79">
        <f t="shared" si="28"/>
        <v>0</v>
      </c>
      <c r="BO652" s="1280"/>
      <c r="BP652" s="1280"/>
      <c r="BQ652" s="1280"/>
      <c r="BR652" s="1281"/>
      <c r="BS652" s="1234">
        <f t="shared" si="29"/>
        <v>0</v>
      </c>
      <c r="BT652" s="1234"/>
      <c r="BU652" s="1234"/>
      <c r="BV652" s="1234"/>
      <c r="BW652" s="1234"/>
      <c r="BX652" s="1234">
        <f t="shared" si="30"/>
        <v>0</v>
      </c>
      <c r="BY652" s="1234"/>
      <c r="BZ652" s="1234"/>
      <c r="CA652" s="1234"/>
      <c r="CB652" s="1234"/>
      <c r="CC652" s="1234">
        <f t="shared" si="31"/>
        <v>0</v>
      </c>
      <c r="CD652" s="1234"/>
      <c r="CE652" s="1234"/>
      <c r="CF652" s="1234"/>
      <c r="CG652" s="1234"/>
      <c r="CH652" s="1234">
        <f t="shared" si="32"/>
        <v>0</v>
      </c>
      <c r="CI652" s="1234"/>
      <c r="CJ652" s="1234"/>
      <c r="CK652" s="1234"/>
      <c r="CL652" s="1234"/>
      <c r="CM652" s="1234">
        <f t="shared" si="33"/>
        <v>0</v>
      </c>
      <c r="CN652" s="1234"/>
      <c r="CO652" s="1234"/>
      <c r="CP652" s="1234"/>
      <c r="CQ652" s="1234"/>
      <c r="CR652" s="285"/>
      <c r="CS652" s="1279">
        <f t="shared" si="34"/>
        <v>0</v>
      </c>
      <c r="CT652" s="1280"/>
      <c r="CU652" s="1280"/>
      <c r="CV652" s="1280"/>
      <c r="CW652" s="1281"/>
      <c r="CX652" s="1279">
        <f t="shared" si="35"/>
        <v>0</v>
      </c>
      <c r="CY652" s="1280"/>
      <c r="CZ652" s="1280"/>
      <c r="DA652" s="1280"/>
      <c r="DB652" s="1281"/>
      <c r="DC652" s="1279">
        <f t="shared" si="36"/>
        <v>0</v>
      </c>
      <c r="DD652" s="1280"/>
      <c r="DE652" s="1280"/>
      <c r="DF652" s="1280"/>
      <c r="DG652" s="1281"/>
      <c r="DH652" s="1279">
        <f t="shared" si="37"/>
        <v>0</v>
      </c>
      <c r="DI652" s="1280"/>
      <c r="DJ652" s="1280"/>
      <c r="DK652" s="1280"/>
      <c r="DL652" s="1281"/>
      <c r="DM652" s="1279">
        <f t="shared" si="38"/>
        <v>0</v>
      </c>
      <c r="DN652" s="1280"/>
      <c r="DO652" s="1280"/>
      <c r="DP652" s="1280"/>
      <c r="DQ652" s="1281"/>
      <c r="DR652" s="1279">
        <f t="shared" si="39"/>
        <v>0</v>
      </c>
      <c r="DS652" s="1280"/>
      <c r="DT652" s="1280"/>
      <c r="DU652" s="1280"/>
      <c r="DV652" s="1281"/>
      <c r="DX652" s="1697" t="e">
        <f t="shared" si="22"/>
        <v>#VALUE!</v>
      </c>
      <c r="DY652" s="1697"/>
      <c r="DZ652" s="1697"/>
      <c r="EA652" s="1697"/>
      <c r="EB652" s="1697"/>
      <c r="EC652" s="1697" t="e">
        <f t="shared" si="23"/>
        <v>#VALUE!</v>
      </c>
      <c r="ED652" s="1697"/>
      <c r="EE652" s="1697"/>
      <c r="EF652" s="1697"/>
      <c r="EG652" s="1697"/>
      <c r="EH652" s="1697" t="e">
        <f t="shared" si="24"/>
        <v>#VALUE!</v>
      </c>
      <c r="EI652" s="1697"/>
      <c r="EJ652" s="1697"/>
      <c r="EK652" s="1697"/>
      <c r="EL652" s="1697"/>
      <c r="EM652" s="1697" t="e">
        <f t="shared" si="25"/>
        <v>#VALUE!</v>
      </c>
      <c r="EN652" s="1697"/>
      <c r="EO652" s="1697"/>
      <c r="EP652" s="1697"/>
      <c r="EQ652" s="1697"/>
      <c r="ER652" s="1697" t="e">
        <f t="shared" si="26"/>
        <v>#VALUE!</v>
      </c>
      <c r="ES652" s="1697"/>
      <c r="ET652" s="1697"/>
      <c r="EU652" s="1697"/>
      <c r="EV652" s="1697"/>
      <c r="EW652" s="1697" t="e">
        <f t="shared" si="27"/>
        <v>#VALUE!</v>
      </c>
      <c r="EX652" s="1697"/>
      <c r="EY652" s="1697"/>
      <c r="EZ652" s="1697"/>
      <c r="FA652" s="1697"/>
    </row>
    <row r="653" spans="1:157" ht="12.75">
      <c r="A653" s="48" t="s">
        <v>17</v>
      </c>
      <c r="B653" t="s">
        <v>1473</v>
      </c>
      <c r="G653" s="1273" t="str">
        <f>C637</f>
        <v>PW Bank Permanent Loan</v>
      </c>
      <c r="H653" s="1273"/>
      <c r="I653" s="1273"/>
      <c r="J653" s="1273"/>
      <c r="K653" s="1273"/>
      <c r="L653" s="1273"/>
      <c r="M653" s="1273"/>
      <c r="N653" s="1273"/>
      <c r="O653" s="1273"/>
      <c r="P653" s="1273"/>
      <c r="Q653" s="1273"/>
      <c r="R653" s="1273"/>
      <c r="S653" s="8"/>
      <c r="T653" s="48" t="s">
        <v>30</v>
      </c>
      <c r="U653" t="s">
        <v>1473</v>
      </c>
      <c r="Z653" s="1273" t="str">
        <f>C638</f>
        <v>Deferred Developer Fee</v>
      </c>
      <c r="AA653" s="1273"/>
      <c r="AB653" s="1273"/>
      <c r="AC653" s="1273"/>
      <c r="AD653" s="1273"/>
      <c r="AE653" s="1273"/>
      <c r="AF653" s="1273"/>
      <c r="AG653" s="1273"/>
      <c r="AH653" s="1273"/>
      <c r="AI653" s="1273"/>
      <c r="AJ653" s="1273"/>
      <c r="AK653" s="1273"/>
      <c r="AZ653" s="3"/>
      <c r="BA653" s="3"/>
      <c r="BB653" s="3"/>
      <c r="BC653" s="3"/>
      <c r="BD653" s="3"/>
      <c r="BE653" s="3"/>
      <c r="BF653" s="3"/>
      <c r="BG653" s="3"/>
      <c r="BH653" s="3"/>
      <c r="BI653" s="3"/>
      <c r="BJ653" s="3"/>
      <c r="BK653" s="3"/>
      <c r="BL653" s="3"/>
      <c r="BM653" s="3"/>
      <c r="BN653" s="1279">
        <f t="shared" si="28"/>
        <v>0</v>
      </c>
      <c r="BO653" s="1280"/>
      <c r="BP653" s="1280"/>
      <c r="BQ653" s="1280"/>
      <c r="BR653" s="1281"/>
      <c r="BS653" s="1234">
        <f t="shared" si="29"/>
        <v>0</v>
      </c>
      <c r="BT653" s="1234"/>
      <c r="BU653" s="1234"/>
      <c r="BV653" s="1234"/>
      <c r="BW653" s="1234"/>
      <c r="BX653" s="1234">
        <f t="shared" si="30"/>
        <v>0</v>
      </c>
      <c r="BY653" s="1234"/>
      <c r="BZ653" s="1234"/>
      <c r="CA653" s="1234"/>
      <c r="CB653" s="1234"/>
      <c r="CC653" s="1234">
        <f t="shared" si="31"/>
        <v>0</v>
      </c>
      <c r="CD653" s="1234"/>
      <c r="CE653" s="1234"/>
      <c r="CF653" s="1234"/>
      <c r="CG653" s="1234"/>
      <c r="CH653" s="1234">
        <f t="shared" si="32"/>
        <v>0</v>
      </c>
      <c r="CI653" s="1234"/>
      <c r="CJ653" s="1234"/>
      <c r="CK653" s="1234"/>
      <c r="CL653" s="1234"/>
      <c r="CM653" s="1234">
        <f t="shared" si="33"/>
        <v>0</v>
      </c>
      <c r="CN653" s="1234"/>
      <c r="CO653" s="1234"/>
      <c r="CP653" s="1234"/>
      <c r="CQ653" s="1234"/>
      <c r="CR653" s="285"/>
      <c r="CS653" s="1279">
        <f t="shared" si="34"/>
        <v>0</v>
      </c>
      <c r="CT653" s="1280"/>
      <c r="CU653" s="1280"/>
      <c r="CV653" s="1280"/>
      <c r="CW653" s="1281"/>
      <c r="CX653" s="1279">
        <f t="shared" si="35"/>
        <v>0</v>
      </c>
      <c r="CY653" s="1280"/>
      <c r="CZ653" s="1280"/>
      <c r="DA653" s="1280"/>
      <c r="DB653" s="1281"/>
      <c r="DC653" s="1279">
        <f t="shared" si="36"/>
        <v>0</v>
      </c>
      <c r="DD653" s="1280"/>
      <c r="DE653" s="1280"/>
      <c r="DF653" s="1280"/>
      <c r="DG653" s="1281"/>
      <c r="DH653" s="1279">
        <f t="shared" si="37"/>
        <v>0</v>
      </c>
      <c r="DI653" s="1280"/>
      <c r="DJ653" s="1280"/>
      <c r="DK653" s="1280"/>
      <c r="DL653" s="1281"/>
      <c r="DM653" s="1279">
        <f t="shared" si="38"/>
        <v>0</v>
      </c>
      <c r="DN653" s="1280"/>
      <c r="DO653" s="1280"/>
      <c r="DP653" s="1280"/>
      <c r="DQ653" s="1281"/>
      <c r="DR653" s="1279">
        <f t="shared" si="39"/>
        <v>0</v>
      </c>
      <c r="DS653" s="1280"/>
      <c r="DT653" s="1280"/>
      <c r="DU653" s="1280"/>
      <c r="DV653" s="1281"/>
      <c r="DX653" s="1697" t="e">
        <f t="shared" si="22"/>
        <v>#VALUE!</v>
      </c>
      <c r="DY653" s="1697"/>
      <c r="DZ653" s="1697"/>
      <c r="EA653" s="1697"/>
      <c r="EB653" s="1697"/>
      <c r="EC653" s="1697" t="e">
        <f t="shared" si="23"/>
        <v>#VALUE!</v>
      </c>
      <c r="ED653" s="1697"/>
      <c r="EE653" s="1697"/>
      <c r="EF653" s="1697"/>
      <c r="EG653" s="1697"/>
      <c r="EH653" s="1697" t="e">
        <f t="shared" si="24"/>
        <v>#VALUE!</v>
      </c>
      <c r="EI653" s="1697"/>
      <c r="EJ653" s="1697"/>
      <c r="EK653" s="1697"/>
      <c r="EL653" s="1697"/>
      <c r="EM653" s="1697" t="e">
        <f t="shared" si="25"/>
        <v>#VALUE!</v>
      </c>
      <c r="EN653" s="1697"/>
      <c r="EO653" s="1697"/>
      <c r="EP653" s="1697"/>
      <c r="EQ653" s="1697"/>
      <c r="ER653" s="1697" t="e">
        <f t="shared" si="26"/>
        <v>#VALUE!</v>
      </c>
      <c r="ES653" s="1697"/>
      <c r="ET653" s="1697"/>
      <c r="EU653" s="1697"/>
      <c r="EV653" s="1697"/>
      <c r="EW653" s="1697" t="e">
        <f t="shared" si="27"/>
        <v>#VALUE!</v>
      </c>
      <c r="EX653" s="1697"/>
      <c r="EY653" s="1697"/>
      <c r="EZ653" s="1697"/>
      <c r="FA653" s="1697"/>
    </row>
    <row r="654" spans="1:157" ht="12.75">
      <c r="A654" s="20"/>
      <c r="B654" t="s">
        <v>1137</v>
      </c>
      <c r="G654" s="1213" t="s">
        <v>1474</v>
      </c>
      <c r="H654" s="1213"/>
      <c r="I654" s="1213"/>
      <c r="J654" s="1213"/>
      <c r="K654" s="1213"/>
      <c r="L654" s="1213"/>
      <c r="M654" s="1213"/>
      <c r="N654" s="1213"/>
      <c r="O654" s="1213"/>
      <c r="P654" s="1213"/>
      <c r="Q654" s="1213"/>
      <c r="R654" s="1213"/>
      <c r="S654" s="8"/>
      <c r="T654" s="20"/>
      <c r="U654" t="s">
        <v>1137</v>
      </c>
      <c r="Z654" s="1213" t="s">
        <v>1138</v>
      </c>
      <c r="AA654" s="1213"/>
      <c r="AB654" s="1213"/>
      <c r="AC654" s="1213"/>
      <c r="AD654" s="1213"/>
      <c r="AE654" s="1213"/>
      <c r="AF654" s="1213"/>
      <c r="AG654" s="1213"/>
      <c r="AH654" s="1213"/>
      <c r="AI654" s="1213"/>
      <c r="AJ654" s="1213"/>
      <c r="AK654" s="1213"/>
      <c r="AZ654" s="3"/>
      <c r="BA654" s="3"/>
      <c r="BB654" s="3"/>
      <c r="BC654" s="3"/>
      <c r="BD654" s="3"/>
      <c r="BE654" s="3"/>
      <c r="BF654" s="3"/>
      <c r="BG654" s="3"/>
      <c r="BH654" s="3"/>
      <c r="BI654" s="3"/>
      <c r="BJ654" s="3"/>
      <c r="BK654" s="3"/>
      <c r="BL654" s="3"/>
      <c r="BM654" s="3"/>
      <c r="BN654" s="1279">
        <f t="shared" si="28"/>
        <v>0</v>
      </c>
      <c r="BO654" s="1280"/>
      <c r="BP654" s="1280"/>
      <c r="BQ654" s="1280"/>
      <c r="BR654" s="1281"/>
      <c r="BS654" s="1234">
        <f t="shared" si="29"/>
        <v>0</v>
      </c>
      <c r="BT654" s="1234"/>
      <c r="BU654" s="1234"/>
      <c r="BV654" s="1234"/>
      <c r="BW654" s="1234"/>
      <c r="BX654" s="1234">
        <f t="shared" si="30"/>
        <v>0</v>
      </c>
      <c r="BY654" s="1234"/>
      <c r="BZ654" s="1234"/>
      <c r="CA654" s="1234"/>
      <c r="CB654" s="1234"/>
      <c r="CC654" s="1234">
        <f t="shared" si="31"/>
        <v>0</v>
      </c>
      <c r="CD654" s="1234"/>
      <c r="CE654" s="1234"/>
      <c r="CF654" s="1234"/>
      <c r="CG654" s="1234"/>
      <c r="CH654" s="1234">
        <f t="shared" si="32"/>
        <v>0</v>
      </c>
      <c r="CI654" s="1234"/>
      <c r="CJ654" s="1234"/>
      <c r="CK654" s="1234"/>
      <c r="CL654" s="1234"/>
      <c r="CM654" s="1234">
        <f t="shared" si="33"/>
        <v>0</v>
      </c>
      <c r="CN654" s="1234"/>
      <c r="CO654" s="1234"/>
      <c r="CP654" s="1234"/>
      <c r="CQ654" s="1234"/>
      <c r="CR654" s="285"/>
      <c r="CS654" s="1279">
        <f t="shared" si="34"/>
        <v>0</v>
      </c>
      <c r="CT654" s="1280"/>
      <c r="CU654" s="1280"/>
      <c r="CV654" s="1280"/>
      <c r="CW654" s="1281"/>
      <c r="CX654" s="1279">
        <f t="shared" si="35"/>
        <v>0</v>
      </c>
      <c r="CY654" s="1280"/>
      <c r="CZ654" s="1280"/>
      <c r="DA654" s="1280"/>
      <c r="DB654" s="1281"/>
      <c r="DC654" s="1279">
        <f t="shared" si="36"/>
        <v>0</v>
      </c>
      <c r="DD654" s="1280"/>
      <c r="DE654" s="1280"/>
      <c r="DF654" s="1280"/>
      <c r="DG654" s="1281"/>
      <c r="DH654" s="1279">
        <f t="shared" si="37"/>
        <v>0</v>
      </c>
      <c r="DI654" s="1280"/>
      <c r="DJ654" s="1280"/>
      <c r="DK654" s="1280"/>
      <c r="DL654" s="1281"/>
      <c r="DM654" s="1279">
        <f t="shared" si="38"/>
        <v>0</v>
      </c>
      <c r="DN654" s="1280"/>
      <c r="DO654" s="1280"/>
      <c r="DP654" s="1280"/>
      <c r="DQ654" s="1281"/>
      <c r="DR654" s="1279">
        <f t="shared" si="39"/>
        <v>0</v>
      </c>
      <c r="DS654" s="1280"/>
      <c r="DT654" s="1280"/>
      <c r="DU654" s="1280"/>
      <c r="DV654" s="1281"/>
      <c r="DX654" s="1697" t="e">
        <f t="shared" si="22"/>
        <v>#VALUE!</v>
      </c>
      <c r="DY654" s="1697"/>
      <c r="DZ654" s="1697"/>
      <c r="EA654" s="1697"/>
      <c r="EB654" s="1697"/>
      <c r="EC654" s="1697" t="e">
        <f t="shared" si="23"/>
        <v>#VALUE!</v>
      </c>
      <c r="ED654" s="1697"/>
      <c r="EE654" s="1697"/>
      <c r="EF654" s="1697"/>
      <c r="EG654" s="1697"/>
      <c r="EH654" s="1697" t="e">
        <f t="shared" si="24"/>
        <v>#VALUE!</v>
      </c>
      <c r="EI654" s="1697"/>
      <c r="EJ654" s="1697"/>
      <c r="EK654" s="1697"/>
      <c r="EL654" s="1697"/>
      <c r="EM654" s="1697" t="e">
        <f t="shared" si="25"/>
        <v>#VALUE!</v>
      </c>
      <c r="EN654" s="1697"/>
      <c r="EO654" s="1697"/>
      <c r="EP654" s="1697"/>
      <c r="EQ654" s="1697"/>
      <c r="ER654" s="1697" t="e">
        <f t="shared" si="26"/>
        <v>#VALUE!</v>
      </c>
      <c r="ES654" s="1697"/>
      <c r="ET654" s="1697"/>
      <c r="EU654" s="1697"/>
      <c r="EV654" s="1697"/>
      <c r="EW654" s="1697" t="e">
        <f t="shared" si="27"/>
        <v>#VALUE!</v>
      </c>
      <c r="EX654" s="1697"/>
      <c r="EY654" s="1697"/>
      <c r="EZ654" s="1697"/>
      <c r="FA654" s="1697"/>
    </row>
    <row r="655" spans="1:157" ht="12.75">
      <c r="A655" s="20"/>
      <c r="B655" t="s">
        <v>1012</v>
      </c>
      <c r="G655" s="1213" t="s">
        <v>1196</v>
      </c>
      <c r="H655" s="1213"/>
      <c r="I655" s="1213"/>
      <c r="J655" s="1213"/>
      <c r="K655" s="1213"/>
      <c r="L655" s="1213"/>
      <c r="M655" s="1213"/>
      <c r="N655" s="1213"/>
      <c r="O655" s="1213"/>
      <c r="P655" s="1213"/>
      <c r="Q655" s="1213"/>
      <c r="R655" s="1213"/>
      <c r="T655" s="20"/>
      <c r="U655" t="s">
        <v>1012</v>
      </c>
      <c r="Z655" s="1213" t="s">
        <v>1196</v>
      </c>
      <c r="AA655" s="1213"/>
      <c r="AB655" s="1213"/>
      <c r="AC655" s="1213"/>
      <c r="AD655" s="1213"/>
      <c r="AE655" s="1213"/>
      <c r="AF655" s="1213"/>
      <c r="AG655" s="1213"/>
      <c r="AH655" s="1213"/>
      <c r="AI655" s="1213"/>
      <c r="AJ655" s="1213"/>
      <c r="AK655" s="1213"/>
      <c r="AZ655" s="3"/>
      <c r="BA655" s="3"/>
      <c r="BB655" s="3"/>
      <c r="BC655" s="3"/>
      <c r="BD655" s="3"/>
      <c r="BE655" s="3"/>
      <c r="BF655" s="3"/>
      <c r="BG655" s="3"/>
      <c r="BH655" s="3"/>
      <c r="BI655" s="3"/>
      <c r="BJ655" s="3"/>
      <c r="BK655" s="3"/>
      <c r="BL655" s="3"/>
      <c r="BM655" s="3"/>
      <c r="BN655" s="1279">
        <f t="shared" si="28"/>
        <v>0</v>
      </c>
      <c r="BO655" s="1280"/>
      <c r="BP655" s="1280"/>
      <c r="BQ655" s="1280"/>
      <c r="BR655" s="1281"/>
      <c r="BS655" s="1234">
        <f t="shared" si="29"/>
        <v>0</v>
      </c>
      <c r="BT655" s="1234"/>
      <c r="BU655" s="1234"/>
      <c r="BV655" s="1234"/>
      <c r="BW655" s="1234"/>
      <c r="BX655" s="1234">
        <f t="shared" si="30"/>
        <v>0</v>
      </c>
      <c r="BY655" s="1234"/>
      <c r="BZ655" s="1234"/>
      <c r="CA655" s="1234"/>
      <c r="CB655" s="1234"/>
      <c r="CC655" s="1234">
        <f t="shared" si="31"/>
        <v>0</v>
      </c>
      <c r="CD655" s="1234"/>
      <c r="CE655" s="1234"/>
      <c r="CF655" s="1234"/>
      <c r="CG655" s="1234"/>
      <c r="CH655" s="1234">
        <f t="shared" si="32"/>
        <v>0</v>
      </c>
      <c r="CI655" s="1234"/>
      <c r="CJ655" s="1234"/>
      <c r="CK655" s="1234"/>
      <c r="CL655" s="1234"/>
      <c r="CM655" s="1234">
        <f t="shared" si="33"/>
        <v>0</v>
      </c>
      <c r="CN655" s="1234"/>
      <c r="CO655" s="1234"/>
      <c r="CP655" s="1234"/>
      <c r="CQ655" s="1234"/>
      <c r="CR655" s="285"/>
      <c r="CS655" s="1279">
        <f t="shared" si="34"/>
        <v>0</v>
      </c>
      <c r="CT655" s="1280"/>
      <c r="CU655" s="1280"/>
      <c r="CV655" s="1280"/>
      <c r="CW655" s="1281"/>
      <c r="CX655" s="1279">
        <f t="shared" si="35"/>
        <v>0</v>
      </c>
      <c r="CY655" s="1280"/>
      <c r="CZ655" s="1280"/>
      <c r="DA655" s="1280"/>
      <c r="DB655" s="1281"/>
      <c r="DC655" s="1279">
        <f t="shared" si="36"/>
        <v>0</v>
      </c>
      <c r="DD655" s="1280"/>
      <c r="DE655" s="1280"/>
      <c r="DF655" s="1280"/>
      <c r="DG655" s="1281"/>
      <c r="DH655" s="1279">
        <f t="shared" si="37"/>
        <v>0</v>
      </c>
      <c r="DI655" s="1280"/>
      <c r="DJ655" s="1280"/>
      <c r="DK655" s="1280"/>
      <c r="DL655" s="1281"/>
      <c r="DM655" s="1279">
        <f t="shared" si="38"/>
        <v>0</v>
      </c>
      <c r="DN655" s="1280"/>
      <c r="DO655" s="1280"/>
      <c r="DP655" s="1280"/>
      <c r="DQ655" s="1281"/>
      <c r="DR655" s="1279">
        <f t="shared" si="39"/>
        <v>0</v>
      </c>
      <c r="DS655" s="1280"/>
      <c r="DT655" s="1280"/>
      <c r="DU655" s="1280"/>
      <c r="DV655" s="1281"/>
      <c r="DX655" s="1697" t="e">
        <f t="shared" si="22"/>
        <v>#VALUE!</v>
      </c>
      <c r="DY655" s="1697"/>
      <c r="DZ655" s="1697"/>
      <c r="EA655" s="1697"/>
      <c r="EB655" s="1697"/>
      <c r="EC655" s="1697" t="e">
        <f t="shared" si="23"/>
        <v>#VALUE!</v>
      </c>
      <c r="ED655" s="1697"/>
      <c r="EE655" s="1697"/>
      <c r="EF655" s="1697"/>
      <c r="EG655" s="1697"/>
      <c r="EH655" s="1697" t="e">
        <f t="shared" si="24"/>
        <v>#VALUE!</v>
      </c>
      <c r="EI655" s="1697"/>
      <c r="EJ655" s="1697"/>
      <c r="EK655" s="1697"/>
      <c r="EL655" s="1697"/>
      <c r="EM655" s="1697" t="e">
        <f t="shared" si="25"/>
        <v>#VALUE!</v>
      </c>
      <c r="EN655" s="1697"/>
      <c r="EO655" s="1697"/>
      <c r="EP655" s="1697"/>
      <c r="EQ655" s="1697"/>
      <c r="ER655" s="1697" t="e">
        <f t="shared" si="26"/>
        <v>#VALUE!</v>
      </c>
      <c r="ES655" s="1697"/>
      <c r="ET655" s="1697"/>
      <c r="EU655" s="1697"/>
      <c r="EV655" s="1697"/>
      <c r="EW655" s="1697" t="e">
        <f t="shared" si="27"/>
        <v>#VALUE!</v>
      </c>
      <c r="EX655" s="1697"/>
      <c r="EY655" s="1697"/>
      <c r="EZ655" s="1697"/>
      <c r="FA655" s="1697"/>
    </row>
    <row r="656" spans="1:157" ht="12.75">
      <c r="A656" s="20"/>
      <c r="B656" t="s">
        <v>1475</v>
      </c>
      <c r="G656" s="1213" t="s">
        <v>1476</v>
      </c>
      <c r="H656" s="1213"/>
      <c r="I656" s="1213"/>
      <c r="J656" s="1213"/>
      <c r="K656" s="1213"/>
      <c r="L656" s="1213"/>
      <c r="M656" s="1213"/>
      <c r="N656" s="1213"/>
      <c r="O656" s="1213"/>
      <c r="P656" s="1213"/>
      <c r="Q656" s="1213"/>
      <c r="R656" s="1213"/>
      <c r="S656" s="8"/>
      <c r="T656" s="20"/>
      <c r="U656" t="s">
        <v>1475</v>
      </c>
      <c r="Z656" s="1213" t="s">
        <v>1142</v>
      </c>
      <c r="AA656" s="1213"/>
      <c r="AB656" s="1213"/>
      <c r="AC656" s="1213"/>
      <c r="AD656" s="1213"/>
      <c r="AE656" s="1213"/>
      <c r="AF656" s="1213"/>
      <c r="AG656" s="1213"/>
      <c r="AH656" s="1213"/>
      <c r="AI656" s="1213"/>
      <c r="AJ656" s="1213"/>
      <c r="AK656" s="1213"/>
      <c r="AZ656" s="3"/>
      <c r="BA656" s="3"/>
      <c r="BB656" s="3"/>
      <c r="BC656" s="3"/>
      <c r="BD656" s="3"/>
      <c r="BE656" s="3"/>
      <c r="BF656" s="3"/>
      <c r="BG656" s="3"/>
      <c r="BH656" s="3"/>
      <c r="BI656" s="3"/>
      <c r="BJ656" s="3"/>
      <c r="BK656" s="3"/>
      <c r="BL656" s="3"/>
      <c r="BM656" s="3"/>
      <c r="BN656" s="1279">
        <f t="shared" si="28"/>
        <v>0</v>
      </c>
      <c r="BO656" s="1280"/>
      <c r="BP656" s="1280"/>
      <c r="BQ656" s="1280"/>
      <c r="BR656" s="1281"/>
      <c r="BS656" s="1234">
        <f t="shared" si="29"/>
        <v>0</v>
      </c>
      <c r="BT656" s="1234"/>
      <c r="BU656" s="1234"/>
      <c r="BV656" s="1234"/>
      <c r="BW656" s="1234"/>
      <c r="BX656" s="1234">
        <f t="shared" si="30"/>
        <v>0</v>
      </c>
      <c r="BY656" s="1234"/>
      <c r="BZ656" s="1234"/>
      <c r="CA656" s="1234"/>
      <c r="CB656" s="1234"/>
      <c r="CC656" s="1234">
        <f t="shared" si="31"/>
        <v>0</v>
      </c>
      <c r="CD656" s="1234"/>
      <c r="CE656" s="1234"/>
      <c r="CF656" s="1234"/>
      <c r="CG656" s="1234"/>
      <c r="CH656" s="1234">
        <f t="shared" si="32"/>
        <v>0</v>
      </c>
      <c r="CI656" s="1234"/>
      <c r="CJ656" s="1234"/>
      <c r="CK656" s="1234"/>
      <c r="CL656" s="1234"/>
      <c r="CM656" s="1234">
        <f t="shared" si="33"/>
        <v>0</v>
      </c>
      <c r="CN656" s="1234"/>
      <c r="CO656" s="1234"/>
      <c r="CP656" s="1234"/>
      <c r="CQ656" s="1234"/>
      <c r="CR656" s="285"/>
      <c r="CS656" s="1279">
        <f t="shared" si="34"/>
        <v>0</v>
      </c>
      <c r="CT656" s="1280"/>
      <c r="CU656" s="1280"/>
      <c r="CV656" s="1280"/>
      <c r="CW656" s="1281"/>
      <c r="CX656" s="1279">
        <f t="shared" si="35"/>
        <v>0</v>
      </c>
      <c r="CY656" s="1280"/>
      <c r="CZ656" s="1280"/>
      <c r="DA656" s="1280"/>
      <c r="DB656" s="1281"/>
      <c r="DC656" s="1279">
        <f t="shared" si="36"/>
        <v>0</v>
      </c>
      <c r="DD656" s="1280"/>
      <c r="DE656" s="1280"/>
      <c r="DF656" s="1280"/>
      <c r="DG656" s="1281"/>
      <c r="DH656" s="1279">
        <f t="shared" si="37"/>
        <v>0</v>
      </c>
      <c r="DI656" s="1280"/>
      <c r="DJ656" s="1280"/>
      <c r="DK656" s="1280"/>
      <c r="DL656" s="1281"/>
      <c r="DM656" s="1279">
        <f t="shared" si="38"/>
        <v>0</v>
      </c>
      <c r="DN656" s="1280"/>
      <c r="DO656" s="1280"/>
      <c r="DP656" s="1280"/>
      <c r="DQ656" s="1281"/>
      <c r="DR656" s="1279">
        <f t="shared" si="39"/>
        <v>0</v>
      </c>
      <c r="DS656" s="1280"/>
      <c r="DT656" s="1280"/>
      <c r="DU656" s="1280"/>
      <c r="DV656" s="1281"/>
      <c r="DX656" s="1697" t="e">
        <f t="shared" si="22"/>
        <v>#VALUE!</v>
      </c>
      <c r="DY656" s="1697"/>
      <c r="DZ656" s="1697"/>
      <c r="EA656" s="1697"/>
      <c r="EB656" s="1697"/>
      <c r="EC656" s="1697" t="e">
        <f t="shared" si="23"/>
        <v>#VALUE!</v>
      </c>
      <c r="ED656" s="1697"/>
      <c r="EE656" s="1697"/>
      <c r="EF656" s="1697"/>
      <c r="EG656" s="1697"/>
      <c r="EH656" s="1697" t="e">
        <f t="shared" si="24"/>
        <v>#VALUE!</v>
      </c>
      <c r="EI656" s="1697"/>
      <c r="EJ656" s="1697"/>
      <c r="EK656" s="1697"/>
      <c r="EL656" s="1697"/>
      <c r="EM656" s="1697" t="e">
        <f t="shared" si="25"/>
        <v>#VALUE!</v>
      </c>
      <c r="EN656" s="1697"/>
      <c r="EO656" s="1697"/>
      <c r="EP656" s="1697"/>
      <c r="EQ656" s="1697"/>
      <c r="ER656" s="1697" t="e">
        <f t="shared" si="26"/>
        <v>#VALUE!</v>
      </c>
      <c r="ES656" s="1697"/>
      <c r="ET656" s="1697"/>
      <c r="EU656" s="1697"/>
      <c r="EV656" s="1697"/>
      <c r="EW656" s="1697" t="e">
        <f t="shared" si="27"/>
        <v>#VALUE!</v>
      </c>
      <c r="EX656" s="1697"/>
      <c r="EY656" s="1697"/>
      <c r="EZ656" s="1697"/>
      <c r="FA656" s="1697"/>
    </row>
    <row r="657" spans="1:157" ht="12.75">
      <c r="A657" s="20"/>
      <c r="B657" t="s">
        <v>918</v>
      </c>
      <c r="G657" s="1276" t="s">
        <v>1477</v>
      </c>
      <c r="H657" s="1276"/>
      <c r="I657" s="1276"/>
      <c r="J657" s="1276"/>
      <c r="K657" s="1276"/>
      <c r="L657" s="1276"/>
      <c r="O657" s="998" t="s">
        <v>1145</v>
      </c>
      <c r="P657" s="1224"/>
      <c r="Q657" s="1224"/>
      <c r="R657" s="1224"/>
      <c r="S657" s="10"/>
      <c r="T657" s="20"/>
      <c r="U657" t="s">
        <v>918</v>
      </c>
      <c r="Z657" s="1276" t="s">
        <v>1144</v>
      </c>
      <c r="AA657" s="1276"/>
      <c r="AB657" s="1276"/>
      <c r="AC657" s="1276"/>
      <c r="AD657" s="1276"/>
      <c r="AE657" s="1276"/>
      <c r="AH657" s="998" t="s">
        <v>1145</v>
      </c>
      <c r="AI657" s="1224"/>
      <c r="AJ657" s="1224"/>
      <c r="AK657" s="1224"/>
      <c r="AZ657" s="3"/>
      <c r="BA657" s="3"/>
      <c r="BB657" s="3"/>
      <c r="BC657" s="3"/>
      <c r="BD657" s="3"/>
      <c r="BE657" s="3"/>
      <c r="BF657" s="3"/>
      <c r="BG657" s="3"/>
      <c r="BH657" s="3"/>
      <c r="BI657" s="3"/>
      <c r="BJ657" s="3"/>
      <c r="BK657" s="3"/>
      <c r="BL657" s="3"/>
      <c r="BM657" s="3"/>
      <c r="BN657" s="1279">
        <f t="shared" si="28"/>
        <v>0</v>
      </c>
      <c r="BO657" s="1280"/>
      <c r="BP657" s="1280"/>
      <c r="BQ657" s="1280"/>
      <c r="BR657" s="1281"/>
      <c r="BS657" s="1234">
        <f t="shared" si="29"/>
        <v>0</v>
      </c>
      <c r="BT657" s="1234"/>
      <c r="BU657" s="1234"/>
      <c r="BV657" s="1234"/>
      <c r="BW657" s="1234"/>
      <c r="BX657" s="1234">
        <f t="shared" si="30"/>
        <v>0</v>
      </c>
      <c r="BY657" s="1234"/>
      <c r="BZ657" s="1234"/>
      <c r="CA657" s="1234"/>
      <c r="CB657" s="1234"/>
      <c r="CC657" s="1234">
        <f t="shared" si="31"/>
        <v>0</v>
      </c>
      <c r="CD657" s="1234"/>
      <c r="CE657" s="1234"/>
      <c r="CF657" s="1234"/>
      <c r="CG657" s="1234"/>
      <c r="CH657" s="1234">
        <f t="shared" si="32"/>
        <v>0</v>
      </c>
      <c r="CI657" s="1234"/>
      <c r="CJ657" s="1234"/>
      <c r="CK657" s="1234"/>
      <c r="CL657" s="1234"/>
      <c r="CM657" s="1234">
        <f t="shared" si="33"/>
        <v>0</v>
      </c>
      <c r="CN657" s="1234"/>
      <c r="CO657" s="1234"/>
      <c r="CP657" s="1234"/>
      <c r="CQ657" s="1234"/>
      <c r="CR657" s="285"/>
      <c r="CS657" s="1279">
        <f t="shared" si="34"/>
        <v>0</v>
      </c>
      <c r="CT657" s="1280"/>
      <c r="CU657" s="1280"/>
      <c r="CV657" s="1280"/>
      <c r="CW657" s="1281"/>
      <c r="CX657" s="1279">
        <f t="shared" si="35"/>
        <v>0</v>
      </c>
      <c r="CY657" s="1280"/>
      <c r="CZ657" s="1280"/>
      <c r="DA657" s="1280"/>
      <c r="DB657" s="1281"/>
      <c r="DC657" s="1279">
        <f t="shared" si="36"/>
        <v>0</v>
      </c>
      <c r="DD657" s="1280"/>
      <c r="DE657" s="1280"/>
      <c r="DF657" s="1280"/>
      <c r="DG657" s="1281"/>
      <c r="DH657" s="1279">
        <f t="shared" si="37"/>
        <v>0</v>
      </c>
      <c r="DI657" s="1280"/>
      <c r="DJ657" s="1280"/>
      <c r="DK657" s="1280"/>
      <c r="DL657" s="1281"/>
      <c r="DM657" s="1279">
        <f t="shared" si="38"/>
        <v>0</v>
      </c>
      <c r="DN657" s="1280"/>
      <c r="DO657" s="1280"/>
      <c r="DP657" s="1280"/>
      <c r="DQ657" s="1281"/>
      <c r="DR657" s="1279">
        <f t="shared" si="39"/>
        <v>0</v>
      </c>
      <c r="DS657" s="1280"/>
      <c r="DT657" s="1280"/>
      <c r="DU657" s="1280"/>
      <c r="DV657" s="1281"/>
      <c r="DX657" s="1697" t="e">
        <f t="shared" si="22"/>
        <v>#VALUE!</v>
      </c>
      <c r="DY657" s="1697"/>
      <c r="DZ657" s="1697"/>
      <c r="EA657" s="1697"/>
      <c r="EB657" s="1697"/>
      <c r="EC657" s="1697" t="e">
        <f t="shared" si="23"/>
        <v>#VALUE!</v>
      </c>
      <c r="ED657" s="1697"/>
      <c r="EE657" s="1697"/>
      <c r="EF657" s="1697"/>
      <c r="EG657" s="1697"/>
      <c r="EH657" s="1697" t="e">
        <f t="shared" si="24"/>
        <v>#VALUE!</v>
      </c>
      <c r="EI657" s="1697"/>
      <c r="EJ657" s="1697"/>
      <c r="EK657" s="1697"/>
      <c r="EL657" s="1697"/>
      <c r="EM657" s="1697" t="e">
        <f t="shared" si="25"/>
        <v>#VALUE!</v>
      </c>
      <c r="EN657" s="1697"/>
      <c r="EO657" s="1697"/>
      <c r="EP657" s="1697"/>
      <c r="EQ657" s="1697"/>
      <c r="ER657" s="1697" t="e">
        <f t="shared" si="26"/>
        <v>#VALUE!</v>
      </c>
      <c r="ES657" s="1697"/>
      <c r="ET657" s="1697"/>
      <c r="EU657" s="1697"/>
      <c r="EV657" s="1697"/>
      <c r="EW657" s="1697" t="e">
        <f t="shared" si="27"/>
        <v>#VALUE!</v>
      </c>
      <c r="EX657" s="1697"/>
      <c r="EY657" s="1697"/>
      <c r="EZ657" s="1697"/>
      <c r="FA657" s="1697"/>
    </row>
    <row r="658" spans="1:157" ht="12.75">
      <c r="A658" s="20"/>
      <c r="B658" t="s">
        <v>1478</v>
      </c>
      <c r="H658" s="1213" t="s">
        <v>1518</v>
      </c>
      <c r="I658" s="1213"/>
      <c r="J658" s="1213"/>
      <c r="K658" s="1213"/>
      <c r="L658" s="1213"/>
      <c r="M658" s="1213"/>
      <c r="N658" s="1213"/>
      <c r="O658" s="1213"/>
      <c r="P658" s="1213"/>
      <c r="Q658" s="1213"/>
      <c r="R658" s="1213"/>
      <c r="S658" s="8"/>
      <c r="T658" s="20"/>
      <c r="U658" t="s">
        <v>1478</v>
      </c>
      <c r="AA658" s="1213" t="s">
        <v>1485</v>
      </c>
      <c r="AB658" s="1213"/>
      <c r="AC658" s="1213"/>
      <c r="AD658" s="1213"/>
      <c r="AE658" s="1213"/>
      <c r="AF658" s="1213"/>
      <c r="AG658" s="1213"/>
      <c r="AH658" s="1213"/>
      <c r="AI658" s="1213"/>
      <c r="AJ658" s="1213"/>
      <c r="AK658" s="1213"/>
      <c r="AZ658" s="3"/>
      <c r="BA658" s="3"/>
      <c r="BB658" s="3"/>
      <c r="BC658" s="3"/>
      <c r="BD658" s="3"/>
      <c r="BE658" s="3"/>
      <c r="BF658" s="3"/>
      <c r="BG658" s="3"/>
      <c r="BH658" s="3"/>
      <c r="BI658" s="3"/>
      <c r="BJ658" s="3"/>
      <c r="BK658" s="3"/>
      <c r="BL658" s="3"/>
      <c r="BM658" s="3"/>
      <c r="BN658" s="1230">
        <f>SUM(BN648:BR657)</f>
        <v>0</v>
      </c>
      <c r="BO658" s="1231"/>
      <c r="BP658" s="1231"/>
      <c r="BQ658" s="1231"/>
      <c r="BR658" s="1232"/>
      <c r="BS658" s="1230">
        <f>SUM(BS648:BW657)</f>
        <v>0</v>
      </c>
      <c r="BT658" s="1231"/>
      <c r="BU658" s="1231"/>
      <c r="BV658" s="1231"/>
      <c r="BW658" s="1232"/>
      <c r="BX658" s="1230">
        <f>SUM(BX648:CB657)</f>
        <v>0</v>
      </c>
      <c r="BY658" s="1231"/>
      <c r="BZ658" s="1231"/>
      <c r="CA658" s="1231"/>
      <c r="CB658" s="1232"/>
      <c r="CC658" s="1230">
        <f>SUM(CC648:CG657)</f>
        <v>0</v>
      </c>
      <c r="CD658" s="1231"/>
      <c r="CE658" s="1231"/>
      <c r="CF658" s="1231"/>
      <c r="CG658" s="1232"/>
      <c r="CH658" s="1230">
        <f>SUM(CH648:CL657)</f>
        <v>0</v>
      </c>
      <c r="CI658" s="1231"/>
      <c r="CJ658" s="1231"/>
      <c r="CK658" s="1231"/>
      <c r="CL658" s="1232"/>
      <c r="CM658" s="1230">
        <f>SUM(CM648:CQ657)</f>
        <v>0</v>
      </c>
      <c r="CN658" s="1231"/>
      <c r="CO658" s="1231"/>
      <c r="CP658" s="1231"/>
      <c r="CQ658" s="1232"/>
      <c r="CR658" s="285"/>
      <c r="CS658" s="1372">
        <f>SUM(CS648:CW657)</f>
        <v>0</v>
      </c>
      <c r="CT658" s="1372"/>
      <c r="CU658" s="1372"/>
      <c r="CV658" s="1372"/>
      <c r="CW658" s="1372"/>
      <c r="CX658" s="1372">
        <f>SUM(CX648:DB657)</f>
        <v>0</v>
      </c>
      <c r="CY658" s="1372"/>
      <c r="CZ658" s="1372"/>
      <c r="DA658" s="1372"/>
      <c r="DB658" s="1372"/>
      <c r="DC658" s="1372">
        <f>SUM(DC648:DG657)</f>
        <v>0</v>
      </c>
      <c r="DD658" s="1372"/>
      <c r="DE658" s="1372"/>
      <c r="DF658" s="1372"/>
      <c r="DG658" s="1372"/>
      <c r="DH658" s="1372">
        <f>SUM(DH648:DL657)</f>
        <v>0</v>
      </c>
      <c r="DI658" s="1372"/>
      <c r="DJ658" s="1372"/>
      <c r="DK658" s="1372"/>
      <c r="DL658" s="1372"/>
      <c r="DM658" s="1372">
        <f>SUM(DM648:DQ657)</f>
        <v>0</v>
      </c>
      <c r="DN658" s="1372"/>
      <c r="DO658" s="1372"/>
      <c r="DP658" s="1372"/>
      <c r="DQ658" s="1372"/>
      <c r="DR658" s="1372">
        <f>SUM(DR648:DV657)</f>
        <v>0</v>
      </c>
      <c r="DS658" s="1372"/>
      <c r="DT658" s="1372"/>
      <c r="DU658" s="1372"/>
      <c r="DV658" s="1372"/>
      <c r="DX658" s="1697" t="e">
        <f t="shared" si="22"/>
        <v>#VALUE!</v>
      </c>
      <c r="DY658" s="1697"/>
      <c r="DZ658" s="1697"/>
      <c r="EA658" s="1697"/>
      <c r="EB658" s="1697"/>
      <c r="EC658" s="1697" t="e">
        <f t="shared" si="23"/>
        <v>#VALUE!</v>
      </c>
      <c r="ED658" s="1697"/>
      <c r="EE658" s="1697"/>
      <c r="EF658" s="1697"/>
      <c r="EG658" s="1697"/>
      <c r="EH658" s="1697" t="e">
        <f t="shared" si="24"/>
        <v>#VALUE!</v>
      </c>
      <c r="EI658" s="1697"/>
      <c r="EJ658" s="1697"/>
      <c r="EK658" s="1697"/>
      <c r="EL658" s="1697"/>
      <c r="EM658" s="1697" t="e">
        <f t="shared" si="25"/>
        <v>#VALUE!</v>
      </c>
      <c r="EN658" s="1697"/>
      <c r="EO658" s="1697"/>
      <c r="EP658" s="1697"/>
      <c r="EQ658" s="1697"/>
      <c r="ER658" s="1697" t="e">
        <f t="shared" si="26"/>
        <v>#VALUE!</v>
      </c>
      <c r="ES658" s="1697"/>
      <c r="ET658" s="1697"/>
      <c r="EU658" s="1697"/>
      <c r="EV658" s="1697"/>
      <c r="EW658" s="1697" t="e">
        <f t="shared" si="27"/>
        <v>#VALUE!</v>
      </c>
      <c r="EX658" s="1697"/>
      <c r="EY658" s="1697"/>
      <c r="EZ658" s="1697"/>
      <c r="FA658" s="1697"/>
    </row>
    <row r="659" spans="1:157" ht="12.75">
      <c r="A659" s="20"/>
      <c r="B659" t="s">
        <v>1482</v>
      </c>
      <c r="N659" s="1263" t="s">
        <v>825</v>
      </c>
      <c r="O659" s="1263"/>
      <c r="T659" s="20"/>
      <c r="U659" t="s">
        <v>1482</v>
      </c>
      <c r="AG659" s="1263" t="s">
        <v>825</v>
      </c>
      <c r="AH659" s="1263"/>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697" t="e">
        <f t="shared" si="22"/>
        <v>#VALUE!</v>
      </c>
      <c r="DY659" s="1697"/>
      <c r="DZ659" s="1697"/>
      <c r="EA659" s="1697"/>
      <c r="EB659" s="1697"/>
      <c r="EC659" s="1697" t="e">
        <f t="shared" si="23"/>
        <v>#VALUE!</v>
      </c>
      <c r="ED659" s="1697"/>
      <c r="EE659" s="1697"/>
      <c r="EF659" s="1697"/>
      <c r="EG659" s="1697"/>
      <c r="EH659" s="1697" t="e">
        <f t="shared" si="24"/>
        <v>#VALUE!</v>
      </c>
      <c r="EI659" s="1697"/>
      <c r="EJ659" s="1697"/>
      <c r="EK659" s="1697"/>
      <c r="EL659" s="1697"/>
      <c r="EM659" s="1697" t="e">
        <f t="shared" si="25"/>
        <v>#VALUE!</v>
      </c>
      <c r="EN659" s="1697"/>
      <c r="EO659" s="1697"/>
      <c r="EP659" s="1697"/>
      <c r="EQ659" s="1697"/>
      <c r="ER659" s="1697" t="e">
        <f t="shared" si="26"/>
        <v>#VALUE!</v>
      </c>
      <c r="ES659" s="1697"/>
      <c r="ET659" s="1697"/>
      <c r="EU659" s="1697"/>
      <c r="EV659" s="1697"/>
      <c r="EW659" s="1697" t="e">
        <f t="shared" si="27"/>
        <v>#VALUE!</v>
      </c>
      <c r="EX659" s="1697"/>
      <c r="EY659" s="1697"/>
      <c r="EZ659" s="1697"/>
      <c r="FA659" s="1697"/>
    </row>
    <row r="660" spans="1:157" ht="12.75">
      <c r="A660" s="20"/>
      <c r="T660" s="20"/>
      <c r="AZ660" s="3"/>
      <c r="BA660" s="3"/>
      <c r="BB660" s="3"/>
      <c r="BC660" s="3"/>
      <c r="BD660" s="3"/>
      <c r="BE660" s="3"/>
      <c r="BF660" s="3"/>
      <c r="BG660" s="3"/>
      <c r="BH660" s="3"/>
      <c r="BI660" s="3"/>
      <c r="BJ660" s="3"/>
      <c r="BK660" s="3"/>
      <c r="BL660" s="3"/>
      <c r="BM660" s="3"/>
      <c r="CR660" s="3"/>
      <c r="CS660" s="822">
        <f>BN658+BS658+BX658+CC658+CH658+CM658</f>
        <v>0</v>
      </c>
      <c r="CT660" s="50" t="s">
        <v>1519</v>
      </c>
      <c r="CU660" s="3"/>
      <c r="CV660" s="3"/>
      <c r="CW660" s="3"/>
      <c r="CX660" s="3"/>
      <c r="CY660" s="3"/>
      <c r="CZ660" s="3"/>
      <c r="DA660" s="3"/>
      <c r="DB660" s="3"/>
      <c r="DC660" s="3"/>
      <c r="DD660" s="3"/>
      <c r="DE660" s="3"/>
      <c r="DF660" s="3"/>
      <c r="DQ660" s="49" t="s">
        <v>1520</v>
      </c>
      <c r="DR660" s="1697">
        <f>SUM(CS658:DV658)</f>
        <v>0</v>
      </c>
      <c r="DS660" s="1697"/>
      <c r="DT660" s="1697"/>
      <c r="DU660" s="1697"/>
      <c r="DV660" s="1697"/>
      <c r="DX660" s="1697" t="e">
        <f t="shared" si="22"/>
        <v>#VALUE!</v>
      </c>
      <c r="DY660" s="1697"/>
      <c r="DZ660" s="1697"/>
      <c r="EA660" s="1697"/>
      <c r="EB660" s="1697"/>
      <c r="EC660" s="1697" t="e">
        <f t="shared" si="23"/>
        <v>#VALUE!</v>
      </c>
      <c r="ED660" s="1697"/>
      <c r="EE660" s="1697"/>
      <c r="EF660" s="1697"/>
      <c r="EG660" s="1697"/>
      <c r="EH660" s="1697" t="e">
        <f t="shared" si="24"/>
        <v>#VALUE!</v>
      </c>
      <c r="EI660" s="1697"/>
      <c r="EJ660" s="1697"/>
      <c r="EK660" s="1697"/>
      <c r="EL660" s="1697"/>
      <c r="EM660" s="1697" t="e">
        <f t="shared" si="25"/>
        <v>#VALUE!</v>
      </c>
      <c r="EN660" s="1697"/>
      <c r="EO660" s="1697"/>
      <c r="EP660" s="1697"/>
      <c r="EQ660" s="1697"/>
      <c r="ER660" s="1697" t="e">
        <f t="shared" si="26"/>
        <v>#VALUE!</v>
      </c>
      <c r="ES660" s="1697"/>
      <c r="ET660" s="1697"/>
      <c r="EU660" s="1697"/>
      <c r="EV660" s="1697"/>
      <c r="EW660" s="1697" t="e">
        <f t="shared" si="27"/>
        <v>#VALUE!</v>
      </c>
      <c r="EX660" s="1697"/>
      <c r="EY660" s="1697"/>
      <c r="EZ660" s="1697"/>
      <c r="FA660" s="1697"/>
    </row>
    <row r="661" spans="1:157" ht="12.75">
      <c r="A661" s="48" t="s">
        <v>38</v>
      </c>
      <c r="B661" t="s">
        <v>1473</v>
      </c>
      <c r="G661" s="1273" t="str">
        <f>C639</f>
        <v>Master Developer Land Note</v>
      </c>
      <c r="H661" s="1273"/>
      <c r="I661" s="1273"/>
      <c r="J661" s="1273"/>
      <c r="K661" s="1273"/>
      <c r="L661" s="1273"/>
      <c r="M661" s="1273"/>
      <c r="N661" s="1273"/>
      <c r="O661" s="1273"/>
      <c r="P661" s="1273"/>
      <c r="Q661" s="1273"/>
      <c r="R661" s="1273"/>
      <c r="T661" s="48" t="s">
        <v>81</v>
      </c>
      <c r="U661" t="s">
        <v>1473</v>
      </c>
      <c r="Z661" s="1273" t="str">
        <f>C640</f>
        <v>Solar Equity</v>
      </c>
      <c r="AA661" s="1273"/>
      <c r="AB661" s="1273"/>
      <c r="AC661" s="1273"/>
      <c r="AD661" s="1273"/>
      <c r="AE661" s="1273"/>
      <c r="AF661" s="1273"/>
      <c r="AG661" s="1273"/>
      <c r="AH661" s="1273"/>
      <c r="AI661" s="1273"/>
      <c r="AJ661" s="1273"/>
      <c r="AK661" s="1273"/>
      <c r="AZ661" s="3"/>
      <c r="BA661" s="3"/>
      <c r="BB661" s="3"/>
      <c r="BC661" s="3"/>
      <c r="BD661" s="3"/>
      <c r="BE661" s="3"/>
      <c r="BF661" s="3"/>
      <c r="BG661" s="3"/>
      <c r="BH661" s="3"/>
      <c r="BI661" s="3"/>
      <c r="BJ661" s="3"/>
      <c r="BK661" s="3"/>
      <c r="BL661" s="3"/>
      <c r="BM661" s="3"/>
      <c r="CR661" s="3"/>
      <c r="CS661" s="822">
        <f>BR659+BW659+CB659+CG659+CL659+CQ659</f>
        <v>0</v>
      </c>
      <c r="CT661" s="50" t="s">
        <v>1521</v>
      </c>
      <c r="CU661" s="3"/>
      <c r="CV661" s="3"/>
      <c r="CW661" s="3"/>
      <c r="CX661" s="3"/>
      <c r="CY661" s="3"/>
      <c r="CZ661" s="3"/>
      <c r="DA661" s="3"/>
      <c r="DB661" s="3"/>
      <c r="DC661" s="3"/>
      <c r="DD661" s="3"/>
      <c r="DE661" s="3"/>
      <c r="DF661" s="3"/>
      <c r="DX661" s="1697" t="e">
        <f t="shared" si="22"/>
        <v>#VALUE!</v>
      </c>
      <c r="DY661" s="1697"/>
      <c r="DZ661" s="1697"/>
      <c r="EA661" s="1697"/>
      <c r="EB661" s="1697"/>
      <c r="EC661" s="1697" t="e">
        <f t="shared" si="23"/>
        <v>#VALUE!</v>
      </c>
      <c r="ED661" s="1697"/>
      <c r="EE661" s="1697"/>
      <c r="EF661" s="1697"/>
      <c r="EG661" s="1697"/>
      <c r="EH661" s="1697" t="e">
        <f t="shared" si="24"/>
        <v>#VALUE!</v>
      </c>
      <c r="EI661" s="1697"/>
      <c r="EJ661" s="1697"/>
      <c r="EK661" s="1697"/>
      <c r="EL661" s="1697"/>
      <c r="EM661" s="1697" t="e">
        <f t="shared" si="25"/>
        <v>#VALUE!</v>
      </c>
      <c r="EN661" s="1697"/>
      <c r="EO661" s="1697"/>
      <c r="EP661" s="1697"/>
      <c r="EQ661" s="1697"/>
      <c r="ER661" s="1697" t="e">
        <f t="shared" si="26"/>
        <v>#VALUE!</v>
      </c>
      <c r="ES661" s="1697"/>
      <c r="ET661" s="1697"/>
      <c r="EU661" s="1697"/>
      <c r="EV661" s="1697"/>
      <c r="EW661" s="1697" t="e">
        <f t="shared" si="27"/>
        <v>#VALUE!</v>
      </c>
      <c r="EX661" s="1697"/>
      <c r="EY661" s="1697"/>
      <c r="EZ661" s="1697"/>
      <c r="FA661" s="1697"/>
    </row>
    <row r="662" spans="1:157" ht="12.75">
      <c r="A662" s="20"/>
      <c r="B662" t="s">
        <v>1137</v>
      </c>
      <c r="G662" s="1213" t="s">
        <v>1138</v>
      </c>
      <c r="H662" s="1213"/>
      <c r="I662" s="1213"/>
      <c r="J662" s="1213"/>
      <c r="K662" s="1213"/>
      <c r="L662" s="1213"/>
      <c r="M662" s="1213"/>
      <c r="N662" s="1213"/>
      <c r="O662" s="1213"/>
      <c r="P662" s="1213"/>
      <c r="Q662" s="1213"/>
      <c r="R662" s="1213"/>
      <c r="T662" s="20"/>
      <c r="U662" t="s">
        <v>1137</v>
      </c>
      <c r="Z662" s="1213" t="s">
        <v>1227</v>
      </c>
      <c r="AA662" s="1213"/>
      <c r="AB662" s="1213"/>
      <c r="AC662" s="1213"/>
      <c r="AD662" s="1213"/>
      <c r="AE662" s="1213"/>
      <c r="AF662" s="1213"/>
      <c r="AG662" s="1213"/>
      <c r="AH662" s="1213"/>
      <c r="AI662" s="1213"/>
      <c r="AJ662" s="1213"/>
      <c r="AK662" s="1213"/>
      <c r="AZ662" s="3"/>
      <c r="BA662" s="3"/>
      <c r="BB662" s="3"/>
      <c r="BC662" s="3"/>
      <c r="BD662" s="3"/>
      <c r="BE662" s="3"/>
      <c r="BF662" s="3"/>
      <c r="BG662" s="3"/>
      <c r="BH662" s="3"/>
      <c r="BI662" s="3"/>
      <c r="BJ662" s="3"/>
      <c r="BK662" s="3"/>
      <c r="BL662" s="3"/>
      <c r="BM662" s="3"/>
      <c r="BN662" s="3" t="s">
        <v>1522</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697" t="e">
        <f t="shared" si="22"/>
        <v>#VALUE!</v>
      </c>
      <c r="DY662" s="1697"/>
      <c r="DZ662" s="1697"/>
      <c r="EA662" s="1697"/>
      <c r="EB662" s="1697"/>
      <c r="EC662" s="1697" t="e">
        <f t="shared" si="23"/>
        <v>#VALUE!</v>
      </c>
      <c r="ED662" s="1697"/>
      <c r="EE662" s="1697"/>
      <c r="EF662" s="1697"/>
      <c r="EG662" s="1697"/>
      <c r="EH662" s="1697" t="e">
        <f t="shared" si="24"/>
        <v>#VALUE!</v>
      </c>
      <c r="EI662" s="1697"/>
      <c r="EJ662" s="1697"/>
      <c r="EK662" s="1697"/>
      <c r="EL662" s="1697"/>
      <c r="EM662" s="1697" t="e">
        <f t="shared" si="25"/>
        <v>#VALUE!</v>
      </c>
      <c r="EN662" s="1697"/>
      <c r="EO662" s="1697"/>
      <c r="EP662" s="1697"/>
      <c r="EQ662" s="1697"/>
      <c r="ER662" s="1697" t="e">
        <f t="shared" si="26"/>
        <v>#VALUE!</v>
      </c>
      <c r="ES662" s="1697"/>
      <c r="ET662" s="1697"/>
      <c r="EU662" s="1697"/>
      <c r="EV662" s="1697"/>
      <c r="EW662" s="1697" t="e">
        <f t="shared" si="27"/>
        <v>#VALUE!</v>
      </c>
      <c r="EX662" s="1697"/>
      <c r="EY662" s="1697"/>
      <c r="EZ662" s="1697"/>
      <c r="FA662" s="1697"/>
    </row>
    <row r="663" spans="1:157" ht="12.75">
      <c r="A663" s="20"/>
      <c r="B663" t="s">
        <v>1012</v>
      </c>
      <c r="G663" s="1213" t="s">
        <v>1196</v>
      </c>
      <c r="H663" s="1213"/>
      <c r="I663" s="1213"/>
      <c r="J663" s="1213"/>
      <c r="K663" s="1213"/>
      <c r="L663" s="1213"/>
      <c r="M663" s="1213"/>
      <c r="N663" s="1213"/>
      <c r="O663" s="1213"/>
      <c r="P663" s="1213"/>
      <c r="Q663" s="1213"/>
      <c r="R663" s="1213"/>
      <c r="T663" s="20"/>
      <c r="U663" t="s">
        <v>1012</v>
      </c>
      <c r="Z663" s="1213" t="s">
        <v>1228</v>
      </c>
      <c r="AA663" s="1213"/>
      <c r="AB663" s="1213"/>
      <c r="AC663" s="1213"/>
      <c r="AD663" s="1213"/>
      <c r="AE663" s="1213"/>
      <c r="AF663" s="1213"/>
      <c r="AG663" s="1213"/>
      <c r="AH663" s="1213"/>
      <c r="AI663" s="1213"/>
      <c r="AJ663" s="1213"/>
      <c r="AK663" s="1213"/>
      <c r="AZ663" s="3"/>
      <c r="BA663" s="3"/>
      <c r="BB663" s="3"/>
      <c r="BC663" s="3"/>
      <c r="BD663" s="3"/>
      <c r="BE663" s="3"/>
      <c r="BF663" s="3"/>
      <c r="BG663" s="3"/>
      <c r="BH663" s="3"/>
      <c r="BI663" s="3"/>
      <c r="BJ663" s="3"/>
      <c r="BK663" s="3"/>
      <c r="BL663" s="3"/>
      <c r="BM663" s="3"/>
      <c r="BN663" s="1230">
        <f>BN635+BN644+BN658</f>
        <v>0</v>
      </c>
      <c r="BO663" s="1231"/>
      <c r="BP663" s="1231"/>
      <c r="BQ663" s="1231"/>
      <c r="BR663" s="1232"/>
      <c r="BS663" s="1230">
        <f>BS635+BS644+BS658</f>
        <v>56</v>
      </c>
      <c r="BT663" s="1231"/>
      <c r="BU663" s="1231"/>
      <c r="BV663" s="1231"/>
      <c r="BW663" s="1232"/>
      <c r="BX663" s="1230">
        <f>BX635+BX644+BX658</f>
        <v>32</v>
      </c>
      <c r="BY663" s="1231"/>
      <c r="BZ663" s="1231"/>
      <c r="CA663" s="1231"/>
      <c r="CB663" s="1232"/>
      <c r="CC663" s="1230">
        <f>CC635+CC644+CC658</f>
        <v>32</v>
      </c>
      <c r="CD663" s="1231"/>
      <c r="CE663" s="1231"/>
      <c r="CF663" s="1231"/>
      <c r="CG663" s="1232"/>
      <c r="CH663" s="1230">
        <f>CH635+CH644+CH658</f>
        <v>0</v>
      </c>
      <c r="CI663" s="1231"/>
      <c r="CJ663" s="1231"/>
      <c r="CK663" s="1231"/>
      <c r="CL663" s="1232"/>
      <c r="CM663" s="1230">
        <f>CM658+CM644+CM635</f>
        <v>0</v>
      </c>
      <c r="CN663" s="1231"/>
      <c r="CO663" s="1231"/>
      <c r="CP663" s="1231"/>
      <c r="CQ663" s="1232"/>
      <c r="CR663" s="3"/>
      <c r="CS663" s="822">
        <f>CS637+CS661</f>
        <v>214</v>
      </c>
      <c r="CT663" s="50" t="s">
        <v>1523</v>
      </c>
      <c r="CU663" s="3"/>
      <c r="CV663" s="3"/>
      <c r="CW663" s="3"/>
      <c r="CX663" s="3"/>
      <c r="CY663" s="3"/>
      <c r="CZ663" s="3"/>
      <c r="DA663" s="3"/>
      <c r="DB663" s="3"/>
      <c r="DC663" s="3"/>
      <c r="DD663" s="3"/>
      <c r="DE663" s="3"/>
      <c r="DF663" s="3"/>
      <c r="DX663" s="1697">
        <f>SUMIF(DX638:EB662,"&gt;0")</f>
        <v>0</v>
      </c>
      <c r="DY663" s="1697"/>
      <c r="DZ663" s="1697"/>
      <c r="EA663" s="1697"/>
      <c r="EB663" s="1697"/>
      <c r="EC663" s="1697">
        <f>SUMIF(EC638:EG662,"&gt;0")</f>
        <v>1253.1400000000003</v>
      </c>
      <c r="ED663" s="1697"/>
      <c r="EE663" s="1697"/>
      <c r="EF663" s="1697"/>
      <c r="EG663" s="1697"/>
      <c r="EH663" s="1697">
        <f>SUMIF(EH638:EL662,"&gt;0")</f>
        <v>1481.4958064516127</v>
      </c>
      <c r="EI663" s="1697"/>
      <c r="EJ663" s="1697"/>
      <c r="EK663" s="1697"/>
      <c r="EL663" s="1697"/>
      <c r="EM663" s="1697">
        <f>SUMIF(EM638:EQ662,"&gt;0")</f>
        <v>1717.06</v>
      </c>
      <c r="EN663" s="1697"/>
      <c r="EO663" s="1697"/>
      <c r="EP663" s="1697"/>
      <c r="EQ663" s="1697"/>
      <c r="ER663" s="1697">
        <f>SUMIF(ER638:EV662,"&gt;0")</f>
        <v>0</v>
      </c>
      <c r="ES663" s="1697"/>
      <c r="ET663" s="1697"/>
      <c r="EU663" s="1697"/>
      <c r="EV663" s="1697"/>
      <c r="EW663" s="1697">
        <f>SUMIF(EW638:FA662,"&gt;0")</f>
        <v>0</v>
      </c>
      <c r="EX663" s="1697"/>
      <c r="EY663" s="1697"/>
      <c r="EZ663" s="1697"/>
      <c r="FA663" s="1697"/>
    </row>
    <row r="664" spans="1:157" ht="12.75">
      <c r="A664" s="20"/>
      <c r="B664" t="s">
        <v>1475</v>
      </c>
      <c r="G664" s="1213" t="s">
        <v>1142</v>
      </c>
      <c r="H664" s="1213"/>
      <c r="I664" s="1213"/>
      <c r="J664" s="1213"/>
      <c r="K664" s="1213"/>
      <c r="L664" s="1213"/>
      <c r="M664" s="1213"/>
      <c r="N664" s="1213"/>
      <c r="O664" s="1213"/>
      <c r="P664" s="1213"/>
      <c r="Q664" s="1213"/>
      <c r="R664" s="1213"/>
      <c r="T664" s="20"/>
      <c r="U664" t="s">
        <v>1475</v>
      </c>
      <c r="Z664" s="1213" t="s">
        <v>1229</v>
      </c>
      <c r="AA664" s="1213"/>
      <c r="AB664" s="1213"/>
      <c r="AC664" s="1213"/>
      <c r="AD664" s="1213"/>
      <c r="AE664" s="1213"/>
      <c r="AF664" s="1213"/>
      <c r="AG664" s="1213"/>
      <c r="AH664" s="1213"/>
      <c r="AI664" s="1213"/>
      <c r="AJ664" s="1213"/>
      <c r="AK664" s="121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918</v>
      </c>
      <c r="G665" s="1276" t="s">
        <v>1144</v>
      </c>
      <c r="H665" s="1276"/>
      <c r="I665" s="1276"/>
      <c r="J665" s="1276"/>
      <c r="K665" s="1276"/>
      <c r="L665" s="1276"/>
      <c r="O665" s="998" t="s">
        <v>1145</v>
      </c>
      <c r="P665" s="1224"/>
      <c r="Q665" s="1224"/>
      <c r="R665" s="1224"/>
      <c r="T665" s="20"/>
      <c r="U665" t="s">
        <v>918</v>
      </c>
      <c r="Z665" s="1276" t="s">
        <v>1230</v>
      </c>
      <c r="AA665" s="1276"/>
      <c r="AB665" s="1276"/>
      <c r="AC665" s="1276"/>
      <c r="AD665" s="1276"/>
      <c r="AE665" s="1276"/>
      <c r="AH665" s="998" t="s">
        <v>1145</v>
      </c>
      <c r="AI665" s="1224"/>
      <c r="AJ665" s="1224"/>
      <c r="AK665" s="1224"/>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1478</v>
      </c>
      <c r="H666" s="1213" t="s">
        <v>1485</v>
      </c>
      <c r="I666" s="1213"/>
      <c r="J666" s="1213"/>
      <c r="K666" s="1213"/>
      <c r="L666" s="1213"/>
      <c r="M666" s="1213"/>
      <c r="N666" s="1213"/>
      <c r="O666" s="1213"/>
      <c r="P666" s="1213"/>
      <c r="Q666" s="1213"/>
      <c r="R666" s="1213"/>
      <c r="T666" s="20"/>
      <c r="U666" t="s">
        <v>1478</v>
      </c>
      <c r="AA666" s="1213" t="s">
        <v>1486</v>
      </c>
      <c r="AB666" s="1213"/>
      <c r="AC666" s="1213"/>
      <c r="AD666" s="1213"/>
      <c r="AE666" s="1213"/>
      <c r="AF666" s="1213"/>
      <c r="AG666" s="1213"/>
      <c r="AH666" s="1213"/>
      <c r="AI666" s="1213"/>
      <c r="AJ666" s="1213"/>
      <c r="AK666" s="1213"/>
      <c r="AZ666" s="3"/>
      <c r="BA666" s="3"/>
      <c r="BB666" s="3"/>
      <c r="BC666" s="3"/>
      <c r="BD666" s="3"/>
      <c r="BE666" s="3"/>
      <c r="BF666" s="3"/>
      <c r="BG666" s="3"/>
      <c r="BH666" s="3"/>
      <c r="BI666" s="3"/>
      <c r="BJ666" s="3"/>
      <c r="BK666" s="3"/>
      <c r="BL666" s="3"/>
      <c r="BM666" s="3"/>
      <c r="BN666" s="3"/>
      <c r="BO666" s="3"/>
      <c r="BP666" s="138" t="s">
        <v>1524</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1482</v>
      </c>
      <c r="N667" s="1263" t="s">
        <v>825</v>
      </c>
      <c r="O667" s="1263"/>
      <c r="T667" s="20"/>
      <c r="U667" t="s">
        <v>1482</v>
      </c>
      <c r="AG667" s="1263" t="s">
        <v>825</v>
      </c>
      <c r="AH667" s="1263"/>
      <c r="AZ667" s="3"/>
      <c r="BA667" s="3"/>
      <c r="BB667" s="3"/>
      <c r="BC667" s="3"/>
      <c r="BD667" s="3"/>
      <c r="BE667" s="3"/>
      <c r="BF667" s="3"/>
      <c r="BG667" s="3"/>
      <c r="BH667" s="3"/>
      <c r="BI667" s="3"/>
      <c r="BJ667" s="3"/>
      <c r="BK667" s="3"/>
      <c r="BL667" s="3"/>
      <c r="BM667" s="3"/>
      <c r="BN667" s="3"/>
      <c r="BO667" s="3"/>
      <c r="BP667" s="214" t="s">
        <v>1525</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072"/>
      <c r="BQ668" s="1073"/>
      <c r="BR668" s="1074"/>
      <c r="BS668" s="1074"/>
      <c r="BT668" s="1074"/>
      <c r="BU668" s="1074"/>
      <c r="BV668" s="107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1473</v>
      </c>
      <c r="G669" s="1273" t="str">
        <f>C641</f>
        <v>Residual Receipt Loans Accrued Interest</v>
      </c>
      <c r="H669" s="1273"/>
      <c r="I669" s="1273"/>
      <c r="J669" s="1273"/>
      <c r="K669" s="1273"/>
      <c r="L669" s="1273"/>
      <c r="M669" s="1273"/>
      <c r="N669" s="1273"/>
      <c r="O669" s="1273"/>
      <c r="P669" s="1273"/>
      <c r="Q669" s="1273"/>
      <c r="R669" s="1273"/>
      <c r="T669" s="48" t="s">
        <v>1461</v>
      </c>
      <c r="U669" t="s">
        <v>1473</v>
      </c>
      <c r="Z669" s="1273" t="str">
        <f>C642</f>
        <v>GP Contribution of Developer Fee</v>
      </c>
      <c r="AA669" s="1273"/>
      <c r="AB669" s="1273"/>
      <c r="AC669" s="1273"/>
      <c r="AD669" s="1273"/>
      <c r="AE669" s="1273"/>
      <c r="AF669" s="1273"/>
      <c r="AG669" s="1273"/>
      <c r="AH669" s="1273"/>
      <c r="AI669" s="1273"/>
      <c r="AJ669" s="1273"/>
      <c r="AK669" s="1273"/>
      <c r="AZ669" s="3"/>
      <c r="BA669" s="74" t="s">
        <v>1526</v>
      </c>
      <c r="BB669" s="3"/>
      <c r="BC669" s="3"/>
      <c r="BD669" s="3"/>
      <c r="BE669" s="3"/>
      <c r="BF669" s="143"/>
      <c r="BG669" s="144" t="s">
        <v>1527</v>
      </c>
      <c r="BH669" s="143"/>
      <c r="BI669" s="143"/>
      <c r="BJ669" s="3"/>
      <c r="BK669" s="3"/>
      <c r="BL669" s="3"/>
      <c r="BM669" s="3"/>
      <c r="BN669" s="3"/>
      <c r="BO669" s="3"/>
      <c r="BP669" s="275" t="s">
        <v>1528</v>
      </c>
      <c r="BQ669" s="276" t="s">
        <v>1490</v>
      </c>
      <c r="BR669" s="276" t="s">
        <v>1494</v>
      </c>
      <c r="BS669" s="276" t="s">
        <v>1495</v>
      </c>
      <c r="BT669" s="276" t="s">
        <v>1496</v>
      </c>
      <c r="BU669" s="276" t="s">
        <v>1499</v>
      </c>
      <c r="BV669" s="276" t="s">
        <v>1498</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1137</v>
      </c>
      <c r="G670" s="1213"/>
      <c r="H670" s="1213"/>
      <c r="I670" s="1213"/>
      <c r="J670" s="1213"/>
      <c r="K670" s="1213"/>
      <c r="L670" s="1213"/>
      <c r="M670" s="1213"/>
      <c r="N670" s="1213"/>
      <c r="O670" s="1213"/>
      <c r="P670" s="1213"/>
      <c r="Q670" s="1213"/>
      <c r="R670" s="1213"/>
      <c r="T670" s="20"/>
      <c r="U670" t="s">
        <v>1137</v>
      </c>
      <c r="Z670" s="1213"/>
      <c r="AA670" s="1213"/>
      <c r="AB670" s="1213"/>
      <c r="AC670" s="1213"/>
      <c r="AD670" s="1213"/>
      <c r="AE670" s="1213"/>
      <c r="AF670" s="1213"/>
      <c r="AG670" s="1213"/>
      <c r="AH670" s="1213"/>
      <c r="AI670" s="1213"/>
      <c r="AJ670" s="1213"/>
      <c r="AK670" s="1213"/>
      <c r="AZ670" s="3"/>
      <c r="BA670" s="85">
        <f t="shared" ref="BA670:BA694" si="40">IF($G728=0,"N/A",VLOOKUP($T$189,TC_Rent,(MATCH($B728,bedrooms,FALSE))))</f>
        <v>2272</v>
      </c>
      <c r="BB670" s="3"/>
      <c r="BC670" s="3"/>
      <c r="BD670" s="3"/>
      <c r="BE670" s="3"/>
      <c r="BF670" s="143"/>
      <c r="BG670" s="219" t="s">
        <v>1529</v>
      </c>
      <c r="BH670" s="223" t="s">
        <v>1530</v>
      </c>
      <c r="BI670" s="222" t="s">
        <v>1531</v>
      </c>
      <c r="BJ670" s="3"/>
      <c r="BK670" s="3"/>
      <c r="BL670" s="3"/>
      <c r="BM670" s="3"/>
      <c r="BN670" s="3"/>
      <c r="BO670" s="3"/>
      <c r="BP670" s="277" t="s">
        <v>914</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1012</v>
      </c>
      <c r="G671" s="1213"/>
      <c r="H671" s="1213"/>
      <c r="I671" s="1213"/>
      <c r="J671" s="1213"/>
      <c r="K671" s="1213"/>
      <c r="L671" s="1213"/>
      <c r="M671" s="1213"/>
      <c r="N671" s="1213"/>
      <c r="O671" s="1213"/>
      <c r="P671" s="1213"/>
      <c r="Q671" s="1213"/>
      <c r="R671" s="1213"/>
      <c r="T671" s="20"/>
      <c r="U671" t="s">
        <v>1012</v>
      </c>
      <c r="Z671" s="1298"/>
      <c r="AA671" s="1298"/>
      <c r="AB671" s="1298"/>
      <c r="AC671" s="1298"/>
      <c r="AD671" s="1298"/>
      <c r="AE671" s="1298"/>
      <c r="AF671" s="1298"/>
      <c r="AG671" s="1298"/>
      <c r="AH671" s="1298"/>
      <c r="AI671" s="1298"/>
      <c r="AJ671" s="1298"/>
      <c r="AK671" s="1298"/>
      <c r="AZ671" s="3"/>
      <c r="BA671" s="85">
        <f t="shared" si="40"/>
        <v>2272</v>
      </c>
      <c r="BB671" s="3"/>
      <c r="BC671" s="3"/>
      <c r="BD671" s="3"/>
      <c r="BE671" s="3"/>
      <c r="BF671" s="143"/>
      <c r="BG671" s="220">
        <f t="shared" ref="BG671:BG695" si="41">G728</f>
        <v>44</v>
      </c>
      <c r="BH671" s="224">
        <f>BG671/$BG$696</f>
        <v>0.36974789915966388</v>
      </c>
      <c r="BI671" s="225">
        <f t="shared" ref="BI671:BI695" si="42">IF(BH671=0," ",BH671*AH728)</f>
        <v>0.22184873949579834</v>
      </c>
      <c r="BJ671" s="3"/>
      <c r="BK671" s="3"/>
      <c r="BL671" s="3"/>
      <c r="BM671" s="3"/>
      <c r="BN671" s="3"/>
      <c r="BO671" s="3"/>
      <c r="BP671" s="278" t="s">
        <v>917</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1475</v>
      </c>
      <c r="G672" s="1213"/>
      <c r="H672" s="1213"/>
      <c r="I672" s="1213"/>
      <c r="J672" s="1213"/>
      <c r="K672" s="1213"/>
      <c r="L672" s="1213"/>
      <c r="M672" s="1213"/>
      <c r="N672" s="1213"/>
      <c r="O672" s="1213"/>
      <c r="P672" s="1213"/>
      <c r="Q672" s="1213"/>
      <c r="R672" s="1213"/>
      <c r="T672" s="20"/>
      <c r="U672" t="s">
        <v>1475</v>
      </c>
      <c r="Z672" s="1298"/>
      <c r="AA672" s="1298"/>
      <c r="AB672" s="1298"/>
      <c r="AC672" s="1298"/>
      <c r="AD672" s="1298"/>
      <c r="AE672" s="1298"/>
      <c r="AF672" s="1298"/>
      <c r="AG672" s="1298"/>
      <c r="AH672" s="1298"/>
      <c r="AI672" s="1298"/>
      <c r="AJ672" s="1298"/>
      <c r="AK672" s="1298"/>
      <c r="AZ672" s="3"/>
      <c r="BA672" s="85">
        <f t="shared" si="40"/>
        <v>2272</v>
      </c>
      <c r="BB672" s="3"/>
      <c r="BC672" s="3"/>
      <c r="BD672" s="3"/>
      <c r="BE672" s="3"/>
      <c r="BF672" s="143"/>
      <c r="BG672" s="221">
        <f t="shared" si="41"/>
        <v>6</v>
      </c>
      <c r="BH672" s="224">
        <f t="shared" ref="BH672:BH695" si="43">BG672/$BG$696</f>
        <v>5.0420168067226892E-2</v>
      </c>
      <c r="BI672" s="225">
        <f t="shared" si="42"/>
        <v>2.5210084033613446E-2</v>
      </c>
      <c r="BJ672" s="3"/>
      <c r="BK672" s="3"/>
      <c r="BL672" s="3"/>
      <c r="BM672" s="3"/>
      <c r="BN672" s="3"/>
      <c r="BO672" s="3"/>
      <c r="BP672" s="278" t="s">
        <v>922</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918</v>
      </c>
      <c r="G673" s="1276"/>
      <c r="H673" s="1276"/>
      <c r="I673" s="1276"/>
      <c r="J673" s="1276"/>
      <c r="K673" s="1276"/>
      <c r="L673" s="1276"/>
      <c r="O673" s="998" t="s">
        <v>1145</v>
      </c>
      <c r="P673" s="1224"/>
      <c r="Q673" s="1224"/>
      <c r="R673" s="1224"/>
      <c r="T673" s="20"/>
      <c r="U673" t="s">
        <v>918</v>
      </c>
      <c r="Z673" s="1276"/>
      <c r="AA673" s="1276"/>
      <c r="AB673" s="1276"/>
      <c r="AC673" s="1276"/>
      <c r="AD673" s="1276"/>
      <c r="AE673" s="1276"/>
      <c r="AH673" s="998" t="s">
        <v>1145</v>
      </c>
      <c r="AI673" s="1224"/>
      <c r="AJ673" s="1224"/>
      <c r="AK673" s="1224"/>
      <c r="AZ673" s="3"/>
      <c r="BA673" s="85">
        <f t="shared" si="40"/>
        <v>2726</v>
      </c>
      <c r="BB673" s="3"/>
      <c r="BC673" s="3"/>
      <c r="BD673" s="3"/>
      <c r="BE673" s="3"/>
      <c r="BF673" s="143"/>
      <c r="BG673" s="221">
        <f t="shared" si="41"/>
        <v>6</v>
      </c>
      <c r="BH673" s="224">
        <f t="shared" si="43"/>
        <v>5.0420168067226892E-2</v>
      </c>
      <c r="BI673" s="225">
        <f t="shared" si="42"/>
        <v>1.5126050420168067E-2</v>
      </c>
      <c r="BJ673" s="3"/>
      <c r="BK673" s="3"/>
      <c r="BL673" s="3"/>
      <c r="BM673" s="3"/>
      <c r="BN673" s="3"/>
      <c r="BO673" s="3"/>
      <c r="BP673" s="278" t="s">
        <v>926</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1478</v>
      </c>
      <c r="H674" s="1213"/>
      <c r="I674" s="1213"/>
      <c r="J674" s="1213"/>
      <c r="K674" s="1213"/>
      <c r="L674" s="1213"/>
      <c r="M674" s="1213"/>
      <c r="N674" s="1213"/>
      <c r="O674" s="1213"/>
      <c r="P674" s="1213"/>
      <c r="Q674" s="1213"/>
      <c r="R674" s="1213"/>
      <c r="T674" s="20"/>
      <c r="U674" t="s">
        <v>1478</v>
      </c>
      <c r="AA674" s="1213"/>
      <c r="AB674" s="1213"/>
      <c r="AC674" s="1213"/>
      <c r="AD674" s="1213"/>
      <c r="AE674" s="1213"/>
      <c r="AF674" s="1213"/>
      <c r="AG674" s="1213"/>
      <c r="AH674" s="1213"/>
      <c r="AI674" s="1213"/>
      <c r="AJ674" s="1213"/>
      <c r="AK674" s="1213"/>
      <c r="AZ674" s="3"/>
      <c r="BA674" s="85">
        <f t="shared" si="40"/>
        <v>2726</v>
      </c>
      <c r="BB674" s="3"/>
      <c r="BC674" s="3"/>
      <c r="BD674" s="3"/>
      <c r="BE674" s="3"/>
      <c r="BF674" s="143"/>
      <c r="BG674" s="221">
        <f t="shared" si="41"/>
        <v>23</v>
      </c>
      <c r="BH674" s="224">
        <f t="shared" si="43"/>
        <v>0.19327731092436976</v>
      </c>
      <c r="BI674" s="225">
        <f t="shared" si="42"/>
        <v>0.11596638655462185</v>
      </c>
      <c r="BJ674" s="3"/>
      <c r="BK674" s="3"/>
      <c r="BL674" s="3"/>
      <c r="BM674" s="3"/>
      <c r="BN674" s="3"/>
      <c r="BO674" s="3"/>
      <c r="BP674" s="278" t="s">
        <v>931</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1482</v>
      </c>
      <c r="N675" s="1263" t="s">
        <v>929</v>
      </c>
      <c r="O675" s="1263"/>
      <c r="T675" s="20"/>
      <c r="U675" t="s">
        <v>1482</v>
      </c>
      <c r="AG675" s="1263" t="s">
        <v>929</v>
      </c>
      <c r="AH675" s="1263"/>
      <c r="AZ675" s="3"/>
      <c r="BA675" s="85">
        <f t="shared" si="40"/>
        <v>2726</v>
      </c>
      <c r="BB675" s="3"/>
      <c r="BC675" s="3"/>
      <c r="BD675" s="3"/>
      <c r="BE675" s="3"/>
      <c r="BF675" s="143"/>
      <c r="BG675" s="221">
        <f t="shared" si="41"/>
        <v>4</v>
      </c>
      <c r="BH675" s="224">
        <f t="shared" si="43"/>
        <v>3.3613445378151259E-2</v>
      </c>
      <c r="BI675" s="225">
        <f t="shared" si="42"/>
        <v>1.680672268907563E-2</v>
      </c>
      <c r="BJ675" s="3"/>
      <c r="BK675" s="3"/>
      <c r="BL675" s="3"/>
      <c r="BM675" s="3"/>
      <c r="BN675" s="3"/>
      <c r="BO675" s="3"/>
      <c r="BP675" s="278" t="s">
        <v>933</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0"/>
        <v>3150</v>
      </c>
      <c r="BB676" s="3"/>
      <c r="BC676" s="3"/>
      <c r="BD676" s="3"/>
      <c r="BE676" s="3"/>
      <c r="BF676" s="143"/>
      <c r="BG676" s="221">
        <f t="shared" si="41"/>
        <v>4</v>
      </c>
      <c r="BH676" s="224">
        <f t="shared" si="43"/>
        <v>3.3613445378151259E-2</v>
      </c>
      <c r="BI676" s="225">
        <f t="shared" si="42"/>
        <v>1.0084033613445377E-2</v>
      </c>
      <c r="BJ676" s="3"/>
      <c r="BK676" s="3"/>
      <c r="BL676" s="3"/>
      <c r="BM676" s="3"/>
      <c r="BN676" s="3"/>
      <c r="BO676" s="3"/>
      <c r="BP676" s="278" t="s">
        <v>937</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1463</v>
      </c>
      <c r="B677" t="s">
        <v>1473</v>
      </c>
      <c r="G677" s="1273">
        <f>C643</f>
        <v>0</v>
      </c>
      <c r="H677" s="1273"/>
      <c r="I677" s="1273"/>
      <c r="J677" s="1273"/>
      <c r="K677" s="1273"/>
      <c r="L677" s="1273"/>
      <c r="M677" s="1273"/>
      <c r="N677" s="1273"/>
      <c r="O677" s="1273"/>
      <c r="P677" s="1273"/>
      <c r="Q677" s="1273"/>
      <c r="R677" s="1273"/>
      <c r="T677" s="48" t="s">
        <v>1465</v>
      </c>
      <c r="U677" t="s">
        <v>1473</v>
      </c>
      <c r="Z677" s="1273">
        <f>C644</f>
        <v>0</v>
      </c>
      <c r="AA677" s="1273"/>
      <c r="AB677" s="1273"/>
      <c r="AC677" s="1273"/>
      <c r="AD677" s="1273"/>
      <c r="AE677" s="1273"/>
      <c r="AF677" s="1273"/>
      <c r="AG677" s="1273"/>
      <c r="AH677" s="1273"/>
      <c r="AI677" s="1273"/>
      <c r="AJ677" s="1273"/>
      <c r="AK677" s="1273"/>
      <c r="AZ677" s="3"/>
      <c r="BA677" s="85">
        <f t="shared" si="40"/>
        <v>3150</v>
      </c>
      <c r="BB677" s="3"/>
      <c r="BC677" s="3"/>
      <c r="BD677" s="3"/>
      <c r="BE677" s="3"/>
      <c r="BF677" s="143"/>
      <c r="BG677" s="221">
        <f t="shared" si="41"/>
        <v>24</v>
      </c>
      <c r="BH677" s="224">
        <f t="shared" si="43"/>
        <v>0.20168067226890757</v>
      </c>
      <c r="BI677" s="225">
        <f t="shared" si="42"/>
        <v>0.12100840336134454</v>
      </c>
      <c r="BJ677" s="3"/>
      <c r="BK677" s="3"/>
      <c r="BL677" s="3"/>
      <c r="BM677" s="3"/>
      <c r="BN677" s="3"/>
      <c r="BO677" s="3"/>
      <c r="BP677" s="278" t="s">
        <v>940</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1137</v>
      </c>
      <c r="G678" s="1213"/>
      <c r="H678" s="1213"/>
      <c r="I678" s="1213"/>
      <c r="J678" s="1213"/>
      <c r="K678" s="1213"/>
      <c r="L678" s="1213"/>
      <c r="M678" s="1213"/>
      <c r="N678" s="1213"/>
      <c r="O678" s="1213"/>
      <c r="P678" s="1213"/>
      <c r="Q678" s="1213"/>
      <c r="R678" s="1213"/>
      <c r="T678" s="20"/>
      <c r="U678" t="s">
        <v>1137</v>
      </c>
      <c r="Z678" s="1213"/>
      <c r="AA678" s="1213"/>
      <c r="AB678" s="1213"/>
      <c r="AC678" s="1213"/>
      <c r="AD678" s="1213"/>
      <c r="AE678" s="1213"/>
      <c r="AF678" s="1213"/>
      <c r="AG678" s="1213"/>
      <c r="AH678" s="1213"/>
      <c r="AI678" s="1213"/>
      <c r="AJ678" s="1213"/>
      <c r="AK678" s="1213"/>
      <c r="AZ678" s="3"/>
      <c r="BA678" s="85">
        <f t="shared" si="40"/>
        <v>3150</v>
      </c>
      <c r="BB678" s="3"/>
      <c r="BC678" s="3"/>
      <c r="BD678" s="3"/>
      <c r="BE678" s="3"/>
      <c r="BF678" s="143"/>
      <c r="BG678" s="221">
        <f t="shared" si="41"/>
        <v>4</v>
      </c>
      <c r="BH678" s="224">
        <f t="shared" si="43"/>
        <v>3.3613445378151259E-2</v>
      </c>
      <c r="BI678" s="225">
        <f t="shared" si="42"/>
        <v>1.680672268907563E-2</v>
      </c>
      <c r="BJ678" s="3"/>
      <c r="BK678" s="3"/>
      <c r="BL678" s="3"/>
      <c r="BM678" s="3"/>
      <c r="BN678" s="3"/>
      <c r="BO678" s="3"/>
      <c r="BP678" s="278" t="s">
        <v>942</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1012</v>
      </c>
      <c r="G679" s="1213"/>
      <c r="H679" s="1213"/>
      <c r="I679" s="1213"/>
      <c r="J679" s="1213"/>
      <c r="K679" s="1213"/>
      <c r="L679" s="1213"/>
      <c r="M679" s="1213"/>
      <c r="N679" s="1213"/>
      <c r="O679" s="1213"/>
      <c r="P679" s="1213"/>
      <c r="Q679" s="1213"/>
      <c r="R679" s="1213"/>
      <c r="T679" s="20"/>
      <c r="U679" t="s">
        <v>1012</v>
      </c>
      <c r="Z679" s="1298"/>
      <c r="AA679" s="1298"/>
      <c r="AB679" s="1298"/>
      <c r="AC679" s="1298"/>
      <c r="AD679" s="1298"/>
      <c r="AE679" s="1298"/>
      <c r="AF679" s="1298"/>
      <c r="AG679" s="1298"/>
      <c r="AH679" s="1298"/>
      <c r="AI679" s="1298"/>
      <c r="AJ679" s="1298"/>
      <c r="AK679" s="1298"/>
      <c r="AZ679" s="3"/>
      <c r="BA679" s="85" t="str">
        <f t="shared" si="40"/>
        <v>N/A</v>
      </c>
      <c r="BB679" s="3"/>
      <c r="BC679" s="3"/>
      <c r="BD679" s="3"/>
      <c r="BE679" s="3"/>
      <c r="BF679" s="143"/>
      <c r="BG679" s="221">
        <f t="shared" si="41"/>
        <v>4</v>
      </c>
      <c r="BH679" s="224">
        <f t="shared" si="43"/>
        <v>3.3613445378151259E-2</v>
      </c>
      <c r="BI679" s="225">
        <f t="shared" si="42"/>
        <v>1.0084033613445377E-2</v>
      </c>
      <c r="BJ679" s="3"/>
      <c r="BK679" s="3"/>
      <c r="BL679" s="3"/>
      <c r="BM679" s="3"/>
      <c r="BN679" s="3"/>
      <c r="BO679" s="3"/>
      <c r="BP679" s="278" t="s">
        <v>944</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1475</v>
      </c>
      <c r="G680" s="1213"/>
      <c r="H680" s="1213"/>
      <c r="I680" s="1213"/>
      <c r="J680" s="1213"/>
      <c r="K680" s="1213"/>
      <c r="L680" s="1213"/>
      <c r="M680" s="1213"/>
      <c r="N680" s="1213"/>
      <c r="O680" s="1213"/>
      <c r="P680" s="1213"/>
      <c r="Q680" s="1213"/>
      <c r="R680" s="1213"/>
      <c r="T680" s="20"/>
      <c r="U680" t="s">
        <v>1475</v>
      </c>
      <c r="Z680" s="1298"/>
      <c r="AA680" s="1298"/>
      <c r="AB680" s="1298"/>
      <c r="AC680" s="1298"/>
      <c r="AD680" s="1298"/>
      <c r="AE680" s="1298"/>
      <c r="AF680" s="1298"/>
      <c r="AG680" s="1298"/>
      <c r="AH680" s="1298"/>
      <c r="AI680" s="1298"/>
      <c r="AJ680" s="1298"/>
      <c r="AK680" s="1298"/>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946</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918</v>
      </c>
      <c r="G681" s="1276"/>
      <c r="H681" s="1276"/>
      <c r="I681" s="1276"/>
      <c r="J681" s="1276"/>
      <c r="K681" s="1276"/>
      <c r="L681" s="1276"/>
      <c r="O681" s="998" t="s">
        <v>1145</v>
      </c>
      <c r="P681" s="1224"/>
      <c r="Q681" s="1224"/>
      <c r="R681" s="1224"/>
      <c r="T681" s="20"/>
      <c r="U681" t="s">
        <v>918</v>
      </c>
      <c r="Z681" s="1276"/>
      <c r="AA681" s="1276"/>
      <c r="AB681" s="1276"/>
      <c r="AC681" s="1276"/>
      <c r="AD681" s="1276"/>
      <c r="AE681" s="1276"/>
      <c r="AH681" s="998" t="s">
        <v>1145</v>
      </c>
      <c r="AI681" s="1224"/>
      <c r="AJ681" s="1224"/>
      <c r="AK681" s="1224"/>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948</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1478</v>
      </c>
      <c r="H682" s="1213"/>
      <c r="I682" s="1213"/>
      <c r="J682" s="1213"/>
      <c r="K682" s="1213"/>
      <c r="L682" s="1213"/>
      <c r="M682" s="1213"/>
      <c r="N682" s="1213"/>
      <c r="O682" s="1213"/>
      <c r="P682" s="1213"/>
      <c r="Q682" s="1213"/>
      <c r="R682" s="1213"/>
      <c r="T682" s="20"/>
      <c r="U682" t="s">
        <v>1478</v>
      </c>
      <c r="AA682" s="1213"/>
      <c r="AB682" s="1213"/>
      <c r="AC682" s="1213"/>
      <c r="AD682" s="1213"/>
      <c r="AE682" s="1213"/>
      <c r="AF682" s="1213"/>
      <c r="AG682" s="1213"/>
      <c r="AH682" s="1213"/>
      <c r="AI682" s="1213"/>
      <c r="AJ682" s="1213"/>
      <c r="AK682" s="1213"/>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951</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1482</v>
      </c>
      <c r="N683" s="1263" t="s">
        <v>929</v>
      </c>
      <c r="O683" s="1263"/>
      <c r="T683" s="20"/>
      <c r="U683" t="s">
        <v>1482</v>
      </c>
      <c r="AG683" s="1263" t="s">
        <v>929</v>
      </c>
      <c r="AH683" s="1263"/>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953</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955</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1467</v>
      </c>
      <c r="B685" t="s">
        <v>1473</v>
      </c>
      <c r="G685" s="1273">
        <f>C645</f>
        <v>0</v>
      </c>
      <c r="H685" s="1273"/>
      <c r="I685" s="1273"/>
      <c r="J685" s="1273"/>
      <c r="K685" s="1273"/>
      <c r="L685" s="1273"/>
      <c r="M685" s="1273"/>
      <c r="N685" s="1273"/>
      <c r="O685" s="1273"/>
      <c r="P685" s="1273"/>
      <c r="Q685" s="1273"/>
      <c r="R685" s="1273"/>
      <c r="T685" s="48" t="s">
        <v>1469</v>
      </c>
      <c r="U685" t="s">
        <v>1473</v>
      </c>
      <c r="Z685" s="1273">
        <f>C646</f>
        <v>0</v>
      </c>
      <c r="AA685" s="1273"/>
      <c r="AB685" s="1273"/>
      <c r="AC685" s="1273"/>
      <c r="AD685" s="1273"/>
      <c r="AE685" s="1273"/>
      <c r="AF685" s="1273"/>
      <c r="AG685" s="1273"/>
      <c r="AH685" s="1273"/>
      <c r="AI685" s="1273"/>
      <c r="AJ685" s="1273"/>
      <c r="AK685" s="1273"/>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958</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1137</v>
      </c>
      <c r="G686" s="1213"/>
      <c r="H686" s="1213"/>
      <c r="I686" s="1213"/>
      <c r="J686" s="1213"/>
      <c r="K686" s="1213"/>
      <c r="L686" s="1213"/>
      <c r="M686" s="1213"/>
      <c r="N686" s="1213"/>
      <c r="O686" s="1213"/>
      <c r="P686" s="1213"/>
      <c r="Q686" s="1213"/>
      <c r="R686" s="1213"/>
      <c r="T686" s="20"/>
      <c r="U686" t="s">
        <v>1137</v>
      </c>
      <c r="Z686" s="1213"/>
      <c r="AA686" s="1213"/>
      <c r="AB686" s="1213"/>
      <c r="AC686" s="1213"/>
      <c r="AD686" s="1213"/>
      <c r="AE686" s="1213"/>
      <c r="AF686" s="1213"/>
      <c r="AG686" s="1213"/>
      <c r="AH686" s="1213"/>
      <c r="AI686" s="1213"/>
      <c r="AJ686" s="1213"/>
      <c r="AK686" s="1213"/>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962</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1012</v>
      </c>
      <c r="G687" s="1213"/>
      <c r="H687" s="1213"/>
      <c r="I687" s="1213"/>
      <c r="J687" s="1213"/>
      <c r="K687" s="1213"/>
      <c r="L687" s="1213"/>
      <c r="M687" s="1213"/>
      <c r="N687" s="1213"/>
      <c r="O687" s="1213"/>
      <c r="P687" s="1213"/>
      <c r="Q687" s="1213"/>
      <c r="R687" s="1213"/>
      <c r="T687" s="20"/>
      <c r="U687" t="s">
        <v>1012</v>
      </c>
      <c r="Z687" s="1298"/>
      <c r="AA687" s="1298"/>
      <c r="AB687" s="1298"/>
      <c r="AC687" s="1298"/>
      <c r="AD687" s="1298"/>
      <c r="AE687" s="1298"/>
      <c r="AF687" s="1298"/>
      <c r="AG687" s="1298"/>
      <c r="AH687" s="1298"/>
      <c r="AI687" s="1298"/>
      <c r="AJ687" s="1298"/>
      <c r="AK687" s="1298"/>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966</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1475</v>
      </c>
      <c r="G688" s="1213"/>
      <c r="H688" s="1213"/>
      <c r="I688" s="1213"/>
      <c r="J688" s="1213"/>
      <c r="K688" s="1213"/>
      <c r="L688" s="1213"/>
      <c r="M688" s="1213"/>
      <c r="N688" s="1213"/>
      <c r="O688" s="1213"/>
      <c r="P688" s="1213"/>
      <c r="Q688" s="1213"/>
      <c r="R688" s="1213"/>
      <c r="T688" s="20"/>
      <c r="U688" t="s">
        <v>1475</v>
      </c>
      <c r="Z688" s="1298"/>
      <c r="AA688" s="1298"/>
      <c r="AB688" s="1298"/>
      <c r="AC688" s="1298"/>
      <c r="AD688" s="1298"/>
      <c r="AE688" s="1298"/>
      <c r="AF688" s="1298"/>
      <c r="AG688" s="1298"/>
      <c r="AH688" s="1298"/>
      <c r="AI688" s="1298"/>
      <c r="AJ688" s="1298"/>
      <c r="AK688" s="1298"/>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969</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918</v>
      </c>
      <c r="G689" s="1276"/>
      <c r="H689" s="1276"/>
      <c r="I689" s="1276"/>
      <c r="J689" s="1276"/>
      <c r="K689" s="1276"/>
      <c r="L689" s="1276"/>
      <c r="O689" s="998" t="s">
        <v>1145</v>
      </c>
      <c r="P689" s="1224"/>
      <c r="Q689" s="1224"/>
      <c r="R689" s="1224"/>
      <c r="T689" s="20"/>
      <c r="U689" t="s">
        <v>918</v>
      </c>
      <c r="Z689" s="1276"/>
      <c r="AA689" s="1276"/>
      <c r="AB689" s="1276"/>
      <c r="AC689" s="1276"/>
      <c r="AD689" s="1276"/>
      <c r="AE689" s="1276"/>
      <c r="AH689" s="998" t="s">
        <v>1145</v>
      </c>
      <c r="AI689" s="1224"/>
      <c r="AJ689" s="1224"/>
      <c r="AK689" s="1224"/>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975</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1478</v>
      </c>
      <c r="H690" s="1213"/>
      <c r="I690" s="1213"/>
      <c r="J690" s="1213"/>
      <c r="K690" s="1213"/>
      <c r="L690" s="1213"/>
      <c r="M690" s="1213"/>
      <c r="N690" s="1213"/>
      <c r="O690" s="1213"/>
      <c r="P690" s="1213"/>
      <c r="Q690" s="1213"/>
      <c r="R690" s="1213"/>
      <c r="T690" s="20"/>
      <c r="U690" t="s">
        <v>1478</v>
      </c>
      <c r="AA690" s="1213"/>
      <c r="AB690" s="1213"/>
      <c r="AC690" s="1213"/>
      <c r="AD690" s="1213"/>
      <c r="AE690" s="1213"/>
      <c r="AF690" s="1213"/>
      <c r="AG690" s="1213"/>
      <c r="AH690" s="1213"/>
      <c r="AI690" s="1213"/>
      <c r="AJ690" s="1213"/>
      <c r="AK690" s="1213"/>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978</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1482</v>
      </c>
      <c r="N691" s="1263" t="s">
        <v>929</v>
      </c>
      <c r="O691" s="1263"/>
      <c r="T691" s="20"/>
      <c r="U691" t="s">
        <v>1482</v>
      </c>
      <c r="AG691" s="1263" t="s">
        <v>929</v>
      </c>
      <c r="AH691" s="1263"/>
      <c r="AZ691" s="3"/>
      <c r="BA691" s="85" t="str">
        <f t="shared" si="40"/>
        <v>N/A</v>
      </c>
      <c r="BB691" s="3"/>
      <c r="BF691" s="143"/>
      <c r="BG691" s="221">
        <f t="shared" si="41"/>
        <v>0</v>
      </c>
      <c r="BH691" s="224">
        <f t="shared" si="43"/>
        <v>0</v>
      </c>
      <c r="BI691" s="225" t="str">
        <f t="shared" si="42"/>
        <v xml:space="preserve"> </v>
      </c>
      <c r="BL691" s="3"/>
      <c r="BM691" s="3"/>
      <c r="BN691" s="3"/>
      <c r="BO691" s="3"/>
      <c r="BP691" s="278" t="s">
        <v>981</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983</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1470</v>
      </c>
      <c r="B693" t="s">
        <v>1473</v>
      </c>
      <c r="G693" s="1273">
        <f>C647</f>
        <v>0</v>
      </c>
      <c r="H693" s="1273"/>
      <c r="I693" s="1273"/>
      <c r="J693" s="1273"/>
      <c r="K693" s="1273"/>
      <c r="L693" s="1273"/>
      <c r="M693" s="1273"/>
      <c r="N693" s="1273"/>
      <c r="O693" s="1273"/>
      <c r="P693" s="1273"/>
      <c r="Q693" s="1273"/>
      <c r="R693" s="1273"/>
      <c r="T693" s="48" t="s">
        <v>1471</v>
      </c>
      <c r="U693" t="s">
        <v>1473</v>
      </c>
      <c r="Z693" s="1273">
        <f>C648</f>
        <v>0</v>
      </c>
      <c r="AA693" s="1273"/>
      <c r="AB693" s="1273"/>
      <c r="AC693" s="1273"/>
      <c r="AD693" s="1273"/>
      <c r="AE693" s="1273"/>
      <c r="AF693" s="1273"/>
      <c r="AG693" s="1273"/>
      <c r="AH693" s="1273"/>
      <c r="AI693" s="1273"/>
      <c r="AJ693" s="1273"/>
      <c r="AK693" s="1273"/>
      <c r="AZ693" s="3"/>
      <c r="BA693" s="85" t="str">
        <f t="shared" si="40"/>
        <v>N/A</v>
      </c>
      <c r="BB693" s="3"/>
      <c r="BF693" s="143"/>
      <c r="BG693" s="221">
        <f t="shared" si="41"/>
        <v>0</v>
      </c>
      <c r="BH693" s="224">
        <f t="shared" si="43"/>
        <v>0</v>
      </c>
      <c r="BI693" s="225" t="str">
        <f t="shared" si="42"/>
        <v xml:space="preserve"> </v>
      </c>
      <c r="BL693" s="3"/>
      <c r="BM693" s="3"/>
      <c r="BN693" s="3"/>
      <c r="BO693" s="3"/>
      <c r="BP693" s="278" t="s">
        <v>986</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1137</v>
      </c>
      <c r="G694" s="1213"/>
      <c r="H694" s="1213"/>
      <c r="I694" s="1213"/>
      <c r="J694" s="1213"/>
      <c r="K694" s="1213"/>
      <c r="L694" s="1213"/>
      <c r="M694" s="1213"/>
      <c r="N694" s="1213"/>
      <c r="O694" s="1213"/>
      <c r="P694" s="1213"/>
      <c r="Q694" s="1213"/>
      <c r="R694" s="1213"/>
      <c r="T694" s="20"/>
      <c r="U694" t="s">
        <v>1137</v>
      </c>
      <c r="Z694" s="1213"/>
      <c r="AA694" s="1213"/>
      <c r="AB694" s="1213"/>
      <c r="AC694" s="1213"/>
      <c r="AD694" s="1213"/>
      <c r="AE694" s="1213"/>
      <c r="AF694" s="1213"/>
      <c r="AG694" s="1213"/>
      <c r="AH694" s="1213"/>
      <c r="AI694" s="1213"/>
      <c r="AJ694" s="1213"/>
      <c r="AK694" s="1213"/>
      <c r="AZ694" s="3"/>
      <c r="BA694" s="85" t="str">
        <f t="shared" si="40"/>
        <v>N/A</v>
      </c>
      <c r="BB694" s="3"/>
      <c r="BF694" s="143"/>
      <c r="BG694" s="221">
        <f t="shared" si="41"/>
        <v>0</v>
      </c>
      <c r="BH694" s="224">
        <f t="shared" si="43"/>
        <v>0</v>
      </c>
      <c r="BI694" s="225" t="str">
        <f t="shared" si="42"/>
        <v xml:space="preserve"> </v>
      </c>
      <c r="BL694" s="3"/>
      <c r="BM694" s="3"/>
      <c r="BN694" s="3"/>
      <c r="BO694" s="3"/>
      <c r="BP694" s="278" t="s">
        <v>989</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1012</v>
      </c>
      <c r="G695" s="1213"/>
      <c r="H695" s="1213"/>
      <c r="I695" s="1213"/>
      <c r="J695" s="1213"/>
      <c r="K695" s="1213"/>
      <c r="L695" s="1213"/>
      <c r="M695" s="1213"/>
      <c r="N695" s="1213"/>
      <c r="O695" s="1213"/>
      <c r="P695" s="1213"/>
      <c r="Q695" s="1213"/>
      <c r="R695" s="1213"/>
      <c r="U695" t="s">
        <v>1012</v>
      </c>
      <c r="Z695" s="1298"/>
      <c r="AA695" s="1298"/>
      <c r="AB695" s="1298"/>
      <c r="AC695" s="1298"/>
      <c r="AD695" s="1298"/>
      <c r="AE695" s="1298"/>
      <c r="AF695" s="1298"/>
      <c r="AG695" s="1298"/>
      <c r="AH695" s="1298"/>
      <c r="AI695" s="1298"/>
      <c r="AJ695" s="1298"/>
      <c r="AK695" s="1298"/>
      <c r="AZ695" s="3"/>
      <c r="BA695" s="3"/>
      <c r="BB695" s="3"/>
      <c r="BC695" s="3"/>
      <c r="BF695" s="143"/>
      <c r="BG695" s="221">
        <f t="shared" si="41"/>
        <v>0</v>
      </c>
      <c r="BH695" s="224">
        <f t="shared" si="43"/>
        <v>0</v>
      </c>
      <c r="BI695" s="225" t="str">
        <f t="shared" si="42"/>
        <v xml:space="preserve"> </v>
      </c>
      <c r="BM695" s="3"/>
      <c r="BN695" s="3"/>
      <c r="BO695" s="3"/>
      <c r="BP695" s="278" t="s">
        <v>991</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1475</v>
      </c>
      <c r="G696" s="1213"/>
      <c r="H696" s="1213"/>
      <c r="I696" s="1213"/>
      <c r="J696" s="1213"/>
      <c r="K696" s="1213"/>
      <c r="L696" s="1213"/>
      <c r="M696" s="1213"/>
      <c r="N696" s="1213"/>
      <c r="O696" s="1213"/>
      <c r="P696" s="1213"/>
      <c r="Q696" s="1213"/>
      <c r="R696" s="1213"/>
      <c r="U696" t="s">
        <v>1475</v>
      </c>
      <c r="Z696" s="1298"/>
      <c r="AA696" s="1298"/>
      <c r="AB696" s="1298"/>
      <c r="AC696" s="1298"/>
      <c r="AD696" s="1298"/>
      <c r="AE696" s="1298"/>
      <c r="AF696" s="1298"/>
      <c r="AG696" s="1298"/>
      <c r="AH696" s="1298"/>
      <c r="AI696" s="1298"/>
      <c r="AJ696" s="1298"/>
      <c r="AK696" s="1298"/>
      <c r="AZ696" s="3"/>
      <c r="BA696" s="3"/>
      <c r="BB696" s="3"/>
      <c r="BC696" s="3"/>
      <c r="BD696" s="3"/>
      <c r="BF696" s="218" t="s">
        <v>1532</v>
      </c>
      <c r="BG696" s="226">
        <f>SUM(BG671:BG695)</f>
        <v>119</v>
      </c>
      <c r="BH696" s="227">
        <f>SUM(BH671:BH695)</f>
        <v>1</v>
      </c>
      <c r="BI696" s="227">
        <f>SUM(BI671:BI695)</f>
        <v>0.55294117647058827</v>
      </c>
      <c r="BN696" s="3"/>
      <c r="BO696" s="3"/>
      <c r="BP696" s="278" t="s">
        <v>994</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918</v>
      </c>
      <c r="G697" s="1276"/>
      <c r="H697" s="1276"/>
      <c r="I697" s="1276"/>
      <c r="J697" s="1276"/>
      <c r="K697" s="1276"/>
      <c r="L697" s="1276"/>
      <c r="O697" s="998" t="s">
        <v>1145</v>
      </c>
      <c r="P697" s="1224"/>
      <c r="Q697" s="1224"/>
      <c r="R697" s="1224"/>
      <c r="U697" t="s">
        <v>918</v>
      </c>
      <c r="Z697" s="1276"/>
      <c r="AA697" s="1276"/>
      <c r="AB697" s="1276"/>
      <c r="AC697" s="1276"/>
      <c r="AD697" s="1276"/>
      <c r="AE697" s="1276"/>
      <c r="AH697" s="998" t="s">
        <v>1145</v>
      </c>
      <c r="AI697" s="1224"/>
      <c r="AJ697" s="1224"/>
      <c r="AK697" s="1224"/>
      <c r="AZ697" s="3"/>
      <c r="BA697" s="3"/>
      <c r="BB697" s="3"/>
      <c r="BC697" s="3"/>
      <c r="BD697" s="3"/>
      <c r="BE697" s="3"/>
      <c r="BF697" s="3"/>
      <c r="BG697" s="3"/>
      <c r="BH697" s="3"/>
      <c r="BI697" s="3"/>
      <c r="BJ697" s="3"/>
      <c r="BK697" s="3"/>
      <c r="BL697" s="3"/>
      <c r="BM697" s="3"/>
      <c r="BN697" s="3"/>
      <c r="BO697" s="3"/>
      <c r="BP697" s="278" t="s">
        <v>998</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1478</v>
      </c>
      <c r="H698" s="1213"/>
      <c r="I698" s="1213"/>
      <c r="J698" s="1213"/>
      <c r="K698" s="1213"/>
      <c r="L698" s="1213"/>
      <c r="M698" s="1213"/>
      <c r="N698" s="1213"/>
      <c r="O698" s="1213"/>
      <c r="P698" s="1213"/>
      <c r="Q698" s="1213"/>
      <c r="R698" s="1213"/>
      <c r="U698" t="s">
        <v>1478</v>
      </c>
      <c r="AA698" s="1213"/>
      <c r="AB698" s="1213"/>
      <c r="AC698" s="1213"/>
      <c r="AD698" s="1213"/>
      <c r="AE698" s="1213"/>
      <c r="AF698" s="1213"/>
      <c r="AG698" s="1213"/>
      <c r="AH698" s="1213"/>
      <c r="AI698" s="1213"/>
      <c r="AJ698" s="1213"/>
      <c r="AK698" s="1213"/>
      <c r="AZ698" s="3"/>
      <c r="BA698" s="3"/>
      <c r="BB698" s="3"/>
      <c r="BC698" s="3"/>
      <c r="BD698" s="3"/>
      <c r="BE698" s="3"/>
      <c r="BF698" s="3"/>
      <c r="BG698" s="3"/>
      <c r="BH698" s="3"/>
      <c r="BI698" s="3"/>
      <c r="BJ698" s="3"/>
      <c r="BK698" s="3"/>
      <c r="BL698" s="3"/>
      <c r="BM698" s="3"/>
      <c r="BN698" s="3"/>
      <c r="BO698" s="3"/>
      <c r="BP698" s="278" t="s">
        <v>1003</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1482</v>
      </c>
      <c r="N699" s="1263" t="s">
        <v>929</v>
      </c>
      <c r="O699" s="1263"/>
      <c r="U699" t="s">
        <v>1482</v>
      </c>
      <c r="AG699" s="1263" t="s">
        <v>929</v>
      </c>
      <c r="AH699" s="1263"/>
      <c r="AZ699" s="3"/>
      <c r="BA699" s="3"/>
      <c r="BB699" s="3"/>
      <c r="BC699" s="3"/>
      <c r="BD699" s="3"/>
      <c r="BE699" s="3"/>
      <c r="BF699" s="3"/>
      <c r="BG699" s="3"/>
      <c r="BH699" s="3"/>
      <c r="BI699" s="3"/>
      <c r="BJ699" s="3"/>
      <c r="BK699" s="3"/>
      <c r="BL699" s="3"/>
      <c r="BM699" s="3"/>
      <c r="BN699" s="3"/>
      <c r="BO699" s="3"/>
      <c r="BP699" s="278" t="s">
        <v>1006</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8" t="s">
        <v>1009</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992</v>
      </c>
      <c r="C701" s="2" t="s">
        <v>178</v>
      </c>
      <c r="E701" s="96"/>
      <c r="F701" s="96"/>
      <c r="G701" s="96"/>
      <c r="H701" s="96"/>
      <c r="AZ701" s="3"/>
      <c r="BA701" s="3"/>
      <c r="BB701" s="3"/>
      <c r="BC701" s="3"/>
      <c r="BD701" s="3"/>
      <c r="BE701" s="3"/>
      <c r="BF701" s="3"/>
      <c r="BG701" s="144" t="s">
        <v>1533</v>
      </c>
      <c r="BH701" s="143"/>
      <c r="BI701" s="143"/>
      <c r="BJ701" s="3"/>
      <c r="BK701" s="3"/>
      <c r="BL701" s="3"/>
      <c r="BM701" s="3"/>
      <c r="BN701" s="3"/>
      <c r="BO701" s="3"/>
      <c r="BP701" s="278" t="s">
        <v>1011</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01" t="s">
        <v>1534</v>
      </c>
      <c r="E702" s="100"/>
      <c r="F702" s="100"/>
      <c r="G702" s="100"/>
      <c r="H702" s="100"/>
      <c r="AZ702" s="3"/>
      <c r="BA702" s="3"/>
      <c r="BB702" s="3"/>
      <c r="BC702" s="3"/>
      <c r="BD702" s="3"/>
      <c r="BE702" s="3"/>
      <c r="BF702" s="3"/>
      <c r="BG702" s="219" t="s">
        <v>1529</v>
      </c>
      <c r="BH702" s="223" t="s">
        <v>1530</v>
      </c>
      <c r="BI702" s="222" t="s">
        <v>1531</v>
      </c>
      <c r="BJ702" s="3"/>
      <c r="BK702" s="3"/>
      <c r="BL702" s="3"/>
      <c r="BM702" s="3"/>
      <c r="BN702" s="3"/>
      <c r="BO702" s="3"/>
      <c r="BP702" s="278" t="s">
        <v>1015</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01" t="s">
        <v>1535</v>
      </c>
      <c r="F703" s="100"/>
      <c r="G703" s="100"/>
      <c r="H703" s="100"/>
      <c r="AE703" s="1263" t="s">
        <v>929</v>
      </c>
      <c r="AF703" s="1263"/>
      <c r="AZ703" s="3"/>
      <c r="BA703" s="3"/>
      <c r="BB703" s="3"/>
      <c r="BC703" s="3"/>
      <c r="BD703" s="3"/>
      <c r="BE703" s="3"/>
      <c r="BF703" s="3"/>
      <c r="BG703" s="220">
        <f t="shared" ref="BG703:BG727" si="44">G728</f>
        <v>44</v>
      </c>
      <c r="BH703" s="224">
        <f>BG703/$BG$728</f>
        <v>0.36974789915966388</v>
      </c>
      <c r="BI703" s="225">
        <f t="shared" ref="BI703:BI727" si="45">IF(BH703=0," ",BH703*AM728)</f>
        <v>0.22197893241803765</v>
      </c>
      <c r="BJ703" s="3"/>
      <c r="BK703" s="3"/>
      <c r="BL703" s="3"/>
      <c r="BM703" s="3"/>
      <c r="BN703" s="3"/>
      <c r="BO703" s="3"/>
      <c r="BP703" s="278" t="s">
        <v>1020</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01" t="s">
        <v>1536</v>
      </c>
      <c r="E704" s="100"/>
      <c r="F704" s="100"/>
      <c r="G704" s="100"/>
      <c r="H704" s="100"/>
      <c r="AE704" s="1263" t="s">
        <v>929</v>
      </c>
      <c r="AF704" s="1263"/>
      <c r="AZ704" s="3"/>
      <c r="BA704" s="3"/>
      <c r="BB704" s="3"/>
      <c r="BC704" s="3"/>
      <c r="BD704" s="3"/>
      <c r="BE704" s="3"/>
      <c r="BF704" s="3"/>
      <c r="BG704" s="221">
        <f t="shared" si="44"/>
        <v>6</v>
      </c>
      <c r="BH704" s="224">
        <f t="shared" ref="BH704:BH727" si="46">BG704/$BG$728</f>
        <v>5.0420168067226892E-2</v>
      </c>
      <c r="BI704" s="225">
        <f t="shared" si="45"/>
        <v>2.5210084033613446E-2</v>
      </c>
      <c r="BJ704" s="3"/>
      <c r="BK704" s="3"/>
      <c r="BL704" s="3"/>
      <c r="BM704" s="3"/>
      <c r="BN704" s="3"/>
      <c r="BO704" s="3"/>
      <c r="BP704" s="278" t="s">
        <v>1024</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01" t="s">
        <v>1537</v>
      </c>
      <c r="E705" s="100"/>
      <c r="F705" s="100"/>
      <c r="G705" s="100"/>
      <c r="H705" s="100"/>
      <c r="AE705" s="1406"/>
      <c r="AF705" s="1406"/>
      <c r="AG705" s="1406"/>
      <c r="AH705" s="1406"/>
      <c r="AI705" s="1406"/>
      <c r="AZ705" s="3"/>
      <c r="BA705" s="3"/>
      <c r="BB705" s="3"/>
      <c r="BC705" s="3"/>
      <c r="BD705" s="3"/>
      <c r="BE705" s="3"/>
      <c r="BF705" s="3"/>
      <c r="BG705" s="221">
        <f t="shared" si="44"/>
        <v>6</v>
      </c>
      <c r="BH705" s="224">
        <f t="shared" si="46"/>
        <v>5.0420168067226892E-2</v>
      </c>
      <c r="BI705" s="225">
        <f t="shared" si="45"/>
        <v>1.513492721032075E-2</v>
      </c>
      <c r="BJ705" s="3"/>
      <c r="BK705" s="3"/>
      <c r="BL705" s="3"/>
      <c r="BM705" s="3"/>
      <c r="BN705" s="3"/>
      <c r="BO705" s="3"/>
      <c r="BP705" s="278" t="s">
        <v>1028</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6" t="s">
        <v>1538</v>
      </c>
      <c r="E706" s="100"/>
      <c r="F706" s="100"/>
      <c r="G706" s="100"/>
      <c r="H706" s="100"/>
      <c r="AE706" s="1559">
        <v>44727</v>
      </c>
      <c r="AF706" s="1559"/>
      <c r="AG706" s="1559"/>
      <c r="AH706" s="1559"/>
      <c r="AI706" s="1559"/>
      <c r="AZ706" s="3"/>
      <c r="BA706" s="3"/>
      <c r="BB706" s="3"/>
      <c r="BC706" s="3"/>
      <c r="BD706" s="3"/>
      <c r="BE706" s="3"/>
      <c r="BF706" s="2"/>
      <c r="BG706" s="221">
        <f t="shared" si="44"/>
        <v>23</v>
      </c>
      <c r="BH706" s="224">
        <f t="shared" si="46"/>
        <v>0.19327731092436976</v>
      </c>
      <c r="BI706" s="225">
        <f t="shared" si="45"/>
        <v>0.11599474712849189</v>
      </c>
      <c r="BJ706" s="3"/>
      <c r="BK706" s="3"/>
      <c r="BL706" s="3"/>
      <c r="BM706" s="3"/>
      <c r="BN706" s="3"/>
      <c r="BO706" s="3"/>
      <c r="BP706" s="278" t="s">
        <v>905</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4"/>
        <v>4</v>
      </c>
      <c r="BH707" s="224">
        <f t="shared" si="46"/>
        <v>3.3613445378151259E-2</v>
      </c>
      <c r="BI707" s="225">
        <f t="shared" si="45"/>
        <v>1.680672268907563E-2</v>
      </c>
      <c r="BJ707" s="3"/>
      <c r="BK707" s="3"/>
      <c r="BL707" s="3"/>
      <c r="BM707" s="3"/>
      <c r="BN707" s="3"/>
      <c r="BO707" s="3"/>
      <c r="BP707" s="278" t="s">
        <v>1038</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01" t="s">
        <v>1539</v>
      </c>
      <c r="E708" s="100"/>
      <c r="F708" s="100"/>
      <c r="G708" s="100"/>
      <c r="H708" s="100"/>
      <c r="AE708" s="1406">
        <v>44907</v>
      </c>
      <c r="AF708" s="1406"/>
      <c r="AG708" s="1406"/>
      <c r="AH708" s="1406"/>
      <c r="AI708" s="1406"/>
      <c r="AZ708" s="3"/>
      <c r="BA708" s="3"/>
      <c r="BB708" s="3"/>
      <c r="BC708" s="3"/>
      <c r="BD708" s="3"/>
      <c r="BE708" s="3"/>
      <c r="BF708" s="3"/>
      <c r="BG708" s="221">
        <f t="shared" si="44"/>
        <v>4</v>
      </c>
      <c r="BH708" s="224">
        <f t="shared" si="46"/>
        <v>3.3613445378151259E-2</v>
      </c>
      <c r="BI708" s="225">
        <f t="shared" si="45"/>
        <v>1.0086499750303643E-2</v>
      </c>
      <c r="BJ708" s="3"/>
      <c r="BK708" s="3"/>
      <c r="BL708" s="3"/>
      <c r="BM708" s="3"/>
      <c r="BN708" s="3"/>
      <c r="BO708" s="3"/>
      <c r="BP708" s="278" t="s">
        <v>1043</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01" t="s">
        <v>1540</v>
      </c>
      <c r="E709" s="100"/>
      <c r="F709" s="100"/>
      <c r="G709" s="100"/>
      <c r="H709" s="100"/>
      <c r="AE709" s="1529">
        <v>0.51</v>
      </c>
      <c r="AF709" s="1529"/>
      <c r="AG709" s="1529"/>
      <c r="AH709" s="1529"/>
      <c r="AI709" s="1529"/>
      <c r="AZ709" s="3"/>
      <c r="BA709" s="3"/>
      <c r="BB709" s="3"/>
      <c r="BC709" s="3"/>
      <c r="BD709" s="3"/>
      <c r="BE709" s="3"/>
      <c r="BF709" s="3"/>
      <c r="BG709" s="221">
        <f t="shared" si="44"/>
        <v>24</v>
      </c>
      <c r="BH709" s="224">
        <f t="shared" si="46"/>
        <v>0.20168067226890757</v>
      </c>
      <c r="BI709" s="225">
        <f t="shared" si="45"/>
        <v>0.12100840336134454</v>
      </c>
      <c r="BJ709" s="3"/>
      <c r="BK709" s="3"/>
      <c r="BL709" s="3"/>
      <c r="BM709" s="3"/>
      <c r="BN709" s="3"/>
      <c r="BO709" s="3"/>
      <c r="BP709" s="278" t="s">
        <v>1047</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01" t="s">
        <v>1541</v>
      </c>
      <c r="E710" s="100"/>
      <c r="F710" s="100"/>
      <c r="G710" s="100"/>
      <c r="H710" s="100"/>
      <c r="W710" s="1273" t="str">
        <f>H334</f>
        <v>CalHFA</v>
      </c>
      <c r="X710" s="1273"/>
      <c r="Y710" s="1273"/>
      <c r="Z710" s="1273"/>
      <c r="AA710" s="1273"/>
      <c r="AB710" s="1273"/>
      <c r="AC710" s="1273"/>
      <c r="AD710" s="1273"/>
      <c r="AE710" s="1273"/>
      <c r="AF710" s="1273"/>
      <c r="AG710" s="1273"/>
      <c r="AH710" s="1273"/>
      <c r="AI710" s="1273"/>
      <c r="AJ710" s="1273"/>
      <c r="AK710" s="1273"/>
      <c r="AZ710" s="3"/>
      <c r="BA710" s="3"/>
      <c r="BB710" s="3"/>
      <c r="BC710" s="3"/>
      <c r="BD710" s="3"/>
      <c r="BE710" s="3"/>
      <c r="BF710" s="3"/>
      <c r="BG710" s="221">
        <f t="shared" si="44"/>
        <v>4</v>
      </c>
      <c r="BH710" s="224">
        <f t="shared" si="46"/>
        <v>3.3613445378151259E-2</v>
      </c>
      <c r="BI710" s="225">
        <f t="shared" si="45"/>
        <v>1.680672268907563E-2</v>
      </c>
      <c r="BJ710" s="3"/>
      <c r="BK710" s="3"/>
      <c r="BL710" s="3"/>
      <c r="BM710" s="3"/>
      <c r="BN710" s="3"/>
      <c r="BO710" s="3"/>
      <c r="BP710" s="278" t="s">
        <v>1050</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01"/>
      <c r="E711" s="100"/>
      <c r="F711" s="100"/>
      <c r="G711" s="100"/>
      <c r="H711" s="100"/>
      <c r="AZ711" s="3"/>
      <c r="BA711" s="3"/>
      <c r="BB711" s="3"/>
      <c r="BC711" s="3"/>
      <c r="BD711" s="3"/>
      <c r="BE711" s="3"/>
      <c r="BF711" s="3"/>
      <c r="BG711" s="221">
        <f t="shared" si="44"/>
        <v>4</v>
      </c>
      <c r="BH711" s="224">
        <f t="shared" si="46"/>
        <v>3.3613445378151259E-2</v>
      </c>
      <c r="BI711" s="225">
        <f t="shared" si="45"/>
        <v>1.0084033613445377E-2</v>
      </c>
      <c r="BJ711" s="3"/>
      <c r="BK711" s="3"/>
      <c r="BL711" s="3"/>
      <c r="BM711" s="3"/>
      <c r="BN711" s="3"/>
      <c r="BO711" s="3"/>
      <c r="BP711" s="278" t="s">
        <v>1054</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01" t="s">
        <v>1542</v>
      </c>
      <c r="E712" s="100"/>
      <c r="F712" s="100"/>
      <c r="G712" s="100"/>
      <c r="H712" s="100"/>
      <c r="AE712" s="1263" t="s">
        <v>929</v>
      </c>
      <c r="AF712" s="1263"/>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1058</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01" t="s">
        <v>1543</v>
      </c>
      <c r="E713" s="100"/>
      <c r="F713" s="100"/>
      <c r="G713" s="100"/>
      <c r="H713" s="100"/>
      <c r="W713" s="1213"/>
      <c r="X713" s="1213"/>
      <c r="Y713" s="1213"/>
      <c r="Z713" s="1213"/>
      <c r="AA713" s="1213"/>
      <c r="AB713" s="1213"/>
      <c r="AC713" s="1213"/>
      <c r="AD713" s="1213"/>
      <c r="AE713" s="1213"/>
      <c r="AF713" s="1213"/>
      <c r="AG713" s="1213"/>
      <c r="AH713" s="1213"/>
      <c r="AI713" s="1213"/>
      <c r="AJ713" s="1213"/>
      <c r="AK713" s="1213"/>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1063</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01" t="s">
        <v>1141</v>
      </c>
      <c r="E714" s="100"/>
      <c r="F714" s="100"/>
      <c r="G714" s="100"/>
      <c r="H714" s="100"/>
      <c r="J714" s="1213"/>
      <c r="K714" s="1213"/>
      <c r="L714" s="1213"/>
      <c r="M714" s="1213"/>
      <c r="N714" s="1213"/>
      <c r="O714" s="1213"/>
      <c r="P714" s="1213"/>
      <c r="Q714" s="1213"/>
      <c r="R714" s="1213"/>
      <c r="S714" s="1213"/>
      <c r="T714" s="1213"/>
      <c r="U714" s="1213"/>
      <c r="V714" s="1213"/>
      <c r="W714" s="1213"/>
      <c r="X714" s="1213"/>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1066</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01" t="s">
        <v>1143</v>
      </c>
      <c r="J715" s="1276"/>
      <c r="K715" s="1276"/>
      <c r="L715" s="1276"/>
      <c r="M715" s="1276"/>
      <c r="N715" s="1276"/>
      <c r="O715" s="1276"/>
      <c r="P715" s="3" t="s">
        <v>1145</v>
      </c>
      <c r="Q715" s="3"/>
      <c r="R715" s="1224"/>
      <c r="S715" s="1224"/>
      <c r="T715" s="1224"/>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1071</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01" t="s">
        <v>1544</v>
      </c>
      <c r="W716" s="1213" t="s">
        <v>294</v>
      </c>
      <c r="X716" s="1213"/>
      <c r="Y716" s="1213"/>
      <c r="Z716" s="1213"/>
      <c r="AA716" s="1213"/>
      <c r="AB716" s="1213"/>
      <c r="AC716" s="1213"/>
      <c r="AD716" s="1213"/>
      <c r="AE716" s="1213"/>
      <c r="AF716" s="1213"/>
      <c r="AG716" s="1213"/>
      <c r="AH716" s="1213"/>
      <c r="AI716" s="1213"/>
      <c r="AJ716" s="1213"/>
      <c r="AK716" s="1213"/>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1076</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01"/>
      <c r="E717" s="1213" t="s">
        <v>1330</v>
      </c>
      <c r="F717" s="1213"/>
      <c r="G717" s="1213"/>
      <c r="H717" s="1213"/>
      <c r="I717" s="1213"/>
      <c r="J717" s="1213"/>
      <c r="K717" s="1213"/>
      <c r="L717" s="1213"/>
      <c r="M717" s="1213"/>
      <c r="N717" s="1213"/>
      <c r="O717" s="1213"/>
      <c r="P717" s="1213"/>
      <c r="Q717" s="1213"/>
      <c r="R717" s="1213"/>
      <c r="S717" s="1213"/>
      <c r="T717" s="1213"/>
      <c r="U717" s="1213"/>
      <c r="V717" s="1213"/>
      <c r="W717" s="1213"/>
      <c r="X717" s="1213"/>
      <c r="Y717" s="1213"/>
      <c r="Z717" s="1213"/>
      <c r="AA717" s="1213"/>
      <c r="AB717" s="1213"/>
      <c r="AC717" s="1213"/>
      <c r="AD717" s="1213"/>
      <c r="AE717" s="1213"/>
      <c r="AF717" s="1213"/>
      <c r="AG717" s="1213"/>
      <c r="AH717" s="1213"/>
      <c r="AI717" s="1213"/>
      <c r="AJ717" s="1213"/>
      <c r="AK717" s="1213"/>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1082</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1085</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34" t="s">
        <v>1545</v>
      </c>
      <c r="B719" s="1134"/>
      <c r="C719" s="1134"/>
      <c r="D719" s="1134"/>
      <c r="E719" s="1134"/>
      <c r="F719" s="1134"/>
      <c r="G719" s="1134"/>
      <c r="H719" s="1134"/>
      <c r="I719" s="1134"/>
      <c r="J719" s="1134"/>
      <c r="K719" s="1134"/>
      <c r="L719" s="1134"/>
      <c r="M719" s="1134"/>
      <c r="N719" s="1134"/>
      <c r="O719" s="1134"/>
      <c r="P719" s="1134"/>
      <c r="Q719" s="1134"/>
      <c r="R719" s="1134"/>
      <c r="S719" s="1134"/>
      <c r="T719" s="1134"/>
      <c r="U719" s="1134"/>
      <c r="V719" s="1134"/>
      <c r="W719" s="1134"/>
      <c r="X719" s="1134"/>
      <c r="Y719" s="1134"/>
      <c r="Z719" s="1134"/>
      <c r="AA719" s="1134"/>
      <c r="AB719" s="1134"/>
      <c r="AC719" s="1134"/>
      <c r="AD719" s="1134"/>
      <c r="AE719" s="1134"/>
      <c r="AF719" s="1134"/>
      <c r="AG719" s="1134"/>
      <c r="AH719" s="1134"/>
      <c r="AI719" s="1134"/>
      <c r="AJ719" s="1134"/>
      <c r="AK719" s="1134"/>
      <c r="AL719" s="1134"/>
      <c r="AM719" s="1134"/>
      <c r="AN719" s="1134"/>
      <c r="AO719" s="1134"/>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1090</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34"/>
      <c r="B720" s="1134"/>
      <c r="C720" s="1134"/>
      <c r="D720" s="1134"/>
      <c r="E720" s="1134"/>
      <c r="F720" s="1134"/>
      <c r="G720" s="1134"/>
      <c r="H720" s="1134"/>
      <c r="I720" s="1134"/>
      <c r="J720" s="1134"/>
      <c r="K720" s="1134"/>
      <c r="L720" s="1134"/>
      <c r="M720" s="1134"/>
      <c r="N720" s="1134"/>
      <c r="O720" s="1134"/>
      <c r="P720" s="1134"/>
      <c r="Q720" s="1134"/>
      <c r="R720" s="1134"/>
      <c r="S720" s="1134"/>
      <c r="T720" s="1134"/>
      <c r="U720" s="1134"/>
      <c r="V720" s="1134"/>
      <c r="W720" s="1134"/>
      <c r="X720" s="1134"/>
      <c r="Y720" s="1134"/>
      <c r="Z720" s="1134"/>
      <c r="AA720" s="1134"/>
      <c r="AB720" s="1134"/>
      <c r="AC720" s="1134"/>
      <c r="AD720" s="1134"/>
      <c r="AE720" s="1134"/>
      <c r="AF720" s="1134"/>
      <c r="AG720" s="1134"/>
      <c r="AH720" s="1134"/>
      <c r="AI720" s="1134"/>
      <c r="AJ720" s="1134"/>
      <c r="AK720" s="1134"/>
      <c r="AL720" s="1134"/>
      <c r="AM720" s="1134"/>
      <c r="AN720" s="1134"/>
      <c r="AO720" s="1134"/>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1094</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34"/>
      <c r="B721" s="1134"/>
      <c r="C721" s="1134"/>
      <c r="D721" s="1134"/>
      <c r="E721" s="1134"/>
      <c r="F721" s="1134"/>
      <c r="G721" s="1134"/>
      <c r="H721" s="1134"/>
      <c r="I721" s="1134"/>
      <c r="J721" s="1134"/>
      <c r="K721" s="1134"/>
      <c r="L721" s="1134"/>
      <c r="M721" s="1134"/>
      <c r="N721" s="1134"/>
      <c r="O721" s="1134"/>
      <c r="P721" s="1134"/>
      <c r="Q721" s="1134"/>
      <c r="R721" s="1134"/>
      <c r="S721" s="1134"/>
      <c r="T721" s="1134"/>
      <c r="U721" s="1134"/>
      <c r="V721" s="1134"/>
      <c r="W721" s="1134"/>
      <c r="X721" s="1134"/>
      <c r="Y721" s="1134"/>
      <c r="Z721" s="1134"/>
      <c r="AA721" s="1134"/>
      <c r="AB721" s="1134"/>
      <c r="AC721" s="1134"/>
      <c r="AD721" s="1134"/>
      <c r="AE721" s="1134"/>
      <c r="AF721" s="1134"/>
      <c r="AG721" s="1134"/>
      <c r="AH721" s="1134"/>
      <c r="AI721" s="1134"/>
      <c r="AJ721" s="1134"/>
      <c r="AK721" s="1134"/>
      <c r="AL721" s="1134"/>
      <c r="AM721" s="1134"/>
      <c r="AN721" s="1134"/>
      <c r="AO721" s="1134"/>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1097</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956</v>
      </c>
      <c r="B722" s="2"/>
      <c r="C722" s="2" t="s">
        <v>1546</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1102</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1104</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12" t="s">
        <v>1547</v>
      </c>
      <c r="C724" s="1313"/>
      <c r="D724" s="1313"/>
      <c r="E724" s="1313"/>
      <c r="F724" s="1314"/>
      <c r="G724" s="1312" t="s">
        <v>1548</v>
      </c>
      <c r="H724" s="1313"/>
      <c r="I724" s="1313"/>
      <c r="J724" s="1314"/>
      <c r="K724" s="1457" t="s">
        <v>1549</v>
      </c>
      <c r="L724" s="1458"/>
      <c r="M724" s="1458"/>
      <c r="N724" s="1459"/>
      <c r="O724" s="1312" t="s">
        <v>1550</v>
      </c>
      <c r="P724" s="1313"/>
      <c r="Q724" s="1313"/>
      <c r="R724" s="1313"/>
      <c r="S724" s="1314"/>
      <c r="T724" s="1312" t="s">
        <v>1551</v>
      </c>
      <c r="U724" s="1313"/>
      <c r="V724" s="1313"/>
      <c r="W724" s="1313"/>
      <c r="X724" s="1314"/>
      <c r="Y724" s="1312" t="s">
        <v>1552</v>
      </c>
      <c r="Z724" s="1313"/>
      <c r="AA724" s="1313"/>
      <c r="AB724" s="1314"/>
      <c r="AC724" s="1312" t="s">
        <v>1553</v>
      </c>
      <c r="AD724" s="1313"/>
      <c r="AE724" s="1313"/>
      <c r="AF724" s="1313"/>
      <c r="AG724" s="1314"/>
      <c r="AH724" s="1312" t="s">
        <v>1554</v>
      </c>
      <c r="AI724" s="1313"/>
      <c r="AJ724" s="1313"/>
      <c r="AK724" s="1313"/>
      <c r="AL724" s="1314"/>
      <c r="AM724" s="1312" t="s">
        <v>1555</v>
      </c>
      <c r="AN724" s="1313"/>
      <c r="AO724" s="1314"/>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1107</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15"/>
      <c r="C725" s="1316"/>
      <c r="D725" s="1316"/>
      <c r="E725" s="1316"/>
      <c r="F725" s="1317"/>
      <c r="G725" s="1315"/>
      <c r="H725" s="1316"/>
      <c r="I725" s="1316"/>
      <c r="J725" s="1317"/>
      <c r="K725" s="1460"/>
      <c r="L725" s="1461"/>
      <c r="M725" s="1461"/>
      <c r="N725" s="1462"/>
      <c r="O725" s="1315"/>
      <c r="P725" s="1316"/>
      <c r="Q725" s="1316"/>
      <c r="R725" s="1316"/>
      <c r="S725" s="1317"/>
      <c r="T725" s="1315"/>
      <c r="U725" s="1316"/>
      <c r="V725" s="1316"/>
      <c r="W725" s="1316"/>
      <c r="X725" s="1317"/>
      <c r="Y725" s="1315"/>
      <c r="Z725" s="1316"/>
      <c r="AA725" s="1316"/>
      <c r="AB725" s="1317"/>
      <c r="AC725" s="1315"/>
      <c r="AD725" s="1316"/>
      <c r="AE725" s="1316"/>
      <c r="AF725" s="1316"/>
      <c r="AG725" s="1317"/>
      <c r="AH725" s="1315"/>
      <c r="AI725" s="1316"/>
      <c r="AJ725" s="1316"/>
      <c r="AK725" s="1316"/>
      <c r="AL725" s="1317"/>
      <c r="AM725" s="1315"/>
      <c r="AN725" s="1316"/>
      <c r="AO725" s="1317"/>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1110</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15"/>
      <c r="C726" s="1316"/>
      <c r="D726" s="1316"/>
      <c r="E726" s="1316"/>
      <c r="F726" s="1317"/>
      <c r="G726" s="1315"/>
      <c r="H726" s="1316"/>
      <c r="I726" s="1316"/>
      <c r="J726" s="1317"/>
      <c r="K726" s="1460"/>
      <c r="L726" s="1461"/>
      <c r="M726" s="1461"/>
      <c r="N726" s="1462"/>
      <c r="O726" s="1315"/>
      <c r="P726" s="1316"/>
      <c r="Q726" s="1316"/>
      <c r="R726" s="1316"/>
      <c r="S726" s="1317"/>
      <c r="T726" s="1315"/>
      <c r="U726" s="1316"/>
      <c r="V726" s="1316"/>
      <c r="W726" s="1316"/>
      <c r="X726" s="1317"/>
      <c r="Y726" s="1315"/>
      <c r="Z726" s="1316"/>
      <c r="AA726" s="1316"/>
      <c r="AB726" s="1317"/>
      <c r="AC726" s="1315"/>
      <c r="AD726" s="1316"/>
      <c r="AE726" s="1316"/>
      <c r="AF726" s="1316"/>
      <c r="AG726" s="1317"/>
      <c r="AH726" s="1315"/>
      <c r="AI726" s="1316"/>
      <c r="AJ726" s="1316"/>
      <c r="AK726" s="1316"/>
      <c r="AL726" s="1317"/>
      <c r="AM726" s="1315"/>
      <c r="AN726" s="1316"/>
      <c r="AO726" s="1317"/>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1113</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thickBot="1">
      <c r="A727" s="3"/>
      <c r="B727" s="1318"/>
      <c r="C727" s="1319"/>
      <c r="D727" s="1319"/>
      <c r="E727" s="1319"/>
      <c r="F727" s="1320"/>
      <c r="G727" s="1318"/>
      <c r="H727" s="1319"/>
      <c r="I727" s="1319"/>
      <c r="J727" s="1320"/>
      <c r="K727" s="1460"/>
      <c r="L727" s="1461"/>
      <c r="M727" s="1461"/>
      <c r="N727" s="1462"/>
      <c r="O727" s="1318"/>
      <c r="P727" s="1319"/>
      <c r="Q727" s="1319"/>
      <c r="R727" s="1319"/>
      <c r="S727" s="1320"/>
      <c r="T727" s="1318"/>
      <c r="U727" s="1319"/>
      <c r="V727" s="1319"/>
      <c r="W727" s="1319"/>
      <c r="X727" s="1320"/>
      <c r="Y727" s="1318"/>
      <c r="Z727" s="1319"/>
      <c r="AA727" s="1319"/>
      <c r="AB727" s="1320"/>
      <c r="AC727" s="1318"/>
      <c r="AD727" s="1319"/>
      <c r="AE727" s="1319"/>
      <c r="AF727" s="1319"/>
      <c r="AG727" s="1320"/>
      <c r="AH727" s="1318"/>
      <c r="AI727" s="1319"/>
      <c r="AJ727" s="1319"/>
      <c r="AK727" s="1319"/>
      <c r="AL727" s="1320"/>
      <c r="AM727" s="1318"/>
      <c r="AN727" s="1319"/>
      <c r="AO727" s="1320"/>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1117</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1238" t="s">
        <v>1494</v>
      </c>
      <c r="C728" s="1239"/>
      <c r="D728" s="1239"/>
      <c r="E728" s="1239"/>
      <c r="F728" s="1240"/>
      <c r="G728" s="1433">
        <v>44</v>
      </c>
      <c r="H728" s="1434"/>
      <c r="I728" s="1434"/>
      <c r="J728" s="1435"/>
      <c r="K728" s="1253">
        <v>528</v>
      </c>
      <c r="L728" s="1254"/>
      <c r="M728" s="1254"/>
      <c r="N728" s="1255"/>
      <c r="O728" s="1307">
        <v>1350.64</v>
      </c>
      <c r="P728" s="1308"/>
      <c r="Q728" s="1308"/>
      <c r="R728" s="1308"/>
      <c r="S728" s="1309"/>
      <c r="T728" s="1341">
        <f t="shared" ref="T728:T752" si="47">G728*O728</f>
        <v>59428.160000000003</v>
      </c>
      <c r="U728" s="1342"/>
      <c r="V728" s="1342"/>
      <c r="W728" s="1342"/>
      <c r="X728" s="1343"/>
      <c r="Y728" s="1307">
        <v>13.36</v>
      </c>
      <c r="Z728" s="1308"/>
      <c r="AA728" s="1308"/>
      <c r="AB728" s="1309"/>
      <c r="AC728" s="1341">
        <f t="shared" ref="AC728:AC752" si="48">O728+Y728</f>
        <v>1364</v>
      </c>
      <c r="AD728" s="1342"/>
      <c r="AE728" s="1342"/>
      <c r="AF728" s="1342"/>
      <c r="AG728" s="1343"/>
      <c r="AH728" s="1475">
        <v>0.6</v>
      </c>
      <c r="AI728" s="1476"/>
      <c r="AJ728" s="1476"/>
      <c r="AK728" s="1476"/>
      <c r="AL728" s="1477"/>
      <c r="AM728" s="1436">
        <f t="shared" ref="AM728:AM752" si="49">IF($AH728&gt;0,($AC728/$BA670), " ")</f>
        <v>0.60035211267605637</v>
      </c>
      <c r="AN728" s="1437"/>
      <c r="AO728" s="1438"/>
      <c r="AP728" s="3"/>
      <c r="AQ728" s="3"/>
      <c r="AR728" s="3"/>
      <c r="AS728" s="3"/>
      <c r="AT728" s="3"/>
      <c r="AU728" s="3"/>
      <c r="AV728" s="3"/>
      <c r="AW728" s="3"/>
      <c r="AX728" s="3"/>
      <c r="AY728" s="3"/>
      <c r="AZ728" s="3"/>
      <c r="BA728" s="3"/>
      <c r="BB728" s="3"/>
      <c r="BC728" s="3"/>
      <c r="BD728" s="3"/>
      <c r="BE728" s="3"/>
      <c r="BF728" s="3"/>
      <c r="BG728" s="820">
        <f>SUM(BG703:BG727)</f>
        <v>119</v>
      </c>
      <c r="BH728" s="227">
        <f>SUM(BH703:BH727)</f>
        <v>1</v>
      </c>
      <c r="BI728" s="227">
        <f>SUM(BI703:BI727)</f>
        <v>0.55311107289370853</v>
      </c>
      <c r="BK728" s="3"/>
      <c r="BL728" s="3"/>
      <c r="BM728" s="3"/>
      <c r="BN728" s="3"/>
      <c r="BO728" s="3"/>
      <c r="BP728" s="213"/>
      <c r="BQ728" s="139"/>
      <c r="BR728" s="1075"/>
      <c r="BS728" s="1075"/>
      <c r="BT728" s="1075"/>
      <c r="BU728" s="1075"/>
      <c r="BV728" s="107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38" t="s">
        <v>1494</v>
      </c>
      <c r="C729" s="1239"/>
      <c r="D729" s="1239"/>
      <c r="E729" s="1239"/>
      <c r="F729" s="1240"/>
      <c r="G729" s="1433">
        <v>6</v>
      </c>
      <c r="H729" s="1434"/>
      <c r="I729" s="1434"/>
      <c r="J729" s="1435"/>
      <c r="K729" s="1253">
        <f t="shared" ref="K729:K730" si="50">K728</f>
        <v>528</v>
      </c>
      <c r="L729" s="1254"/>
      <c r="M729" s="1254"/>
      <c r="N729" s="1255"/>
      <c r="O729" s="1307">
        <v>1122.6400000000001</v>
      </c>
      <c r="P729" s="1308"/>
      <c r="Q729" s="1308"/>
      <c r="R729" s="1308"/>
      <c r="S729" s="1309"/>
      <c r="T729" s="1341">
        <f t="shared" si="47"/>
        <v>6735.84</v>
      </c>
      <c r="U729" s="1342"/>
      <c r="V729" s="1342"/>
      <c r="W729" s="1342"/>
      <c r="X729" s="1343"/>
      <c r="Y729" s="1307">
        <f t="shared" ref="Y729:Y730" si="51">Y728</f>
        <v>13.36</v>
      </c>
      <c r="Z729" s="1308"/>
      <c r="AA729" s="1308"/>
      <c r="AB729" s="1309"/>
      <c r="AC729" s="1341">
        <f t="shared" si="48"/>
        <v>1136</v>
      </c>
      <c r="AD729" s="1342"/>
      <c r="AE729" s="1342"/>
      <c r="AF729" s="1342"/>
      <c r="AG729" s="1343"/>
      <c r="AH729" s="1475">
        <v>0.5</v>
      </c>
      <c r="AI729" s="1476"/>
      <c r="AJ729" s="1476"/>
      <c r="AK729" s="1476"/>
      <c r="AL729" s="1477"/>
      <c r="AM729" s="1436">
        <f t="shared" si="49"/>
        <v>0.5</v>
      </c>
      <c r="AN729" s="1437"/>
      <c r="AO729" s="1438"/>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38" t="s">
        <v>1494</v>
      </c>
      <c r="C730" s="1239"/>
      <c r="D730" s="1239"/>
      <c r="E730" s="1239"/>
      <c r="F730" s="1240"/>
      <c r="G730" s="1433">
        <v>6</v>
      </c>
      <c r="H730" s="1434"/>
      <c r="I730" s="1434"/>
      <c r="J730" s="1435"/>
      <c r="K730" s="1253">
        <f t="shared" si="50"/>
        <v>528</v>
      </c>
      <c r="L730" s="1254"/>
      <c r="M730" s="1254"/>
      <c r="N730" s="1255"/>
      <c r="O730" s="1307">
        <v>668.64</v>
      </c>
      <c r="P730" s="1308"/>
      <c r="Q730" s="1308"/>
      <c r="R730" s="1308"/>
      <c r="S730" s="1309"/>
      <c r="T730" s="1341">
        <f t="shared" si="47"/>
        <v>4011.84</v>
      </c>
      <c r="U730" s="1342"/>
      <c r="V730" s="1342"/>
      <c r="W730" s="1342"/>
      <c r="X730" s="1343"/>
      <c r="Y730" s="1307">
        <f t="shared" si="51"/>
        <v>13.36</v>
      </c>
      <c r="Z730" s="1308"/>
      <c r="AA730" s="1308"/>
      <c r="AB730" s="1309"/>
      <c r="AC730" s="1341">
        <f t="shared" si="48"/>
        <v>682</v>
      </c>
      <c r="AD730" s="1342"/>
      <c r="AE730" s="1342"/>
      <c r="AF730" s="1342"/>
      <c r="AG730" s="1343"/>
      <c r="AH730" s="1475">
        <v>0.3</v>
      </c>
      <c r="AI730" s="1476"/>
      <c r="AJ730" s="1476"/>
      <c r="AK730" s="1476"/>
      <c r="AL730" s="1477"/>
      <c r="AM730" s="1436">
        <f t="shared" si="49"/>
        <v>0.30017605633802819</v>
      </c>
      <c r="AN730" s="1437"/>
      <c r="AO730" s="1438"/>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38" t="s">
        <v>1495</v>
      </c>
      <c r="C731" s="1239"/>
      <c r="D731" s="1239"/>
      <c r="E731" s="1239"/>
      <c r="F731" s="1240"/>
      <c r="G731" s="1433">
        <v>23</v>
      </c>
      <c r="H731" s="1434"/>
      <c r="I731" s="1434"/>
      <c r="J731" s="1435"/>
      <c r="K731" s="1253">
        <v>715</v>
      </c>
      <c r="L731" s="1254"/>
      <c r="M731" s="1254"/>
      <c r="N731" s="1255"/>
      <c r="O731" s="1307">
        <v>1622.27</v>
      </c>
      <c r="P731" s="1308"/>
      <c r="Q731" s="1308"/>
      <c r="R731" s="1308"/>
      <c r="S731" s="1309"/>
      <c r="T731" s="1341">
        <f t="shared" si="47"/>
        <v>37312.21</v>
      </c>
      <c r="U731" s="1342"/>
      <c r="V731" s="1342"/>
      <c r="W731" s="1342"/>
      <c r="X731" s="1343"/>
      <c r="Y731" s="1307">
        <v>13.73</v>
      </c>
      <c r="Z731" s="1308"/>
      <c r="AA731" s="1308"/>
      <c r="AB731" s="1309"/>
      <c r="AC731" s="1341">
        <f t="shared" si="48"/>
        <v>1636</v>
      </c>
      <c r="AD731" s="1342"/>
      <c r="AE731" s="1342"/>
      <c r="AF731" s="1342"/>
      <c r="AG731" s="1343"/>
      <c r="AH731" s="1475">
        <f>AH728</f>
        <v>0.6</v>
      </c>
      <c r="AI731" s="1476"/>
      <c r="AJ731" s="1476"/>
      <c r="AK731" s="1476"/>
      <c r="AL731" s="1477"/>
      <c r="AM731" s="1436">
        <f t="shared" si="49"/>
        <v>0.60014673514306671</v>
      </c>
      <c r="AN731" s="1437"/>
      <c r="AO731" s="1438"/>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38" t="s">
        <v>1495</v>
      </c>
      <c r="C732" s="1239"/>
      <c r="D732" s="1239"/>
      <c r="E732" s="1239"/>
      <c r="F732" s="1240"/>
      <c r="G732" s="1433">
        <v>4</v>
      </c>
      <c r="H732" s="1434"/>
      <c r="I732" s="1434"/>
      <c r="J732" s="1435"/>
      <c r="K732" s="1253">
        <f t="shared" ref="K732:K733" si="52">K731</f>
        <v>715</v>
      </c>
      <c r="L732" s="1254"/>
      <c r="M732" s="1254"/>
      <c r="N732" s="1255"/>
      <c r="O732" s="1307">
        <v>1349.27</v>
      </c>
      <c r="P732" s="1308"/>
      <c r="Q732" s="1308"/>
      <c r="R732" s="1308"/>
      <c r="S732" s="1309"/>
      <c r="T732" s="1341">
        <f t="shared" si="47"/>
        <v>5397.08</v>
      </c>
      <c r="U732" s="1342"/>
      <c r="V732" s="1342"/>
      <c r="W732" s="1342"/>
      <c r="X732" s="1343"/>
      <c r="Y732" s="1307">
        <f t="shared" ref="Y732:Y733" si="53">Y731</f>
        <v>13.73</v>
      </c>
      <c r="Z732" s="1308"/>
      <c r="AA732" s="1308"/>
      <c r="AB732" s="1309"/>
      <c r="AC732" s="1341">
        <f t="shared" si="48"/>
        <v>1363</v>
      </c>
      <c r="AD732" s="1342"/>
      <c r="AE732" s="1342"/>
      <c r="AF732" s="1342"/>
      <c r="AG732" s="1343"/>
      <c r="AH732" s="1475">
        <f t="shared" ref="AH732:AH736" si="54">AH729</f>
        <v>0.5</v>
      </c>
      <c r="AI732" s="1476"/>
      <c r="AJ732" s="1476"/>
      <c r="AK732" s="1476"/>
      <c r="AL732" s="1477"/>
      <c r="AM732" s="1436">
        <f t="shared" si="49"/>
        <v>0.5</v>
      </c>
      <c r="AN732" s="1437"/>
      <c r="AO732" s="1438"/>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38" t="s">
        <v>1495</v>
      </c>
      <c r="C733" s="1239"/>
      <c r="D733" s="1239"/>
      <c r="E733" s="1239"/>
      <c r="F733" s="1240"/>
      <c r="G733" s="1433">
        <v>4</v>
      </c>
      <c r="H733" s="1434"/>
      <c r="I733" s="1434"/>
      <c r="J733" s="1435"/>
      <c r="K733" s="1253">
        <f t="shared" si="52"/>
        <v>715</v>
      </c>
      <c r="L733" s="1254"/>
      <c r="M733" s="1254"/>
      <c r="N733" s="1255"/>
      <c r="O733" s="1307">
        <v>804.27</v>
      </c>
      <c r="P733" s="1308"/>
      <c r="Q733" s="1308"/>
      <c r="R733" s="1308"/>
      <c r="S733" s="1309"/>
      <c r="T733" s="1341">
        <f t="shared" si="47"/>
        <v>3217.08</v>
      </c>
      <c r="U733" s="1342"/>
      <c r="V733" s="1342"/>
      <c r="W733" s="1342"/>
      <c r="X733" s="1343"/>
      <c r="Y733" s="1307">
        <f t="shared" si="53"/>
        <v>13.73</v>
      </c>
      <c r="Z733" s="1308"/>
      <c r="AA733" s="1308"/>
      <c r="AB733" s="1309"/>
      <c r="AC733" s="1341">
        <f t="shared" si="48"/>
        <v>818</v>
      </c>
      <c r="AD733" s="1342"/>
      <c r="AE733" s="1342"/>
      <c r="AF733" s="1342"/>
      <c r="AG733" s="1343"/>
      <c r="AH733" s="1475">
        <f t="shared" si="54"/>
        <v>0.3</v>
      </c>
      <c r="AI733" s="1476"/>
      <c r="AJ733" s="1476"/>
      <c r="AK733" s="1476"/>
      <c r="AL733" s="1477"/>
      <c r="AM733" s="1436">
        <f t="shared" si="49"/>
        <v>0.30007336757153336</v>
      </c>
      <c r="AN733" s="1437"/>
      <c r="AO733" s="1438"/>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38" t="s">
        <v>1496</v>
      </c>
      <c r="C734" s="1239"/>
      <c r="D734" s="1239"/>
      <c r="E734" s="1239"/>
      <c r="F734" s="1240"/>
      <c r="G734" s="1433">
        <v>24</v>
      </c>
      <c r="H734" s="1434"/>
      <c r="I734" s="1434"/>
      <c r="J734" s="1435"/>
      <c r="K734" s="1253">
        <v>907</v>
      </c>
      <c r="L734" s="1254"/>
      <c r="M734" s="1254"/>
      <c r="N734" s="1255"/>
      <c r="O734" s="1307">
        <v>1874.56</v>
      </c>
      <c r="P734" s="1308"/>
      <c r="Q734" s="1308"/>
      <c r="R734" s="1308"/>
      <c r="S734" s="1309"/>
      <c r="T734" s="1341">
        <f t="shared" si="47"/>
        <v>44989.440000000002</v>
      </c>
      <c r="U734" s="1342"/>
      <c r="V734" s="1342"/>
      <c r="W734" s="1342"/>
      <c r="X734" s="1343"/>
      <c r="Y734" s="1307">
        <v>15.44</v>
      </c>
      <c r="Z734" s="1308"/>
      <c r="AA734" s="1308"/>
      <c r="AB734" s="1309"/>
      <c r="AC734" s="1341">
        <f t="shared" si="48"/>
        <v>1890</v>
      </c>
      <c r="AD734" s="1342"/>
      <c r="AE734" s="1342"/>
      <c r="AF734" s="1342"/>
      <c r="AG734" s="1343"/>
      <c r="AH734" s="1475">
        <f t="shared" si="54"/>
        <v>0.6</v>
      </c>
      <c r="AI734" s="1476"/>
      <c r="AJ734" s="1476"/>
      <c r="AK734" s="1476"/>
      <c r="AL734" s="1477"/>
      <c r="AM734" s="1436">
        <f t="shared" si="49"/>
        <v>0.6</v>
      </c>
      <c r="AN734" s="1437"/>
      <c r="AO734" s="1438"/>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38" t="s">
        <v>1496</v>
      </c>
      <c r="C735" s="1239"/>
      <c r="D735" s="1239"/>
      <c r="E735" s="1239"/>
      <c r="F735" s="1240"/>
      <c r="G735" s="1433">
        <v>4</v>
      </c>
      <c r="H735" s="1434"/>
      <c r="I735" s="1434"/>
      <c r="J735" s="1435"/>
      <c r="K735" s="1253">
        <f>K734</f>
        <v>907</v>
      </c>
      <c r="L735" s="1254"/>
      <c r="M735" s="1254"/>
      <c r="N735" s="1255"/>
      <c r="O735" s="1307">
        <v>1559.56</v>
      </c>
      <c r="P735" s="1308"/>
      <c r="Q735" s="1308"/>
      <c r="R735" s="1308"/>
      <c r="S735" s="1309"/>
      <c r="T735" s="1341">
        <f t="shared" si="47"/>
        <v>6238.24</v>
      </c>
      <c r="U735" s="1342"/>
      <c r="V735" s="1342"/>
      <c r="W735" s="1342"/>
      <c r="X735" s="1343"/>
      <c r="Y735" s="1307">
        <f>Y734</f>
        <v>15.44</v>
      </c>
      <c r="Z735" s="1308"/>
      <c r="AA735" s="1308"/>
      <c r="AB735" s="1309"/>
      <c r="AC735" s="1341">
        <f t="shared" si="48"/>
        <v>1575</v>
      </c>
      <c r="AD735" s="1342"/>
      <c r="AE735" s="1342"/>
      <c r="AF735" s="1342"/>
      <c r="AG735" s="1343"/>
      <c r="AH735" s="1475">
        <f t="shared" si="54"/>
        <v>0.5</v>
      </c>
      <c r="AI735" s="1476"/>
      <c r="AJ735" s="1476"/>
      <c r="AK735" s="1476"/>
      <c r="AL735" s="1477"/>
      <c r="AM735" s="1436">
        <f t="shared" si="49"/>
        <v>0.5</v>
      </c>
      <c r="AN735" s="1437"/>
      <c r="AO735" s="1438"/>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38" t="s">
        <v>1496</v>
      </c>
      <c r="C736" s="1239"/>
      <c r="D736" s="1239"/>
      <c r="E736" s="1239"/>
      <c r="F736" s="1240"/>
      <c r="G736" s="1433">
        <v>4</v>
      </c>
      <c r="H736" s="1434"/>
      <c r="I736" s="1434"/>
      <c r="J736" s="1435"/>
      <c r="K736" s="1253">
        <f>K735</f>
        <v>907</v>
      </c>
      <c r="L736" s="1254"/>
      <c r="M736" s="1254"/>
      <c r="N736" s="1255"/>
      <c r="O736" s="1307">
        <v>929.56</v>
      </c>
      <c r="P736" s="1308"/>
      <c r="Q736" s="1308"/>
      <c r="R736" s="1308"/>
      <c r="S736" s="1309"/>
      <c r="T736" s="1341">
        <f t="shared" si="47"/>
        <v>3718.24</v>
      </c>
      <c r="U736" s="1342"/>
      <c r="V736" s="1342"/>
      <c r="W736" s="1342"/>
      <c r="X736" s="1343"/>
      <c r="Y736" s="1307">
        <f>Y735</f>
        <v>15.44</v>
      </c>
      <c r="Z736" s="1308"/>
      <c r="AA736" s="1308"/>
      <c r="AB736" s="1309"/>
      <c r="AC736" s="1341">
        <f t="shared" si="48"/>
        <v>945</v>
      </c>
      <c r="AD736" s="1342"/>
      <c r="AE736" s="1342"/>
      <c r="AF736" s="1342"/>
      <c r="AG736" s="1343"/>
      <c r="AH736" s="1475">
        <f t="shared" si="54"/>
        <v>0.3</v>
      </c>
      <c r="AI736" s="1476"/>
      <c r="AJ736" s="1476"/>
      <c r="AK736" s="1476"/>
      <c r="AL736" s="1477"/>
      <c r="AM736" s="1436">
        <f t="shared" si="49"/>
        <v>0.3</v>
      </c>
      <c r="AN736" s="1437"/>
      <c r="AO736" s="1438"/>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38"/>
      <c r="C737" s="1239"/>
      <c r="D737" s="1239"/>
      <c r="E737" s="1239"/>
      <c r="F737" s="1240"/>
      <c r="G737" s="1433"/>
      <c r="H737" s="1434"/>
      <c r="I737" s="1434"/>
      <c r="J737" s="1435"/>
      <c r="K737" s="1253"/>
      <c r="L737" s="1254"/>
      <c r="M737" s="1254"/>
      <c r="N737" s="1255"/>
      <c r="O737" s="1307"/>
      <c r="P737" s="1308"/>
      <c r="Q737" s="1308"/>
      <c r="R737" s="1308"/>
      <c r="S737" s="1309"/>
      <c r="T737" s="1341">
        <f t="shared" si="47"/>
        <v>0</v>
      </c>
      <c r="U737" s="1342"/>
      <c r="V737" s="1342"/>
      <c r="W737" s="1342"/>
      <c r="X737" s="1343"/>
      <c r="Y737" s="1307"/>
      <c r="Z737" s="1308"/>
      <c r="AA737" s="1308"/>
      <c r="AB737" s="1309"/>
      <c r="AC737" s="1341">
        <f t="shared" si="48"/>
        <v>0</v>
      </c>
      <c r="AD737" s="1342"/>
      <c r="AE737" s="1342"/>
      <c r="AF737" s="1342"/>
      <c r="AG737" s="1343"/>
      <c r="AH737" s="1475"/>
      <c r="AI737" s="1476"/>
      <c r="AJ737" s="1476"/>
      <c r="AK737" s="1476"/>
      <c r="AL737" s="1477"/>
      <c r="AM737" s="1436" t="str">
        <f t="shared" si="49"/>
        <v xml:space="preserve"> </v>
      </c>
      <c r="AN737" s="1437"/>
      <c r="AO737" s="1438"/>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38"/>
      <c r="C738" s="1239"/>
      <c r="D738" s="1239"/>
      <c r="E738" s="1239"/>
      <c r="F738" s="1240"/>
      <c r="G738" s="1433"/>
      <c r="H738" s="1434"/>
      <c r="I738" s="1434"/>
      <c r="J738" s="1435"/>
      <c r="K738" s="1253"/>
      <c r="L738" s="1254"/>
      <c r="M738" s="1254"/>
      <c r="N738" s="1255"/>
      <c r="O738" s="1307"/>
      <c r="P738" s="1308"/>
      <c r="Q738" s="1308"/>
      <c r="R738" s="1308"/>
      <c r="S738" s="1309"/>
      <c r="T738" s="1341">
        <f t="shared" si="47"/>
        <v>0</v>
      </c>
      <c r="U738" s="1342"/>
      <c r="V738" s="1342"/>
      <c r="W738" s="1342"/>
      <c r="X738" s="1343"/>
      <c r="Y738" s="1307"/>
      <c r="Z738" s="1308"/>
      <c r="AA738" s="1308"/>
      <c r="AB738" s="1309"/>
      <c r="AC738" s="1341">
        <f t="shared" si="48"/>
        <v>0</v>
      </c>
      <c r="AD738" s="1342"/>
      <c r="AE738" s="1342"/>
      <c r="AF738" s="1342"/>
      <c r="AG738" s="1343"/>
      <c r="AH738" s="1475"/>
      <c r="AI738" s="1476"/>
      <c r="AJ738" s="1476"/>
      <c r="AK738" s="1476"/>
      <c r="AL738" s="1477"/>
      <c r="AM738" s="1436" t="str">
        <f t="shared" si="49"/>
        <v xml:space="preserve"> </v>
      </c>
      <c r="AN738" s="1437"/>
      <c r="AO738" s="1438"/>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38"/>
      <c r="C739" s="1239"/>
      <c r="D739" s="1239"/>
      <c r="E739" s="1239"/>
      <c r="F739" s="1240"/>
      <c r="G739" s="1433"/>
      <c r="H739" s="1434"/>
      <c r="I739" s="1434"/>
      <c r="J739" s="1435"/>
      <c r="K739" s="1253"/>
      <c r="L739" s="1254"/>
      <c r="M739" s="1254"/>
      <c r="N739" s="1255"/>
      <c r="O739" s="1307"/>
      <c r="P739" s="1308"/>
      <c r="Q739" s="1308"/>
      <c r="R739" s="1308"/>
      <c r="S739" s="1309"/>
      <c r="T739" s="1341">
        <f t="shared" si="47"/>
        <v>0</v>
      </c>
      <c r="U739" s="1342"/>
      <c r="V739" s="1342"/>
      <c r="W739" s="1342"/>
      <c r="X739" s="1343"/>
      <c r="Y739" s="1307"/>
      <c r="Z739" s="1308"/>
      <c r="AA739" s="1308"/>
      <c r="AB739" s="1309"/>
      <c r="AC739" s="1341">
        <f t="shared" si="48"/>
        <v>0</v>
      </c>
      <c r="AD739" s="1342"/>
      <c r="AE739" s="1342"/>
      <c r="AF739" s="1342"/>
      <c r="AG739" s="1343"/>
      <c r="AH739" s="1475">
        <v>0</v>
      </c>
      <c r="AI739" s="1476"/>
      <c r="AJ739" s="1476"/>
      <c r="AK739" s="1476"/>
      <c r="AL739" s="1477"/>
      <c r="AM739" s="1436" t="str">
        <f t="shared" si="49"/>
        <v xml:space="preserve"> </v>
      </c>
      <c r="AN739" s="1437"/>
      <c r="AO739" s="1438"/>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38"/>
      <c r="C740" s="1239"/>
      <c r="D740" s="1239"/>
      <c r="E740" s="1239"/>
      <c r="F740" s="1240"/>
      <c r="G740" s="1433"/>
      <c r="H740" s="1434"/>
      <c r="I740" s="1434"/>
      <c r="J740" s="1435"/>
      <c r="K740" s="1253"/>
      <c r="L740" s="1254"/>
      <c r="M740" s="1254"/>
      <c r="N740" s="1255"/>
      <c r="O740" s="1307"/>
      <c r="P740" s="1308"/>
      <c r="Q740" s="1308"/>
      <c r="R740" s="1308"/>
      <c r="S740" s="1309"/>
      <c r="T740" s="1341">
        <f t="shared" si="47"/>
        <v>0</v>
      </c>
      <c r="U740" s="1342"/>
      <c r="V740" s="1342"/>
      <c r="W740" s="1342"/>
      <c r="X740" s="1343"/>
      <c r="Y740" s="1307"/>
      <c r="Z740" s="1308"/>
      <c r="AA740" s="1308"/>
      <c r="AB740" s="1309"/>
      <c r="AC740" s="1341">
        <f t="shared" si="48"/>
        <v>0</v>
      </c>
      <c r="AD740" s="1342"/>
      <c r="AE740" s="1342"/>
      <c r="AF740" s="1342"/>
      <c r="AG740" s="1343"/>
      <c r="AH740" s="1475">
        <v>0</v>
      </c>
      <c r="AI740" s="1476"/>
      <c r="AJ740" s="1476"/>
      <c r="AK740" s="1476"/>
      <c r="AL740" s="1477"/>
      <c r="AM740" s="1436" t="str">
        <f t="shared" si="49"/>
        <v xml:space="preserve"> </v>
      </c>
      <c r="AN740" s="1437"/>
      <c r="AO740" s="1438"/>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38"/>
      <c r="C741" s="1239"/>
      <c r="D741" s="1239"/>
      <c r="E741" s="1239"/>
      <c r="F741" s="1240"/>
      <c r="G741" s="1433"/>
      <c r="H741" s="1434"/>
      <c r="I741" s="1434"/>
      <c r="J741" s="1435"/>
      <c r="K741" s="1253"/>
      <c r="L741" s="1254"/>
      <c r="M741" s="1254"/>
      <c r="N741" s="1255"/>
      <c r="O741" s="1307"/>
      <c r="P741" s="1308"/>
      <c r="Q741" s="1308"/>
      <c r="R741" s="1308"/>
      <c r="S741" s="1309"/>
      <c r="T741" s="1341">
        <f t="shared" si="47"/>
        <v>0</v>
      </c>
      <c r="U741" s="1342"/>
      <c r="V741" s="1342"/>
      <c r="W741" s="1342"/>
      <c r="X741" s="1343"/>
      <c r="Y741" s="1307"/>
      <c r="Z741" s="1308"/>
      <c r="AA741" s="1308"/>
      <c r="AB741" s="1309"/>
      <c r="AC741" s="1341">
        <f t="shared" si="48"/>
        <v>0</v>
      </c>
      <c r="AD741" s="1342"/>
      <c r="AE741" s="1342"/>
      <c r="AF741" s="1342"/>
      <c r="AG741" s="1343"/>
      <c r="AH741" s="1475">
        <v>0</v>
      </c>
      <c r="AI741" s="1476"/>
      <c r="AJ741" s="1476"/>
      <c r="AK741" s="1476"/>
      <c r="AL741" s="1477"/>
      <c r="AM741" s="1436" t="str">
        <f t="shared" si="49"/>
        <v xml:space="preserve"> </v>
      </c>
      <c r="AN741" s="1437"/>
      <c r="AO741" s="1438"/>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38"/>
      <c r="C742" s="1239"/>
      <c r="D742" s="1239"/>
      <c r="E742" s="1239"/>
      <c r="F742" s="1240"/>
      <c r="G742" s="1433"/>
      <c r="H742" s="1434"/>
      <c r="I742" s="1434"/>
      <c r="J742" s="1435"/>
      <c r="K742" s="1253"/>
      <c r="L742" s="1254"/>
      <c r="M742" s="1254"/>
      <c r="N742" s="1255"/>
      <c r="O742" s="1307"/>
      <c r="P742" s="1308"/>
      <c r="Q742" s="1308"/>
      <c r="R742" s="1308"/>
      <c r="S742" s="1309"/>
      <c r="T742" s="1341">
        <f t="shared" si="47"/>
        <v>0</v>
      </c>
      <c r="U742" s="1342"/>
      <c r="V742" s="1342"/>
      <c r="W742" s="1342"/>
      <c r="X742" s="1343"/>
      <c r="Y742" s="1307"/>
      <c r="Z742" s="1308"/>
      <c r="AA742" s="1308"/>
      <c r="AB742" s="1309"/>
      <c r="AC742" s="1341">
        <f t="shared" si="48"/>
        <v>0</v>
      </c>
      <c r="AD742" s="1342"/>
      <c r="AE742" s="1342"/>
      <c r="AF742" s="1342"/>
      <c r="AG742" s="1343"/>
      <c r="AH742" s="1475">
        <v>0</v>
      </c>
      <c r="AI742" s="1476"/>
      <c r="AJ742" s="1476"/>
      <c r="AK742" s="1476"/>
      <c r="AL742" s="1477"/>
      <c r="AM742" s="1436" t="str">
        <f t="shared" si="49"/>
        <v xml:space="preserve"> </v>
      </c>
      <c r="AN742" s="1437"/>
      <c r="AO742" s="1438"/>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38"/>
      <c r="C743" s="1239"/>
      <c r="D743" s="1239"/>
      <c r="E743" s="1239"/>
      <c r="F743" s="1240"/>
      <c r="G743" s="1433"/>
      <c r="H743" s="1434"/>
      <c r="I743" s="1434"/>
      <c r="J743" s="1435"/>
      <c r="K743" s="1253"/>
      <c r="L743" s="1254"/>
      <c r="M743" s="1254"/>
      <c r="N743" s="1255"/>
      <c r="O743" s="1307"/>
      <c r="P743" s="1308"/>
      <c r="Q743" s="1308"/>
      <c r="R743" s="1308"/>
      <c r="S743" s="1309"/>
      <c r="T743" s="1341">
        <f t="shared" si="47"/>
        <v>0</v>
      </c>
      <c r="U743" s="1342"/>
      <c r="V743" s="1342"/>
      <c r="W743" s="1342"/>
      <c r="X743" s="1343"/>
      <c r="Y743" s="1307"/>
      <c r="Z743" s="1308"/>
      <c r="AA743" s="1308"/>
      <c r="AB743" s="1309"/>
      <c r="AC743" s="1341">
        <f t="shared" si="48"/>
        <v>0</v>
      </c>
      <c r="AD743" s="1342"/>
      <c r="AE743" s="1342"/>
      <c r="AF743" s="1342"/>
      <c r="AG743" s="1343"/>
      <c r="AH743" s="1475">
        <v>0</v>
      </c>
      <c r="AI743" s="1476"/>
      <c r="AJ743" s="1476"/>
      <c r="AK743" s="1476"/>
      <c r="AL743" s="1477"/>
      <c r="AM743" s="1436" t="str">
        <f t="shared" si="49"/>
        <v xml:space="preserve"> </v>
      </c>
      <c r="AN743" s="1437"/>
      <c r="AO743" s="1438"/>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38"/>
      <c r="C744" s="1239"/>
      <c r="D744" s="1239"/>
      <c r="E744" s="1239"/>
      <c r="F744" s="1240"/>
      <c r="G744" s="1433"/>
      <c r="H744" s="1434"/>
      <c r="I744" s="1434"/>
      <c r="J744" s="1435"/>
      <c r="K744" s="1253"/>
      <c r="L744" s="1254"/>
      <c r="M744" s="1254"/>
      <c r="N744" s="1255"/>
      <c r="O744" s="1307"/>
      <c r="P744" s="1308"/>
      <c r="Q744" s="1308"/>
      <c r="R744" s="1308"/>
      <c r="S744" s="1309"/>
      <c r="T744" s="1341">
        <f t="shared" si="47"/>
        <v>0</v>
      </c>
      <c r="U744" s="1342"/>
      <c r="V744" s="1342"/>
      <c r="W744" s="1342"/>
      <c r="X744" s="1343"/>
      <c r="Y744" s="1307"/>
      <c r="Z744" s="1308"/>
      <c r="AA744" s="1308"/>
      <c r="AB744" s="1309"/>
      <c r="AC744" s="1341">
        <f t="shared" si="48"/>
        <v>0</v>
      </c>
      <c r="AD744" s="1342"/>
      <c r="AE744" s="1342"/>
      <c r="AF744" s="1342"/>
      <c r="AG744" s="1343"/>
      <c r="AH744" s="1475">
        <v>0</v>
      </c>
      <c r="AI744" s="1476"/>
      <c r="AJ744" s="1476"/>
      <c r="AK744" s="1476"/>
      <c r="AL744" s="1477"/>
      <c r="AM744" s="1436" t="str">
        <f t="shared" si="49"/>
        <v xml:space="preserve"> </v>
      </c>
      <c r="AN744" s="1437"/>
      <c r="AO744" s="1438"/>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38"/>
      <c r="C745" s="1239"/>
      <c r="D745" s="1239"/>
      <c r="E745" s="1239"/>
      <c r="F745" s="1240"/>
      <c r="G745" s="1433"/>
      <c r="H745" s="1434"/>
      <c r="I745" s="1434"/>
      <c r="J745" s="1435"/>
      <c r="K745" s="1253"/>
      <c r="L745" s="1254"/>
      <c r="M745" s="1254"/>
      <c r="N745" s="1255"/>
      <c r="O745" s="1307"/>
      <c r="P745" s="1308"/>
      <c r="Q745" s="1308"/>
      <c r="R745" s="1308"/>
      <c r="S745" s="1309"/>
      <c r="T745" s="1341">
        <f t="shared" si="47"/>
        <v>0</v>
      </c>
      <c r="U745" s="1342"/>
      <c r="V745" s="1342"/>
      <c r="W745" s="1342"/>
      <c r="X745" s="1343"/>
      <c r="Y745" s="1307"/>
      <c r="Z745" s="1308"/>
      <c r="AA745" s="1308"/>
      <c r="AB745" s="1309"/>
      <c r="AC745" s="1341">
        <f t="shared" si="48"/>
        <v>0</v>
      </c>
      <c r="AD745" s="1342"/>
      <c r="AE745" s="1342"/>
      <c r="AF745" s="1342"/>
      <c r="AG745" s="1343"/>
      <c r="AH745" s="1475">
        <v>0</v>
      </c>
      <c r="AI745" s="1476"/>
      <c r="AJ745" s="1476"/>
      <c r="AK745" s="1476"/>
      <c r="AL745" s="1477"/>
      <c r="AM745" s="1436" t="str">
        <f t="shared" si="49"/>
        <v xml:space="preserve"> </v>
      </c>
      <c r="AN745" s="1437"/>
      <c r="AO745" s="1438"/>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38"/>
      <c r="C746" s="1239"/>
      <c r="D746" s="1239"/>
      <c r="E746" s="1239"/>
      <c r="F746" s="1240"/>
      <c r="G746" s="1433"/>
      <c r="H746" s="1434"/>
      <c r="I746" s="1434"/>
      <c r="J746" s="1435"/>
      <c r="K746" s="1253"/>
      <c r="L746" s="1254"/>
      <c r="M746" s="1254"/>
      <c r="N746" s="1255"/>
      <c r="O746" s="1307"/>
      <c r="P746" s="1308"/>
      <c r="Q746" s="1308"/>
      <c r="R746" s="1308"/>
      <c r="S746" s="1309"/>
      <c r="T746" s="1341">
        <f t="shared" si="47"/>
        <v>0</v>
      </c>
      <c r="U746" s="1342"/>
      <c r="V746" s="1342"/>
      <c r="W746" s="1342"/>
      <c r="X746" s="1343"/>
      <c r="Y746" s="1307"/>
      <c r="Z746" s="1308"/>
      <c r="AA746" s="1308"/>
      <c r="AB746" s="1309"/>
      <c r="AC746" s="1341">
        <f t="shared" si="48"/>
        <v>0</v>
      </c>
      <c r="AD746" s="1342"/>
      <c r="AE746" s="1342"/>
      <c r="AF746" s="1342"/>
      <c r="AG746" s="1343"/>
      <c r="AH746" s="1475">
        <v>0</v>
      </c>
      <c r="AI746" s="1476"/>
      <c r="AJ746" s="1476"/>
      <c r="AK746" s="1476"/>
      <c r="AL746" s="1477"/>
      <c r="AM746" s="1436" t="str">
        <f t="shared" si="49"/>
        <v xml:space="preserve"> </v>
      </c>
      <c r="AN746" s="1437"/>
      <c r="AO746" s="1438"/>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38"/>
      <c r="C747" s="1239"/>
      <c r="D747" s="1239"/>
      <c r="E747" s="1239"/>
      <c r="F747" s="1240"/>
      <c r="G747" s="1433"/>
      <c r="H747" s="1434"/>
      <c r="I747" s="1434"/>
      <c r="J747" s="1435"/>
      <c r="K747" s="1253"/>
      <c r="L747" s="1254"/>
      <c r="M747" s="1254"/>
      <c r="N747" s="1255"/>
      <c r="O747" s="1307"/>
      <c r="P747" s="1308"/>
      <c r="Q747" s="1308"/>
      <c r="R747" s="1308"/>
      <c r="S747" s="1309"/>
      <c r="T747" s="1341">
        <f t="shared" si="47"/>
        <v>0</v>
      </c>
      <c r="U747" s="1342"/>
      <c r="V747" s="1342"/>
      <c r="W747" s="1342"/>
      <c r="X747" s="1343"/>
      <c r="Y747" s="1307"/>
      <c r="Z747" s="1308"/>
      <c r="AA747" s="1308"/>
      <c r="AB747" s="1309"/>
      <c r="AC747" s="1341">
        <f t="shared" si="48"/>
        <v>0</v>
      </c>
      <c r="AD747" s="1342"/>
      <c r="AE747" s="1342"/>
      <c r="AF747" s="1342"/>
      <c r="AG747" s="1343"/>
      <c r="AH747" s="1475">
        <v>0</v>
      </c>
      <c r="AI747" s="1476"/>
      <c r="AJ747" s="1476"/>
      <c r="AK747" s="1476"/>
      <c r="AL747" s="1477"/>
      <c r="AM747" s="1436" t="str">
        <f t="shared" si="49"/>
        <v xml:space="preserve"> </v>
      </c>
      <c r="AN747" s="1437"/>
      <c r="AO747" s="1438"/>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38"/>
      <c r="C748" s="1239"/>
      <c r="D748" s="1239"/>
      <c r="E748" s="1239"/>
      <c r="F748" s="1240"/>
      <c r="G748" s="1433"/>
      <c r="H748" s="1434"/>
      <c r="I748" s="1434"/>
      <c r="J748" s="1435"/>
      <c r="K748" s="1253"/>
      <c r="L748" s="1254"/>
      <c r="M748" s="1254"/>
      <c r="N748" s="1255"/>
      <c r="O748" s="1307"/>
      <c r="P748" s="1308"/>
      <c r="Q748" s="1308"/>
      <c r="R748" s="1308"/>
      <c r="S748" s="1309"/>
      <c r="T748" s="1341">
        <f t="shared" si="47"/>
        <v>0</v>
      </c>
      <c r="U748" s="1342"/>
      <c r="V748" s="1342"/>
      <c r="W748" s="1342"/>
      <c r="X748" s="1343"/>
      <c r="Y748" s="1307"/>
      <c r="Z748" s="1308"/>
      <c r="AA748" s="1308"/>
      <c r="AB748" s="1309"/>
      <c r="AC748" s="1341">
        <f t="shared" si="48"/>
        <v>0</v>
      </c>
      <c r="AD748" s="1342"/>
      <c r="AE748" s="1342"/>
      <c r="AF748" s="1342"/>
      <c r="AG748" s="1343"/>
      <c r="AH748" s="1475">
        <v>0</v>
      </c>
      <c r="AI748" s="1476"/>
      <c r="AJ748" s="1476"/>
      <c r="AK748" s="1476"/>
      <c r="AL748" s="1477"/>
      <c r="AM748" s="1436" t="str">
        <f t="shared" si="49"/>
        <v xml:space="preserve"> </v>
      </c>
      <c r="AN748" s="1437"/>
      <c r="AO748" s="1438"/>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38"/>
      <c r="C749" s="1239"/>
      <c r="D749" s="1239"/>
      <c r="E749" s="1239"/>
      <c r="F749" s="1240"/>
      <c r="G749" s="1433"/>
      <c r="H749" s="1434"/>
      <c r="I749" s="1434"/>
      <c r="J749" s="1435"/>
      <c r="K749" s="1253"/>
      <c r="L749" s="1254"/>
      <c r="M749" s="1254"/>
      <c r="N749" s="1255"/>
      <c r="O749" s="1307"/>
      <c r="P749" s="1308"/>
      <c r="Q749" s="1308"/>
      <c r="R749" s="1308"/>
      <c r="S749" s="1309"/>
      <c r="T749" s="1341">
        <f t="shared" si="47"/>
        <v>0</v>
      </c>
      <c r="U749" s="1342"/>
      <c r="V749" s="1342"/>
      <c r="W749" s="1342"/>
      <c r="X749" s="1343"/>
      <c r="Y749" s="1307"/>
      <c r="Z749" s="1308"/>
      <c r="AA749" s="1308"/>
      <c r="AB749" s="1309"/>
      <c r="AC749" s="1341">
        <f t="shared" si="48"/>
        <v>0</v>
      </c>
      <c r="AD749" s="1342"/>
      <c r="AE749" s="1342"/>
      <c r="AF749" s="1342"/>
      <c r="AG749" s="1343"/>
      <c r="AH749" s="1475">
        <v>0</v>
      </c>
      <c r="AI749" s="1476"/>
      <c r="AJ749" s="1476"/>
      <c r="AK749" s="1476"/>
      <c r="AL749" s="1477"/>
      <c r="AM749" s="1436" t="str">
        <f t="shared" si="49"/>
        <v xml:space="preserve"> </v>
      </c>
      <c r="AN749" s="1437"/>
      <c r="AO749" s="1438"/>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38"/>
      <c r="C750" s="1239"/>
      <c r="D750" s="1239"/>
      <c r="E750" s="1239"/>
      <c r="F750" s="1240"/>
      <c r="G750" s="1433"/>
      <c r="H750" s="1434"/>
      <c r="I750" s="1434"/>
      <c r="J750" s="1435"/>
      <c r="K750" s="1253"/>
      <c r="L750" s="1254"/>
      <c r="M750" s="1254"/>
      <c r="N750" s="1255"/>
      <c r="O750" s="1307"/>
      <c r="P750" s="1308"/>
      <c r="Q750" s="1308"/>
      <c r="R750" s="1308"/>
      <c r="S750" s="1309"/>
      <c r="T750" s="1341">
        <f t="shared" si="47"/>
        <v>0</v>
      </c>
      <c r="U750" s="1342"/>
      <c r="V750" s="1342"/>
      <c r="W750" s="1342"/>
      <c r="X750" s="1343"/>
      <c r="Y750" s="1307"/>
      <c r="Z750" s="1308"/>
      <c r="AA750" s="1308"/>
      <c r="AB750" s="1309"/>
      <c r="AC750" s="1341">
        <f t="shared" si="48"/>
        <v>0</v>
      </c>
      <c r="AD750" s="1342"/>
      <c r="AE750" s="1342"/>
      <c r="AF750" s="1342"/>
      <c r="AG750" s="1343"/>
      <c r="AH750" s="1475">
        <v>0</v>
      </c>
      <c r="AI750" s="1476"/>
      <c r="AJ750" s="1476"/>
      <c r="AK750" s="1476"/>
      <c r="AL750" s="1477"/>
      <c r="AM750" s="1436" t="str">
        <f t="shared" si="49"/>
        <v xml:space="preserve"> </v>
      </c>
      <c r="AN750" s="1437"/>
      <c r="AO750" s="1438"/>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38"/>
      <c r="C751" s="1239"/>
      <c r="D751" s="1239"/>
      <c r="E751" s="1239"/>
      <c r="F751" s="1240"/>
      <c r="G751" s="1433"/>
      <c r="H751" s="1434"/>
      <c r="I751" s="1434"/>
      <c r="J751" s="1435"/>
      <c r="K751" s="1253"/>
      <c r="L751" s="1254"/>
      <c r="M751" s="1254"/>
      <c r="N751" s="1255"/>
      <c r="O751" s="1307"/>
      <c r="P751" s="1308"/>
      <c r="Q751" s="1308"/>
      <c r="R751" s="1308"/>
      <c r="S751" s="1309"/>
      <c r="T751" s="1341">
        <f t="shared" si="47"/>
        <v>0</v>
      </c>
      <c r="U751" s="1342"/>
      <c r="V751" s="1342"/>
      <c r="W751" s="1342"/>
      <c r="X751" s="1343"/>
      <c r="Y751" s="1307"/>
      <c r="Z751" s="1308"/>
      <c r="AA751" s="1308"/>
      <c r="AB751" s="1309"/>
      <c r="AC751" s="1341">
        <f t="shared" si="48"/>
        <v>0</v>
      </c>
      <c r="AD751" s="1342"/>
      <c r="AE751" s="1342"/>
      <c r="AF751" s="1342"/>
      <c r="AG751" s="1343"/>
      <c r="AH751" s="1475">
        <v>0</v>
      </c>
      <c r="AI751" s="1476"/>
      <c r="AJ751" s="1476"/>
      <c r="AK751" s="1476"/>
      <c r="AL751" s="1477"/>
      <c r="AM751" s="1436" t="str">
        <f t="shared" si="49"/>
        <v xml:space="preserve"> </v>
      </c>
      <c r="AN751" s="1437"/>
      <c r="AO751" s="1438"/>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38"/>
      <c r="C752" s="1239"/>
      <c r="D752" s="1239"/>
      <c r="E752" s="1239"/>
      <c r="F752" s="1240"/>
      <c r="G752" s="1433"/>
      <c r="H752" s="1434"/>
      <c r="I752" s="1434"/>
      <c r="J752" s="1435"/>
      <c r="K752" s="1253"/>
      <c r="L752" s="1254"/>
      <c r="M752" s="1254"/>
      <c r="N752" s="1255"/>
      <c r="O752" s="1307"/>
      <c r="P752" s="1308"/>
      <c r="Q752" s="1308"/>
      <c r="R752" s="1308"/>
      <c r="S752" s="1309"/>
      <c r="T752" s="1341">
        <f t="shared" si="47"/>
        <v>0</v>
      </c>
      <c r="U752" s="1342"/>
      <c r="V752" s="1342"/>
      <c r="W752" s="1342"/>
      <c r="X752" s="1343"/>
      <c r="Y752" s="1307"/>
      <c r="Z752" s="1308"/>
      <c r="AA752" s="1308"/>
      <c r="AB752" s="1309"/>
      <c r="AC752" s="1341">
        <f t="shared" si="48"/>
        <v>0</v>
      </c>
      <c r="AD752" s="1342"/>
      <c r="AE752" s="1342"/>
      <c r="AF752" s="1342"/>
      <c r="AG752" s="1343"/>
      <c r="AH752" s="1475">
        <v>0</v>
      </c>
      <c r="AI752" s="1476"/>
      <c r="AJ752" s="1476"/>
      <c r="AK752" s="1476"/>
      <c r="AL752" s="1477"/>
      <c r="AM752" s="1436" t="str">
        <f t="shared" si="49"/>
        <v xml:space="preserve"> </v>
      </c>
      <c r="AN752" s="1437"/>
      <c r="AO752" s="1438"/>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374" t="s">
        <v>1556</v>
      </c>
      <c r="C753" s="1375"/>
      <c r="D753" s="1375"/>
      <c r="E753" s="1375"/>
      <c r="F753" s="1377"/>
      <c r="G753" s="1453">
        <f>SUM(G728:J752)</f>
        <v>119</v>
      </c>
      <c r="H753" s="1454"/>
      <c r="I753" s="1454"/>
      <c r="J753" s="1455"/>
      <c r="O753" s="862" t="s">
        <v>1557</v>
      </c>
      <c r="P753" s="11"/>
      <c r="Q753" s="11"/>
      <c r="R753" s="11"/>
      <c r="S753" s="863"/>
      <c r="T753" s="1341">
        <f>SUM(T728:X752)</f>
        <v>171048.12999999998</v>
      </c>
      <c r="U753" s="1342"/>
      <c r="V753" s="1342"/>
      <c r="W753" s="1342"/>
      <c r="X753" s="1343"/>
      <c r="AC753" s="865" t="s">
        <v>1558</v>
      </c>
      <c r="AD753" s="864"/>
      <c r="AE753" s="864"/>
      <c r="AF753" s="864"/>
      <c r="AG753" s="866"/>
      <c r="AH753" s="1535">
        <f>BI696</f>
        <v>0.55294117647058827</v>
      </c>
      <c r="AI753" s="1536"/>
      <c r="AJ753" s="1536"/>
      <c r="AK753" s="1536"/>
      <c r="AL753" s="1537"/>
      <c r="AM753" s="1535">
        <f>BI728</f>
        <v>0.55311107289370853</v>
      </c>
      <c r="AN753" s="1536"/>
      <c r="AO753" s="1537"/>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452" t="s">
        <v>1559</v>
      </c>
      <c r="C754" s="1452"/>
      <c r="D754" s="1452"/>
      <c r="E754" s="1452"/>
      <c r="F754" s="1452"/>
      <c r="G754" s="1452"/>
      <c r="H754" s="1452"/>
      <c r="I754" s="1452"/>
      <c r="J754" s="1452"/>
      <c r="K754" s="1452"/>
      <c r="L754" s="1452"/>
      <c r="M754" s="1452"/>
      <c r="N754" s="1452"/>
      <c r="O754" s="1452"/>
      <c r="P754" s="1452"/>
      <c r="Q754" s="1452"/>
      <c r="R754" s="1452"/>
      <c r="S754" s="1452"/>
      <c r="T754" s="1452"/>
      <c r="U754" s="1452"/>
      <c r="V754" s="1452"/>
      <c r="W754" s="1452"/>
      <c r="X754" s="1452"/>
      <c r="Y754" s="1452"/>
      <c r="Z754" s="1452"/>
      <c r="AA754" s="1452"/>
      <c r="AB754" s="1452"/>
      <c r="AC754" s="1452"/>
      <c r="AD754" s="1452"/>
      <c r="AE754" s="1452"/>
      <c r="AF754" s="1452"/>
      <c r="AG754" s="1452"/>
      <c r="AH754" s="1452"/>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452"/>
      <c r="C755" s="1452"/>
      <c r="D755" s="1452"/>
      <c r="E755" s="1452"/>
      <c r="F755" s="1452"/>
      <c r="G755" s="1452"/>
      <c r="H755" s="1452"/>
      <c r="I755" s="1452"/>
      <c r="J755" s="1452"/>
      <c r="K755" s="1452"/>
      <c r="L755" s="1452"/>
      <c r="M755" s="1452"/>
      <c r="N755" s="1452"/>
      <c r="O755" s="1452"/>
      <c r="P755" s="1452"/>
      <c r="Q755" s="1452"/>
      <c r="R755" s="1452"/>
      <c r="S755" s="1452"/>
      <c r="T755" s="1452"/>
      <c r="U755" s="1452"/>
      <c r="V755" s="1452"/>
      <c r="W755" s="1452"/>
      <c r="X755" s="1452"/>
      <c r="Y755" s="1452"/>
      <c r="Z755" s="1452"/>
      <c r="AA755" s="1452"/>
      <c r="AB755" s="1452"/>
      <c r="AC755" s="1452"/>
      <c r="AD755" s="1452"/>
      <c r="AE755" s="1452"/>
      <c r="AF755" s="1452"/>
      <c r="AG755" s="1452"/>
      <c r="AH755" s="1452"/>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1560</v>
      </c>
      <c r="D756" s="998"/>
      <c r="E756" s="998"/>
      <c r="F756" s="998"/>
      <c r="G756" s="999"/>
      <c r="H756" s="999"/>
      <c r="I756" s="999"/>
      <c r="J756" s="999"/>
      <c r="K756" s="998"/>
      <c r="L756" s="998"/>
      <c r="M756" s="998"/>
      <c r="N756" s="998"/>
      <c r="O756" s="1372">
        <f>CS637</f>
        <v>214</v>
      </c>
      <c r="P756" s="1372"/>
      <c r="Q756" s="1372"/>
      <c r="R756" s="1372"/>
      <c r="S756" s="930"/>
      <c r="T756" s="930"/>
      <c r="U756" s="85" t="s">
        <v>1561</v>
      </c>
      <c r="V756" s="998"/>
      <c r="W756" s="998"/>
      <c r="X756" s="998"/>
      <c r="Y756" s="999"/>
      <c r="Z756" s="999"/>
      <c r="AA756" s="999"/>
      <c r="AB756" s="999"/>
      <c r="AC756" s="998"/>
      <c r="AD756" s="998"/>
      <c r="AE756" s="998"/>
      <c r="AF756" s="998"/>
      <c r="AG756" s="1482"/>
      <c r="AH756" s="1482"/>
      <c r="AI756" s="1482"/>
      <c r="AJ756" s="1482"/>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1562</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592" t="s">
        <v>299</v>
      </c>
      <c r="AE758" s="1592"/>
      <c r="AF758" s="1592"/>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1563</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992</v>
      </c>
      <c r="B760" s="49"/>
      <c r="C760" s="50" t="s">
        <v>1564</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1565</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 customHeight="1">
      <c r="B762" s="998"/>
      <c r="C762" s="1130" t="s">
        <v>1566</v>
      </c>
      <c r="D762" s="1130"/>
      <c r="E762" s="1130"/>
      <c r="F762" s="1130"/>
      <c r="G762" s="1130"/>
      <c r="H762" s="1130"/>
      <c r="I762" s="1130"/>
      <c r="J762" s="1130"/>
      <c r="K762" s="1130"/>
      <c r="L762" s="1130"/>
      <c r="M762" s="1130"/>
      <c r="N762" s="1130"/>
      <c r="O762" s="1130"/>
      <c r="P762" s="1130"/>
      <c r="Q762" s="1130"/>
      <c r="R762" s="1130"/>
      <c r="S762" s="1130"/>
      <c r="T762" s="1130"/>
      <c r="U762" s="1130"/>
      <c r="V762" s="1130"/>
      <c r="W762" s="1130"/>
      <c r="X762" s="1130"/>
      <c r="Y762" s="1130"/>
      <c r="Z762" s="1130"/>
      <c r="AA762" s="1130"/>
      <c r="AB762" s="1130"/>
      <c r="AC762" s="1130"/>
      <c r="AD762" s="1130"/>
      <c r="AE762" s="1130"/>
      <c r="AF762" s="1130"/>
      <c r="AG762" s="1130"/>
      <c r="AH762" s="1130"/>
      <c r="AI762" s="1130"/>
      <c r="AJ762" s="1130"/>
      <c r="AK762" s="1130"/>
      <c r="AL762" s="1130"/>
      <c r="AM762" s="1130"/>
      <c r="AN762" s="1130"/>
      <c r="AO762" s="1130"/>
      <c r="AP762" s="1130"/>
      <c r="AQ762" s="1130"/>
      <c r="AR762" s="1130"/>
    </row>
    <row r="763" spans="1:16383" s="3" customFormat="1" ht="12.75" customHeight="1">
      <c r="B763" s="998"/>
      <c r="C763" s="1130"/>
      <c r="D763" s="1130"/>
      <c r="E763" s="1130"/>
      <c r="F763" s="1130"/>
      <c r="G763" s="1130"/>
      <c r="H763" s="1130"/>
      <c r="I763" s="1130"/>
      <c r="J763" s="1130"/>
      <c r="K763" s="1130"/>
      <c r="L763" s="1130"/>
      <c r="M763" s="1130"/>
      <c r="N763" s="1130"/>
      <c r="O763" s="1130"/>
      <c r="P763" s="1130"/>
      <c r="Q763" s="1130"/>
      <c r="R763" s="1130"/>
      <c r="S763" s="1130"/>
      <c r="T763" s="1130"/>
      <c r="U763" s="1130"/>
      <c r="V763" s="1130"/>
      <c r="W763" s="1130"/>
      <c r="X763" s="1130"/>
      <c r="Y763" s="1130"/>
      <c r="Z763" s="1130"/>
      <c r="AA763" s="1130"/>
      <c r="AB763" s="1130"/>
      <c r="AC763" s="1130"/>
      <c r="AD763" s="1130"/>
      <c r="AE763" s="1130"/>
      <c r="AF763" s="1130"/>
      <c r="AG763" s="1130"/>
      <c r="AH763" s="1130"/>
      <c r="AI763" s="1130"/>
      <c r="AJ763" s="1130"/>
      <c r="AK763" s="1130"/>
      <c r="AL763" s="1130"/>
      <c r="AM763" s="1130"/>
      <c r="AN763" s="1130"/>
      <c r="AO763" s="1130"/>
      <c r="AP763" s="1130"/>
      <c r="AQ763" s="1130"/>
      <c r="AR763" s="1130"/>
    </row>
    <row r="764" spans="1:16383" s="3" customFormat="1" ht="12.75" customHeight="1">
      <c r="B764" s="998"/>
      <c r="C764" s="1130"/>
      <c r="D764" s="1130"/>
      <c r="E764" s="1130"/>
      <c r="F764" s="1130"/>
      <c r="G764" s="1130"/>
      <c r="H764" s="1130"/>
      <c r="I764" s="1130"/>
      <c r="J764" s="1130"/>
      <c r="K764" s="1130"/>
      <c r="L764" s="1130"/>
      <c r="M764" s="1130"/>
      <c r="N764" s="1130"/>
      <c r="O764" s="1130"/>
      <c r="P764" s="1130"/>
      <c r="Q764" s="1130"/>
      <c r="R764" s="1130"/>
      <c r="S764" s="1130"/>
      <c r="T764" s="1130"/>
      <c r="U764" s="1130"/>
      <c r="V764" s="1130"/>
      <c r="W764" s="1130"/>
      <c r="X764" s="1130"/>
      <c r="Y764" s="1130"/>
      <c r="Z764" s="1130"/>
      <c r="AA764" s="1130"/>
      <c r="AB764" s="1130"/>
      <c r="AC764" s="1130"/>
      <c r="AD764" s="1130"/>
      <c r="AE764" s="1130"/>
      <c r="AF764" s="1130"/>
      <c r="AG764" s="1130"/>
      <c r="AH764" s="1130"/>
      <c r="AI764" s="1130"/>
      <c r="AJ764" s="1130"/>
      <c r="AK764" s="1130"/>
      <c r="AL764" s="1130"/>
      <c r="AM764" s="1130"/>
      <c r="AN764" s="1130"/>
      <c r="AO764" s="1130"/>
      <c r="AP764" s="1130"/>
      <c r="AQ764" s="1130"/>
      <c r="AR764" s="1130"/>
    </row>
    <row r="765" spans="1:16383" s="3" customFormat="1" ht="12.75" customHeight="1">
      <c r="B765" s="998"/>
      <c r="C765" s="1130" t="s">
        <v>1567</v>
      </c>
      <c r="D765" s="1130"/>
      <c r="E765" s="1130"/>
      <c r="F765" s="1130"/>
      <c r="G765" s="1130"/>
      <c r="H765" s="1130"/>
      <c r="I765" s="1130"/>
      <c r="J765" s="1130"/>
      <c r="K765" s="1130"/>
      <c r="L765" s="1130"/>
      <c r="M765" s="1130"/>
      <c r="N765" s="1130"/>
      <c r="O765" s="1130"/>
      <c r="P765" s="1130"/>
      <c r="Q765" s="1130"/>
      <c r="R765" s="1130"/>
      <c r="S765" s="1130"/>
      <c r="T765" s="1130"/>
      <c r="U765" s="1130"/>
      <c r="V765" s="1130"/>
      <c r="W765" s="1130"/>
      <c r="X765" s="1130"/>
      <c r="Y765" s="1130"/>
      <c r="Z765" s="1130"/>
      <c r="AA765" s="1130"/>
      <c r="AB765" s="1130"/>
      <c r="AC765" s="1130"/>
      <c r="AD765" s="1130"/>
      <c r="AE765" s="1130"/>
      <c r="AF765" s="1130"/>
      <c r="AG765" s="1130"/>
      <c r="AH765" s="1130"/>
      <c r="AI765" s="1130"/>
      <c r="AJ765" s="1130"/>
      <c r="AK765" s="1130"/>
      <c r="AL765" s="1130"/>
      <c r="AM765" s="1130"/>
      <c r="AN765" s="1130"/>
      <c r="AO765" s="1130"/>
      <c r="AP765" s="1130"/>
      <c r="AQ765" s="1130"/>
      <c r="AR765" s="1130"/>
    </row>
    <row r="766" spans="1:16383" s="3" customFormat="1" ht="12.75" customHeight="1">
      <c r="B766" s="998"/>
      <c r="C766" s="1130"/>
      <c r="D766" s="1130"/>
      <c r="E766" s="1130"/>
      <c r="F766" s="1130"/>
      <c r="G766" s="1130"/>
      <c r="H766" s="1130"/>
      <c r="I766" s="1130"/>
      <c r="J766" s="1130"/>
      <c r="K766" s="1130"/>
      <c r="L766" s="1130"/>
      <c r="M766" s="1130"/>
      <c r="N766" s="1130"/>
      <c r="O766" s="1130"/>
      <c r="P766" s="1130"/>
      <c r="Q766" s="1130"/>
      <c r="R766" s="1130"/>
      <c r="S766" s="1130"/>
      <c r="T766" s="1130"/>
      <c r="U766" s="1130"/>
      <c r="V766" s="1130"/>
      <c r="W766" s="1130"/>
      <c r="X766" s="1130"/>
      <c r="Y766" s="1130"/>
      <c r="Z766" s="1130"/>
      <c r="AA766" s="1130"/>
      <c r="AB766" s="1130"/>
      <c r="AC766" s="1130"/>
      <c r="AD766" s="1130"/>
      <c r="AE766" s="1130"/>
      <c r="AF766" s="1130"/>
      <c r="AG766" s="1130"/>
      <c r="AH766" s="1130"/>
      <c r="AI766" s="1130"/>
      <c r="AJ766" s="1130"/>
      <c r="AK766" s="1130"/>
      <c r="AL766" s="1130"/>
      <c r="AM766" s="1130"/>
      <c r="AN766" s="1130"/>
      <c r="AO766" s="1130"/>
      <c r="AP766" s="1130"/>
      <c r="AQ766" s="1130"/>
      <c r="AR766" s="1130"/>
    </row>
    <row r="767" spans="1:16383" s="3" customFormat="1" ht="12.75" customHeight="1">
      <c r="B767" s="998"/>
      <c r="C767" s="1130"/>
      <c r="D767" s="1130"/>
      <c r="E767" s="1130"/>
      <c r="F767" s="1130"/>
      <c r="G767" s="1130"/>
      <c r="H767" s="1130"/>
      <c r="I767" s="1130"/>
      <c r="J767" s="1130"/>
      <c r="K767" s="1130"/>
      <c r="L767" s="1130"/>
      <c r="M767" s="1130"/>
      <c r="N767" s="1130"/>
      <c r="O767" s="1130"/>
      <c r="P767" s="1130"/>
      <c r="Q767" s="1130"/>
      <c r="R767" s="1130"/>
      <c r="S767" s="1130"/>
      <c r="T767" s="1130"/>
      <c r="U767" s="1130"/>
      <c r="V767" s="1130"/>
      <c r="W767" s="1130"/>
      <c r="X767" s="1130"/>
      <c r="Y767" s="1130"/>
      <c r="Z767" s="1130"/>
      <c r="AA767" s="1130"/>
      <c r="AB767" s="1130"/>
      <c r="AC767" s="1130"/>
      <c r="AD767" s="1130"/>
      <c r="AE767" s="1130"/>
      <c r="AF767" s="1130"/>
      <c r="AG767" s="1130"/>
      <c r="AH767" s="1130"/>
      <c r="AI767" s="1130"/>
      <c r="AJ767" s="1130"/>
      <c r="AK767" s="1130"/>
      <c r="AL767" s="1130"/>
      <c r="AM767" s="1130"/>
      <c r="AN767" s="1130"/>
      <c r="AO767" s="1130"/>
      <c r="AP767" s="1130"/>
      <c r="AQ767" s="1130"/>
      <c r="AR767" s="1130"/>
    </row>
    <row r="768" spans="1:16383" ht="12.75" customHeight="1">
      <c r="J768" s="1312" t="s">
        <v>1547</v>
      </c>
      <c r="K768" s="1313"/>
      <c r="L768" s="1313"/>
      <c r="M768" s="1313"/>
      <c r="N768" s="1314"/>
      <c r="O768" s="1481" t="s">
        <v>1548</v>
      </c>
      <c r="P768" s="1481"/>
      <c r="Q768" s="1481"/>
      <c r="R768" s="1481"/>
      <c r="S768" s="1481"/>
      <c r="T768" s="1457" t="s">
        <v>1549</v>
      </c>
      <c r="U768" s="1458"/>
      <c r="V768" s="1458"/>
      <c r="W768" s="1459"/>
      <c r="X768" s="1312" t="s">
        <v>1550</v>
      </c>
      <c r="Y768" s="1313"/>
      <c r="Z768" s="1313"/>
      <c r="AA768" s="1313"/>
      <c r="AB768" s="1314"/>
      <c r="AC768" s="1312" t="s">
        <v>1551</v>
      </c>
      <c r="AD768" s="1313"/>
      <c r="AE768" s="1313"/>
      <c r="AF768" s="1313"/>
      <c r="AG768" s="1314"/>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15"/>
      <c r="K769" s="1316"/>
      <c r="L769" s="1316"/>
      <c r="M769" s="1316"/>
      <c r="N769" s="1317"/>
      <c r="O769" s="1481"/>
      <c r="P769" s="1481"/>
      <c r="Q769" s="1481"/>
      <c r="R769" s="1481"/>
      <c r="S769" s="1481"/>
      <c r="T769" s="1460"/>
      <c r="U769" s="1461"/>
      <c r="V769" s="1461"/>
      <c r="W769" s="1462"/>
      <c r="X769" s="1315"/>
      <c r="Y769" s="1316"/>
      <c r="Z769" s="1316"/>
      <c r="AA769" s="1316"/>
      <c r="AB769" s="1317"/>
      <c r="AC769" s="1315"/>
      <c r="AD769" s="1316"/>
      <c r="AE769" s="1316"/>
      <c r="AF769" s="1316"/>
      <c r="AG769" s="1317"/>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15"/>
      <c r="K770" s="1316"/>
      <c r="L770" s="1316"/>
      <c r="M770" s="1316"/>
      <c r="N770" s="1317"/>
      <c r="O770" s="1481"/>
      <c r="P770" s="1481"/>
      <c r="Q770" s="1481"/>
      <c r="R770" s="1481"/>
      <c r="S770" s="1481"/>
      <c r="T770" s="1460"/>
      <c r="U770" s="1461"/>
      <c r="V770" s="1461"/>
      <c r="W770" s="1462"/>
      <c r="X770" s="1315"/>
      <c r="Y770" s="1316"/>
      <c r="Z770" s="1316"/>
      <c r="AA770" s="1316"/>
      <c r="AB770" s="1317"/>
      <c r="AC770" s="1315"/>
      <c r="AD770" s="1316"/>
      <c r="AE770" s="1316"/>
      <c r="AF770" s="1316"/>
      <c r="AG770" s="1317"/>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18"/>
      <c r="K771" s="1319"/>
      <c r="L771" s="1319"/>
      <c r="M771" s="1319"/>
      <c r="N771" s="1320"/>
      <c r="O771" s="1481"/>
      <c r="P771" s="1481"/>
      <c r="Q771" s="1481"/>
      <c r="R771" s="1481"/>
      <c r="S771" s="1481"/>
      <c r="T771" s="1463"/>
      <c r="U771" s="1464"/>
      <c r="V771" s="1464"/>
      <c r="W771" s="1465"/>
      <c r="X771" s="1318"/>
      <c r="Y771" s="1319"/>
      <c r="Z771" s="1319"/>
      <c r="AA771" s="1319"/>
      <c r="AB771" s="1320"/>
      <c r="AC771" s="1318"/>
      <c r="AD771" s="1319"/>
      <c r="AE771" s="1319"/>
      <c r="AF771" s="1319"/>
      <c r="AG771" s="1320"/>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38" t="s">
        <v>1495</v>
      </c>
      <c r="K772" s="1239"/>
      <c r="L772" s="1239"/>
      <c r="M772" s="1239"/>
      <c r="N772" s="1240"/>
      <c r="O772" s="1262">
        <v>1</v>
      </c>
      <c r="P772" s="1262"/>
      <c r="Q772" s="1262"/>
      <c r="R772" s="1262"/>
      <c r="S772" s="1262"/>
      <c r="T772" s="1253">
        <v>715</v>
      </c>
      <c r="U772" s="1254"/>
      <c r="V772" s="1254"/>
      <c r="W772" s="1255"/>
      <c r="X772" s="1307"/>
      <c r="Y772" s="1308"/>
      <c r="Z772" s="1308"/>
      <c r="AA772" s="1308"/>
      <c r="AB772" s="1309"/>
      <c r="AC772" s="1341">
        <f>X772*O772</f>
        <v>0</v>
      </c>
      <c r="AD772" s="1342"/>
      <c r="AE772" s="1342"/>
      <c r="AF772" s="1342"/>
      <c r="AG772" s="1343"/>
      <c r="AH772" s="1076"/>
      <c r="AI772" s="86"/>
      <c r="AJ772" s="86"/>
      <c r="AK772" s="1076"/>
      <c r="AL772" s="107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38"/>
      <c r="K773" s="1239"/>
      <c r="L773" s="1239"/>
      <c r="M773" s="1239"/>
      <c r="N773" s="1240"/>
      <c r="O773" s="1262"/>
      <c r="P773" s="1262"/>
      <c r="Q773" s="1262"/>
      <c r="R773" s="1262"/>
      <c r="S773" s="1262"/>
      <c r="T773" s="1253"/>
      <c r="U773" s="1254"/>
      <c r="V773" s="1254"/>
      <c r="W773" s="1255"/>
      <c r="X773" s="1307"/>
      <c r="Y773" s="1308"/>
      <c r="Z773" s="1308"/>
      <c r="AA773" s="1308"/>
      <c r="AB773" s="1309"/>
      <c r="AC773" s="1341">
        <f>X773*O773</f>
        <v>0</v>
      </c>
      <c r="AD773" s="1342"/>
      <c r="AE773" s="1342"/>
      <c r="AF773" s="1342"/>
      <c r="AG773" s="1343"/>
      <c r="AH773" s="1076"/>
      <c r="AI773" s="1076"/>
      <c r="AJ773" s="1076"/>
      <c r="AK773" s="1076"/>
      <c r="AL773" s="10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38"/>
      <c r="K774" s="1239"/>
      <c r="L774" s="1239"/>
      <c r="M774" s="1239"/>
      <c r="N774" s="1240"/>
      <c r="O774" s="1262"/>
      <c r="P774" s="1262"/>
      <c r="Q774" s="1262"/>
      <c r="R774" s="1262"/>
      <c r="S774" s="1262"/>
      <c r="T774" s="1253"/>
      <c r="U774" s="1254"/>
      <c r="V774" s="1254"/>
      <c r="W774" s="1255"/>
      <c r="X774" s="1307"/>
      <c r="Y774" s="1308"/>
      <c r="Z774" s="1308"/>
      <c r="AA774" s="1308"/>
      <c r="AB774" s="1309"/>
      <c r="AC774" s="1341">
        <f>X774*O774</f>
        <v>0</v>
      </c>
      <c r="AD774" s="1342"/>
      <c r="AE774" s="1342"/>
      <c r="AF774" s="1342"/>
      <c r="AG774" s="1343"/>
      <c r="AH774" s="1076"/>
      <c r="AI774" s="1076"/>
      <c r="AJ774" s="1076"/>
      <c r="AK774" s="1076"/>
      <c r="AL774" s="10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38"/>
      <c r="K775" s="1239"/>
      <c r="L775" s="1239"/>
      <c r="M775" s="1239"/>
      <c r="N775" s="1240"/>
      <c r="O775" s="1262"/>
      <c r="P775" s="1262"/>
      <c r="Q775" s="1262"/>
      <c r="R775" s="1262"/>
      <c r="S775" s="1262"/>
      <c r="T775" s="1253"/>
      <c r="U775" s="1254"/>
      <c r="V775" s="1254"/>
      <c r="W775" s="1255"/>
      <c r="X775" s="1307"/>
      <c r="Y775" s="1308"/>
      <c r="Z775" s="1308"/>
      <c r="AA775" s="1308"/>
      <c r="AB775" s="1309"/>
      <c r="AC775" s="1341">
        <f>X775*O775</f>
        <v>0</v>
      </c>
      <c r="AD775" s="1342"/>
      <c r="AE775" s="1342"/>
      <c r="AF775" s="1342"/>
      <c r="AG775" s="1343"/>
      <c r="AH775" s="1076"/>
      <c r="AI775" s="1076"/>
      <c r="AJ775" s="1076"/>
      <c r="AK775" s="1076"/>
      <c r="AL775" s="10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74" t="s">
        <v>1556</v>
      </c>
      <c r="K776" s="1375"/>
      <c r="L776" s="1375"/>
      <c r="M776" s="1375"/>
      <c r="N776" s="1377"/>
      <c r="O776" s="1230">
        <f>SUM(O772:S775)</f>
        <v>1</v>
      </c>
      <c r="P776" s="1231"/>
      <c r="Q776" s="1231"/>
      <c r="R776" s="1231"/>
      <c r="S776" s="1232"/>
      <c r="X776" s="1374" t="s">
        <v>1557</v>
      </c>
      <c r="Y776" s="1375"/>
      <c r="Z776" s="1375"/>
      <c r="AA776" s="1375"/>
      <c r="AB776" s="1377"/>
      <c r="AC776" s="1341">
        <f>SUM(AC772:AG775)</f>
        <v>0</v>
      </c>
      <c r="AD776" s="1342"/>
      <c r="AE776" s="1342"/>
      <c r="AF776" s="1342"/>
      <c r="AG776" s="1343"/>
      <c r="AI776" s="1076"/>
      <c r="AJ776" s="10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275" t="s">
        <v>929</v>
      </c>
      <c r="K778" s="1275"/>
      <c r="L778" s="49"/>
      <c r="M778" s="85" t="s">
        <v>1568</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1569</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1067</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12" t="s">
        <v>1547</v>
      </c>
      <c r="K782" s="1313"/>
      <c r="L782" s="1313"/>
      <c r="M782" s="1313"/>
      <c r="N782" s="1314"/>
      <c r="O782" s="1481" t="s">
        <v>1548</v>
      </c>
      <c r="P782" s="1481"/>
      <c r="Q782" s="1481"/>
      <c r="R782" s="1481"/>
      <c r="S782" s="1481"/>
      <c r="T782" s="1457" t="s">
        <v>1549</v>
      </c>
      <c r="U782" s="1458"/>
      <c r="V782" s="1458"/>
      <c r="W782" s="1459"/>
      <c r="X782" s="1312" t="s">
        <v>1550</v>
      </c>
      <c r="Y782" s="1313"/>
      <c r="Z782" s="1313"/>
      <c r="AA782" s="1313"/>
      <c r="AB782" s="1314"/>
      <c r="AC782" s="1312" t="s">
        <v>1551</v>
      </c>
      <c r="AD782" s="1313"/>
      <c r="AE782" s="1313"/>
      <c r="AF782" s="1313"/>
      <c r="AG782" s="1314"/>
      <c r="AH782" s="1312" t="s">
        <v>1570</v>
      </c>
      <c r="AI782" s="1313"/>
      <c r="AJ782" s="1313"/>
      <c r="AK782" s="1313"/>
      <c r="AL782" s="131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15"/>
      <c r="K783" s="1316"/>
      <c r="L783" s="1316"/>
      <c r="M783" s="1316"/>
      <c r="N783" s="1317"/>
      <c r="O783" s="1481"/>
      <c r="P783" s="1481"/>
      <c r="Q783" s="1481"/>
      <c r="R783" s="1481"/>
      <c r="S783" s="1481"/>
      <c r="T783" s="1460"/>
      <c r="U783" s="1461"/>
      <c r="V783" s="1461"/>
      <c r="W783" s="1462"/>
      <c r="X783" s="1315"/>
      <c r="Y783" s="1316"/>
      <c r="Z783" s="1316"/>
      <c r="AA783" s="1316"/>
      <c r="AB783" s="1317"/>
      <c r="AC783" s="1315"/>
      <c r="AD783" s="1316"/>
      <c r="AE783" s="1316"/>
      <c r="AF783" s="1316"/>
      <c r="AG783" s="1317"/>
      <c r="AH783" s="1315"/>
      <c r="AI783" s="1316"/>
      <c r="AJ783" s="1316"/>
      <c r="AK783" s="1316"/>
      <c r="AL783" s="131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15"/>
      <c r="K784" s="1316"/>
      <c r="L784" s="1316"/>
      <c r="M784" s="1316"/>
      <c r="N784" s="1317"/>
      <c r="O784" s="1481"/>
      <c r="P784" s="1481"/>
      <c r="Q784" s="1481"/>
      <c r="R784" s="1481"/>
      <c r="S784" s="1481"/>
      <c r="T784" s="1460"/>
      <c r="U784" s="1461"/>
      <c r="V784" s="1461"/>
      <c r="W784" s="1462"/>
      <c r="X784" s="1315"/>
      <c r="Y784" s="1316"/>
      <c r="Z784" s="1316"/>
      <c r="AA784" s="1316"/>
      <c r="AB784" s="1317"/>
      <c r="AC784" s="1315"/>
      <c r="AD784" s="1316"/>
      <c r="AE784" s="1316"/>
      <c r="AF784" s="1316"/>
      <c r="AG784" s="1317"/>
      <c r="AH784" s="1315"/>
      <c r="AI784" s="1316"/>
      <c r="AJ784" s="1316"/>
      <c r="AK784" s="1316"/>
      <c r="AL784" s="131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18"/>
      <c r="K785" s="1319"/>
      <c r="L785" s="1319"/>
      <c r="M785" s="1319"/>
      <c r="N785" s="1320"/>
      <c r="O785" s="1481"/>
      <c r="P785" s="1481"/>
      <c r="Q785" s="1481"/>
      <c r="R785" s="1481"/>
      <c r="S785" s="1481"/>
      <c r="T785" s="1463"/>
      <c r="U785" s="1464"/>
      <c r="V785" s="1464"/>
      <c r="W785" s="1465"/>
      <c r="X785" s="1318"/>
      <c r="Y785" s="1319"/>
      <c r="Z785" s="1319"/>
      <c r="AA785" s="1319"/>
      <c r="AB785" s="1320"/>
      <c r="AC785" s="1318"/>
      <c r="AD785" s="1319"/>
      <c r="AE785" s="1319"/>
      <c r="AF785" s="1319"/>
      <c r="AG785" s="1320"/>
      <c r="AH785" s="1318"/>
      <c r="AI785" s="1319"/>
      <c r="AJ785" s="1319"/>
      <c r="AK785" s="1319"/>
      <c r="AL785" s="132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38"/>
      <c r="K786" s="1239"/>
      <c r="L786" s="1239"/>
      <c r="M786" s="1239"/>
      <c r="N786" s="1240"/>
      <c r="O786" s="1262"/>
      <c r="P786" s="1262"/>
      <c r="Q786" s="1262"/>
      <c r="R786" s="1262"/>
      <c r="S786" s="1262"/>
      <c r="T786" s="1253"/>
      <c r="U786" s="1254"/>
      <c r="V786" s="1254"/>
      <c r="W786" s="1255"/>
      <c r="X786" s="1307"/>
      <c r="Y786" s="1308"/>
      <c r="Z786" s="1308"/>
      <c r="AA786" s="1308"/>
      <c r="AB786" s="1309"/>
      <c r="AC786" s="1341">
        <f t="shared" ref="AC786:AC795" si="55">X786*O786</f>
        <v>0</v>
      </c>
      <c r="AD786" s="1342"/>
      <c r="AE786" s="1342"/>
      <c r="AF786" s="1342"/>
      <c r="AG786" s="1343"/>
      <c r="AH786" s="1475"/>
      <c r="AI786" s="1476"/>
      <c r="AJ786" s="1476"/>
      <c r="AK786" s="1476"/>
      <c r="AL786" s="14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38"/>
      <c r="K787" s="1239"/>
      <c r="L787" s="1239"/>
      <c r="M787" s="1239"/>
      <c r="N787" s="1240"/>
      <c r="O787" s="1262"/>
      <c r="P787" s="1262"/>
      <c r="Q787" s="1262"/>
      <c r="R787" s="1262"/>
      <c r="S787" s="1262"/>
      <c r="T787" s="1253"/>
      <c r="U787" s="1254"/>
      <c r="V787" s="1254"/>
      <c r="W787" s="1255"/>
      <c r="X787" s="1307"/>
      <c r="Y787" s="1308"/>
      <c r="Z787" s="1308"/>
      <c r="AA787" s="1308"/>
      <c r="AB787" s="1309"/>
      <c r="AC787" s="1341">
        <f t="shared" si="55"/>
        <v>0</v>
      </c>
      <c r="AD787" s="1342"/>
      <c r="AE787" s="1342"/>
      <c r="AF787" s="1342"/>
      <c r="AG787" s="1343"/>
      <c r="AH787" s="1475"/>
      <c r="AI787" s="1476"/>
      <c r="AJ787" s="1476"/>
      <c r="AK787" s="1476"/>
      <c r="AL787" s="147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38"/>
      <c r="K788" s="1239"/>
      <c r="L788" s="1239"/>
      <c r="M788" s="1239"/>
      <c r="N788" s="1240"/>
      <c r="O788" s="1262"/>
      <c r="P788" s="1262"/>
      <c r="Q788" s="1262"/>
      <c r="R788" s="1262"/>
      <c r="S788" s="1262"/>
      <c r="T788" s="1253"/>
      <c r="U788" s="1254"/>
      <c r="V788" s="1254"/>
      <c r="W788" s="1255"/>
      <c r="X788" s="1307"/>
      <c r="Y788" s="1308"/>
      <c r="Z788" s="1308"/>
      <c r="AA788" s="1308"/>
      <c r="AB788" s="1309"/>
      <c r="AC788" s="1341">
        <f t="shared" si="55"/>
        <v>0</v>
      </c>
      <c r="AD788" s="1342"/>
      <c r="AE788" s="1342"/>
      <c r="AF788" s="1342"/>
      <c r="AG788" s="1343"/>
      <c r="AH788" s="1475"/>
      <c r="AI788" s="1476"/>
      <c r="AJ788" s="1476"/>
      <c r="AK788" s="1476"/>
      <c r="AL788" s="147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38"/>
      <c r="K789" s="1239"/>
      <c r="L789" s="1239"/>
      <c r="M789" s="1239"/>
      <c r="N789" s="1240"/>
      <c r="O789" s="1262"/>
      <c r="P789" s="1262"/>
      <c r="Q789" s="1262"/>
      <c r="R789" s="1262"/>
      <c r="S789" s="1262"/>
      <c r="T789" s="1253"/>
      <c r="U789" s="1254"/>
      <c r="V789" s="1254"/>
      <c r="W789" s="1255"/>
      <c r="X789" s="1307"/>
      <c r="Y789" s="1308"/>
      <c r="Z789" s="1308"/>
      <c r="AA789" s="1308"/>
      <c r="AB789" s="1309"/>
      <c r="AC789" s="1341">
        <f t="shared" si="55"/>
        <v>0</v>
      </c>
      <c r="AD789" s="1342"/>
      <c r="AE789" s="1342"/>
      <c r="AF789" s="1342"/>
      <c r="AG789" s="1343"/>
      <c r="AH789" s="1475"/>
      <c r="AI789" s="1476"/>
      <c r="AJ789" s="1476"/>
      <c r="AK789" s="1476"/>
      <c r="AL789" s="147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38"/>
      <c r="K790" s="1239"/>
      <c r="L790" s="1239"/>
      <c r="M790" s="1239"/>
      <c r="N790" s="1240"/>
      <c r="O790" s="1262"/>
      <c r="P790" s="1262"/>
      <c r="Q790" s="1262"/>
      <c r="R790" s="1262"/>
      <c r="S790" s="1262"/>
      <c r="T790" s="1253"/>
      <c r="U790" s="1254"/>
      <c r="V790" s="1254"/>
      <c r="W790" s="1255"/>
      <c r="X790" s="1307"/>
      <c r="Y790" s="1308"/>
      <c r="Z790" s="1308"/>
      <c r="AA790" s="1308"/>
      <c r="AB790" s="1309"/>
      <c r="AC790" s="1341">
        <f t="shared" si="55"/>
        <v>0</v>
      </c>
      <c r="AD790" s="1342"/>
      <c r="AE790" s="1342"/>
      <c r="AF790" s="1342"/>
      <c r="AG790" s="1343"/>
      <c r="AH790" s="1475"/>
      <c r="AI790" s="1476"/>
      <c r="AJ790" s="1476"/>
      <c r="AK790" s="1476"/>
      <c r="AL790" s="147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38"/>
      <c r="K791" s="1239"/>
      <c r="L791" s="1239"/>
      <c r="M791" s="1239"/>
      <c r="N791" s="1240"/>
      <c r="O791" s="1262"/>
      <c r="P791" s="1262"/>
      <c r="Q791" s="1262"/>
      <c r="R791" s="1262"/>
      <c r="S791" s="1262"/>
      <c r="T791" s="1253"/>
      <c r="U791" s="1254"/>
      <c r="V791" s="1254"/>
      <c r="W791" s="1255"/>
      <c r="X791" s="1307"/>
      <c r="Y791" s="1308"/>
      <c r="Z791" s="1308"/>
      <c r="AA791" s="1308"/>
      <c r="AB791" s="1309"/>
      <c r="AC791" s="1341">
        <f t="shared" si="55"/>
        <v>0</v>
      </c>
      <c r="AD791" s="1342"/>
      <c r="AE791" s="1342"/>
      <c r="AF791" s="1342"/>
      <c r="AG791" s="1343"/>
      <c r="AH791" s="1475"/>
      <c r="AI791" s="1476"/>
      <c r="AJ791" s="1476"/>
      <c r="AK791" s="1476"/>
      <c r="AL791" s="147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38"/>
      <c r="K792" s="1239"/>
      <c r="L792" s="1239"/>
      <c r="M792" s="1239"/>
      <c r="N792" s="1240"/>
      <c r="O792" s="1262"/>
      <c r="P792" s="1262"/>
      <c r="Q792" s="1262"/>
      <c r="R792" s="1262"/>
      <c r="S792" s="1262"/>
      <c r="T792" s="1253"/>
      <c r="U792" s="1254"/>
      <c r="V792" s="1254"/>
      <c r="W792" s="1255"/>
      <c r="X792" s="1307"/>
      <c r="Y792" s="1308"/>
      <c r="Z792" s="1308"/>
      <c r="AA792" s="1308"/>
      <c r="AB792" s="1309"/>
      <c r="AC792" s="1341">
        <f t="shared" si="55"/>
        <v>0</v>
      </c>
      <c r="AD792" s="1342"/>
      <c r="AE792" s="1342"/>
      <c r="AF792" s="1342"/>
      <c r="AG792" s="1343"/>
      <c r="AH792" s="1475"/>
      <c r="AI792" s="1476"/>
      <c r="AJ792" s="1476"/>
      <c r="AK792" s="1476"/>
      <c r="AL792" s="147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38"/>
      <c r="K793" s="1239"/>
      <c r="L793" s="1239"/>
      <c r="M793" s="1239"/>
      <c r="N793" s="1240"/>
      <c r="O793" s="1262"/>
      <c r="P793" s="1262"/>
      <c r="Q793" s="1262"/>
      <c r="R793" s="1262"/>
      <c r="S793" s="1262"/>
      <c r="T793" s="1253"/>
      <c r="U793" s="1254"/>
      <c r="V793" s="1254"/>
      <c r="W793" s="1255"/>
      <c r="X793" s="1307"/>
      <c r="Y793" s="1308"/>
      <c r="Z793" s="1308"/>
      <c r="AA793" s="1308"/>
      <c r="AB793" s="1309"/>
      <c r="AC793" s="1341">
        <f t="shared" si="55"/>
        <v>0</v>
      </c>
      <c r="AD793" s="1342"/>
      <c r="AE793" s="1342"/>
      <c r="AF793" s="1342"/>
      <c r="AG793" s="1343"/>
      <c r="AH793" s="1475"/>
      <c r="AI793" s="1476"/>
      <c r="AJ793" s="1476"/>
      <c r="AK793" s="1476"/>
      <c r="AL793" s="147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38"/>
      <c r="K794" s="1239"/>
      <c r="L794" s="1239"/>
      <c r="M794" s="1239"/>
      <c r="N794" s="1240"/>
      <c r="O794" s="1262"/>
      <c r="P794" s="1262"/>
      <c r="Q794" s="1262"/>
      <c r="R794" s="1262"/>
      <c r="S794" s="1262"/>
      <c r="T794" s="1253"/>
      <c r="U794" s="1254"/>
      <c r="V794" s="1254"/>
      <c r="W794" s="1255"/>
      <c r="X794" s="1307"/>
      <c r="Y794" s="1308"/>
      <c r="Z794" s="1308"/>
      <c r="AA794" s="1308"/>
      <c r="AB794" s="1309"/>
      <c r="AC794" s="1341">
        <f t="shared" si="55"/>
        <v>0</v>
      </c>
      <c r="AD794" s="1342"/>
      <c r="AE794" s="1342"/>
      <c r="AF794" s="1342"/>
      <c r="AG794" s="1343"/>
      <c r="AH794" s="1475"/>
      <c r="AI794" s="1476"/>
      <c r="AJ794" s="1476"/>
      <c r="AK794" s="1476"/>
      <c r="AL794" s="147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38"/>
      <c r="K795" s="1239"/>
      <c r="L795" s="1239"/>
      <c r="M795" s="1239"/>
      <c r="N795" s="1240"/>
      <c r="O795" s="1262"/>
      <c r="P795" s="1262"/>
      <c r="Q795" s="1262"/>
      <c r="R795" s="1262"/>
      <c r="S795" s="1262"/>
      <c r="T795" s="1253"/>
      <c r="U795" s="1254"/>
      <c r="V795" s="1254"/>
      <c r="W795" s="1255"/>
      <c r="X795" s="1307"/>
      <c r="Y795" s="1308"/>
      <c r="Z795" s="1308"/>
      <c r="AA795" s="1308"/>
      <c r="AB795" s="1309"/>
      <c r="AC795" s="1341">
        <f t="shared" si="55"/>
        <v>0</v>
      </c>
      <c r="AD795" s="1342"/>
      <c r="AE795" s="1342"/>
      <c r="AF795" s="1342"/>
      <c r="AG795" s="1343"/>
      <c r="AH795" s="1475"/>
      <c r="AI795" s="1476"/>
      <c r="AJ795" s="1476"/>
      <c r="AK795" s="1476"/>
      <c r="AL795" s="147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74" t="s">
        <v>1556</v>
      </c>
      <c r="K796" s="1375"/>
      <c r="L796" s="1375"/>
      <c r="M796" s="1375"/>
      <c r="N796" s="1377"/>
      <c r="O796" s="1372">
        <f>SUM(O786:S795)</f>
        <v>0</v>
      </c>
      <c r="P796" s="1372"/>
      <c r="Q796" s="1372"/>
      <c r="R796" s="1372"/>
      <c r="S796" s="1372"/>
      <c r="X796" s="862" t="s">
        <v>1557</v>
      </c>
      <c r="Y796" s="11"/>
      <c r="Z796" s="11"/>
      <c r="AA796" s="11"/>
      <c r="AB796" s="863"/>
      <c r="AC796" s="1341">
        <f>SUM(AC786:AG795)</f>
        <v>0</v>
      </c>
      <c r="AD796" s="1342"/>
      <c r="AE796" s="1342"/>
      <c r="AF796" s="1342"/>
      <c r="AG796" s="134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1571</v>
      </c>
      <c r="Y798" s="1334">
        <f>T753+AC776+AC796</f>
        <v>171048.12999999998</v>
      </c>
      <c r="Z798" s="1334"/>
      <c r="AA798" s="1334"/>
      <c r="AB798" s="1334"/>
      <c r="AC798" s="1334"/>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1572</v>
      </c>
      <c r="Y799" s="1334">
        <f>(T753+AC776+AC796)*12</f>
        <v>2052577.5599999996</v>
      </c>
      <c r="Z799" s="1334"/>
      <c r="AA799" s="1334"/>
      <c r="AB799" s="1334"/>
      <c r="AC799" s="1334"/>
      <c r="AZ799" s="3"/>
      <c r="BA799" s="14" t="s">
        <v>1573</v>
      </c>
      <c r="BB799" s="14"/>
      <c r="BC799" s="14"/>
      <c r="BD799" s="14"/>
      <c r="BE799" s="14"/>
      <c r="BF799" s="14"/>
      <c r="BG799" s="14"/>
      <c r="BH799" s="14"/>
      <c r="BI799" s="14"/>
      <c r="BJ799" s="14"/>
      <c r="BK799" s="14"/>
      <c r="BL799" s="14"/>
      <c r="BM799" s="14"/>
      <c r="BN799" s="1533" t="s">
        <v>1574</v>
      </c>
      <c r="BO799" s="1534"/>
      <c r="BP799" s="3"/>
      <c r="BQ799" s="3"/>
      <c r="BR799" s="3"/>
      <c r="BS799" s="14" t="s">
        <v>1575</v>
      </c>
      <c r="BT799" s="14"/>
      <c r="BU799" s="14"/>
      <c r="BV799" s="14"/>
      <c r="BW799" s="14"/>
      <c r="BX799" s="14"/>
      <c r="BY799" s="14"/>
      <c r="BZ799" s="14"/>
      <c r="CA799" s="14"/>
      <c r="CB799" s="1530" t="str">
        <f>T189</f>
        <v>San Diego</v>
      </c>
      <c r="CC799" s="1531"/>
      <c r="CD799" s="1531"/>
      <c r="CE799" s="1531"/>
      <c r="CF799" s="1531"/>
      <c r="CG799" s="1531"/>
      <c r="CH799" s="1532"/>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1086</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1574</v>
      </c>
      <c r="BP801" s="28"/>
      <c r="BQ801" s="28"/>
      <c r="BR801" s="28"/>
      <c r="BS801" s="28"/>
      <c r="BT801" s="28"/>
    </row>
    <row r="802" spans="1:110" s="14" customFormat="1" ht="12.75">
      <c r="A802" s="2"/>
      <c r="B802" s="2"/>
      <c r="C802" s="2" t="s">
        <v>1576</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1577</v>
      </c>
      <c r="BO802" s="27" t="s">
        <v>1578</v>
      </c>
      <c r="BP802" s="28"/>
      <c r="BQ802" s="28"/>
      <c r="BR802" s="28"/>
      <c r="BS802" s="28"/>
      <c r="BT802" s="28"/>
      <c r="BV802" s="27" t="s">
        <v>1579</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1580</v>
      </c>
      <c r="I804" s="5"/>
      <c r="J804" s="5"/>
      <c r="K804" s="5"/>
      <c r="L804" s="5"/>
      <c r="M804" s="5"/>
      <c r="N804" s="5"/>
      <c r="O804" s="5"/>
      <c r="P804" s="5"/>
      <c r="Q804" s="5"/>
      <c r="R804" s="5"/>
      <c r="S804" s="5"/>
      <c r="T804" s="5"/>
      <c r="U804" s="5"/>
      <c r="V804" s="5"/>
      <c r="W804" s="5"/>
      <c r="X804" s="5"/>
      <c r="Y804" s="5"/>
      <c r="Z804" s="1466"/>
      <c r="AA804" s="1467"/>
      <c r="AB804" s="1467"/>
      <c r="AC804" s="1467"/>
      <c r="AD804" s="1467"/>
      <c r="AE804" s="1468"/>
      <c r="AF804"/>
      <c r="AG804"/>
      <c r="AH804"/>
      <c r="AI804"/>
      <c r="AJ804"/>
      <c r="AK804"/>
      <c r="AL804"/>
      <c r="AM804"/>
      <c r="AN804"/>
      <c r="AO804"/>
      <c r="AP804"/>
      <c r="AQ804"/>
      <c r="AR804"/>
      <c r="AS804"/>
      <c r="AT804"/>
      <c r="AU804"/>
      <c r="AV804"/>
      <c r="AW804"/>
      <c r="AX804"/>
      <c r="AY804"/>
      <c r="BN804" s="58" t="s">
        <v>1574</v>
      </c>
      <c r="BO804" s="27"/>
      <c r="BP804" s="28"/>
      <c r="BQ804" s="28"/>
      <c r="BR804" s="28"/>
      <c r="BS804" s="28"/>
      <c r="BT804" s="28"/>
      <c r="BV804" s="27"/>
    </row>
    <row r="805" spans="1:110" s="14" customFormat="1" ht="12.75" customHeight="1">
      <c r="A805"/>
      <c r="B805"/>
      <c r="C805"/>
      <c r="D805"/>
      <c r="E805"/>
      <c r="F805"/>
      <c r="G805"/>
      <c r="H805" s="38" t="s">
        <v>1581</v>
      </c>
      <c r="I805" s="5"/>
      <c r="J805" s="5"/>
      <c r="K805" s="5"/>
      <c r="L805" s="5"/>
      <c r="M805" s="5"/>
      <c r="N805" s="5"/>
      <c r="O805" s="5"/>
      <c r="P805" s="5"/>
      <c r="Q805" s="5"/>
      <c r="R805" s="5"/>
      <c r="S805" s="5"/>
      <c r="T805" s="5"/>
      <c r="U805" s="5"/>
      <c r="V805" s="5"/>
      <c r="W805" s="5"/>
      <c r="X805" s="5"/>
      <c r="Y805" s="5"/>
      <c r="Z805" s="1469"/>
      <c r="AA805" s="1467"/>
      <c r="AB805" s="1467"/>
      <c r="AC805" s="1467"/>
      <c r="AD805" s="1467"/>
      <c r="AE805" s="1468"/>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1582</v>
      </c>
      <c r="I806" s="5"/>
      <c r="J806" s="5"/>
      <c r="K806" s="5"/>
      <c r="L806" s="5"/>
      <c r="M806" s="5"/>
      <c r="N806" s="5"/>
      <c r="O806" s="5"/>
      <c r="P806" s="5"/>
      <c r="Q806" s="5"/>
      <c r="R806" s="5"/>
      <c r="S806" s="5"/>
      <c r="T806" s="5"/>
      <c r="U806" s="5"/>
      <c r="V806" s="5"/>
      <c r="W806" s="5"/>
      <c r="X806" s="5"/>
      <c r="Y806" s="5"/>
      <c r="Z806" s="1646">
        <v>0</v>
      </c>
      <c r="AA806" s="1503"/>
      <c r="AB806" s="1503"/>
      <c r="AC806" s="1503"/>
      <c r="AD806" s="1503"/>
      <c r="AE806" s="1504"/>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1583</v>
      </c>
      <c r="Z807" s="1335">
        <f>'Subsidy Contract Calculation'!I30</f>
        <v>0</v>
      </c>
      <c r="AA807" s="1336"/>
      <c r="AB807" s="1336"/>
      <c r="AC807" s="1336"/>
      <c r="AD807" s="1336"/>
      <c r="AE807" s="1337"/>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7" t="s">
        <v>1493</v>
      </c>
      <c r="BQ808" s="1078" t="s">
        <v>1494</v>
      </c>
      <c r="BR808" s="1078" t="s">
        <v>1495</v>
      </c>
      <c r="BS808" s="1078" t="s">
        <v>1496</v>
      </c>
      <c r="BT808" s="1078" t="s">
        <v>1497</v>
      </c>
      <c r="BW808" s="1077" t="s">
        <v>1493</v>
      </c>
      <c r="BX808" s="1078" t="s">
        <v>1494</v>
      </c>
      <c r="BY808" s="1078" t="s">
        <v>1495</v>
      </c>
      <c r="BZ808" s="1078" t="s">
        <v>1496</v>
      </c>
      <c r="CA808" s="1078" t="s">
        <v>1497</v>
      </c>
    </row>
    <row r="809" spans="1:110" s="4" customFormat="1" ht="14.25">
      <c r="A809" s="2" t="s">
        <v>1098</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913</v>
      </c>
      <c r="BP809" s="253">
        <v>384234</v>
      </c>
      <c r="BQ809" s="253">
        <v>443018</v>
      </c>
      <c r="BR809" s="253">
        <v>534400</v>
      </c>
      <c r="BS809" s="253">
        <v>684032</v>
      </c>
      <c r="BT809" s="253">
        <v>762054</v>
      </c>
      <c r="BU809" s="14"/>
      <c r="BV809" s="140" t="s">
        <v>913</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916</v>
      </c>
      <c r="BP810" s="251">
        <v>278972</v>
      </c>
      <c r="BQ810" s="251">
        <v>321652</v>
      </c>
      <c r="BR810" s="251">
        <v>388000</v>
      </c>
      <c r="BS810" s="251">
        <v>496640</v>
      </c>
      <c r="BT810" s="251">
        <v>553288</v>
      </c>
      <c r="BU810" s="14"/>
      <c r="BV810" s="140" t="s">
        <v>916</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1584</v>
      </c>
      <c r="I811" s="5"/>
      <c r="J811" s="5"/>
      <c r="K811" s="5"/>
      <c r="L811" s="5"/>
      <c r="M811" s="5"/>
      <c r="N811" s="5"/>
      <c r="O811" s="5"/>
      <c r="P811" s="5"/>
      <c r="Q811" s="5"/>
      <c r="R811" s="5"/>
      <c r="S811" s="5"/>
      <c r="T811" s="5"/>
      <c r="U811" s="5"/>
      <c r="V811" s="5"/>
      <c r="W811" s="5"/>
      <c r="X811" s="5"/>
      <c r="Y811" s="5"/>
      <c r="Z811" s="1226">
        <v>23040</v>
      </c>
      <c r="AA811" s="1227"/>
      <c r="AB811" s="1227"/>
      <c r="AC811" s="1227"/>
      <c r="AD811" s="1227"/>
      <c r="AE811" s="1228"/>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921</v>
      </c>
      <c r="BP811" s="253">
        <v>278972</v>
      </c>
      <c r="BQ811" s="253">
        <v>321652</v>
      </c>
      <c r="BR811" s="253">
        <v>388000</v>
      </c>
      <c r="BS811" s="253">
        <v>496640</v>
      </c>
      <c r="BT811" s="253">
        <v>553288</v>
      </c>
      <c r="BU811" s="14"/>
      <c r="BV811" s="140" t="s">
        <v>921</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1585</v>
      </c>
      <c r="I812" s="5"/>
      <c r="J812" s="5"/>
      <c r="K812" s="5"/>
      <c r="L812" s="5"/>
      <c r="M812" s="5"/>
      <c r="N812" s="5"/>
      <c r="O812" s="5"/>
      <c r="P812" s="5"/>
      <c r="Q812" s="5"/>
      <c r="R812" s="5"/>
      <c r="S812" s="5"/>
      <c r="T812" s="5"/>
      <c r="U812" s="5"/>
      <c r="V812" s="5"/>
      <c r="W812" s="5"/>
      <c r="X812" s="5"/>
      <c r="Y812" s="5"/>
      <c r="Z812" s="1226"/>
      <c r="AA812" s="1227"/>
      <c r="AB812" s="1227"/>
      <c r="AC812" s="1227"/>
      <c r="AD812" s="1227"/>
      <c r="AE812" s="1228"/>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925</v>
      </c>
      <c r="BP812" s="251">
        <v>246186</v>
      </c>
      <c r="BQ812" s="251">
        <v>283850</v>
      </c>
      <c r="BR812" s="251">
        <v>342400</v>
      </c>
      <c r="BS812" s="251">
        <v>438272</v>
      </c>
      <c r="BT812" s="251">
        <v>488262</v>
      </c>
      <c r="BU812" s="14"/>
      <c r="BV812" s="140" t="s">
        <v>925</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1586</v>
      </c>
      <c r="I813" s="5"/>
      <c r="J813" s="5"/>
      <c r="K813" s="5"/>
      <c r="L813" s="5"/>
      <c r="M813" s="5"/>
      <c r="N813" s="5"/>
      <c r="O813" s="5"/>
      <c r="P813" s="5"/>
      <c r="Q813" s="5"/>
      <c r="R813" s="5"/>
      <c r="S813" s="5"/>
      <c r="T813" s="5"/>
      <c r="U813" s="5"/>
      <c r="V813" s="5"/>
      <c r="W813" s="5"/>
      <c r="X813" s="5"/>
      <c r="Y813" s="5"/>
      <c r="Z813" s="1226"/>
      <c r="AA813" s="1227"/>
      <c r="AB813" s="1227"/>
      <c r="AC813" s="1227"/>
      <c r="AD813" s="1227"/>
      <c r="AE813" s="1228"/>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930</v>
      </c>
      <c r="BP813" s="253">
        <v>278972</v>
      </c>
      <c r="BQ813" s="253">
        <v>321652</v>
      </c>
      <c r="BR813" s="253">
        <v>388000</v>
      </c>
      <c r="BS813" s="253">
        <v>496640</v>
      </c>
      <c r="BT813" s="253">
        <v>553288</v>
      </c>
      <c r="BU813" s="14"/>
      <c r="BV813" s="140" t="s">
        <v>930</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1587</v>
      </c>
      <c r="I814" s="5"/>
      <c r="J814" s="5"/>
      <c r="K814" s="5"/>
      <c r="L814" s="5"/>
      <c r="M814" s="5"/>
      <c r="N814" s="5"/>
      <c r="O814" s="5"/>
      <c r="P814" s="1478" t="s">
        <v>1588</v>
      </c>
      <c r="Q814" s="1479"/>
      <c r="R814" s="1479"/>
      <c r="S814" s="1479"/>
      <c r="T814" s="1479"/>
      <c r="U814" s="1479"/>
      <c r="V814" s="1479"/>
      <c r="W814" s="1479"/>
      <c r="X814" s="1479"/>
      <c r="Y814" s="1480"/>
      <c r="Z814" s="1226">
        <v>5760</v>
      </c>
      <c r="AA814" s="1227"/>
      <c r="AB814" s="1227"/>
      <c r="AC814" s="1227"/>
      <c r="AD814" s="1227"/>
      <c r="AE814" s="1228"/>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932</v>
      </c>
      <c r="BP814" s="251">
        <v>278972</v>
      </c>
      <c r="BQ814" s="251">
        <v>321652</v>
      </c>
      <c r="BR814" s="251">
        <v>388000</v>
      </c>
      <c r="BS814" s="251">
        <v>496640</v>
      </c>
      <c r="BT814" s="251">
        <v>553288</v>
      </c>
      <c r="BU814" s="14"/>
      <c r="BV814" s="140" t="s">
        <v>932</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1589</v>
      </c>
      <c r="Z815" s="1335">
        <f>SUM(Z811:AE814)</f>
        <v>28800</v>
      </c>
      <c r="AA815" s="1336"/>
      <c r="AB815" s="1336"/>
      <c r="AC815" s="1336"/>
      <c r="AD815" s="1336"/>
      <c r="AE815" s="1337"/>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936</v>
      </c>
      <c r="BP815" s="253">
        <v>384234</v>
      </c>
      <c r="BQ815" s="253">
        <v>443018</v>
      </c>
      <c r="BR815" s="253">
        <v>534400</v>
      </c>
      <c r="BS815" s="253">
        <v>684032</v>
      </c>
      <c r="BT815" s="253">
        <v>762054</v>
      </c>
      <c r="BU815" s="14"/>
      <c r="BV815" s="140" t="s">
        <v>936</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1590</v>
      </c>
      <c r="Z816" s="1335">
        <f>Z815+Y799+Z807</f>
        <v>2081377.5599999996</v>
      </c>
      <c r="AA816" s="1336"/>
      <c r="AB816" s="1336"/>
      <c r="AC816" s="1336"/>
      <c r="AD816" s="1336"/>
      <c r="AE816" s="1337"/>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939</v>
      </c>
      <c r="BP816" s="251">
        <v>278972</v>
      </c>
      <c r="BQ816" s="251">
        <v>321652</v>
      </c>
      <c r="BR816" s="251">
        <v>388000</v>
      </c>
      <c r="BS816" s="251">
        <v>496640</v>
      </c>
      <c r="BT816" s="251">
        <v>553288</v>
      </c>
      <c r="BU816" s="14"/>
      <c r="BV816" s="140" t="s">
        <v>939</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941</v>
      </c>
      <c r="BP817" s="253">
        <v>278397</v>
      </c>
      <c r="BQ817" s="253">
        <v>320989</v>
      </c>
      <c r="BR817" s="253">
        <v>387200</v>
      </c>
      <c r="BS817" s="253">
        <v>495616</v>
      </c>
      <c r="BT817" s="253">
        <v>552147</v>
      </c>
      <c r="BU817" s="14"/>
      <c r="BV817" s="140" t="s">
        <v>941</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1121</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943</v>
      </c>
      <c r="BP818" s="251">
        <v>238133</v>
      </c>
      <c r="BQ818" s="251">
        <v>274565</v>
      </c>
      <c r="BR818" s="251">
        <v>331200</v>
      </c>
      <c r="BS818" s="251">
        <v>423936</v>
      </c>
      <c r="BT818" s="251">
        <v>472291</v>
      </c>
      <c r="BU818" s="14"/>
      <c r="BV818" s="140" t="s">
        <v>943</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1591</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945</v>
      </c>
      <c r="BP819" s="253">
        <v>278972</v>
      </c>
      <c r="BQ819" s="253">
        <v>321652</v>
      </c>
      <c r="BR819" s="253">
        <v>388000</v>
      </c>
      <c r="BS819" s="253">
        <v>496640</v>
      </c>
      <c r="BT819" s="253">
        <v>553288</v>
      </c>
      <c r="BU819" s="14"/>
      <c r="BV819" s="140" t="s">
        <v>945</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947</v>
      </c>
      <c r="BP820" s="251">
        <v>278972</v>
      </c>
      <c r="BQ820" s="251">
        <v>321652</v>
      </c>
      <c r="BR820" s="251">
        <v>388000</v>
      </c>
      <c r="BS820" s="251">
        <v>496640</v>
      </c>
      <c r="BT820" s="251">
        <v>553288</v>
      </c>
      <c r="BU820" s="14"/>
      <c r="BV820" s="140" t="s">
        <v>947</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69" t="s">
        <v>1592</v>
      </c>
      <c r="N821" s="1369"/>
      <c r="O821" s="1369"/>
      <c r="P821" s="1370"/>
      <c r="Q821" s="1456" t="s">
        <v>1593</v>
      </c>
      <c r="R821" s="1456"/>
      <c r="S821" s="1456"/>
      <c r="T821" s="1456"/>
      <c r="U821" s="1456" t="s">
        <v>1594</v>
      </c>
      <c r="V821" s="1456"/>
      <c r="W821" s="1456"/>
      <c r="X821" s="1456"/>
      <c r="Y821" s="1456" t="s">
        <v>1595</v>
      </c>
      <c r="Z821" s="1456"/>
      <c r="AA821" s="1456"/>
      <c r="AB821" s="1456"/>
      <c r="AC821" s="1456" t="s">
        <v>1596</v>
      </c>
      <c r="AD821" s="1456"/>
      <c r="AE821" s="1456"/>
      <c r="AF821" s="1456"/>
      <c r="AG821" s="1587" t="s">
        <v>1597</v>
      </c>
      <c r="AH821" s="1587"/>
      <c r="AI821" s="1587"/>
      <c r="AJ821" s="1587"/>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950</v>
      </c>
      <c r="BP821" s="253">
        <v>240434</v>
      </c>
      <c r="BQ821" s="253">
        <v>277218</v>
      </c>
      <c r="BR821" s="253">
        <v>334400</v>
      </c>
      <c r="BS821" s="253">
        <v>428032</v>
      </c>
      <c r="BT821" s="253">
        <v>476854</v>
      </c>
      <c r="BU821" s="14"/>
      <c r="BV821" s="140" t="s">
        <v>950</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46"/>
      <c r="N822" s="1446"/>
      <c r="O822" s="1446"/>
      <c r="P822" s="1447"/>
      <c r="Q822" s="1456"/>
      <c r="R822" s="1456"/>
      <c r="S822" s="1456"/>
      <c r="T822" s="1456"/>
      <c r="U822" s="1456"/>
      <c r="V822" s="1456"/>
      <c r="W822" s="1456"/>
      <c r="X822" s="1456"/>
      <c r="Y822" s="1456"/>
      <c r="Z822" s="1456"/>
      <c r="AA822" s="1456"/>
      <c r="AB822" s="1456"/>
      <c r="AC822" s="1456"/>
      <c r="AD822" s="1456"/>
      <c r="AE822" s="1456"/>
      <c r="AF822" s="1456"/>
      <c r="AG822" s="1587"/>
      <c r="AH822" s="1587"/>
      <c r="AI822" s="1587"/>
      <c r="AJ822" s="1587"/>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952</v>
      </c>
      <c r="BP822" s="251">
        <v>278972</v>
      </c>
      <c r="BQ822" s="251">
        <v>321652</v>
      </c>
      <c r="BR822" s="251">
        <v>388000</v>
      </c>
      <c r="BS822" s="251">
        <v>496640</v>
      </c>
      <c r="BT822" s="251">
        <v>553288</v>
      </c>
      <c r="BU822" s="14"/>
      <c r="BV822" s="140" t="s">
        <v>952</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27" t="s">
        <v>1598</v>
      </c>
      <c r="D823" s="1273"/>
      <c r="E823" s="1273"/>
      <c r="F823" s="1273"/>
      <c r="G823" s="1273"/>
      <c r="H823" s="1273"/>
      <c r="I823" s="41"/>
      <c r="J823" s="41"/>
      <c r="K823" s="41"/>
      <c r="L823" s="42"/>
      <c r="M823" s="1451"/>
      <c r="N823" s="1451"/>
      <c r="O823" s="1451"/>
      <c r="P823" s="1451"/>
      <c r="Q823" s="1451">
        <v>0.26</v>
      </c>
      <c r="R823" s="1451"/>
      <c r="S823" s="1451"/>
      <c r="T823" s="1451"/>
      <c r="U823" s="1451">
        <v>0.37</v>
      </c>
      <c r="V823" s="1451"/>
      <c r="W823" s="1451"/>
      <c r="X823" s="1451"/>
      <c r="Y823" s="1451">
        <v>0.44</v>
      </c>
      <c r="Z823" s="1451"/>
      <c r="AA823" s="1451"/>
      <c r="AB823" s="1451"/>
      <c r="AC823" s="1448"/>
      <c r="AD823" s="1449"/>
      <c r="AE823" s="1449"/>
      <c r="AF823" s="1450"/>
      <c r="AG823" s="1448"/>
      <c r="AH823" s="1449"/>
      <c r="AI823" s="1449"/>
      <c r="AJ823" s="145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954</v>
      </c>
      <c r="BP823" s="253">
        <v>238133</v>
      </c>
      <c r="BQ823" s="253">
        <v>274565</v>
      </c>
      <c r="BR823" s="253">
        <v>331200</v>
      </c>
      <c r="BS823" s="253">
        <v>423936</v>
      </c>
      <c r="BT823" s="253">
        <v>472291</v>
      </c>
      <c r="BU823" s="14"/>
      <c r="BV823" s="140" t="s">
        <v>954</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282" t="s">
        <v>1599</v>
      </c>
      <c r="D824" s="1249"/>
      <c r="E824" s="1249"/>
      <c r="F824" s="1249"/>
      <c r="G824" s="1249"/>
      <c r="H824" s="1249"/>
      <c r="I824" s="5"/>
      <c r="J824" s="5"/>
      <c r="K824" s="5"/>
      <c r="L824" s="39"/>
      <c r="M824" s="1451"/>
      <c r="N824" s="1451"/>
      <c r="O824" s="1451"/>
      <c r="P824" s="1451"/>
      <c r="Q824" s="1451"/>
      <c r="R824" s="1451"/>
      <c r="S824" s="1451"/>
      <c r="T824" s="1451"/>
      <c r="U824" s="1451"/>
      <c r="V824" s="1451"/>
      <c r="W824" s="1451"/>
      <c r="X824" s="1451"/>
      <c r="Y824" s="1451"/>
      <c r="Z824" s="1451"/>
      <c r="AA824" s="1451"/>
      <c r="AB824" s="1451"/>
      <c r="AC824" s="1448"/>
      <c r="AD824" s="1449"/>
      <c r="AE824" s="1449"/>
      <c r="AF824" s="1450"/>
      <c r="AG824" s="1448"/>
      <c r="AH824" s="1449"/>
      <c r="AI824" s="1449"/>
      <c r="AJ824" s="1450"/>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957</v>
      </c>
      <c r="BP824" s="251">
        <v>238133</v>
      </c>
      <c r="BQ824" s="251">
        <v>274565</v>
      </c>
      <c r="BR824" s="251">
        <v>331200</v>
      </c>
      <c r="BS824" s="251">
        <v>423936</v>
      </c>
      <c r="BT824" s="251">
        <v>472291</v>
      </c>
      <c r="BU824" s="14"/>
      <c r="BV824" s="140" t="s">
        <v>957</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282" t="s">
        <v>1600</v>
      </c>
      <c r="D825" s="1249"/>
      <c r="E825" s="1249"/>
      <c r="F825" s="1249"/>
      <c r="G825" s="1249"/>
      <c r="H825" s="1249"/>
      <c r="I825" s="53"/>
      <c r="J825" s="53"/>
      <c r="K825" s="53"/>
      <c r="L825" s="54"/>
      <c r="M825" s="1451"/>
      <c r="N825" s="1451"/>
      <c r="O825" s="1451"/>
      <c r="P825" s="1451"/>
      <c r="Q825" s="1451">
        <v>2.82</v>
      </c>
      <c r="R825" s="1451"/>
      <c r="S825" s="1451"/>
      <c r="T825" s="1451"/>
      <c r="U825" s="1451">
        <v>2.9</v>
      </c>
      <c r="V825" s="1451"/>
      <c r="W825" s="1451"/>
      <c r="X825" s="1451"/>
      <c r="Y825" s="1451">
        <v>3.09</v>
      </c>
      <c r="Z825" s="1451"/>
      <c r="AA825" s="1451"/>
      <c r="AB825" s="1451"/>
      <c r="AC825" s="1448"/>
      <c r="AD825" s="1449"/>
      <c r="AE825" s="1449"/>
      <c r="AF825" s="1450"/>
      <c r="AG825" s="1448"/>
      <c r="AH825" s="1449"/>
      <c r="AI825" s="1449"/>
      <c r="AJ825" s="1450"/>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961</v>
      </c>
      <c r="BP825" s="253">
        <v>278972</v>
      </c>
      <c r="BQ825" s="253">
        <v>321652</v>
      </c>
      <c r="BR825" s="253">
        <v>388000</v>
      </c>
      <c r="BS825" s="253">
        <v>496640</v>
      </c>
      <c r="BT825" s="253">
        <v>553288</v>
      </c>
      <c r="BU825" s="14"/>
      <c r="BV825" s="140" t="s">
        <v>961</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282" t="s">
        <v>1601</v>
      </c>
      <c r="D826" s="1249"/>
      <c r="E826" s="1249"/>
      <c r="F826" s="1249"/>
      <c r="G826" s="1249"/>
      <c r="H826" s="1249"/>
      <c r="I826" s="53"/>
      <c r="J826" s="53"/>
      <c r="K826" s="53"/>
      <c r="L826" s="54"/>
      <c r="M826" s="1451"/>
      <c r="N826" s="1451"/>
      <c r="O826" s="1451"/>
      <c r="P826" s="1451"/>
      <c r="Q826" s="1451"/>
      <c r="R826" s="1451"/>
      <c r="S826" s="1451"/>
      <c r="T826" s="1451"/>
      <c r="U826" s="1451"/>
      <c r="V826" s="1451"/>
      <c r="W826" s="1451"/>
      <c r="X826" s="1451"/>
      <c r="Y826" s="1451"/>
      <c r="Z826" s="1451"/>
      <c r="AA826" s="1451"/>
      <c r="AB826" s="1451"/>
      <c r="AC826" s="1448"/>
      <c r="AD826" s="1449"/>
      <c r="AE826" s="1449"/>
      <c r="AF826" s="1450"/>
      <c r="AG826" s="1448"/>
      <c r="AH826" s="1449"/>
      <c r="AI826" s="1449"/>
      <c r="AJ826" s="1450"/>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965</v>
      </c>
      <c r="BP826" s="251">
        <v>278972</v>
      </c>
      <c r="BQ826" s="251">
        <v>321652</v>
      </c>
      <c r="BR826" s="251">
        <v>388000</v>
      </c>
      <c r="BS826" s="251">
        <v>496640</v>
      </c>
      <c r="BT826" s="251">
        <v>553288</v>
      </c>
      <c r="BU826" s="14"/>
      <c r="BV826" s="140" t="s">
        <v>965</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282" t="s">
        <v>1602</v>
      </c>
      <c r="D827" s="1249"/>
      <c r="E827" s="1249"/>
      <c r="F827" s="1249"/>
      <c r="G827" s="1249"/>
      <c r="H827" s="1249"/>
      <c r="I827" s="53"/>
      <c r="J827" s="53"/>
      <c r="K827" s="53"/>
      <c r="L827" s="54"/>
      <c r="M827" s="1451"/>
      <c r="N827" s="1451"/>
      <c r="O827" s="1451"/>
      <c r="P827" s="1451"/>
      <c r="Q827" s="1451">
        <v>9.14</v>
      </c>
      <c r="R827" s="1451"/>
      <c r="S827" s="1451"/>
      <c r="T827" s="1451"/>
      <c r="U827" s="1451">
        <v>9.48</v>
      </c>
      <c r="V827" s="1451"/>
      <c r="W827" s="1451"/>
      <c r="X827" s="1451"/>
      <c r="Y827" s="1451">
        <v>10.44</v>
      </c>
      <c r="Z827" s="1451"/>
      <c r="AA827" s="1451"/>
      <c r="AB827" s="1451"/>
      <c r="AC827" s="1448"/>
      <c r="AD827" s="1449"/>
      <c r="AE827" s="1449"/>
      <c r="AF827" s="1450"/>
      <c r="AG827" s="1448"/>
      <c r="AH827" s="1449"/>
      <c r="AI827" s="1449"/>
      <c r="AJ827" s="1450"/>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968</v>
      </c>
      <c r="BP827" s="253">
        <v>341094</v>
      </c>
      <c r="BQ827" s="253">
        <v>393278</v>
      </c>
      <c r="BR827" s="253">
        <v>474400</v>
      </c>
      <c r="BS827" s="253">
        <v>607232</v>
      </c>
      <c r="BT827" s="253">
        <v>676494</v>
      </c>
      <c r="BU827" s="14"/>
      <c r="BV827" s="140" t="s">
        <v>968</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48" t="s">
        <v>1603</v>
      </c>
      <c r="D828" s="1249"/>
      <c r="E828" s="1249"/>
      <c r="F828" s="1249"/>
      <c r="G828" s="1249"/>
      <c r="H828" s="1249"/>
      <c r="I828" s="53"/>
      <c r="J828" s="53"/>
      <c r="K828" s="53"/>
      <c r="L828" s="54"/>
      <c r="M828" s="1451"/>
      <c r="N828" s="1451"/>
      <c r="O828" s="1451"/>
      <c r="P828" s="1451"/>
      <c r="Q828" s="1451"/>
      <c r="R828" s="1451"/>
      <c r="S828" s="1451"/>
      <c r="T828" s="1451"/>
      <c r="U828" s="1451"/>
      <c r="V828" s="1451"/>
      <c r="W828" s="1451"/>
      <c r="X828" s="1451"/>
      <c r="Y828" s="1451"/>
      <c r="Z828" s="1451"/>
      <c r="AA828" s="1451"/>
      <c r="AB828" s="1451"/>
      <c r="AC828" s="1448"/>
      <c r="AD828" s="1449"/>
      <c r="AE828" s="1449"/>
      <c r="AF828" s="1450"/>
      <c r="AG828" s="1448"/>
      <c r="AH828" s="1449"/>
      <c r="AI828" s="1449"/>
      <c r="AJ828" s="1450"/>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974</v>
      </c>
      <c r="BP828" s="251">
        <v>238133</v>
      </c>
      <c r="BQ828" s="251">
        <v>274565</v>
      </c>
      <c r="BR828" s="251">
        <v>331200</v>
      </c>
      <c r="BS828" s="251">
        <v>423936</v>
      </c>
      <c r="BT828" s="251">
        <v>472291</v>
      </c>
      <c r="BU828" s="14"/>
      <c r="BV828" s="140" t="s">
        <v>974</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1604</v>
      </c>
      <c r="D829" s="53"/>
      <c r="E829" s="53"/>
      <c r="F829" s="1471" t="s">
        <v>1605</v>
      </c>
      <c r="G829" s="1472"/>
      <c r="H829" s="1472"/>
      <c r="I829" s="1472"/>
      <c r="J829" s="1472"/>
      <c r="K829" s="1472"/>
      <c r="L829" s="1473"/>
      <c r="M829" s="1451"/>
      <c r="N829" s="1451"/>
      <c r="O829" s="1451"/>
      <c r="P829" s="1451"/>
      <c r="Q829" s="1451">
        <v>1.1399999999999999</v>
      </c>
      <c r="R829" s="1451"/>
      <c r="S829" s="1451"/>
      <c r="T829" s="1451"/>
      <c r="U829" s="1451">
        <v>0.98</v>
      </c>
      <c r="V829" s="1451"/>
      <c r="W829" s="1451"/>
      <c r="X829" s="1451"/>
      <c r="Y829" s="1451">
        <v>1.47</v>
      </c>
      <c r="Z829" s="1451"/>
      <c r="AA829" s="1451"/>
      <c r="AB829" s="1451"/>
      <c r="AC829" s="1448"/>
      <c r="AD829" s="1449"/>
      <c r="AE829" s="1449"/>
      <c r="AF829" s="1450"/>
      <c r="AG829" s="1448"/>
      <c r="AH829" s="1449"/>
      <c r="AI829" s="1449"/>
      <c r="AJ829" s="1450"/>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977</v>
      </c>
      <c r="BP829" s="253">
        <v>307732</v>
      </c>
      <c r="BQ829" s="253">
        <v>354812</v>
      </c>
      <c r="BR829" s="253">
        <v>428000</v>
      </c>
      <c r="BS829" s="253">
        <v>547840</v>
      </c>
      <c r="BT829" s="253">
        <v>610328</v>
      </c>
      <c r="BU829" s="14"/>
      <c r="BV829" s="140" t="s">
        <v>977</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74" t="s">
        <v>1557</v>
      </c>
      <c r="D830" s="1375"/>
      <c r="E830" s="1375"/>
      <c r="F830" s="1375"/>
      <c r="G830" s="1375"/>
      <c r="H830" s="1375"/>
      <c r="I830" s="1375"/>
      <c r="J830" s="1375"/>
      <c r="K830" s="1375"/>
      <c r="L830" s="1377"/>
      <c r="M830" s="1470">
        <f>SUM(M823:P829)</f>
        <v>0</v>
      </c>
      <c r="N830" s="1470"/>
      <c r="O830" s="1470"/>
      <c r="P830" s="1470"/>
      <c r="Q830" s="1470">
        <f>SUM(Q823:T829)</f>
        <v>13.360000000000001</v>
      </c>
      <c r="R830" s="1470"/>
      <c r="S830" s="1470"/>
      <c r="T830" s="1470"/>
      <c r="U830" s="1470">
        <f>SUM(U823:X829)</f>
        <v>13.73</v>
      </c>
      <c r="V830" s="1470"/>
      <c r="W830" s="1470"/>
      <c r="X830" s="1470"/>
      <c r="Y830" s="1470">
        <f>SUM(Y823:AB829)</f>
        <v>15.44</v>
      </c>
      <c r="Z830" s="1470"/>
      <c r="AA830" s="1470"/>
      <c r="AB830" s="1470"/>
      <c r="AC830" s="1470">
        <f>SUM(AC823:AF829)</f>
        <v>0</v>
      </c>
      <c r="AD830" s="1470"/>
      <c r="AE830" s="1470"/>
      <c r="AF830" s="1470"/>
      <c r="AG830" s="1470">
        <f>SUM(AG823:AJ829)</f>
        <v>0</v>
      </c>
      <c r="AH830" s="1470"/>
      <c r="AI830" s="1470"/>
      <c r="AJ830" s="1470"/>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980</v>
      </c>
      <c r="BP830" s="251">
        <v>278972</v>
      </c>
      <c r="BQ830" s="251">
        <v>321652</v>
      </c>
      <c r="BR830" s="251">
        <v>388000</v>
      </c>
      <c r="BS830" s="251">
        <v>496640</v>
      </c>
      <c r="BT830" s="251">
        <v>553288</v>
      </c>
      <c r="BU830" s="14"/>
      <c r="BV830" s="140" t="s">
        <v>980</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1606</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982</v>
      </c>
      <c r="BP831" s="253">
        <v>278972</v>
      </c>
      <c r="BQ831" s="253">
        <v>321652</v>
      </c>
      <c r="BR831" s="253">
        <v>388000</v>
      </c>
      <c r="BS831" s="253">
        <v>496640</v>
      </c>
      <c r="BT831" s="253">
        <v>553288</v>
      </c>
      <c r="BU831" s="14"/>
      <c r="BV831" s="140" t="s">
        <v>982</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1607</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985</v>
      </c>
      <c r="BP832" s="251">
        <v>238133</v>
      </c>
      <c r="BQ832" s="251">
        <v>274565</v>
      </c>
      <c r="BR832" s="251">
        <v>331200</v>
      </c>
      <c r="BS832" s="251">
        <v>423936</v>
      </c>
      <c r="BT832" s="251">
        <v>472291</v>
      </c>
      <c r="BU832" s="14"/>
      <c r="BV832" s="140" t="s">
        <v>985</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988</v>
      </c>
      <c r="BP833" s="253">
        <v>278972</v>
      </c>
      <c r="BQ833" s="253">
        <v>321652</v>
      </c>
      <c r="BR833" s="253">
        <v>388000</v>
      </c>
      <c r="BS833" s="253">
        <v>496640</v>
      </c>
      <c r="BT833" s="253">
        <v>553288</v>
      </c>
      <c r="BU833" s="14"/>
      <c r="BV833" s="140" t="s">
        <v>988</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1608</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990</v>
      </c>
      <c r="BP834" s="251">
        <v>278972</v>
      </c>
      <c r="BQ834" s="251">
        <v>321652</v>
      </c>
      <c r="BR834" s="251">
        <v>388000</v>
      </c>
      <c r="BS834" s="251">
        <v>496640</v>
      </c>
      <c r="BT834" s="251">
        <v>553288</v>
      </c>
      <c r="BU834" s="14"/>
      <c r="BV834" s="140" t="s">
        <v>990</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11" t="s">
        <v>1609</v>
      </c>
      <c r="D835" s="1512"/>
      <c r="E835" s="1512"/>
      <c r="F835" s="1512"/>
      <c r="G835" s="1512"/>
      <c r="H835" s="1512"/>
      <c r="I835" s="1512"/>
      <c r="J835" s="1512"/>
      <c r="K835" s="1512"/>
      <c r="L835" s="1512"/>
      <c r="M835" s="1512"/>
      <c r="N835" s="1512"/>
      <c r="O835" s="1512"/>
      <c r="P835" s="1512"/>
      <c r="Q835" s="1512"/>
      <c r="R835" s="1512"/>
      <c r="S835" s="1512"/>
      <c r="T835" s="1512"/>
      <c r="U835" s="1512"/>
      <c r="V835" s="1512"/>
      <c r="W835" s="1512"/>
      <c r="X835" s="1512"/>
      <c r="Y835" s="1512"/>
      <c r="Z835" s="1512"/>
      <c r="AA835" s="1512"/>
      <c r="AB835" s="1512"/>
      <c r="AC835" s="1512"/>
      <c r="AD835" s="1512"/>
      <c r="AE835" s="1512"/>
      <c r="AF835" s="1512"/>
      <c r="AG835" s="1512"/>
      <c r="AH835" s="1512"/>
      <c r="AI835" s="1512"/>
      <c r="AJ835" s="1513"/>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993</v>
      </c>
      <c r="BP835" s="253">
        <v>311183</v>
      </c>
      <c r="BQ835" s="253">
        <v>358791</v>
      </c>
      <c r="BR835" s="253">
        <v>432800</v>
      </c>
      <c r="BS835" s="253">
        <v>553984</v>
      </c>
      <c r="BT835" s="253">
        <v>617173</v>
      </c>
      <c r="BU835" s="14"/>
      <c r="BV835" s="140" t="s">
        <v>993</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1610</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997</v>
      </c>
      <c r="BP836" s="251">
        <v>307732</v>
      </c>
      <c r="BQ836" s="251">
        <v>354812</v>
      </c>
      <c r="BR836" s="251">
        <v>428000</v>
      </c>
      <c r="BS836" s="251">
        <v>547840</v>
      </c>
      <c r="BT836" s="251">
        <v>610328</v>
      </c>
      <c r="BU836" s="14"/>
      <c r="BV836" s="140" t="s">
        <v>997</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1002</v>
      </c>
      <c r="BP837" s="253">
        <v>278972</v>
      </c>
      <c r="BQ837" s="253">
        <v>321652</v>
      </c>
      <c r="BR837" s="253">
        <v>388000</v>
      </c>
      <c r="BS837" s="253">
        <v>496640</v>
      </c>
      <c r="BT837" s="253">
        <v>553288</v>
      </c>
      <c r="BV837" s="140" t="s">
        <v>1002</v>
      </c>
      <c r="BW837" s="253">
        <v>278972</v>
      </c>
      <c r="BX837" s="253">
        <v>321652</v>
      </c>
      <c r="BY837" s="253">
        <v>388000</v>
      </c>
      <c r="BZ837" s="253">
        <v>496640</v>
      </c>
      <c r="CA837" s="253">
        <v>553288</v>
      </c>
    </row>
    <row r="838" spans="1:110" s="14" customFormat="1" ht="14.25">
      <c r="A838" s="2" t="s">
        <v>1183</v>
      </c>
      <c r="B838"/>
      <c r="C838" s="2" t="s">
        <v>1611</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1005</v>
      </c>
      <c r="BP838" s="251">
        <v>308882</v>
      </c>
      <c r="BQ838" s="251">
        <v>356138</v>
      </c>
      <c r="BR838" s="251">
        <v>429600</v>
      </c>
      <c r="BS838" s="251">
        <v>549888</v>
      </c>
      <c r="BT838" s="251">
        <v>612610</v>
      </c>
      <c r="BV838" s="140" t="s">
        <v>1005</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1008</v>
      </c>
      <c r="BP839" s="253">
        <v>278397</v>
      </c>
      <c r="BQ839" s="253">
        <v>320989</v>
      </c>
      <c r="BR839" s="253">
        <v>387200</v>
      </c>
      <c r="BS839" s="253">
        <v>495616</v>
      </c>
      <c r="BT839" s="253">
        <v>552147</v>
      </c>
      <c r="BV839" s="140" t="s">
        <v>1008</v>
      </c>
      <c r="BW839" s="253">
        <v>278397</v>
      </c>
      <c r="BX839" s="253">
        <v>320989</v>
      </c>
      <c r="BY839" s="253">
        <v>387200</v>
      </c>
      <c r="BZ839" s="253">
        <v>495616</v>
      </c>
      <c r="CA839" s="253">
        <v>552147</v>
      </c>
    </row>
    <row r="840" spans="1:110" s="14" customFormat="1" ht="14.25">
      <c r="A840"/>
      <c r="B840"/>
      <c r="C840" s="2" t="s">
        <v>1612</v>
      </c>
      <c r="D840"/>
      <c r="E840"/>
      <c r="F840"/>
      <c r="G840"/>
      <c r="H840"/>
      <c r="I840"/>
      <c r="J840" s="38" t="s">
        <v>1613</v>
      </c>
      <c r="K840" s="5"/>
      <c r="L840" s="5"/>
      <c r="M840" s="5"/>
      <c r="N840" s="5"/>
      <c r="O840" s="5"/>
      <c r="P840" s="5"/>
      <c r="Q840" s="5"/>
      <c r="R840" s="5"/>
      <c r="S840" s="5"/>
      <c r="T840" s="5"/>
      <c r="U840" s="5"/>
      <c r="V840" s="39"/>
      <c r="W840" s="1333">
        <v>18000</v>
      </c>
      <c r="X840" s="1333"/>
      <c r="Y840" s="1333"/>
      <c r="Z840" s="1333"/>
      <c r="AA840" s="1333"/>
      <c r="AB840" s="1333"/>
      <c r="AC840" s="1333"/>
      <c r="AD840"/>
      <c r="AE840"/>
      <c r="AF840"/>
      <c r="AG840"/>
      <c r="AH840"/>
      <c r="AI840"/>
      <c r="AJ840"/>
      <c r="AK840"/>
      <c r="AL840"/>
      <c r="AM840"/>
      <c r="AN840"/>
      <c r="AO840"/>
      <c r="AP840"/>
      <c r="AQ840"/>
      <c r="AR840"/>
      <c r="AS840"/>
      <c r="AT840"/>
      <c r="AU840"/>
      <c r="AV840"/>
      <c r="AW840"/>
      <c r="AX840"/>
      <c r="AY840"/>
      <c r="AZ840" s="26"/>
      <c r="BA840" s="26"/>
      <c r="BO840" s="140" t="s">
        <v>1010</v>
      </c>
      <c r="BP840" s="251">
        <v>278972</v>
      </c>
      <c r="BQ840" s="251">
        <v>321652</v>
      </c>
      <c r="BR840" s="251">
        <v>388000</v>
      </c>
      <c r="BS840" s="251">
        <v>496640</v>
      </c>
      <c r="BT840" s="251">
        <v>553288</v>
      </c>
      <c r="BV840" s="140" t="s">
        <v>1010</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1614</v>
      </c>
      <c r="K841" s="5"/>
      <c r="L841" s="5"/>
      <c r="M841" s="5"/>
      <c r="N841" s="5"/>
      <c r="O841" s="5"/>
      <c r="P841" s="5"/>
      <c r="Q841" s="5"/>
      <c r="R841" s="5"/>
      <c r="S841" s="5"/>
      <c r="T841" s="5"/>
      <c r="U841" s="5"/>
      <c r="V841" s="39"/>
      <c r="W841" s="1333">
        <v>20400</v>
      </c>
      <c r="X841" s="1333"/>
      <c r="Y841" s="1333"/>
      <c r="Z841" s="1333"/>
      <c r="AA841" s="1333"/>
      <c r="AB841" s="1333"/>
      <c r="AC841" s="1333"/>
      <c r="AD841"/>
      <c r="AE841"/>
      <c r="AF841"/>
      <c r="AG841"/>
      <c r="AH841"/>
      <c r="AI841"/>
      <c r="AJ841"/>
      <c r="AK841"/>
      <c r="AL841"/>
      <c r="AM841"/>
      <c r="AN841"/>
      <c r="AO841"/>
      <c r="AP841"/>
      <c r="AQ841"/>
      <c r="AR841"/>
      <c r="AS841"/>
      <c r="AT841"/>
      <c r="AU841"/>
      <c r="AV841"/>
      <c r="AW841"/>
      <c r="AX841"/>
      <c r="AY841"/>
      <c r="BO841" s="140" t="s">
        <v>1014</v>
      </c>
      <c r="BP841" s="253">
        <v>240434</v>
      </c>
      <c r="BQ841" s="253">
        <v>277218</v>
      </c>
      <c r="BR841" s="253">
        <v>334400</v>
      </c>
      <c r="BS841" s="253">
        <v>428032</v>
      </c>
      <c r="BT841" s="253">
        <v>476854</v>
      </c>
      <c r="BV841" s="140" t="s">
        <v>1014</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1615</v>
      </c>
      <c r="K842" s="5"/>
      <c r="L842" s="5"/>
      <c r="M842" s="5"/>
      <c r="N842" s="5"/>
      <c r="O842" s="5"/>
      <c r="P842" s="5"/>
      <c r="Q842" s="5"/>
      <c r="R842" s="5"/>
      <c r="S842" s="5"/>
      <c r="T842" s="5"/>
      <c r="U842" s="5"/>
      <c r="V842" s="39"/>
      <c r="W842" s="1333">
        <v>18200</v>
      </c>
      <c r="X842" s="1333"/>
      <c r="Y842" s="1333"/>
      <c r="Z842" s="1333"/>
      <c r="AA842" s="1333"/>
      <c r="AB842" s="1333"/>
      <c r="AC842" s="1333"/>
      <c r="AD842"/>
      <c r="AE842"/>
      <c r="AF842"/>
      <c r="AG842"/>
      <c r="AH842"/>
      <c r="AI842"/>
      <c r="AJ842"/>
      <c r="AK842"/>
      <c r="AL842"/>
      <c r="AM842"/>
      <c r="AN842"/>
      <c r="AO842"/>
      <c r="AP842"/>
      <c r="AQ842"/>
      <c r="AR842"/>
      <c r="AS842"/>
      <c r="AT842"/>
      <c r="AU842"/>
      <c r="AV842"/>
      <c r="AW842"/>
      <c r="AX842"/>
      <c r="AY842"/>
      <c r="BO842" s="140" t="s">
        <v>1019</v>
      </c>
      <c r="BP842" s="251">
        <v>278397</v>
      </c>
      <c r="BQ842" s="251">
        <v>320989</v>
      </c>
      <c r="BR842" s="251">
        <v>387200</v>
      </c>
      <c r="BS842" s="251">
        <v>495616</v>
      </c>
      <c r="BT842" s="251">
        <v>552147</v>
      </c>
      <c r="BV842" s="140" t="s">
        <v>1019</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1616</v>
      </c>
      <c r="K843" s="5"/>
      <c r="L843" s="5"/>
      <c r="M843" s="5"/>
      <c r="N843" s="5"/>
      <c r="O843" s="5"/>
      <c r="P843" s="5"/>
      <c r="Q843" s="5"/>
      <c r="R843" s="5"/>
      <c r="S843" s="5"/>
      <c r="T843" s="5"/>
      <c r="U843" s="5"/>
      <c r="V843" s="39"/>
      <c r="W843" s="1333">
        <v>21200</v>
      </c>
      <c r="X843" s="1333"/>
      <c r="Y843" s="1333"/>
      <c r="Z843" s="1333"/>
      <c r="AA843" s="1333"/>
      <c r="AB843" s="1333"/>
      <c r="AC843" s="1333"/>
      <c r="AD843"/>
      <c r="AE843"/>
      <c r="AF843"/>
      <c r="AG843"/>
      <c r="AH843"/>
      <c r="AI843"/>
      <c r="AJ843"/>
      <c r="AK843"/>
      <c r="AL843"/>
      <c r="AM843"/>
      <c r="AN843"/>
      <c r="AO843"/>
      <c r="AP843"/>
      <c r="AQ843"/>
      <c r="AR843"/>
      <c r="AS843"/>
      <c r="AT843"/>
      <c r="AU843"/>
      <c r="AV843"/>
      <c r="AW843"/>
      <c r="AX843"/>
      <c r="AY843"/>
      <c r="BO843" s="140" t="s">
        <v>1023</v>
      </c>
      <c r="BP843" s="253">
        <v>278972</v>
      </c>
      <c r="BQ843" s="253">
        <v>321652</v>
      </c>
      <c r="BR843" s="253">
        <v>388000</v>
      </c>
      <c r="BS843" s="253">
        <v>496640</v>
      </c>
      <c r="BT843" s="253">
        <v>553288</v>
      </c>
      <c r="BV843" s="140" t="s">
        <v>1023</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471" t="s">
        <v>1330</v>
      </c>
      <c r="N844" s="1472"/>
      <c r="O844" s="1472"/>
      <c r="P844" s="1472"/>
      <c r="Q844" s="1472"/>
      <c r="R844" s="1472"/>
      <c r="S844" s="1472"/>
      <c r="T844" s="1472"/>
      <c r="U844" s="1472"/>
      <c r="V844" s="1473"/>
      <c r="W844" s="1333"/>
      <c r="X844" s="1333"/>
      <c r="Y844" s="1333"/>
      <c r="Z844" s="1333"/>
      <c r="AA844" s="1333"/>
      <c r="AB844" s="1333"/>
      <c r="AC844" s="1333"/>
      <c r="AD844"/>
      <c r="AE844"/>
      <c r="AF844"/>
      <c r="AG844"/>
      <c r="AH844"/>
      <c r="AI844"/>
      <c r="AJ844"/>
      <c r="AK844"/>
      <c r="AL844"/>
      <c r="AM844"/>
      <c r="AN844"/>
      <c r="AO844"/>
      <c r="AP844"/>
      <c r="AQ844"/>
      <c r="AR844"/>
      <c r="AS844"/>
      <c r="AT844"/>
      <c r="AU844"/>
      <c r="AV844"/>
      <c r="AW844"/>
      <c r="AX844"/>
      <c r="AY844"/>
      <c r="BI844" s="1483">
        <f>ROUNDDOWN(BC932*2,2)</f>
        <v>0</v>
      </c>
      <c r="BJ844" s="1483"/>
      <c r="BK844" s="1483"/>
      <c r="BL844" s="1483"/>
      <c r="BO844" s="140" t="s">
        <v>1027</v>
      </c>
      <c r="BP844" s="251">
        <v>240434</v>
      </c>
      <c r="BQ844" s="251">
        <v>277218</v>
      </c>
      <c r="BR844" s="251">
        <v>334400</v>
      </c>
      <c r="BS844" s="251">
        <v>428032</v>
      </c>
      <c r="BT844" s="251">
        <v>476854</v>
      </c>
      <c r="BV844" s="140" t="s">
        <v>1027</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1617</v>
      </c>
      <c r="W845" s="1335">
        <f>SUM(W840:AC844)</f>
        <v>77800</v>
      </c>
      <c r="X845" s="1336"/>
      <c r="Y845" s="1336"/>
      <c r="Z845" s="1336"/>
      <c r="AA845" s="1336"/>
      <c r="AB845" s="1336"/>
      <c r="AC845" s="1337"/>
      <c r="AD845"/>
      <c r="AE845"/>
      <c r="AF845"/>
      <c r="AG845"/>
      <c r="AH845"/>
      <c r="AI845"/>
      <c r="AJ845"/>
      <c r="AK845"/>
      <c r="AL845"/>
      <c r="AM845"/>
      <c r="AN845"/>
      <c r="AO845"/>
      <c r="AP845"/>
      <c r="AQ845"/>
      <c r="AR845"/>
      <c r="AS845"/>
      <c r="AT845"/>
      <c r="AU845"/>
      <c r="AV845"/>
      <c r="AW845"/>
      <c r="AX845"/>
      <c r="AY845"/>
      <c r="AZ845" s="26"/>
      <c r="BA845" s="26"/>
      <c r="BO845" s="140" t="s">
        <v>1033</v>
      </c>
      <c r="BP845" s="253">
        <v>268043</v>
      </c>
      <c r="BQ845" s="253">
        <v>309051</v>
      </c>
      <c r="BR845" s="253">
        <v>372800</v>
      </c>
      <c r="BS845" s="253">
        <v>477184</v>
      </c>
      <c r="BT845" s="253">
        <v>531613</v>
      </c>
      <c r="BV845" s="140" t="s">
        <v>1033</v>
      </c>
      <c r="BW845" s="253">
        <v>268043</v>
      </c>
      <c r="BX845" s="253">
        <v>309051</v>
      </c>
      <c r="BY845" s="253">
        <v>372800</v>
      </c>
      <c r="BZ845" s="253">
        <v>477184</v>
      </c>
      <c r="CA845" s="253">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1037</v>
      </c>
      <c r="BP846" s="251">
        <v>530910</v>
      </c>
      <c r="BQ846" s="251">
        <v>612134</v>
      </c>
      <c r="BR846" s="251">
        <v>738400</v>
      </c>
      <c r="BS846" s="251">
        <v>945152</v>
      </c>
      <c r="BT846" s="251">
        <v>1052958</v>
      </c>
      <c r="BV846" s="140" t="s">
        <v>1037</v>
      </c>
      <c r="BW846" s="251">
        <v>530910</v>
      </c>
      <c r="BX846" s="251">
        <v>612134</v>
      </c>
      <c r="BY846" s="251">
        <v>738400</v>
      </c>
      <c r="BZ846" s="251">
        <v>945152</v>
      </c>
      <c r="CA846" s="251">
        <v>1052958</v>
      </c>
    </row>
    <row r="847" spans="1:110" s="14" customFormat="1" ht="12.75" customHeight="1">
      <c r="A847"/>
      <c r="B847"/>
      <c r="C847" s="2" t="s">
        <v>1618</v>
      </c>
      <c r="D847"/>
      <c r="E847"/>
      <c r="F847"/>
      <c r="G847"/>
      <c r="H847"/>
      <c r="I847"/>
      <c r="J847" s="1374" t="s">
        <v>1619</v>
      </c>
      <c r="K847" s="1375"/>
      <c r="L847" s="1375"/>
      <c r="M847" s="1375"/>
      <c r="N847" s="1375"/>
      <c r="O847" s="1375"/>
      <c r="P847" s="1375"/>
      <c r="Q847" s="1375"/>
      <c r="R847" s="1375"/>
      <c r="S847" s="1375"/>
      <c r="T847" s="1375"/>
      <c r="U847" s="1375"/>
      <c r="V847" s="1377"/>
      <c r="W847" s="1226">
        <v>73126</v>
      </c>
      <c r="X847" s="1227"/>
      <c r="Y847" s="1227"/>
      <c r="Z847" s="1227"/>
      <c r="AA847" s="1227"/>
      <c r="AB847" s="1227"/>
      <c r="AC847" s="1228"/>
      <c r="AD847" s="466"/>
      <c r="AE847"/>
      <c r="AF847"/>
      <c r="AG847"/>
      <c r="AH847"/>
      <c r="AI847"/>
      <c r="AJ847"/>
      <c r="AK847"/>
      <c r="AL847"/>
      <c r="AM847"/>
      <c r="AN847"/>
      <c r="AO847"/>
      <c r="AP847"/>
      <c r="AQ847"/>
      <c r="AR847"/>
      <c r="AS847"/>
      <c r="AT847"/>
      <c r="AU847"/>
      <c r="AV847"/>
      <c r="AW847"/>
      <c r="AX847"/>
      <c r="AY847"/>
      <c r="AZ847" s="26"/>
      <c r="BA847" s="26"/>
      <c r="BO847" s="140" t="s">
        <v>1042</v>
      </c>
      <c r="BP847" s="253">
        <v>238133</v>
      </c>
      <c r="BQ847" s="253">
        <v>274565</v>
      </c>
      <c r="BR847" s="253">
        <v>331200</v>
      </c>
      <c r="BS847" s="253">
        <v>423936</v>
      </c>
      <c r="BT847" s="253">
        <v>472291</v>
      </c>
      <c r="BV847" s="140" t="s">
        <v>1042</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1046</v>
      </c>
      <c r="BP848" s="251">
        <v>311183</v>
      </c>
      <c r="BQ848" s="251">
        <v>358791</v>
      </c>
      <c r="BR848" s="251">
        <v>432800</v>
      </c>
      <c r="BS848" s="251">
        <v>553984</v>
      </c>
      <c r="BT848" s="251">
        <v>617173</v>
      </c>
      <c r="BV848" s="140" t="s">
        <v>1046</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1620</v>
      </c>
      <c r="K849" s="5"/>
      <c r="L849" s="5"/>
      <c r="M849" s="5"/>
      <c r="N849" s="5"/>
      <c r="O849" s="5"/>
      <c r="P849" s="5"/>
      <c r="Q849" s="5"/>
      <c r="R849" s="5"/>
      <c r="S849" s="5"/>
      <c r="T849" s="5"/>
      <c r="U849" s="5"/>
      <c r="V849" s="39"/>
      <c r="W849" s="1474"/>
      <c r="X849" s="1474"/>
      <c r="Y849" s="1474"/>
      <c r="Z849" s="1474"/>
      <c r="AA849" s="1474"/>
      <c r="AB849" s="1474"/>
      <c r="AC849" s="1474"/>
      <c r="AD849"/>
      <c r="AE849"/>
      <c r="AF849"/>
      <c r="AG849"/>
      <c r="AH849"/>
      <c r="AI849"/>
      <c r="AJ849"/>
      <c r="AK849"/>
      <c r="AL849"/>
      <c r="AM849"/>
      <c r="AN849"/>
      <c r="AO849"/>
      <c r="AP849"/>
      <c r="AQ849"/>
      <c r="AR849"/>
      <c r="AS849"/>
      <c r="AT849"/>
      <c r="AU849"/>
      <c r="AV849"/>
      <c r="AW849"/>
      <c r="AX849"/>
      <c r="AY849"/>
      <c r="AZ849" s="26">
        <f>IF(AJ1008&gt;1,0.05,0)</f>
        <v>0</v>
      </c>
      <c r="BA849" s="26"/>
      <c r="BO849" s="140" t="s">
        <v>1049</v>
      </c>
      <c r="BP849" s="252">
        <v>440028</v>
      </c>
      <c r="BQ849" s="252">
        <v>507348</v>
      </c>
      <c r="BR849" s="253">
        <v>612000</v>
      </c>
      <c r="BS849" s="252">
        <v>783360</v>
      </c>
      <c r="BT849" s="252">
        <v>872712</v>
      </c>
      <c r="BV849" s="140" t="s">
        <v>1049</v>
      </c>
      <c r="BW849" s="252">
        <v>440028</v>
      </c>
      <c r="BX849" s="252">
        <v>507348</v>
      </c>
      <c r="BY849" s="252">
        <v>612000</v>
      </c>
      <c r="BZ849" s="252">
        <v>783360</v>
      </c>
      <c r="CA849" s="252">
        <v>872712</v>
      </c>
    </row>
    <row r="850" spans="1:110" s="14" customFormat="1" ht="14.25">
      <c r="A850"/>
      <c r="B850"/>
      <c r="C850"/>
      <c r="D850"/>
      <c r="E850"/>
      <c r="F850"/>
      <c r="G850"/>
      <c r="H850"/>
      <c r="I850"/>
      <c r="J850" s="38" t="s">
        <v>1621</v>
      </c>
      <c r="K850" s="5"/>
      <c r="L850" s="5"/>
      <c r="M850" s="5"/>
      <c r="N850" s="5"/>
      <c r="O850" s="5"/>
      <c r="P850" s="5"/>
      <c r="Q850" s="5"/>
      <c r="R850" s="5"/>
      <c r="S850" s="5"/>
      <c r="T850" s="5"/>
      <c r="U850" s="5"/>
      <c r="V850" s="39"/>
      <c r="W850" s="1474">
        <v>30000</v>
      </c>
      <c r="X850" s="1474"/>
      <c r="Y850" s="1474"/>
      <c r="Z850" s="1474"/>
      <c r="AA850" s="1474"/>
      <c r="AB850" s="1474"/>
      <c r="AC850" s="1474"/>
      <c r="AD850"/>
      <c r="AE850"/>
      <c r="AF850"/>
      <c r="AG850"/>
      <c r="AH850"/>
      <c r="AI850"/>
      <c r="AJ850"/>
      <c r="AK850"/>
      <c r="AL850"/>
      <c r="AM850"/>
      <c r="AN850"/>
      <c r="AO850"/>
      <c r="AP850"/>
      <c r="AQ850"/>
      <c r="AR850"/>
      <c r="AS850"/>
      <c r="AT850"/>
      <c r="AU850"/>
      <c r="AV850"/>
      <c r="AW850"/>
      <c r="AX850"/>
      <c r="AY850"/>
      <c r="AZ850" s="26"/>
      <c r="BA850" s="26"/>
      <c r="BO850" s="140" t="s">
        <v>1053</v>
      </c>
      <c r="BP850" s="251">
        <v>311183</v>
      </c>
      <c r="BQ850" s="251">
        <v>358791</v>
      </c>
      <c r="BR850" s="251">
        <v>432800</v>
      </c>
      <c r="BS850" s="251">
        <v>553984</v>
      </c>
      <c r="BT850" s="251">
        <v>617173</v>
      </c>
      <c r="BV850" s="140" t="s">
        <v>1053</v>
      </c>
      <c r="BW850" s="251">
        <v>311183</v>
      </c>
      <c r="BX850" s="251">
        <v>358791</v>
      </c>
      <c r="BY850" s="251">
        <v>432800</v>
      </c>
      <c r="BZ850" s="251">
        <v>553984</v>
      </c>
      <c r="CA850" s="251">
        <v>617173</v>
      </c>
    </row>
    <row r="851" spans="1:110" s="14" customFormat="1" ht="14.25">
      <c r="A851"/>
      <c r="B851"/>
      <c r="C851"/>
      <c r="D851"/>
      <c r="E851"/>
      <c r="F851"/>
      <c r="G851"/>
      <c r="H851"/>
      <c r="I851"/>
      <c r="J851" s="38" t="s">
        <v>1602</v>
      </c>
      <c r="K851" s="5"/>
      <c r="L851" s="5"/>
      <c r="M851" s="5"/>
      <c r="N851" s="5"/>
      <c r="O851" s="5"/>
      <c r="P851" s="5"/>
      <c r="Q851" s="5"/>
      <c r="R851" s="5"/>
      <c r="S851" s="5"/>
      <c r="T851" s="5"/>
      <c r="U851" s="5"/>
      <c r="V851" s="39"/>
      <c r="W851" s="1474">
        <v>54000</v>
      </c>
      <c r="X851" s="1474"/>
      <c r="Y851" s="1474"/>
      <c r="Z851" s="1474"/>
      <c r="AA851" s="1474"/>
      <c r="AB851" s="1474"/>
      <c r="AC851" s="1474"/>
      <c r="AD851"/>
      <c r="AE851"/>
      <c r="AF851"/>
      <c r="AG851"/>
      <c r="AH851"/>
      <c r="AI851"/>
      <c r="AJ851"/>
      <c r="AK851"/>
      <c r="AL851"/>
      <c r="AM851"/>
      <c r="AN851"/>
      <c r="AO851"/>
      <c r="AP851"/>
      <c r="AQ851"/>
      <c r="AR851"/>
      <c r="AS851"/>
      <c r="AT851"/>
      <c r="AU851"/>
      <c r="AV851"/>
      <c r="AW851"/>
      <c r="AX851"/>
      <c r="AY851"/>
      <c r="AZ851" s="26"/>
      <c r="BA851" s="26"/>
      <c r="BG851" s="1488"/>
      <c r="BH851" s="1488"/>
      <c r="BI851" s="1488"/>
      <c r="BJ851" s="1488"/>
      <c r="BK851" s="1488"/>
      <c r="BL851" s="1488"/>
      <c r="BO851" s="140" t="s">
        <v>1057</v>
      </c>
      <c r="BP851" s="252">
        <v>440028</v>
      </c>
      <c r="BQ851" s="252">
        <v>507348</v>
      </c>
      <c r="BR851" s="252">
        <v>612000</v>
      </c>
      <c r="BS851" s="252">
        <v>783360</v>
      </c>
      <c r="BT851" s="252">
        <v>872712</v>
      </c>
      <c r="BV851" s="140" t="s">
        <v>1057</v>
      </c>
      <c r="BW851" s="252">
        <v>440028</v>
      </c>
      <c r="BX851" s="252">
        <v>507348</v>
      </c>
      <c r="BY851" s="252">
        <v>612000</v>
      </c>
      <c r="BZ851" s="252">
        <v>783360</v>
      </c>
      <c r="CA851" s="252">
        <v>872712</v>
      </c>
    </row>
    <row r="852" spans="1:110" s="14" customFormat="1" ht="14.25">
      <c r="A852"/>
      <c r="B852"/>
      <c r="C852"/>
      <c r="D852"/>
      <c r="E852"/>
      <c r="F852"/>
      <c r="G852"/>
      <c r="H852"/>
      <c r="I852"/>
      <c r="J852" s="1079" t="s">
        <v>1622</v>
      </c>
      <c r="K852" s="5"/>
      <c r="L852" s="5"/>
      <c r="M852" s="5"/>
      <c r="N852" s="5"/>
      <c r="O852" s="5"/>
      <c r="P852" s="5"/>
      <c r="Q852" s="5"/>
      <c r="R852" s="5"/>
      <c r="S852" s="5"/>
      <c r="T852" s="5"/>
      <c r="U852" s="5"/>
      <c r="V852" s="39"/>
      <c r="W852" s="1474">
        <v>24480</v>
      </c>
      <c r="X852" s="1474"/>
      <c r="Y852" s="1474"/>
      <c r="Z852" s="1474"/>
      <c r="AA852" s="1474"/>
      <c r="AB852" s="1474"/>
      <c r="AC852" s="1474"/>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1062</v>
      </c>
      <c r="BP852" s="251">
        <v>311183</v>
      </c>
      <c r="BQ852" s="251">
        <v>358791</v>
      </c>
      <c r="BR852" s="251">
        <v>432800</v>
      </c>
      <c r="BS852" s="251">
        <v>553984</v>
      </c>
      <c r="BT852" s="251">
        <v>617173</v>
      </c>
      <c r="BV852" s="140" t="s">
        <v>1062</v>
      </c>
      <c r="BW852" s="251">
        <v>311183</v>
      </c>
      <c r="BX852" s="251">
        <v>358791</v>
      </c>
      <c r="BY852" s="251">
        <v>432800</v>
      </c>
      <c r="BZ852" s="251">
        <v>553984</v>
      </c>
      <c r="CA852" s="251">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1623</v>
      </c>
      <c r="W853" s="1485">
        <f>SUM(W849:AC852)</f>
        <v>108480</v>
      </c>
      <c r="X853" s="1485"/>
      <c r="Y853" s="1485"/>
      <c r="Z853" s="1485"/>
      <c r="AA853" s="1485"/>
      <c r="AB853" s="1485"/>
      <c r="AC853" s="1485"/>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1065</v>
      </c>
      <c r="BP853" s="253">
        <v>246186</v>
      </c>
      <c r="BQ853" s="253">
        <v>283850</v>
      </c>
      <c r="BR853" s="253">
        <v>342400</v>
      </c>
      <c r="BS853" s="253">
        <v>438272</v>
      </c>
      <c r="BT853" s="253">
        <v>488262</v>
      </c>
      <c r="BV853" s="140" t="s">
        <v>1065</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484">
        <f>SUM(AZ821:AZ849)</f>
        <v>0</v>
      </c>
      <c r="BA854" s="1484"/>
      <c r="BO854" s="140" t="s">
        <v>1070</v>
      </c>
      <c r="BP854" s="251">
        <v>278972</v>
      </c>
      <c r="BQ854" s="251">
        <v>321652</v>
      </c>
      <c r="BR854" s="251">
        <v>388000</v>
      </c>
      <c r="BS854" s="251">
        <v>496640</v>
      </c>
      <c r="BT854" s="251">
        <v>553288</v>
      </c>
      <c r="BV854" s="140" t="s">
        <v>1070</v>
      </c>
      <c r="BW854" s="251">
        <v>278972</v>
      </c>
      <c r="BX854" s="251">
        <v>321652</v>
      </c>
      <c r="BY854" s="251">
        <v>388000</v>
      </c>
      <c r="BZ854" s="251">
        <v>496640</v>
      </c>
      <c r="CA854" s="251">
        <v>553288</v>
      </c>
    </row>
    <row r="855" spans="1:110" s="14" customFormat="1" ht="14.25">
      <c r="A855"/>
      <c r="B855"/>
      <c r="C855" s="2" t="s">
        <v>1624</v>
      </c>
      <c r="D855"/>
      <c r="E855"/>
      <c r="F855"/>
      <c r="G855"/>
      <c r="H855"/>
      <c r="I855"/>
      <c r="J855" s="38" t="s">
        <v>1625</v>
      </c>
      <c r="K855" s="5"/>
      <c r="L855" s="5"/>
      <c r="M855" s="5"/>
      <c r="N855" s="5"/>
      <c r="O855" s="5"/>
      <c r="P855" s="5"/>
      <c r="Q855" s="5"/>
      <c r="R855" s="5"/>
      <c r="S855" s="5"/>
      <c r="T855" s="5"/>
      <c r="U855" s="5"/>
      <c r="V855" s="39"/>
      <c r="W855" s="1338">
        <v>109800</v>
      </c>
      <c r="X855" s="1339"/>
      <c r="Y855" s="1339"/>
      <c r="Z855" s="1339"/>
      <c r="AA855" s="1339"/>
      <c r="AB855" s="1339"/>
      <c r="AC855" s="1340"/>
      <c r="AD855" s="461"/>
      <c r="AE855"/>
      <c r="AF855"/>
      <c r="AG855"/>
      <c r="AH855"/>
      <c r="AI855"/>
      <c r="AJ855"/>
      <c r="AK855"/>
      <c r="AL855"/>
      <c r="AM855"/>
      <c r="AN855"/>
      <c r="AO855"/>
      <c r="AP855"/>
      <c r="AQ855"/>
      <c r="AR855"/>
      <c r="AS855"/>
      <c r="AT855"/>
      <c r="AU855"/>
      <c r="AV855"/>
      <c r="AW855"/>
      <c r="AX855"/>
      <c r="AY855"/>
      <c r="AZ855" s="26"/>
      <c r="BA855" s="26"/>
      <c r="BO855" s="140" t="s">
        <v>1075</v>
      </c>
      <c r="BP855" s="253">
        <v>278972</v>
      </c>
      <c r="BQ855" s="253">
        <v>321652</v>
      </c>
      <c r="BR855" s="253">
        <v>388000</v>
      </c>
      <c r="BS855" s="253">
        <v>496640</v>
      </c>
      <c r="BT855" s="253">
        <v>553288</v>
      </c>
      <c r="BV855" s="140" t="s">
        <v>1075</v>
      </c>
      <c r="BW855" s="253">
        <v>278972</v>
      </c>
      <c r="BX855" s="253">
        <v>321652</v>
      </c>
      <c r="BY855" s="253">
        <v>388000</v>
      </c>
      <c r="BZ855" s="253">
        <v>496640</v>
      </c>
      <c r="CA855" s="253">
        <v>553288</v>
      </c>
    </row>
    <row r="856" spans="1:110" s="14" customFormat="1" ht="12.75" customHeight="1">
      <c r="A856"/>
      <c r="B856"/>
      <c r="C856" s="2" t="s">
        <v>1626</v>
      </c>
      <c r="D856"/>
      <c r="E856"/>
      <c r="F856"/>
      <c r="G856"/>
      <c r="H856"/>
      <c r="I856"/>
      <c r="J856" s="88" t="s">
        <v>1627</v>
      </c>
      <c r="K856" s="5"/>
      <c r="L856" s="5"/>
      <c r="M856" s="5"/>
      <c r="N856" s="5"/>
      <c r="O856" s="5"/>
      <c r="P856" s="5"/>
      <c r="Q856" s="5"/>
      <c r="R856" s="5"/>
      <c r="S856" s="5"/>
      <c r="T856" s="1518">
        <v>2</v>
      </c>
      <c r="U856" s="1378"/>
      <c r="V856" s="1519"/>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1081</v>
      </c>
      <c r="BP856" s="251">
        <v>307732</v>
      </c>
      <c r="BQ856" s="251">
        <v>354812</v>
      </c>
      <c r="BR856" s="251">
        <v>428000</v>
      </c>
      <c r="BS856" s="251">
        <v>547840</v>
      </c>
      <c r="BT856" s="251">
        <v>610328</v>
      </c>
      <c r="BV856" s="140" t="s">
        <v>1081</v>
      </c>
      <c r="BW856" s="251">
        <v>307732</v>
      </c>
      <c r="BX856" s="251">
        <v>354812</v>
      </c>
      <c r="BY856" s="251">
        <v>428000</v>
      </c>
      <c r="BZ856" s="251">
        <v>547840</v>
      </c>
      <c r="CA856" s="251">
        <v>610328</v>
      </c>
    </row>
    <row r="857" spans="1:110" ht="12.75" customHeight="1">
      <c r="C857" s="2"/>
      <c r="J857" s="38" t="s">
        <v>1628</v>
      </c>
      <c r="K857" s="5"/>
      <c r="L857" s="5"/>
      <c r="M857" s="5"/>
      <c r="N857" s="5"/>
      <c r="O857" s="5"/>
      <c r="P857" s="5"/>
      <c r="Q857" s="5"/>
      <c r="R857" s="5"/>
      <c r="S857" s="5"/>
      <c r="T857" s="5"/>
      <c r="U857" s="5"/>
      <c r="V857" s="39"/>
      <c r="W857" s="1338">
        <v>81000</v>
      </c>
      <c r="X857" s="1339"/>
      <c r="Y857" s="1339"/>
      <c r="Z857" s="1339"/>
      <c r="AA857" s="1339"/>
      <c r="AB857" s="1339"/>
      <c r="AC857" s="1340"/>
      <c r="AD857" s="466"/>
      <c r="AZ857" s="3"/>
      <c r="BA857" s="3"/>
      <c r="BB857" s="3"/>
      <c r="BC857" s="3"/>
      <c r="BD857" s="3"/>
      <c r="BE857" s="3"/>
      <c r="BF857" s="3"/>
      <c r="BG857" s="3"/>
      <c r="BH857" s="3"/>
      <c r="BI857" s="3"/>
      <c r="BJ857" s="3"/>
      <c r="BK857" s="3"/>
      <c r="BL857" s="3"/>
      <c r="BM857" s="3"/>
      <c r="BN857" s="3"/>
      <c r="BO857" s="140" t="s">
        <v>1084</v>
      </c>
      <c r="BP857" s="253">
        <v>307732</v>
      </c>
      <c r="BQ857" s="253">
        <v>354812</v>
      </c>
      <c r="BR857" s="253">
        <v>428000</v>
      </c>
      <c r="BS857" s="253">
        <v>547840</v>
      </c>
      <c r="BT857" s="253">
        <v>610328</v>
      </c>
      <c r="BU857" s="14"/>
      <c r="BV857" s="140" t="s">
        <v>1084</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1629</v>
      </c>
      <c r="K858" s="5"/>
      <c r="L858" s="5"/>
      <c r="M858" s="5"/>
      <c r="N858" s="5"/>
      <c r="O858" s="5"/>
      <c r="P858" s="5"/>
      <c r="Q858" s="5"/>
      <c r="R858" s="5"/>
      <c r="S858" s="5"/>
      <c r="T858" s="1518">
        <v>1</v>
      </c>
      <c r="U858" s="1378"/>
      <c r="V858" s="1519"/>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1089</v>
      </c>
      <c r="BP858" s="251">
        <v>238133</v>
      </c>
      <c r="BQ858" s="251">
        <v>274565</v>
      </c>
      <c r="BR858" s="251">
        <v>331200</v>
      </c>
      <c r="BS858" s="251">
        <v>423936</v>
      </c>
      <c r="BT858" s="251">
        <v>472291</v>
      </c>
      <c r="BU858" s="14"/>
      <c r="BV858" s="140" t="s">
        <v>1089</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471" t="s">
        <v>1630</v>
      </c>
      <c r="N859" s="1472"/>
      <c r="O859" s="1472"/>
      <c r="P859" s="1472"/>
      <c r="Q859" s="1472"/>
      <c r="R859" s="1472"/>
      <c r="S859" s="1472"/>
      <c r="T859" s="1472"/>
      <c r="U859" s="1472"/>
      <c r="V859" s="1473"/>
      <c r="W859" s="1338">
        <v>35300</v>
      </c>
      <c r="X859" s="1339"/>
      <c r="Y859" s="1339"/>
      <c r="Z859" s="1339"/>
      <c r="AA859" s="1339"/>
      <c r="AB859" s="1339"/>
      <c r="AC859" s="1340"/>
      <c r="AD859" s="461"/>
      <c r="AZ859" s="3"/>
      <c r="BA859" s="3"/>
      <c r="BB859" s="3"/>
      <c r="BC859" s="3"/>
      <c r="BD859" s="3"/>
      <c r="BE859" s="3"/>
      <c r="BF859" s="3"/>
      <c r="BG859" s="3"/>
      <c r="BH859" s="3"/>
      <c r="BI859" s="3"/>
      <c r="BJ859" s="3"/>
      <c r="BK859" s="3"/>
      <c r="BL859" s="3"/>
      <c r="BM859" s="3"/>
      <c r="BN859" s="3"/>
      <c r="BO859" s="140" t="s">
        <v>1093</v>
      </c>
      <c r="BP859" s="253">
        <v>278397</v>
      </c>
      <c r="BQ859" s="253">
        <v>320989</v>
      </c>
      <c r="BR859" s="253">
        <v>387200</v>
      </c>
      <c r="BS859" s="253">
        <v>495616</v>
      </c>
      <c r="BT859" s="253">
        <v>552147</v>
      </c>
      <c r="BU859" s="14"/>
      <c r="BV859" s="140" t="s">
        <v>1093</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1631</v>
      </c>
      <c r="W860" s="1588">
        <f>SUM(W855:AC859)</f>
        <v>226100</v>
      </c>
      <c r="X860" s="1589"/>
      <c r="Y860" s="1589"/>
      <c r="Z860" s="1589"/>
      <c r="AA860" s="1589"/>
      <c r="AB860" s="1589"/>
      <c r="AC860" s="1590"/>
      <c r="AD860" s="466"/>
      <c r="AZ860" s="3"/>
      <c r="BA860" s="3"/>
      <c r="BB860" s="3"/>
      <c r="BC860" s="3"/>
      <c r="BD860" s="3"/>
      <c r="BE860" s="3"/>
      <c r="BF860" s="3"/>
      <c r="BG860" s="3"/>
      <c r="BH860" s="3"/>
      <c r="BI860" s="3"/>
      <c r="BJ860" s="3"/>
      <c r="BK860" s="3"/>
      <c r="BL860" s="3"/>
      <c r="BM860" s="3"/>
      <c r="BN860" s="3"/>
      <c r="BO860" s="140" t="s">
        <v>1096</v>
      </c>
      <c r="BP860" s="251">
        <v>278972</v>
      </c>
      <c r="BQ860" s="251">
        <v>321652</v>
      </c>
      <c r="BR860" s="251">
        <v>388000</v>
      </c>
      <c r="BS860" s="251">
        <v>496640</v>
      </c>
      <c r="BT860" s="251">
        <v>553288</v>
      </c>
      <c r="BU860" s="14"/>
      <c r="BV860" s="140" t="s">
        <v>1096</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1632</v>
      </c>
      <c r="W861" s="1338">
        <v>42000</v>
      </c>
      <c r="X861" s="1339"/>
      <c r="Y861" s="1339"/>
      <c r="Z861" s="1339"/>
      <c r="AA861" s="1339"/>
      <c r="AB861" s="1339"/>
      <c r="AC861" s="1340"/>
      <c r="AZ861" s="3"/>
      <c r="BA861" s="3"/>
      <c r="BB861" s="3"/>
      <c r="BC861" s="3"/>
      <c r="BD861" s="3"/>
      <c r="BE861" s="3"/>
      <c r="BF861" s="3"/>
      <c r="BG861" s="3"/>
      <c r="BH861" s="3"/>
      <c r="BI861" s="3"/>
      <c r="BJ861" s="3"/>
      <c r="BK861" s="3"/>
      <c r="BL861" s="3"/>
      <c r="BM861" s="3"/>
      <c r="BN861" s="3"/>
      <c r="BO861" s="140" t="s">
        <v>1101</v>
      </c>
      <c r="BP861" s="253">
        <v>278972</v>
      </c>
      <c r="BQ861" s="253">
        <v>321652</v>
      </c>
      <c r="BR861" s="253">
        <v>388000</v>
      </c>
      <c r="BS861" s="253">
        <v>496640</v>
      </c>
      <c r="BT861" s="253">
        <v>553288</v>
      </c>
      <c r="BU861" s="14"/>
      <c r="BV861" s="140" t="s">
        <v>1101</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1103</v>
      </c>
      <c r="BP862" s="251">
        <v>238133</v>
      </c>
      <c r="BQ862" s="251">
        <v>274565</v>
      </c>
      <c r="BR862" s="251">
        <v>331200</v>
      </c>
      <c r="BS862" s="251">
        <v>423936</v>
      </c>
      <c r="BT862" s="251">
        <v>472291</v>
      </c>
      <c r="BU862" s="14"/>
      <c r="BV862" s="140" t="s">
        <v>1103</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1633</v>
      </c>
      <c r="K863" s="5"/>
      <c r="L863" s="5"/>
      <c r="M863" s="5"/>
      <c r="N863" s="5"/>
      <c r="O863" s="5"/>
      <c r="P863" s="5"/>
      <c r="Q863" s="5"/>
      <c r="R863" s="5"/>
      <c r="S863" s="5"/>
      <c r="T863" s="5"/>
      <c r="U863" s="5"/>
      <c r="V863" s="39"/>
      <c r="W863" s="1333">
        <v>18400</v>
      </c>
      <c r="X863" s="1333"/>
      <c r="Y863" s="1333"/>
      <c r="Z863" s="1333"/>
      <c r="AA863" s="1333"/>
      <c r="AB863" s="1333"/>
      <c r="AC863" s="1333"/>
      <c r="AZ863" s="3"/>
      <c r="BA863" s="3"/>
      <c r="BB863" s="3"/>
      <c r="BC863" s="3"/>
      <c r="BD863" s="3"/>
      <c r="BE863" s="3"/>
      <c r="BF863" s="3"/>
      <c r="BG863" s="3"/>
      <c r="BH863" s="3"/>
      <c r="BI863" s="3"/>
      <c r="BJ863" s="3"/>
      <c r="BK863" s="3"/>
      <c r="BL863" s="3"/>
      <c r="BM863" s="3"/>
      <c r="BN863" s="3"/>
      <c r="BO863" s="140" t="s">
        <v>1106</v>
      </c>
      <c r="BP863" s="253">
        <v>278972</v>
      </c>
      <c r="BQ863" s="253">
        <v>321652</v>
      </c>
      <c r="BR863" s="253">
        <v>388000</v>
      </c>
      <c r="BS863" s="253">
        <v>496640</v>
      </c>
      <c r="BT863" s="253">
        <v>553288</v>
      </c>
      <c r="BU863" s="14"/>
      <c r="BV863" s="140" t="s">
        <v>1106</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1634</v>
      </c>
      <c r="K864" s="5"/>
      <c r="L864" s="5"/>
      <c r="M864" s="5"/>
      <c r="N864" s="5"/>
      <c r="O864" s="5"/>
      <c r="P864" s="5"/>
      <c r="Q864" s="5"/>
      <c r="R864" s="5"/>
      <c r="S864" s="5"/>
      <c r="T864" s="5"/>
      <c r="U864" s="5"/>
      <c r="V864" s="39"/>
      <c r="W864" s="1333">
        <v>18200</v>
      </c>
      <c r="X864" s="1333"/>
      <c r="Y864" s="1333"/>
      <c r="Z864" s="1333"/>
      <c r="AA864" s="1333"/>
      <c r="AB864" s="1333"/>
      <c r="AC864" s="1333"/>
      <c r="AZ864" s="3"/>
      <c r="BA864" s="3"/>
      <c r="BB864" s="3"/>
      <c r="BC864" s="3"/>
      <c r="BD864" s="3"/>
      <c r="BE864" s="3"/>
      <c r="BF864" s="3"/>
      <c r="BG864" s="3"/>
      <c r="BH864" s="3"/>
      <c r="BI864" s="3"/>
      <c r="BJ864" s="3"/>
      <c r="BK864" s="3"/>
      <c r="BL864" s="3"/>
      <c r="BM864" s="3"/>
      <c r="BN864" s="3"/>
      <c r="BO864" s="140" t="s">
        <v>1109</v>
      </c>
      <c r="BP864" s="251">
        <v>311183</v>
      </c>
      <c r="BQ864" s="251">
        <v>358791</v>
      </c>
      <c r="BR864" s="251">
        <v>432800</v>
      </c>
      <c r="BS864" s="251">
        <v>553984</v>
      </c>
      <c r="BT864" s="251">
        <v>617173</v>
      </c>
      <c r="BU864" s="14"/>
      <c r="BV864" s="140" t="s">
        <v>1109</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1635</v>
      </c>
      <c r="K865" s="5"/>
      <c r="L865" s="5"/>
      <c r="M865" s="5"/>
      <c r="N865" s="5"/>
      <c r="O865" s="5"/>
      <c r="P865" s="5"/>
      <c r="Q865" s="5"/>
      <c r="R865" s="5"/>
      <c r="S865" s="5"/>
      <c r="T865" s="5"/>
      <c r="U865" s="5"/>
      <c r="V865" s="39"/>
      <c r="W865" s="1333">
        <v>14600</v>
      </c>
      <c r="X865" s="1333"/>
      <c r="Y865" s="1333"/>
      <c r="Z865" s="1333"/>
      <c r="AA865" s="1333"/>
      <c r="AB865" s="1333"/>
      <c r="AC865" s="1333"/>
      <c r="AZ865" s="3"/>
      <c r="BA865" s="3"/>
      <c r="BB865" s="3"/>
      <c r="BC865" s="3"/>
      <c r="BD865" s="3"/>
      <c r="BE865" s="3"/>
      <c r="BF865" s="3"/>
      <c r="BG865" s="3"/>
      <c r="BH865" s="3"/>
      <c r="BI865" s="3"/>
      <c r="BJ865" s="3"/>
      <c r="BK865" s="3"/>
      <c r="BL865" s="3"/>
      <c r="BM865" s="3"/>
      <c r="BN865" s="3"/>
      <c r="BO865" s="140" t="s">
        <v>1112</v>
      </c>
      <c r="BP865" s="253">
        <v>278397</v>
      </c>
      <c r="BQ865" s="253">
        <v>320989</v>
      </c>
      <c r="BR865" s="253">
        <v>387200</v>
      </c>
      <c r="BS865" s="253">
        <v>495616</v>
      </c>
      <c r="BT865" s="253">
        <v>552147</v>
      </c>
      <c r="BU865" s="14"/>
      <c r="BV865" s="140" t="s">
        <v>1112</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1636</v>
      </c>
      <c r="K866" s="5"/>
      <c r="L866" s="5"/>
      <c r="M866" s="5"/>
      <c r="N866" s="5"/>
      <c r="O866" s="5"/>
      <c r="P866" s="5"/>
      <c r="Q866" s="5"/>
      <c r="R866" s="5"/>
      <c r="S866" s="5"/>
      <c r="T866" s="5"/>
      <c r="U866" s="5"/>
      <c r="V866" s="39"/>
      <c r="W866" s="1333">
        <v>18000</v>
      </c>
      <c r="X866" s="1333"/>
      <c r="Y866" s="1333"/>
      <c r="Z866" s="1333"/>
      <c r="AA866" s="1333"/>
      <c r="AB866" s="1333"/>
      <c r="AC866" s="1333"/>
      <c r="AZ866" s="3"/>
      <c r="BA866" s="3"/>
      <c r="BB866" s="3"/>
      <c r="BC866" s="3"/>
      <c r="BD866" s="3"/>
      <c r="BE866" s="3"/>
      <c r="BF866" s="3"/>
      <c r="BG866" s="3"/>
      <c r="BH866" s="3"/>
      <c r="BI866" s="3"/>
      <c r="BJ866" s="3"/>
      <c r="BK866" s="3"/>
      <c r="BL866" s="3"/>
      <c r="BM866" s="3"/>
      <c r="BN866" s="3"/>
      <c r="BO866" s="140" t="s">
        <v>1116</v>
      </c>
      <c r="BP866" s="251">
        <v>278397</v>
      </c>
      <c r="BQ866" s="251">
        <v>320989</v>
      </c>
      <c r="BR866" s="251">
        <v>387200</v>
      </c>
      <c r="BS866" s="251">
        <v>495616</v>
      </c>
      <c r="BT866" s="251">
        <v>552147</v>
      </c>
      <c r="BU866" s="14"/>
      <c r="BV866" s="140" t="s">
        <v>1116</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1637</v>
      </c>
      <c r="K867" s="5"/>
      <c r="L867" s="5"/>
      <c r="M867" s="5"/>
      <c r="N867" s="5"/>
      <c r="O867" s="5"/>
      <c r="P867" s="5"/>
      <c r="Q867" s="5"/>
      <c r="R867" s="5"/>
      <c r="S867" s="5"/>
      <c r="T867" s="5"/>
      <c r="U867" s="5"/>
      <c r="V867" s="39"/>
      <c r="W867" s="1333">
        <v>19200</v>
      </c>
      <c r="X867" s="1333"/>
      <c r="Y867" s="1333"/>
      <c r="Z867" s="1333"/>
      <c r="AA867" s="1333"/>
      <c r="AB867" s="1333"/>
      <c r="AC867" s="1333"/>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1638</v>
      </c>
      <c r="K868" s="5"/>
      <c r="L868" s="5"/>
      <c r="M868" s="5"/>
      <c r="N868" s="5"/>
      <c r="O868" s="5"/>
      <c r="P868" s="5"/>
      <c r="Q868" s="5"/>
      <c r="R868" s="5"/>
      <c r="S868" s="5"/>
      <c r="T868" s="5"/>
      <c r="U868" s="5"/>
      <c r="V868" s="39"/>
      <c r="W868" s="1333">
        <v>19400</v>
      </c>
      <c r="X868" s="1333"/>
      <c r="Y868" s="1333"/>
      <c r="Z868" s="1333"/>
      <c r="AA868" s="1333"/>
      <c r="AB868" s="1333"/>
      <c r="AC868" s="1333"/>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471" t="s">
        <v>1330</v>
      </c>
      <c r="N869" s="1472"/>
      <c r="O869" s="1472"/>
      <c r="P869" s="1472"/>
      <c r="Q869" s="1472"/>
      <c r="R869" s="1472"/>
      <c r="S869" s="1472"/>
      <c r="T869" s="1472"/>
      <c r="U869" s="1472"/>
      <c r="V869" s="1473"/>
      <c r="W869" s="1333"/>
      <c r="X869" s="1333"/>
      <c r="Y869" s="1333"/>
      <c r="Z869" s="1333"/>
      <c r="AA869" s="1333"/>
      <c r="AB869" s="1333"/>
      <c r="AC869" s="1333"/>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1639</v>
      </c>
      <c r="W870" s="1334">
        <f>SUM(W863:AC869)</f>
        <v>107800</v>
      </c>
      <c r="X870" s="1334"/>
      <c r="Y870" s="1334"/>
      <c r="Z870" s="1334"/>
      <c r="AA870" s="1334"/>
      <c r="AB870" s="1334"/>
      <c r="AC870" s="1334"/>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1640</v>
      </c>
      <c r="J872" s="38" t="s">
        <v>232</v>
      </c>
      <c r="K872" s="5"/>
      <c r="L872" s="5"/>
      <c r="M872" s="1471" t="s">
        <v>1641</v>
      </c>
      <c r="N872" s="1472"/>
      <c r="O872" s="1472"/>
      <c r="P872" s="1472"/>
      <c r="Q872" s="1472"/>
      <c r="R872" s="1472"/>
      <c r="S872" s="1472"/>
      <c r="T872" s="1472"/>
      <c r="U872" s="1472"/>
      <c r="V872" s="1473"/>
      <c r="W872" s="1226">
        <v>21694</v>
      </c>
      <c r="X872" s="1227"/>
      <c r="Y872" s="1227"/>
      <c r="Z872" s="1227"/>
      <c r="AA872" s="1227"/>
      <c r="AB872" s="1227"/>
      <c r="AC872" s="1228"/>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1642</v>
      </c>
      <c r="J873" s="38" t="s">
        <v>232</v>
      </c>
      <c r="K873" s="5"/>
      <c r="L873" s="5"/>
      <c r="M873" s="1471" t="s">
        <v>1643</v>
      </c>
      <c r="N873" s="1472"/>
      <c r="O873" s="1472"/>
      <c r="P873" s="1472"/>
      <c r="Q873" s="1472"/>
      <c r="R873" s="1472"/>
      <c r="S873" s="1472"/>
      <c r="T873" s="1472"/>
      <c r="U873" s="1472"/>
      <c r="V873" s="1473"/>
      <c r="W873" s="1226">
        <v>3000</v>
      </c>
      <c r="X873" s="1227"/>
      <c r="Y873" s="1227"/>
      <c r="Z873" s="1227"/>
      <c r="AA873" s="1227"/>
      <c r="AB873" s="1227"/>
      <c r="AC873" s="1228"/>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471" t="s">
        <v>1330</v>
      </c>
      <c r="N874" s="1472"/>
      <c r="O874" s="1472"/>
      <c r="P874" s="1472"/>
      <c r="Q874" s="1472"/>
      <c r="R874" s="1472"/>
      <c r="S874" s="1472"/>
      <c r="T874" s="1472"/>
      <c r="U874" s="1472"/>
      <c r="V874" s="1473"/>
      <c r="W874" s="1226"/>
      <c r="X874" s="1227"/>
      <c r="Y874" s="1227"/>
      <c r="Z874" s="1227"/>
      <c r="AA874" s="1227"/>
      <c r="AB874" s="1227"/>
      <c r="AC874" s="1228"/>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471" t="s">
        <v>1330</v>
      </c>
      <c r="N875" s="1472"/>
      <c r="O875" s="1472"/>
      <c r="P875" s="1472"/>
      <c r="Q875" s="1472"/>
      <c r="R875" s="1472"/>
      <c r="S875" s="1472"/>
      <c r="T875" s="1472"/>
      <c r="U875" s="1472"/>
      <c r="V875" s="1473"/>
      <c r="W875" s="1226"/>
      <c r="X875" s="1227"/>
      <c r="Y875" s="1227"/>
      <c r="Z875" s="1227"/>
      <c r="AA875" s="1227"/>
      <c r="AB875" s="1227"/>
      <c r="AC875" s="1228"/>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471" t="s">
        <v>1330</v>
      </c>
      <c r="N876" s="1472"/>
      <c r="O876" s="1472"/>
      <c r="P876" s="1472"/>
      <c r="Q876" s="1472"/>
      <c r="R876" s="1472"/>
      <c r="S876" s="1472"/>
      <c r="T876" s="1472"/>
      <c r="U876" s="1472"/>
      <c r="V876" s="1473"/>
      <c r="W876" s="1226"/>
      <c r="X876" s="1227"/>
      <c r="Y876" s="1227"/>
      <c r="Z876" s="1227"/>
      <c r="AA876" s="1227"/>
      <c r="AB876" s="1227"/>
      <c r="AC876" s="1228"/>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1644</v>
      </c>
      <c r="W877" s="1335">
        <f>SUM(W872:AC876)</f>
        <v>24694</v>
      </c>
      <c r="X877" s="1336"/>
      <c r="Y877" s="1336"/>
      <c r="Z877" s="1336"/>
      <c r="AA877" s="1336"/>
      <c r="AB877" s="1336"/>
      <c r="AC877" s="1337"/>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1645</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1646</v>
      </c>
      <c r="AC881" s="1336">
        <f>W845+W853+W860+W861+W870+W877+W847</f>
        <v>660000</v>
      </c>
      <c r="AD881" s="1336"/>
      <c r="AE881" s="1336"/>
      <c r="AF881" s="1336"/>
      <c r="AG881" s="1336"/>
      <c r="AH881" s="1337"/>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1647</v>
      </c>
      <c r="AC882" s="1516">
        <f>O796+O776+G753</f>
        <v>120</v>
      </c>
      <c r="AD882" s="1516"/>
      <c r="AE882" s="1516"/>
      <c r="AF882" s="1516"/>
      <c r="AG882" s="1516"/>
      <c r="AH882" s="1517"/>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14" t="s">
        <v>1648</v>
      </c>
      <c r="F883" s="1514"/>
      <c r="G883" s="1514"/>
      <c r="H883" s="1514"/>
      <c r="I883" s="1514"/>
      <c r="J883" s="1514"/>
      <c r="K883" s="1514"/>
      <c r="L883" s="1514"/>
      <c r="M883" s="1514"/>
      <c r="N883" s="1514"/>
      <c r="O883" s="1514"/>
      <c r="P883" s="1514"/>
      <c r="Q883" s="1514"/>
      <c r="R883" s="1514"/>
      <c r="S883" s="1514"/>
      <c r="T883" s="1514"/>
      <c r="U883" s="1514"/>
      <c r="V883" s="1514"/>
      <c r="W883" s="1514"/>
      <c r="X883" s="1514"/>
      <c r="Y883" s="1514"/>
      <c r="Z883" s="1514"/>
      <c r="AA883" s="1514"/>
      <c r="AB883" s="1515"/>
      <c r="AC883" s="1334">
        <f>IF(ISERROR((ROUNDDOWN(AC881/AC882,0))),0,(ROUNDDOWN(AC881/AC882,0)))</f>
        <v>5500</v>
      </c>
      <c r="AD883" s="1334"/>
      <c r="AE883" s="1334"/>
      <c r="AF883" s="1334"/>
      <c r="AG883" s="1334"/>
      <c r="AH883" s="1334"/>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1649</v>
      </c>
      <c r="AC884" s="1227">
        <f>'Sources and Uses Budget'!B75</f>
        <v>452479</v>
      </c>
      <c r="AD884" s="1227"/>
      <c r="AE884" s="1227"/>
      <c r="AF884" s="1227"/>
      <c r="AG884" s="1227"/>
      <c r="AH884" s="1228"/>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1650</v>
      </c>
      <c r="AC885" s="1228"/>
      <c r="AD885" s="1333"/>
      <c r="AE885" s="1333"/>
      <c r="AF885" s="1333"/>
      <c r="AG885" s="1333"/>
      <c r="AH885" s="133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1651</v>
      </c>
      <c r="AC886" s="1227"/>
      <c r="AD886" s="1227"/>
      <c r="AE886" s="1227"/>
      <c r="AF886" s="1227"/>
      <c r="AG886" s="1227"/>
      <c r="AH886" s="1228"/>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1652</v>
      </c>
      <c r="AC887" s="1227">
        <v>30000</v>
      </c>
      <c r="AD887" s="1227"/>
      <c r="AE887" s="1227"/>
      <c r="AF887" s="1227"/>
      <c r="AG887" s="1227"/>
      <c r="AH887" s="1228"/>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1653</v>
      </c>
      <c r="AC888" s="1227">
        <v>4000</v>
      </c>
      <c r="AD888" s="1227"/>
      <c r="AE888" s="1227"/>
      <c r="AF888" s="1227"/>
      <c r="AG888" s="1227"/>
      <c r="AH888" s="1228"/>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1654</v>
      </c>
      <c r="AC889" s="1227"/>
      <c r="AD889" s="1227"/>
      <c r="AE889" s="1227"/>
      <c r="AF889" s="1227"/>
      <c r="AG889" s="1227"/>
      <c r="AH889" s="1228"/>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1655</v>
      </c>
      <c r="AC890" s="1227"/>
      <c r="AD890" s="1227"/>
      <c r="AE890" s="1227"/>
      <c r="AF890" s="1227"/>
      <c r="AG890" s="1227"/>
      <c r="AH890" s="122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27" t="s">
        <v>1656</v>
      </c>
      <c r="D891" s="1328"/>
      <c r="E891" s="1328"/>
      <c r="F891" s="1328"/>
      <c r="G891" s="1328"/>
      <c r="H891" s="1328"/>
      <c r="I891" s="1328"/>
      <c r="J891" s="1328"/>
      <c r="K891" s="1328"/>
      <c r="L891" s="1328"/>
      <c r="M891" s="1328"/>
      <c r="N891" s="1328"/>
      <c r="O891" s="1328"/>
      <c r="P891" s="1328"/>
      <c r="Q891" s="1328"/>
      <c r="R891" s="1328"/>
      <c r="S891" s="1328"/>
      <c r="T891" s="1328"/>
      <c r="U891" s="1328"/>
      <c r="V891" s="1328"/>
      <c r="W891" s="1328"/>
      <c r="X891" s="1328"/>
      <c r="Y891" s="1328"/>
      <c r="Z891" s="1328"/>
      <c r="AA891" s="1328"/>
      <c r="AB891" s="1329"/>
      <c r="AC891" s="1333"/>
      <c r="AD891" s="1333"/>
      <c r="AE891" s="1333"/>
      <c r="AF891" s="1333"/>
      <c r="AG891" s="1333"/>
      <c r="AH891" s="133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27" t="s">
        <v>1656</v>
      </c>
      <c r="D892" s="1328"/>
      <c r="E892" s="1328"/>
      <c r="F892" s="1328"/>
      <c r="G892" s="1328"/>
      <c r="H892" s="1328"/>
      <c r="I892" s="1328"/>
      <c r="J892" s="1328"/>
      <c r="K892" s="1328"/>
      <c r="L892" s="1328"/>
      <c r="M892" s="1328"/>
      <c r="N892" s="1328"/>
      <c r="O892" s="1328"/>
      <c r="P892" s="1328"/>
      <c r="Q892" s="1328"/>
      <c r="R892" s="1328"/>
      <c r="S892" s="1328"/>
      <c r="T892" s="1328"/>
      <c r="U892" s="1328"/>
      <c r="V892" s="1328"/>
      <c r="W892" s="1328"/>
      <c r="X892" s="1328"/>
      <c r="Y892" s="1328"/>
      <c r="Z892" s="1328"/>
      <c r="AA892" s="1328"/>
      <c r="AB892" s="1329"/>
      <c r="AC892" s="1333"/>
      <c r="AD892" s="1333"/>
      <c r="AE892" s="1333"/>
      <c r="AF892" s="1333"/>
      <c r="AG892" s="1333"/>
      <c r="AH892" s="133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1367</v>
      </c>
      <c r="C894" s="2" t="s">
        <v>1657</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1658</v>
      </c>
      <c r="I896" s="5"/>
      <c r="J896" s="5"/>
      <c r="K896" s="5"/>
      <c r="L896" s="5"/>
      <c r="M896" s="5"/>
      <c r="N896" s="5"/>
      <c r="O896" s="5"/>
      <c r="P896" s="5"/>
      <c r="Q896" s="5"/>
      <c r="R896" s="5"/>
      <c r="S896" s="5"/>
      <c r="T896" s="5"/>
      <c r="U896" s="5"/>
      <c r="V896" s="5"/>
      <c r="W896" s="5"/>
      <c r="X896" s="5"/>
      <c r="Y896" s="39"/>
      <c r="Z896" s="1226"/>
      <c r="AA896" s="1227"/>
      <c r="AB896" s="1227"/>
      <c r="AC896" s="1227"/>
      <c r="AD896" s="1227"/>
      <c r="AE896" s="1228"/>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1659</v>
      </c>
      <c r="I897" s="5"/>
      <c r="J897" s="5"/>
      <c r="K897" s="5"/>
      <c r="L897" s="5"/>
      <c r="M897" s="5"/>
      <c r="N897" s="5"/>
      <c r="O897" s="5"/>
      <c r="P897" s="5"/>
      <c r="Q897" s="5"/>
      <c r="R897" s="5"/>
      <c r="S897" s="5"/>
      <c r="T897" s="5"/>
      <c r="U897" s="5"/>
      <c r="V897" s="5"/>
      <c r="W897" s="5"/>
      <c r="X897" s="5"/>
      <c r="Y897" s="5"/>
      <c r="Z897" s="1226"/>
      <c r="AA897" s="1227"/>
      <c r="AB897" s="1227"/>
      <c r="AC897" s="1227"/>
      <c r="AD897" s="1227"/>
      <c r="AE897" s="1228"/>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1660</v>
      </c>
      <c r="I898" s="5"/>
      <c r="J898" s="5"/>
      <c r="K898" s="5"/>
      <c r="L898" s="5"/>
      <c r="M898" s="5"/>
      <c r="N898" s="5"/>
      <c r="O898" s="5"/>
      <c r="P898" s="5"/>
      <c r="Q898" s="5"/>
      <c r="R898" s="5"/>
      <c r="S898" s="5"/>
      <c r="T898" s="5"/>
      <c r="U898" s="5"/>
      <c r="V898" s="5"/>
      <c r="W898" s="5"/>
      <c r="X898" s="5"/>
      <c r="Y898" s="5"/>
      <c r="Z898" s="1226"/>
      <c r="AA898" s="1227"/>
      <c r="AB898" s="1227"/>
      <c r="AC898" s="1227"/>
      <c r="AD898" s="1227"/>
      <c r="AE898" s="1228"/>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1661</v>
      </c>
      <c r="Z899" s="1335">
        <f>Z896-(Z897+Z898)</f>
        <v>0</v>
      </c>
      <c r="AA899" s="1336"/>
      <c r="AB899" s="1336"/>
      <c r="AC899" s="1336"/>
      <c r="AD899" s="1336"/>
      <c r="AE899" s="1337"/>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1662</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487"/>
      <c r="BE901" s="148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1663</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487"/>
      <c r="BE902" s="148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1664</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88"/>
      <c r="BE903" s="148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1665</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88"/>
      <c r="BE904" s="1488"/>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88"/>
      <c r="BE905" s="1488"/>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487"/>
      <c r="BE906" s="148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265" t="s">
        <v>1666</v>
      </c>
      <c r="B907" s="1265"/>
      <c r="C907" s="1265"/>
      <c r="D907" s="1265"/>
      <c r="E907" s="1265"/>
      <c r="F907" s="1265"/>
      <c r="G907" s="1265"/>
      <c r="H907" s="1265"/>
      <c r="I907" s="1265"/>
      <c r="J907" s="1265"/>
      <c r="K907" s="1265"/>
      <c r="L907" s="1265"/>
      <c r="M907" s="1265"/>
      <c r="N907" s="1265"/>
      <c r="O907" s="1265"/>
      <c r="P907" s="1265"/>
      <c r="Q907" s="1265"/>
      <c r="R907" s="1265"/>
      <c r="S907" s="1265"/>
      <c r="T907" s="1265"/>
      <c r="U907" s="1265"/>
      <c r="V907" s="1265"/>
      <c r="W907" s="1265"/>
      <c r="X907" s="1265"/>
      <c r="Y907" s="1265"/>
      <c r="Z907" s="1265"/>
      <c r="AA907" s="1265"/>
      <c r="AB907" s="1265"/>
      <c r="AC907" s="1265"/>
      <c r="AD907" s="1265"/>
      <c r="AE907" s="1265"/>
      <c r="AF907" s="1265"/>
      <c r="AG907" s="1265"/>
      <c r="AH907" s="1265"/>
      <c r="AI907" s="1265"/>
      <c r="AJ907" s="1265"/>
      <c r="AK907" s="1265"/>
      <c r="AL907" s="1265"/>
      <c r="AM907" s="71"/>
      <c r="AN907" s="71"/>
      <c r="AO907" s="71"/>
      <c r="AP907" s="71"/>
      <c r="AQ907" s="71"/>
      <c r="AR907" s="71"/>
      <c r="AS907" s="71"/>
      <c r="AT907" s="71"/>
      <c r="AU907" s="71"/>
      <c r="AV907" s="71"/>
      <c r="AW907" s="71"/>
      <c r="AX907" s="71"/>
      <c r="AY907" s="71"/>
      <c r="AZ907" s="3"/>
      <c r="BB907" s="26"/>
      <c r="BC907" s="750"/>
      <c r="BD907" s="1486"/>
      <c r="BE907" s="1486"/>
      <c r="BF907" s="1486"/>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266"/>
      <c r="B908" s="1266"/>
      <c r="C908" s="1266"/>
      <c r="D908" s="1266"/>
      <c r="E908" s="1266"/>
      <c r="F908" s="1266"/>
      <c r="G908" s="1266"/>
      <c r="H908" s="1266"/>
      <c r="I908" s="1266"/>
      <c r="J908" s="1266"/>
      <c r="K908" s="1266"/>
      <c r="L908" s="1266"/>
      <c r="M908" s="1266"/>
      <c r="N908" s="1266"/>
      <c r="O908" s="1266"/>
      <c r="P908" s="1266"/>
      <c r="Q908" s="1266"/>
      <c r="R908" s="1266"/>
      <c r="S908" s="1266"/>
      <c r="T908" s="1266"/>
      <c r="U908" s="1266"/>
      <c r="V908" s="1266"/>
      <c r="W908" s="1266"/>
      <c r="X908" s="1266"/>
      <c r="Y908" s="1266"/>
      <c r="Z908" s="1266"/>
      <c r="AA908" s="1266"/>
      <c r="AB908" s="1266"/>
      <c r="AC908" s="1266"/>
      <c r="AD908" s="1266"/>
      <c r="AE908" s="1266"/>
      <c r="AF908" s="1266"/>
      <c r="AG908" s="1266"/>
      <c r="AH908" s="1266"/>
      <c r="AI908" s="1266"/>
      <c r="AJ908" s="1266"/>
      <c r="AK908" s="1266"/>
      <c r="AL908" s="1266"/>
      <c r="AM908" s="71"/>
      <c r="AN908" s="71"/>
      <c r="AO908" s="71"/>
      <c r="AP908" s="71"/>
      <c r="AQ908" s="71"/>
      <c r="AR908" s="71"/>
      <c r="AS908" s="71"/>
      <c r="AT908" s="71"/>
      <c r="AU908" s="71"/>
      <c r="AV908" s="71"/>
      <c r="AW908" s="71"/>
      <c r="AX908" s="71"/>
      <c r="AY908" s="71"/>
      <c r="AZ908" s="3"/>
      <c r="BB908" s="26"/>
      <c r="BC908" s="750"/>
      <c r="BD908" s="1483"/>
      <c r="BE908" s="1483"/>
      <c r="BF908" s="148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88"/>
      <c r="BE909" s="1488"/>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956</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487"/>
      <c r="BE910" s="1488"/>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643" t="s">
        <v>1667</v>
      </c>
      <c r="G912" s="1644"/>
      <c r="H912" s="1644"/>
      <c r="I912" s="1644"/>
      <c r="J912" s="1644"/>
      <c r="K912" s="1644"/>
      <c r="L912" s="1644"/>
      <c r="M912" s="1644"/>
      <c r="N912" s="1644"/>
      <c r="O912" s="1644"/>
      <c r="P912" s="1644"/>
      <c r="Q912" s="1644"/>
      <c r="R912" s="1644"/>
      <c r="S912" s="1644"/>
      <c r="T912" s="1645"/>
      <c r="U912" s="1441" t="s">
        <v>1668</v>
      </c>
      <c r="V912" s="1369"/>
      <c r="W912" s="1369"/>
      <c r="X912" s="1369"/>
      <c r="Y912" s="1369"/>
      <c r="Z912" s="1369"/>
      <c r="AA912" s="36"/>
      <c r="AB912" s="238"/>
      <c r="AC912" s="238"/>
      <c r="AD912" s="238"/>
      <c r="AE912" s="238"/>
      <c r="AF912" s="1080"/>
      <c r="AZ912" s="3"/>
      <c r="BA912" s="3"/>
      <c r="BB912" s="26"/>
      <c r="BC912" s="26"/>
      <c r="BD912" s="1487"/>
      <c r="BE912" s="1488"/>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42" t="s">
        <v>1669</v>
      </c>
      <c r="G913" s="1443"/>
      <c r="H913" s="1443"/>
      <c r="I913" s="1443"/>
      <c r="J913" s="1443"/>
      <c r="K913" s="1443"/>
      <c r="L913" s="1443"/>
      <c r="M913" s="1443"/>
      <c r="N913" s="1443"/>
      <c r="O913" s="1443"/>
      <c r="P913" s="1443"/>
      <c r="Q913" s="1443"/>
      <c r="R913" s="1443"/>
      <c r="S913" s="1443"/>
      <c r="T913" s="1444"/>
      <c r="U913" s="1442"/>
      <c r="V913" s="1443"/>
      <c r="W913" s="1443"/>
      <c r="X913" s="1443"/>
      <c r="Y913" s="1443"/>
      <c r="Z913" s="1443"/>
      <c r="AA913" s="37"/>
      <c r="AB913" s="3"/>
      <c r="AC913" s="3"/>
      <c r="AD913" s="3"/>
      <c r="AE913" s="3"/>
      <c r="AF913" s="108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45"/>
      <c r="G914" s="1446"/>
      <c r="H914" s="1446"/>
      <c r="I914" s="1446"/>
      <c r="J914" s="1446"/>
      <c r="K914" s="1446"/>
      <c r="L914" s="1446"/>
      <c r="M914" s="1446"/>
      <c r="N914" s="1446"/>
      <c r="O914" s="1446"/>
      <c r="P914" s="1446"/>
      <c r="Q914" s="1446"/>
      <c r="R914" s="1446"/>
      <c r="S914" s="1446"/>
      <c r="T914" s="1447"/>
      <c r="U914" s="1445"/>
      <c r="V914" s="1446"/>
      <c r="W914" s="1446"/>
      <c r="X914" s="1446"/>
      <c r="Y914" s="1446"/>
      <c r="Z914" s="1446"/>
      <c r="AA914" s="857"/>
      <c r="AB914" s="1350" t="s">
        <v>1670</v>
      </c>
      <c r="AC914" s="1350"/>
      <c r="AD914" s="1350"/>
      <c r="AE914" s="1350"/>
      <c r="AF914" s="1082"/>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1671</v>
      </c>
      <c r="G915" s="41"/>
      <c r="H915" s="41"/>
      <c r="I915" s="41"/>
      <c r="J915" s="41"/>
      <c r="K915" s="41"/>
      <c r="L915" s="41"/>
      <c r="M915" s="41"/>
      <c r="N915" s="41"/>
      <c r="O915" s="41"/>
      <c r="P915" s="41"/>
      <c r="Q915" s="41"/>
      <c r="R915" s="41"/>
      <c r="S915" s="41"/>
      <c r="T915" s="42"/>
      <c r="U915" s="1493" t="s">
        <v>825</v>
      </c>
      <c r="V915" s="1286"/>
      <c r="W915" s="1286"/>
      <c r="X915" s="1286"/>
      <c r="Y915" s="1286"/>
      <c r="Z915" s="1345"/>
      <c r="AA915" s="1489">
        <f>AM564</f>
        <v>22577145</v>
      </c>
      <c r="AB915" s="1235"/>
      <c r="AC915" s="1235"/>
      <c r="AD915" s="1235"/>
      <c r="AE915" s="1235"/>
      <c r="AF915" s="1490"/>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1672</v>
      </c>
      <c r="G916" s="41"/>
      <c r="H916" s="41"/>
      <c r="I916" s="41"/>
      <c r="J916" s="41"/>
      <c r="K916" s="41"/>
      <c r="L916" s="41"/>
      <c r="M916" s="41"/>
      <c r="N916" s="41"/>
      <c r="O916" s="41"/>
      <c r="P916" s="41"/>
      <c r="Q916" s="41"/>
      <c r="R916" s="41"/>
      <c r="S916" s="41"/>
      <c r="T916" s="42"/>
      <c r="U916" s="1493" t="s">
        <v>825</v>
      </c>
      <c r="V916" s="1286"/>
      <c r="W916" s="1286"/>
      <c r="X916" s="1286"/>
      <c r="Y916" s="1286"/>
      <c r="Z916" s="1345"/>
      <c r="AA916" s="1489">
        <f>AM566</f>
        <v>6487205</v>
      </c>
      <c r="AB916" s="1235"/>
      <c r="AC916" s="1235"/>
      <c r="AD916" s="1235"/>
      <c r="AE916" s="1235"/>
      <c r="AF916" s="1490"/>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1673</v>
      </c>
      <c r="G917" s="5"/>
      <c r="H917" s="5"/>
      <c r="I917" s="5"/>
      <c r="J917" s="5"/>
      <c r="K917" s="5"/>
      <c r="L917" s="5"/>
      <c r="M917" s="5"/>
      <c r="N917" s="5"/>
      <c r="O917" s="5"/>
      <c r="P917" s="5"/>
      <c r="Q917" s="5"/>
      <c r="R917" s="5"/>
      <c r="S917" s="5"/>
      <c r="T917" s="39"/>
      <c r="U917" s="1493" t="s">
        <v>299</v>
      </c>
      <c r="V917" s="1286"/>
      <c r="W917" s="1286"/>
      <c r="X917" s="1286"/>
      <c r="Y917" s="1286"/>
      <c r="Z917" s="1345"/>
      <c r="AA917" s="1489"/>
      <c r="AB917" s="1235"/>
      <c r="AC917" s="1235"/>
      <c r="AD917" s="1235"/>
      <c r="AE917" s="1235"/>
      <c r="AF917" s="149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1674</v>
      </c>
      <c r="G918" s="5"/>
      <c r="H918" s="5"/>
      <c r="I918" s="5"/>
      <c r="J918" s="5"/>
      <c r="K918" s="5"/>
      <c r="L918" s="5"/>
      <c r="M918" s="5"/>
      <c r="N918" s="5"/>
      <c r="O918" s="5"/>
      <c r="P918" s="5"/>
      <c r="Q918" s="5"/>
      <c r="R918" s="5"/>
      <c r="S918" s="5"/>
      <c r="T918" s="39"/>
      <c r="U918" s="1493" t="s">
        <v>299</v>
      </c>
      <c r="V918" s="1286"/>
      <c r="W918" s="1286"/>
      <c r="X918" s="1286"/>
      <c r="Y918" s="1286"/>
      <c r="Z918" s="1345"/>
      <c r="AA918" s="1489"/>
      <c r="AB918" s="1235"/>
      <c r="AC918" s="1235"/>
      <c r="AD918" s="1235"/>
      <c r="AE918" s="1235"/>
      <c r="AF918" s="149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1675</v>
      </c>
      <c r="G919" s="5"/>
      <c r="H919" s="5"/>
      <c r="I919" s="5"/>
      <c r="J919" s="5"/>
      <c r="K919" s="5"/>
      <c r="L919" s="5"/>
      <c r="M919" s="5"/>
      <c r="N919" s="5"/>
      <c r="O919" s="5"/>
      <c r="P919" s="5"/>
      <c r="Q919" s="5"/>
      <c r="R919" s="5"/>
      <c r="S919" s="5"/>
      <c r="T919" s="39"/>
      <c r="U919" s="1493" t="s">
        <v>299</v>
      </c>
      <c r="V919" s="1286"/>
      <c r="W919" s="1286"/>
      <c r="X919" s="1286"/>
      <c r="Y919" s="1286"/>
      <c r="Z919" s="1345"/>
      <c r="AA919" s="1489"/>
      <c r="AB919" s="1235"/>
      <c r="AC919" s="1235"/>
      <c r="AD919" s="1235"/>
      <c r="AE919" s="1235"/>
      <c r="AF919" s="149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1676</v>
      </c>
      <c r="G920" s="5"/>
      <c r="H920" s="5"/>
      <c r="I920" s="5"/>
      <c r="J920" s="5"/>
      <c r="K920" s="5"/>
      <c r="L920" s="5"/>
      <c r="M920" s="5"/>
      <c r="N920" s="5"/>
      <c r="O920" s="5"/>
      <c r="P920" s="5"/>
      <c r="Q920" s="5"/>
      <c r="R920" s="5"/>
      <c r="S920" s="5"/>
      <c r="T920" s="39"/>
      <c r="U920" s="1493" t="s">
        <v>299</v>
      </c>
      <c r="V920" s="1286"/>
      <c r="W920" s="1286"/>
      <c r="X920" s="1286"/>
      <c r="Y920" s="1286"/>
      <c r="Z920" s="1345"/>
      <c r="AA920" s="1489"/>
      <c r="AB920" s="1235"/>
      <c r="AC920" s="1235"/>
      <c r="AD920" s="1235"/>
      <c r="AE920" s="1235"/>
      <c r="AF920" s="149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1677</v>
      </c>
      <c r="G921" s="5"/>
      <c r="H921" s="5"/>
      <c r="I921" s="5"/>
      <c r="J921" s="5"/>
      <c r="K921" s="5"/>
      <c r="L921" s="5"/>
      <c r="M921" s="5"/>
      <c r="N921" s="5"/>
      <c r="O921" s="5"/>
      <c r="P921" s="5"/>
      <c r="Q921" s="5"/>
      <c r="R921" s="5"/>
      <c r="S921" s="5"/>
      <c r="T921" s="39"/>
      <c r="U921" s="1493" t="s">
        <v>299</v>
      </c>
      <c r="V921" s="1286"/>
      <c r="W921" s="1286"/>
      <c r="X921" s="1286"/>
      <c r="Y921" s="1286"/>
      <c r="Z921" s="1345"/>
      <c r="AA921" s="1489"/>
      <c r="AB921" s="1235"/>
      <c r="AC921" s="1235"/>
      <c r="AD921" s="1235"/>
      <c r="AE921" s="1235"/>
      <c r="AF921" s="149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1678</v>
      </c>
      <c r="G922" s="5"/>
      <c r="H922" s="5"/>
      <c r="I922" s="5"/>
      <c r="J922" s="5"/>
      <c r="K922" s="5"/>
      <c r="L922" s="5"/>
      <c r="M922" s="5"/>
      <c r="N922" s="5"/>
      <c r="O922" s="5"/>
      <c r="P922" s="5"/>
      <c r="Q922" s="5"/>
      <c r="R922" s="5"/>
      <c r="S922" s="5"/>
      <c r="T922" s="39"/>
      <c r="U922" s="1493" t="s">
        <v>299</v>
      </c>
      <c r="V922" s="1286"/>
      <c r="W922" s="1286"/>
      <c r="X922" s="1286"/>
      <c r="Y922" s="1286"/>
      <c r="Z922" s="1345"/>
      <c r="AA922" s="1489"/>
      <c r="AB922" s="1235"/>
      <c r="AC922" s="1235"/>
      <c r="AD922" s="1235"/>
      <c r="AE922" s="1235"/>
      <c r="AF922" s="149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1679</v>
      </c>
      <c r="G923" s="5"/>
      <c r="H923" s="5"/>
      <c r="I923" s="5"/>
      <c r="J923" s="5"/>
      <c r="K923" s="5"/>
      <c r="L923" s="5"/>
      <c r="M923" s="5"/>
      <c r="N923" s="5"/>
      <c r="O923" s="5"/>
      <c r="P923" s="5"/>
      <c r="Q923" s="5"/>
      <c r="R923" s="5"/>
      <c r="S923" s="5"/>
      <c r="T923" s="39"/>
      <c r="U923" s="1493" t="s">
        <v>299</v>
      </c>
      <c r="V923" s="1286"/>
      <c r="W923" s="1286"/>
      <c r="X923" s="1286"/>
      <c r="Y923" s="1286"/>
      <c r="Z923" s="1345"/>
      <c r="AA923" s="1489"/>
      <c r="AB923" s="1235"/>
      <c r="AC923" s="1235"/>
      <c r="AD923" s="1235"/>
      <c r="AE923" s="1235"/>
      <c r="AF923" s="149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1680</v>
      </c>
      <c r="G924" s="5"/>
      <c r="H924" s="5"/>
      <c r="I924" s="5"/>
      <c r="J924" s="5"/>
      <c r="K924" s="5"/>
      <c r="L924" s="5"/>
      <c r="M924" s="5"/>
      <c r="N924" s="5"/>
      <c r="O924" s="5"/>
      <c r="P924" s="5"/>
      <c r="Q924" s="5"/>
      <c r="R924" s="5"/>
      <c r="S924" s="5"/>
      <c r="T924" s="39"/>
      <c r="U924" s="1493" t="s">
        <v>299</v>
      </c>
      <c r="V924" s="1286"/>
      <c r="W924" s="1286"/>
      <c r="X924" s="1286"/>
      <c r="Y924" s="1286"/>
      <c r="Z924" s="1345"/>
      <c r="AA924" s="1489"/>
      <c r="AB924" s="1235"/>
      <c r="AC924" s="1235"/>
      <c r="AD924" s="1235"/>
      <c r="AE924" s="1235"/>
      <c r="AF924" s="149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1681</v>
      </c>
      <c r="G925" s="5"/>
      <c r="H925" s="5"/>
      <c r="I925" s="5"/>
      <c r="J925" s="5"/>
      <c r="K925" s="5"/>
      <c r="L925" s="5"/>
      <c r="M925" s="5"/>
      <c r="N925" s="5"/>
      <c r="O925" s="5"/>
      <c r="P925" s="5"/>
      <c r="Q925" s="5"/>
      <c r="R925" s="5"/>
      <c r="S925" s="5"/>
      <c r="T925" s="39"/>
      <c r="U925" s="1493" t="s">
        <v>299</v>
      </c>
      <c r="V925" s="1286"/>
      <c r="W925" s="1286"/>
      <c r="X925" s="1286"/>
      <c r="Y925" s="1286"/>
      <c r="Z925" s="1345"/>
      <c r="AA925" s="1489"/>
      <c r="AB925" s="1235"/>
      <c r="AC925" s="1235"/>
      <c r="AD925" s="1235"/>
      <c r="AE925" s="1235"/>
      <c r="AF925" s="149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1682</v>
      </c>
      <c r="G926" s="5"/>
      <c r="H926" s="5"/>
      <c r="I926" s="5"/>
      <c r="J926" s="5"/>
      <c r="K926" s="5"/>
      <c r="L926" s="5"/>
      <c r="M926" s="5"/>
      <c r="N926" s="5"/>
      <c r="O926" s="5"/>
      <c r="P926" s="5"/>
      <c r="Q926" s="5"/>
      <c r="R926" s="5"/>
      <c r="S926" s="5"/>
      <c r="T926" s="39"/>
      <c r="U926" s="1493" t="s">
        <v>299</v>
      </c>
      <c r="V926" s="1286"/>
      <c r="W926" s="1286"/>
      <c r="X926" s="1286"/>
      <c r="Y926" s="1286"/>
      <c r="Z926" s="1345"/>
      <c r="AA926" s="1489"/>
      <c r="AB926" s="1235"/>
      <c r="AC926" s="1235"/>
      <c r="AD926" s="1235"/>
      <c r="AE926" s="1235"/>
      <c r="AF926" s="149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1683</v>
      </c>
      <c r="G927" s="5"/>
      <c r="H927" s="5"/>
      <c r="I927" s="5"/>
      <c r="J927" s="5"/>
      <c r="K927" s="5"/>
      <c r="L927" s="5"/>
      <c r="M927" s="5"/>
      <c r="N927" s="5"/>
      <c r="O927" s="5"/>
      <c r="P927" s="5"/>
      <c r="Q927" s="5"/>
      <c r="R927" s="5"/>
      <c r="S927" s="5"/>
      <c r="T927" s="39"/>
      <c r="U927" s="1493" t="s">
        <v>299</v>
      </c>
      <c r="V927" s="1286"/>
      <c r="W927" s="1286"/>
      <c r="X927" s="1286"/>
      <c r="Y927" s="1286"/>
      <c r="Z927" s="1345"/>
      <c r="AA927" s="1489"/>
      <c r="AB927" s="1235"/>
      <c r="AC927" s="1235"/>
      <c r="AD927" s="1235"/>
      <c r="AE927" s="1235"/>
      <c r="AF927" s="149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1684</v>
      </c>
      <c r="G928" s="5"/>
      <c r="H928" s="5"/>
      <c r="I928" s="5"/>
      <c r="J928" s="5"/>
      <c r="K928" s="5"/>
      <c r="L928" s="5"/>
      <c r="M928" s="5"/>
      <c r="N928" s="5"/>
      <c r="O928" s="5"/>
      <c r="P928" s="5"/>
      <c r="Q928" s="5"/>
      <c r="R928" s="5"/>
      <c r="S928" s="5"/>
      <c r="T928" s="39"/>
      <c r="U928" s="1493" t="s">
        <v>299</v>
      </c>
      <c r="V928" s="1286"/>
      <c r="W928" s="1286"/>
      <c r="X928" s="1286"/>
      <c r="Y928" s="1286"/>
      <c r="Z928" s="1345"/>
      <c r="AA928" s="1489"/>
      <c r="AB928" s="1235"/>
      <c r="AC928" s="1235"/>
      <c r="AD928" s="1235"/>
      <c r="AE928" s="1235"/>
      <c r="AF928" s="1490"/>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1685</v>
      </c>
      <c r="G929" s="5"/>
      <c r="H929" s="5"/>
      <c r="I929" s="5"/>
      <c r="J929" s="5"/>
      <c r="K929" s="5"/>
      <c r="L929" s="5"/>
      <c r="M929" s="5"/>
      <c r="N929" s="5"/>
      <c r="O929" s="5"/>
      <c r="P929" s="5"/>
      <c r="Q929" s="5"/>
      <c r="R929" s="5"/>
      <c r="S929" s="5"/>
      <c r="T929" s="39"/>
      <c r="U929" s="1493" t="s">
        <v>299</v>
      </c>
      <c r="V929" s="1286"/>
      <c r="W929" s="1286"/>
      <c r="X929" s="1286"/>
      <c r="Y929" s="1286"/>
      <c r="Z929" s="1345"/>
      <c r="AA929" s="1489"/>
      <c r="AB929" s="1235"/>
      <c r="AC929" s="1235"/>
      <c r="AD929" s="1235"/>
      <c r="AE929" s="1235"/>
      <c r="AF929" s="1490"/>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1686</v>
      </c>
      <c r="G930" s="5"/>
      <c r="H930" s="5"/>
      <c r="I930" s="5"/>
      <c r="J930" s="5"/>
      <c r="K930" s="5"/>
      <c r="L930" s="5"/>
      <c r="M930" s="5"/>
      <c r="N930" s="5"/>
      <c r="O930" s="5"/>
      <c r="P930" s="1493" t="s">
        <v>929</v>
      </c>
      <c r="Q930" s="1286"/>
      <c r="R930" s="1286"/>
      <c r="S930" s="1286"/>
      <c r="T930" s="1345"/>
      <c r="U930" s="1493" t="s">
        <v>299</v>
      </c>
      <c r="V930" s="1286"/>
      <c r="W930" s="1286"/>
      <c r="X930" s="1286"/>
      <c r="Y930" s="1286"/>
      <c r="Z930" s="1345"/>
      <c r="AA930" s="1489"/>
      <c r="AB930" s="1235"/>
      <c r="AC930" s="1235"/>
      <c r="AD930" s="1235"/>
      <c r="AE930" s="1235"/>
      <c r="AF930" s="1490"/>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1139</v>
      </c>
      <c r="G931" s="41"/>
      <c r="H931" s="41"/>
      <c r="I931" s="1478" t="s">
        <v>1330</v>
      </c>
      <c r="J931" s="1479"/>
      <c r="K931" s="1479"/>
      <c r="L931" s="1479"/>
      <c r="M931" s="1479"/>
      <c r="N931" s="1479"/>
      <c r="O931" s="1479"/>
      <c r="P931" s="1479"/>
      <c r="Q931" s="1479"/>
      <c r="R931" s="1479"/>
      <c r="S931" s="1479"/>
      <c r="T931" s="1480"/>
      <c r="U931" s="1493" t="s">
        <v>299</v>
      </c>
      <c r="V931" s="1286"/>
      <c r="W931" s="1286"/>
      <c r="X931" s="1286"/>
      <c r="Y931" s="1286"/>
      <c r="Z931" s="1345"/>
      <c r="AA931" s="1489"/>
      <c r="AB931" s="1235"/>
      <c r="AC931" s="1235"/>
      <c r="AD931" s="1235"/>
      <c r="AE931" s="1235"/>
      <c r="AF931" s="149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1687</v>
      </c>
      <c r="G932" s="41"/>
      <c r="H932" s="41"/>
      <c r="I932" s="1478" t="s">
        <v>1330</v>
      </c>
      <c r="J932" s="1479"/>
      <c r="K932" s="1479"/>
      <c r="L932" s="1479"/>
      <c r="M932" s="1479"/>
      <c r="N932" s="1479"/>
      <c r="O932" s="1479"/>
      <c r="P932" s="1479"/>
      <c r="Q932" s="1479"/>
      <c r="R932" s="1479"/>
      <c r="S932" s="1479"/>
      <c r="T932" s="1480"/>
      <c r="U932" s="1493" t="s">
        <v>299</v>
      </c>
      <c r="V932" s="1286"/>
      <c r="W932" s="1286"/>
      <c r="X932" s="1286"/>
      <c r="Y932" s="1286"/>
      <c r="Z932" s="1345"/>
      <c r="AA932" s="1489"/>
      <c r="AB932" s="1235"/>
      <c r="AC932" s="1235"/>
      <c r="AD932" s="1235"/>
      <c r="AE932" s="1235"/>
      <c r="AF932" s="1490"/>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8" t="s">
        <v>1688</v>
      </c>
      <c r="J933" s="1479"/>
      <c r="K933" s="1479"/>
      <c r="L933" s="1479"/>
      <c r="M933" s="1479"/>
      <c r="N933" s="1479"/>
      <c r="O933" s="1479"/>
      <c r="P933" s="1479"/>
      <c r="Q933" s="1479"/>
      <c r="R933" s="1479"/>
      <c r="S933" s="1479"/>
      <c r="T933" s="1480"/>
      <c r="U933" s="1493" t="s">
        <v>825</v>
      </c>
      <c r="V933" s="1286"/>
      <c r="W933" s="1286"/>
      <c r="X933" s="1286"/>
      <c r="Y933" s="1286"/>
      <c r="Z933" s="1345"/>
      <c r="AA933" s="1489">
        <f>AM565</f>
        <v>4811771</v>
      </c>
      <c r="AB933" s="1235"/>
      <c r="AC933" s="1235"/>
      <c r="AD933" s="1235"/>
      <c r="AE933" s="1235"/>
      <c r="AF933" s="1490"/>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8" t="s">
        <v>1330</v>
      </c>
      <c r="J934" s="1479"/>
      <c r="K934" s="1479"/>
      <c r="L934" s="1479"/>
      <c r="M934" s="1479"/>
      <c r="N934" s="1479"/>
      <c r="O934" s="1479"/>
      <c r="P934" s="1479"/>
      <c r="Q934" s="1479"/>
      <c r="R934" s="1479"/>
      <c r="S934" s="1479"/>
      <c r="T934" s="1480"/>
      <c r="U934" s="1493" t="s">
        <v>299</v>
      </c>
      <c r="V934" s="1286"/>
      <c r="W934" s="1286"/>
      <c r="X934" s="1286"/>
      <c r="Y934" s="1286"/>
      <c r="Z934" s="1345"/>
      <c r="AA934" s="1489"/>
      <c r="AB934" s="1235"/>
      <c r="AC934" s="1235"/>
      <c r="AD934" s="1235"/>
      <c r="AE934" s="1235"/>
      <c r="AF934" s="1490"/>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992</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1689</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1690</v>
      </c>
      <c r="D939" s="5"/>
      <c r="E939" s="5"/>
      <c r="F939" s="5"/>
      <c r="G939" s="5"/>
      <c r="H939" s="5"/>
      <c r="I939" s="5"/>
      <c r="J939" s="5"/>
      <c r="K939" s="5"/>
      <c r="L939" s="39"/>
      <c r="M939" s="1502"/>
      <c r="N939" s="1503"/>
      <c r="O939" s="1503"/>
      <c r="P939" s="1503"/>
      <c r="Q939" s="1503"/>
      <c r="R939" s="1503"/>
      <c r="S939" s="1504"/>
      <c r="U939" s="88" t="s">
        <v>1690</v>
      </c>
      <c r="V939" s="5"/>
      <c r="W939" s="5"/>
      <c r="X939" s="5"/>
      <c r="Y939" s="5"/>
      <c r="Z939" s="5"/>
      <c r="AA939" s="5"/>
      <c r="AB939" s="5"/>
      <c r="AC939" s="5"/>
      <c r="AD939" s="39"/>
      <c r="AE939" s="1502"/>
      <c r="AF939" s="1503"/>
      <c r="AG939" s="1503"/>
      <c r="AH939" s="1503"/>
      <c r="AI939" s="1503"/>
      <c r="AJ939" s="1503"/>
      <c r="AK939" s="1504"/>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1691</v>
      </c>
      <c r="D940" s="5"/>
      <c r="E940" s="5"/>
      <c r="F940" s="5"/>
      <c r="G940" s="5"/>
      <c r="H940" s="5"/>
      <c r="I940" s="5"/>
      <c r="J940" s="5"/>
      <c r="K940" s="5"/>
      <c r="L940" s="39"/>
      <c r="M940" s="1491"/>
      <c r="N940" s="1430"/>
      <c r="O940" s="1430"/>
      <c r="P940" s="1430"/>
      <c r="Q940" s="1430"/>
      <c r="R940" s="1430"/>
      <c r="S940" s="1492"/>
      <c r="U940" s="88" t="s">
        <v>1691</v>
      </c>
      <c r="V940" s="5"/>
      <c r="W940" s="5"/>
      <c r="X940" s="5"/>
      <c r="Y940" s="5"/>
      <c r="Z940" s="5"/>
      <c r="AA940" s="5"/>
      <c r="AB940" s="5"/>
      <c r="AC940" s="5"/>
      <c r="AD940" s="39"/>
      <c r="AE940" s="1491"/>
      <c r="AF940" s="1430"/>
      <c r="AG940" s="1430"/>
      <c r="AH940" s="1430"/>
      <c r="AI940" s="1430"/>
      <c r="AJ940" s="1430"/>
      <c r="AK940" s="1492"/>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1692</v>
      </c>
      <c r="D941" s="5"/>
      <c r="E941" s="5"/>
      <c r="J941" s="1494" t="s">
        <v>294</v>
      </c>
      <c r="K941" s="1495"/>
      <c r="L941" s="1495"/>
      <c r="M941" s="1495"/>
      <c r="N941" s="1495"/>
      <c r="O941" s="1495"/>
      <c r="P941" s="1495"/>
      <c r="Q941" s="1495"/>
      <c r="R941" s="1495"/>
      <c r="S941" s="1496"/>
      <c r="U941" s="88" t="s">
        <v>1692</v>
      </c>
      <c r="V941" s="5"/>
      <c r="W941" s="5"/>
      <c r="AB941" s="1494" t="s">
        <v>294</v>
      </c>
      <c r="AC941" s="1495"/>
      <c r="AD941" s="1495"/>
      <c r="AE941" s="1495"/>
      <c r="AF941" s="1495"/>
      <c r="AG941" s="1495"/>
      <c r="AH941" s="1495"/>
      <c r="AI941" s="1495"/>
      <c r="AJ941" s="1495"/>
      <c r="AK941" s="149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1693</v>
      </c>
      <c r="D942" s="5"/>
      <c r="E942" s="5"/>
      <c r="F942" s="5"/>
      <c r="G942" s="5"/>
      <c r="H942" s="5"/>
      <c r="I942" s="5"/>
      <c r="J942" s="5"/>
      <c r="K942" s="5"/>
      <c r="L942" s="39"/>
      <c r="M942" s="1633"/>
      <c r="N942" s="1524"/>
      <c r="O942" s="1524"/>
      <c r="P942" s="1524"/>
      <c r="Q942" s="1524"/>
      <c r="R942" s="1524"/>
      <c r="S942" s="1525"/>
      <c r="U942" s="88" t="s">
        <v>1693</v>
      </c>
      <c r="V942" s="5"/>
      <c r="W942" s="5"/>
      <c r="X942" s="5"/>
      <c r="Y942" s="5"/>
      <c r="Z942" s="5"/>
      <c r="AA942" s="5"/>
      <c r="AB942" s="5"/>
      <c r="AC942" s="5"/>
      <c r="AD942" s="39"/>
      <c r="AE942" s="1523"/>
      <c r="AF942" s="1524"/>
      <c r="AG942" s="1524"/>
      <c r="AH942" s="1524"/>
      <c r="AI942" s="1524"/>
      <c r="AJ942" s="1524"/>
      <c r="AK942" s="152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1694</v>
      </c>
      <c r="D943" s="5"/>
      <c r="E943" s="5"/>
      <c r="F943" s="5"/>
      <c r="G943" s="5"/>
      <c r="H943" s="5"/>
      <c r="I943" s="5"/>
      <c r="J943" s="5"/>
      <c r="K943" s="5"/>
      <c r="L943" s="39"/>
      <c r="M943" s="1466"/>
      <c r="N943" s="1467"/>
      <c r="O943" s="1467"/>
      <c r="P943" s="1467"/>
      <c r="Q943" s="1467"/>
      <c r="R943" s="1467"/>
      <c r="S943" s="1468"/>
      <c r="U943" s="88" t="s">
        <v>1694</v>
      </c>
      <c r="V943" s="5"/>
      <c r="W943" s="5"/>
      <c r="X943" s="5"/>
      <c r="Y943" s="5"/>
      <c r="Z943" s="5"/>
      <c r="AA943" s="5"/>
      <c r="AB943" s="5"/>
      <c r="AC943" s="5"/>
      <c r="AD943" s="39"/>
      <c r="AE943" s="1466"/>
      <c r="AF943" s="1467"/>
      <c r="AG943" s="1467"/>
      <c r="AH943" s="1467"/>
      <c r="AI943" s="1467"/>
      <c r="AJ943" s="1467"/>
      <c r="AK943" s="146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1695</v>
      </c>
      <c r="D944" s="5"/>
      <c r="E944" s="5"/>
      <c r="F944" s="5"/>
      <c r="G944" s="5"/>
      <c r="H944" s="5"/>
      <c r="I944" s="5"/>
      <c r="J944" s="5"/>
      <c r="K944" s="5"/>
      <c r="L944" s="39"/>
      <c r="M944" s="1489"/>
      <c r="N944" s="1235"/>
      <c r="O944" s="1235"/>
      <c r="P944" s="1235"/>
      <c r="Q944" s="1235"/>
      <c r="R944" s="1235"/>
      <c r="S944" s="1490"/>
      <c r="U944" s="88" t="s">
        <v>1695</v>
      </c>
      <c r="V944" s="5"/>
      <c r="W944" s="5"/>
      <c r="X944" s="5"/>
      <c r="Y944" s="5"/>
      <c r="Z944" s="5"/>
      <c r="AA944" s="5"/>
      <c r="AB944" s="5"/>
      <c r="AC944" s="5"/>
      <c r="AD944" s="39"/>
      <c r="AE944" s="1489"/>
      <c r="AF944" s="1235"/>
      <c r="AG944" s="1235"/>
      <c r="AH944" s="1235"/>
      <c r="AI944" s="1235"/>
      <c r="AJ944" s="1235"/>
      <c r="AK944" s="149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1696</v>
      </c>
      <c r="D945" s="5"/>
      <c r="E945" s="5"/>
      <c r="F945" s="5"/>
      <c r="G945" s="5"/>
      <c r="H945" s="5"/>
      <c r="I945" s="5"/>
      <c r="J945" s="5"/>
      <c r="K945" s="5"/>
      <c r="L945" s="39"/>
      <c r="M945" s="1489"/>
      <c r="N945" s="1235"/>
      <c r="O945" s="1235"/>
      <c r="P945" s="1235"/>
      <c r="Q945" s="1235"/>
      <c r="R945" s="1235"/>
      <c r="S945" s="1490"/>
      <c r="U945" s="88" t="s">
        <v>1696</v>
      </c>
      <c r="V945" s="5"/>
      <c r="W945" s="5"/>
      <c r="X945" s="5"/>
      <c r="Y945" s="5"/>
      <c r="Z945" s="5"/>
      <c r="AA945" s="5"/>
      <c r="AB945" s="5"/>
      <c r="AC945" s="5"/>
      <c r="AD945" s="39"/>
      <c r="AE945" s="1489"/>
      <c r="AF945" s="1235"/>
      <c r="AG945" s="1235"/>
      <c r="AH945" s="1235"/>
      <c r="AI945" s="1235"/>
      <c r="AJ945" s="1235"/>
      <c r="AK945" s="149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1697</v>
      </c>
      <c r="D946" s="5"/>
      <c r="E946" s="5"/>
      <c r="F946" s="5"/>
      <c r="G946" s="5"/>
      <c r="H946" s="5"/>
      <c r="I946" s="5"/>
      <c r="J946" s="5"/>
      <c r="K946" s="5"/>
      <c r="L946" s="39"/>
      <c r="M946" s="1520"/>
      <c r="N946" s="1521"/>
      <c r="O946" s="1521"/>
      <c r="P946" s="1521"/>
      <c r="Q946" s="1521"/>
      <c r="R946" s="1521"/>
      <c r="S946" s="1522"/>
      <c r="U946" s="88" t="s">
        <v>1697</v>
      </c>
      <c r="V946" s="5"/>
      <c r="W946" s="5"/>
      <c r="X946" s="5"/>
      <c r="Y946" s="5"/>
      <c r="Z946" s="5"/>
      <c r="AA946" s="5"/>
      <c r="AB946" s="5"/>
      <c r="AC946" s="5"/>
      <c r="AD946" s="39"/>
      <c r="AE946" s="1520"/>
      <c r="AF946" s="1521"/>
      <c r="AG946" s="1521"/>
      <c r="AH946" s="1521"/>
      <c r="AI946" s="1521"/>
      <c r="AJ946" s="1521"/>
      <c r="AK946" s="1522"/>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1067</v>
      </c>
      <c r="C948" s="2" t="s">
        <v>1698</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1699</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1700</v>
      </c>
      <c r="G951" s="5"/>
      <c r="H951" s="5"/>
      <c r="I951" s="5"/>
      <c r="J951" s="5"/>
      <c r="K951" s="5"/>
      <c r="L951" s="39"/>
      <c r="M951" s="1497"/>
      <c r="N951" s="1432"/>
      <c r="O951" s="1432"/>
      <c r="P951" s="1432"/>
      <c r="Q951" s="1432"/>
      <c r="R951" s="1432"/>
      <c r="S951" s="1498"/>
      <c r="T951" s="88" t="s">
        <v>1701</v>
      </c>
      <c r="U951" s="5"/>
      <c r="V951" s="5"/>
      <c r="W951" s="5"/>
      <c r="X951" s="5"/>
      <c r="Y951" s="5"/>
      <c r="Z951" s="39"/>
      <c r="AA951" s="1497"/>
      <c r="AB951" s="1432"/>
      <c r="AC951" s="1432"/>
      <c r="AD951" s="1432"/>
      <c r="AE951" s="1432"/>
      <c r="AF951" s="1432"/>
      <c r="AG951" s="1498"/>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1702</v>
      </c>
      <c r="G952" s="5"/>
      <c r="H952" s="5"/>
      <c r="I952" s="5"/>
      <c r="J952" s="5"/>
      <c r="K952" s="5"/>
      <c r="L952" s="39"/>
      <c r="M952" s="1497"/>
      <c r="N952" s="1432"/>
      <c r="O952" s="1432"/>
      <c r="P952" s="1432"/>
      <c r="Q952" s="1432"/>
      <c r="R952" s="1432"/>
      <c r="S952" s="1498"/>
      <c r="T952" s="88" t="s">
        <v>1703</v>
      </c>
      <c r="U952" s="5"/>
      <c r="V952" s="5"/>
      <c r="W952" s="5"/>
      <c r="X952" s="5"/>
      <c r="Y952" s="5"/>
      <c r="Z952" s="39"/>
      <c r="AA952" s="1497"/>
      <c r="AB952" s="1432"/>
      <c r="AC952" s="1432"/>
      <c r="AD952" s="1432"/>
      <c r="AE952" s="1432"/>
      <c r="AF952" s="1432"/>
      <c r="AG952" s="1498"/>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1704</v>
      </c>
      <c r="G953" s="5"/>
      <c r="H953" s="5"/>
      <c r="I953" s="5"/>
      <c r="J953" s="5"/>
      <c r="K953" s="5"/>
      <c r="L953" s="39"/>
      <c r="M953" s="1505" t="s">
        <v>299</v>
      </c>
      <c r="N953" s="1506"/>
      <c r="O953" s="1506"/>
      <c r="P953" s="1506"/>
      <c r="Q953" s="1506"/>
      <c r="R953" s="1506"/>
      <c r="S953" s="1507"/>
      <c r="T953" s="38" t="s">
        <v>1705</v>
      </c>
      <c r="U953" s="5"/>
      <c r="V953" s="5"/>
      <c r="W953" s="5"/>
      <c r="X953" s="5"/>
      <c r="Y953" s="5"/>
      <c r="Z953" s="39"/>
      <c r="AA953" s="1497"/>
      <c r="AB953" s="1432"/>
      <c r="AC953" s="1432"/>
      <c r="AD953" s="1432"/>
      <c r="AE953" s="1432"/>
      <c r="AF953" s="1432"/>
      <c r="AG953" s="1498"/>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1706</v>
      </c>
      <c r="G954" s="5"/>
      <c r="H954" s="5"/>
      <c r="I954" s="5"/>
      <c r="J954" s="5"/>
      <c r="K954" s="5"/>
      <c r="L954" s="39"/>
      <c r="M954" s="1497"/>
      <c r="N954" s="1432"/>
      <c r="O954" s="1432"/>
      <c r="P954" s="1432"/>
      <c r="Q954" s="1432"/>
      <c r="R954" s="1432"/>
      <c r="S954" s="1498"/>
      <c r="T954" s="38" t="s">
        <v>1707</v>
      </c>
      <c r="U954" s="5"/>
      <c r="V954" s="5"/>
      <c r="W954" s="5"/>
      <c r="X954" s="5"/>
      <c r="Y954" s="5"/>
      <c r="Z954" s="39"/>
      <c r="AA954" s="1497"/>
      <c r="AB954" s="1432"/>
      <c r="AC954" s="1432"/>
      <c r="AD954" s="1432"/>
      <c r="AE954" s="1432"/>
      <c r="AF954" s="1432"/>
      <c r="AG954" s="1498"/>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1708</v>
      </c>
      <c r="G955" s="5"/>
      <c r="H955" s="5"/>
      <c r="I955" s="5"/>
      <c r="J955" s="5"/>
      <c r="K955" s="5"/>
      <c r="L955" s="39"/>
      <c r="M955" s="1497"/>
      <c r="N955" s="1432"/>
      <c r="O955" s="1432"/>
      <c r="P955" s="1432"/>
      <c r="Q955" s="1432"/>
      <c r="R955" s="1432"/>
      <c r="S955" s="1498"/>
      <c r="T955" s="38" t="s">
        <v>1709</v>
      </c>
      <c r="U955" s="5"/>
      <c r="V955" s="5"/>
      <c r="W955" s="5"/>
      <c r="X955" s="5"/>
      <c r="Y955" s="5"/>
      <c r="Z955" s="39"/>
      <c r="AA955" s="1497"/>
      <c r="AB955" s="1432"/>
      <c r="AC955" s="1432"/>
      <c r="AD955" s="1432"/>
      <c r="AE955" s="1432"/>
      <c r="AF955" s="1432"/>
      <c r="AG955" s="1498"/>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3" t="s">
        <v>1692</v>
      </c>
      <c r="G956" s="35"/>
      <c r="H956" s="35"/>
      <c r="I956" s="35"/>
      <c r="J956" s="35"/>
      <c r="K956" s="35"/>
      <c r="L956" s="51"/>
      <c r="M956" s="1508" t="s">
        <v>294</v>
      </c>
      <c r="N956" s="1509"/>
      <c r="O956" s="1509"/>
      <c r="P956" s="1509"/>
      <c r="Q956" s="1509"/>
      <c r="R956" s="1509"/>
      <c r="S956" s="1510"/>
      <c r="T956" s="1499"/>
      <c r="U956" s="1500"/>
      <c r="V956" s="1500"/>
      <c r="W956" s="1500"/>
      <c r="X956" s="1500"/>
      <c r="Y956" s="1500"/>
      <c r="Z956" s="1501"/>
      <c r="AA956" s="1497"/>
      <c r="AB956" s="1432"/>
      <c r="AC956" s="1432"/>
      <c r="AD956" s="1432"/>
      <c r="AE956" s="1432"/>
      <c r="AF956" s="1432"/>
      <c r="AG956" s="1498"/>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1710</v>
      </c>
      <c r="G957" s="35"/>
      <c r="H957" s="35"/>
      <c r="I957" s="35"/>
      <c r="J957" s="35"/>
      <c r="K957" s="35"/>
      <c r="L957" s="51"/>
      <c r="M957" s="1497"/>
      <c r="N957" s="1432"/>
      <c r="O957" s="1432"/>
      <c r="P957" s="1432"/>
      <c r="Q957" s="1432"/>
      <c r="R957" s="1432"/>
      <c r="S957" s="1498"/>
      <c r="T957" s="1499"/>
      <c r="U957" s="1500"/>
      <c r="V957" s="1500"/>
      <c r="W957" s="1500"/>
      <c r="X957" s="1500"/>
      <c r="Y957" s="1500"/>
      <c r="Z957" s="1501"/>
      <c r="AA957" s="1497"/>
      <c r="AB957" s="1432"/>
      <c r="AC957" s="1432"/>
      <c r="AD957" s="1432"/>
      <c r="AE957" s="1432"/>
      <c r="AF957" s="1432"/>
      <c r="AG957" s="1498"/>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1711</v>
      </c>
      <c r="G958" s="35"/>
      <c r="H958" s="35"/>
      <c r="I958" s="35"/>
      <c r="J958" s="35"/>
      <c r="K958" s="35"/>
      <c r="L958" s="35"/>
      <c r="M958" s="35"/>
      <c r="N958" s="35"/>
      <c r="O958" s="1310" t="s">
        <v>929</v>
      </c>
      <c r="P958" s="1311"/>
      <c r="Q958" s="68"/>
      <c r="R958" s="68"/>
      <c r="S958" s="69"/>
      <c r="T958" s="34" t="s">
        <v>232</v>
      </c>
      <c r="U958" s="35"/>
      <c r="V958" s="35"/>
      <c r="W958" s="1471" t="s">
        <v>1330</v>
      </c>
      <c r="X958" s="1472"/>
      <c r="Y958" s="1472"/>
      <c r="Z958" s="1472"/>
      <c r="AA958" s="1472"/>
      <c r="AB958" s="1472"/>
      <c r="AC958" s="1472"/>
      <c r="AD958" s="1472"/>
      <c r="AE958" s="1472"/>
      <c r="AF958" s="1472"/>
      <c r="AG958" s="1473"/>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27" t="s">
        <v>1712</v>
      </c>
      <c r="G959" s="1273"/>
      <c r="H959" s="1273"/>
      <c r="I959" s="1273"/>
      <c r="J959" s="1273"/>
      <c r="K959" s="1273"/>
      <c r="L959" s="1273"/>
      <c r="M959" s="1497"/>
      <c r="N959" s="1432"/>
      <c r="O959" s="1432"/>
      <c r="P959" s="1432"/>
      <c r="Q959" s="1432"/>
      <c r="R959" s="1432"/>
      <c r="S959" s="1498"/>
      <c r="T959" s="40"/>
      <c r="U959" s="41"/>
      <c r="V959" s="41"/>
      <c r="W959" s="41"/>
      <c r="X959" s="41"/>
      <c r="Y959" s="41"/>
      <c r="Z959" s="91" t="s">
        <v>1713</v>
      </c>
      <c r="AA959" s="1640"/>
      <c r="AB959" s="1641"/>
      <c r="AC959" s="1641"/>
      <c r="AD959" s="1641"/>
      <c r="AE959" s="1641"/>
      <c r="AF959" s="1641"/>
      <c r="AG959" s="1642"/>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91" t="s">
        <v>1714</v>
      </c>
      <c r="B963" s="1591"/>
      <c r="C963" s="1591"/>
      <c r="D963" s="1591"/>
      <c r="E963" s="1591"/>
      <c r="F963" s="1591"/>
      <c r="G963" s="1591"/>
      <c r="H963" s="1591"/>
      <c r="I963" s="1591"/>
      <c r="J963" s="1591"/>
      <c r="K963" s="1591"/>
      <c r="L963" s="1591"/>
      <c r="M963" s="1591"/>
      <c r="N963" s="1591"/>
      <c r="O963" s="1591"/>
      <c r="P963" s="1591"/>
      <c r="Q963" s="1591"/>
      <c r="R963" s="1591"/>
      <c r="S963" s="1591"/>
      <c r="T963" s="1591"/>
      <c r="U963" s="1591"/>
      <c r="V963" s="1591"/>
      <c r="W963" s="1591"/>
      <c r="X963" s="1591"/>
      <c r="Y963" s="1591"/>
      <c r="Z963" s="1591"/>
      <c r="AA963" s="1591"/>
      <c r="AB963" s="1591"/>
      <c r="AC963" s="1591"/>
      <c r="AD963" s="1591"/>
      <c r="AE963" s="1591"/>
      <c r="AF963" s="1591"/>
      <c r="AG963" s="1591"/>
      <c r="AH963" s="1591"/>
      <c r="AI963" s="1591"/>
      <c r="AJ963" s="1591"/>
      <c r="AK963" s="1591"/>
      <c r="AL963" s="1591"/>
      <c r="AM963" s="1591"/>
      <c r="AN963" s="1591"/>
      <c r="AO963" s="1591"/>
      <c r="AP963" s="1591"/>
      <c r="AQ963" s="1591"/>
      <c r="AR963" s="1591"/>
      <c r="AS963" s="1591"/>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91"/>
      <c r="B964" s="1591"/>
      <c r="C964" s="1591"/>
      <c r="D964" s="1591"/>
      <c r="E964" s="1591"/>
      <c r="F964" s="1591"/>
      <c r="G964" s="1591"/>
      <c r="H964" s="1591"/>
      <c r="I964" s="1591"/>
      <c r="J964" s="1591"/>
      <c r="K964" s="1591"/>
      <c r="L964" s="1591"/>
      <c r="M964" s="1591"/>
      <c r="N964" s="1591"/>
      <c r="O964" s="1591"/>
      <c r="P964" s="1591"/>
      <c r="Q964" s="1591"/>
      <c r="R964" s="1591"/>
      <c r="S964" s="1591"/>
      <c r="T964" s="1591"/>
      <c r="U964" s="1591"/>
      <c r="V964" s="1591"/>
      <c r="W964" s="1591"/>
      <c r="X964" s="1591"/>
      <c r="Y964" s="1591"/>
      <c r="Z964" s="1591"/>
      <c r="AA964" s="1591"/>
      <c r="AB964" s="1591"/>
      <c r="AC964" s="1591"/>
      <c r="AD964" s="1591"/>
      <c r="AE964" s="1591"/>
      <c r="AF964" s="1591"/>
      <c r="AG964" s="1591"/>
      <c r="AH964" s="1591"/>
      <c r="AI964" s="1591"/>
      <c r="AJ964" s="1591"/>
      <c r="AK964" s="1591"/>
      <c r="AL964" s="1591"/>
      <c r="AM964" s="1591"/>
      <c r="AN964" s="1591"/>
      <c r="AO964" s="1591"/>
      <c r="AP964" s="1591"/>
      <c r="AQ964" s="1591"/>
      <c r="AR964" s="1591"/>
      <c r="AS964" s="1591"/>
      <c r="AT964" s="71"/>
      <c r="AU964" s="71"/>
      <c r="AV964" s="71"/>
      <c r="AW964" s="71"/>
      <c r="AX964" s="71"/>
      <c r="AY964" s="71"/>
      <c r="BB964" s="3"/>
      <c r="BC964" s="3"/>
      <c r="BD964" s="3"/>
      <c r="BE964" s="3"/>
      <c r="BF964" s="3"/>
    </row>
    <row r="965" spans="1:110" s="14" customFormat="1" ht="12.75">
      <c r="D965"/>
      <c r="E965"/>
      <c r="F965"/>
      <c r="G965"/>
      <c r="H965"/>
      <c r="AL965" s="1084"/>
      <c r="AM965" s="1084"/>
      <c r="AN965" s="1084"/>
      <c r="AO965" s="1084"/>
      <c r="AP965" s="1084"/>
      <c r="AQ965" s="1084"/>
      <c r="AR965" s="1084"/>
      <c r="AS965" s="1084"/>
      <c r="AT965" s="1084"/>
      <c r="AU965" s="1084"/>
      <c r="AV965" s="1084"/>
      <c r="AW965" s="1084"/>
      <c r="AX965" s="1084"/>
      <c r="AY965" s="1084"/>
      <c r="BG965" s="1488"/>
      <c r="BH965" s="1488"/>
      <c r="BI965" s="1488"/>
      <c r="BJ965" s="1488"/>
      <c r="BK965" s="1488"/>
      <c r="BL965" s="1488"/>
    </row>
    <row r="966" spans="1:110" s="14" customFormat="1" ht="12.75">
      <c r="A966" s="2" t="s">
        <v>956</v>
      </c>
      <c r="B966"/>
      <c r="C966" s="2" t="s">
        <v>252</v>
      </c>
      <c r="D966"/>
      <c r="E966"/>
      <c r="F966"/>
      <c r="G966"/>
      <c r="H966"/>
      <c r="AL966" s="1084"/>
      <c r="AM966" s="1084"/>
      <c r="AN966" s="1084"/>
      <c r="AO966" s="1084"/>
      <c r="AP966" s="1084"/>
      <c r="AQ966" s="1084"/>
      <c r="AR966" s="1084"/>
      <c r="AS966" s="1084"/>
      <c r="AT966" s="1084"/>
      <c r="AU966" s="1084"/>
      <c r="AV966" s="1084"/>
      <c r="AW966" s="1084"/>
      <c r="AX966" s="1084"/>
      <c r="AY966" s="1084"/>
      <c r="BB966" s="872"/>
      <c r="BC966" s="872"/>
    </row>
    <row r="967" spans="1:110" s="14" customFormat="1" ht="12.75">
      <c r="A967" s="2"/>
      <c r="B967"/>
      <c r="C967" s="2"/>
      <c r="D967"/>
      <c r="E967"/>
      <c r="F967"/>
      <c r="G967"/>
      <c r="H967"/>
      <c r="AL967" s="1084"/>
      <c r="AM967" s="1084"/>
      <c r="AN967" s="1084"/>
      <c r="AO967" s="1084"/>
      <c r="AP967" s="1084"/>
      <c r="AQ967" s="1084"/>
      <c r="AR967" s="1084"/>
      <c r="AS967" s="1084"/>
      <c r="AT967" s="1084"/>
      <c r="AU967" s="1084"/>
      <c r="AV967" s="1084"/>
      <c r="AW967" s="1084"/>
      <c r="AX967" s="1084"/>
      <c r="AY967" s="1084"/>
      <c r="BB967" s="872"/>
      <c r="BC967" s="872"/>
    </row>
    <row r="968" spans="1:110" s="14" customFormat="1" ht="12.75">
      <c r="B968" s="62"/>
      <c r="C968" s="1085"/>
      <c r="D968" s="1634" t="s">
        <v>1715</v>
      </c>
      <c r="E968" s="1635"/>
      <c r="F968" s="1635"/>
      <c r="G968" s="1635"/>
      <c r="H968" s="1635"/>
      <c r="I968" s="1635"/>
      <c r="J968" s="1635"/>
      <c r="K968" s="1635"/>
      <c r="L968" s="1635"/>
      <c r="M968" s="1635"/>
      <c r="N968" s="1635"/>
      <c r="O968" s="1635"/>
      <c r="P968" s="1635"/>
      <c r="Q968" s="1636"/>
      <c r="R968" s="1634" t="s">
        <v>1716</v>
      </c>
      <c r="S968" s="1635"/>
      <c r="T968" s="1635"/>
      <c r="U968" s="1635"/>
      <c r="V968" s="1635"/>
      <c r="W968" s="1635"/>
      <c r="X968" s="1635"/>
      <c r="Y968" s="1635"/>
      <c r="Z968" s="1635"/>
      <c r="AA968" s="1636"/>
      <c r="AB968" s="1634" t="s">
        <v>1717</v>
      </c>
      <c r="AC968" s="1635"/>
      <c r="AD968" s="1635"/>
      <c r="AE968" s="1635"/>
      <c r="AF968" s="1635"/>
      <c r="AG968" s="1635"/>
      <c r="AH968" s="1635"/>
      <c r="AI968" s="1636"/>
      <c r="AJ968" s="1634" t="s">
        <v>1718</v>
      </c>
      <c r="AK968" s="1635"/>
      <c r="AL968" s="1635"/>
      <c r="AM968" s="1635"/>
      <c r="AN968" s="1635"/>
      <c r="AO968" s="1635"/>
      <c r="AP968" s="1635"/>
      <c r="AQ968" s="1636"/>
      <c r="AR968" s="1084"/>
      <c r="AS968" s="1084"/>
      <c r="AT968" s="1084"/>
      <c r="AU968" s="1084"/>
      <c r="AV968" s="1084"/>
      <c r="AW968" s="1084"/>
      <c r="AX968" s="1084"/>
      <c r="AY968" s="1084"/>
      <c r="AZ968" s="26"/>
    </row>
    <row r="969" spans="1:110" s="14" customFormat="1" ht="12.75">
      <c r="B969" s="59"/>
      <c r="C969" s="887"/>
      <c r="D969" s="1546" t="s">
        <v>1493</v>
      </c>
      <c r="E969" s="1547"/>
      <c r="F969" s="1547"/>
      <c r="G969" s="1547"/>
      <c r="H969" s="1547"/>
      <c r="I969" s="1547"/>
      <c r="J969" s="1547"/>
      <c r="K969" s="1547"/>
      <c r="L969" s="1547"/>
      <c r="M969" s="1547"/>
      <c r="N969" s="1547"/>
      <c r="O969" s="1547"/>
      <c r="P969" s="1547"/>
      <c r="Q969" s="1548"/>
      <c r="R969" s="1528">
        <f>IF(ISNA(IF($BN$799="4%",(INDEX($BP$809:$BT$866,MATCH($CB$799,$BO$809:$BO$866,0),MATCH(D969,$BP$808:$BT$808,0))),(INDEX($BW$809:$CA$866,MATCH($CB$799,$BV$809:$BV$866,0),MATCH(D969,$BW$808:$CA$808,0))))),0,IF($BN$799="4%",(INDEX($BP$809:$BT$866,MATCH($CB$799,$BO$809:$BO$866,0),MATCH(D969,$BP$808:$BT$808,0))),(INDEX($BW$809:$CA$866,MATCH($CB$799,$BV$809:$BV$866,0),MATCH(D969,$BW$808:$CA$808,0)))))</f>
        <v>268043</v>
      </c>
      <c r="S969" s="1528"/>
      <c r="T969" s="1528"/>
      <c r="U969" s="1528"/>
      <c r="V969" s="1528"/>
      <c r="W969" s="1528"/>
      <c r="X969" s="1528"/>
      <c r="Y969" s="1528"/>
      <c r="Z969" s="1528"/>
      <c r="AA969" s="1528"/>
      <c r="AB969" s="1637">
        <f>BN663</f>
        <v>0</v>
      </c>
      <c r="AC969" s="1638"/>
      <c r="AD969" s="1638"/>
      <c r="AE969" s="1638"/>
      <c r="AF969" s="1638"/>
      <c r="AG969" s="1638"/>
      <c r="AH969" s="1638"/>
      <c r="AI969" s="1639"/>
      <c r="AJ969" s="1550">
        <f>IF(ISERROR((R969*AB969)),0,(R969*AB969))</f>
        <v>0</v>
      </c>
      <c r="AK969" s="1551"/>
      <c r="AL969" s="1551"/>
      <c r="AM969" s="1551"/>
      <c r="AN969" s="1551"/>
      <c r="AO969" s="1551"/>
      <c r="AP969" s="1551"/>
      <c r="AQ969" s="1552"/>
      <c r="AR969" s="1084"/>
      <c r="AS969" s="1084"/>
      <c r="AT969" s="1084"/>
      <c r="AU969" s="1084"/>
      <c r="AV969" s="1084"/>
      <c r="AW969" s="1084"/>
      <c r="AX969" s="1084"/>
      <c r="AY969" s="1084"/>
      <c r="AZ969" s="26"/>
    </row>
    <row r="970" spans="1:110" s="14" customFormat="1" ht="12.75">
      <c r="B970" s="59"/>
      <c r="C970" s="63"/>
      <c r="D970" s="1546" t="s">
        <v>1494</v>
      </c>
      <c r="E970" s="1547"/>
      <c r="F970" s="1547"/>
      <c r="G970" s="1547"/>
      <c r="H970" s="1547"/>
      <c r="I970" s="1547"/>
      <c r="J970" s="1547"/>
      <c r="K970" s="1547"/>
      <c r="L970" s="1547"/>
      <c r="M970" s="1547"/>
      <c r="N970" s="1547"/>
      <c r="O970" s="1547"/>
      <c r="P970" s="1547"/>
      <c r="Q970" s="1548"/>
      <c r="R970" s="1528">
        <f>IF(ISNA(IF($BN$799="4%",(INDEX($BP$809:$BT$866,MATCH($CB$799,$BO$809:$BO$866,0),MATCH(D970,$BP$808:$BT$808,0))),(INDEX($BW$809:$CA$866,MATCH($CB$799,$BV$809:$BV$866,0),MATCH(D970,$BW$808:$CA$808,0))))),0,IF($BN$799="4%",(INDEX($BP$809:$BT$866,MATCH($CB$799,$BO$809:$BO$866,0),MATCH(D970,$BP$808:$BT$808,0))),(INDEX($BW$809:$CA$866,MATCH($CB$799,$BV$809:$BV$866,0),MATCH(D970,$BW$808:$CA$808,0)))))</f>
        <v>309051</v>
      </c>
      <c r="S970" s="1528"/>
      <c r="T970" s="1528"/>
      <c r="U970" s="1528"/>
      <c r="V970" s="1528"/>
      <c r="W970" s="1528"/>
      <c r="X970" s="1528"/>
      <c r="Y970" s="1528"/>
      <c r="Z970" s="1528"/>
      <c r="AA970" s="1528"/>
      <c r="AB970" s="1637">
        <f>BS663</f>
        <v>56</v>
      </c>
      <c r="AC970" s="1638"/>
      <c r="AD970" s="1638"/>
      <c r="AE970" s="1638"/>
      <c r="AF970" s="1638"/>
      <c r="AG970" s="1638"/>
      <c r="AH970" s="1638"/>
      <c r="AI970" s="1639"/>
      <c r="AJ970" s="1550">
        <f>IF(ISERROR((R970*AB970)),0,(R970*AB970))</f>
        <v>17306856</v>
      </c>
      <c r="AK970" s="1551"/>
      <c r="AL970" s="1551"/>
      <c r="AM970" s="1551"/>
      <c r="AN970" s="1551"/>
      <c r="AO970" s="1551"/>
      <c r="AP970" s="1551"/>
      <c r="AQ970" s="1552"/>
      <c r="AR970" s="1084"/>
      <c r="AS970" s="1084"/>
      <c r="AT970" s="1084"/>
      <c r="AU970" s="1084"/>
      <c r="AV970" s="1084"/>
      <c r="AW970" s="1084"/>
      <c r="AX970" s="1084"/>
      <c r="AY970" s="1084"/>
    </row>
    <row r="971" spans="1:110" s="14" customFormat="1" ht="12.75" customHeight="1">
      <c r="B971" s="59"/>
      <c r="C971" s="63"/>
      <c r="D971" s="1546" t="s">
        <v>1495</v>
      </c>
      <c r="E971" s="1547"/>
      <c r="F971" s="1547"/>
      <c r="G971" s="1547"/>
      <c r="H971" s="1547"/>
      <c r="I971" s="1547"/>
      <c r="J971" s="1547"/>
      <c r="K971" s="1547"/>
      <c r="L971" s="1547"/>
      <c r="M971" s="1547"/>
      <c r="N971" s="1547"/>
      <c r="O971" s="1547"/>
      <c r="P971" s="1547"/>
      <c r="Q971" s="1548"/>
      <c r="R971" s="1528">
        <f>IF(ISNA(IF($BN$799="4%",(INDEX($BP$809:$BT$866,MATCH($CB$799,$BO$809:$BO$866,0),MATCH(D971,$BP$808:$BT$808,0))),(INDEX($BW$809:$CA$866,MATCH($CB$799,$BV$809:$BV$866,0),MATCH(D971,$BW$808:$CA$808,0))))),0,IF($BN$799="4%",(INDEX($BP$809:$BT$866,MATCH($CB$799,$BO$809:$BO$866,0),MATCH(D971,$BP$808:$BT$808,0))),(INDEX($BW$809:$CA$866,MATCH($CB$799,$BV$809:$BV$866,0),MATCH(D971,$BW$808:$CA$808,0)))))</f>
        <v>372800</v>
      </c>
      <c r="S971" s="1528"/>
      <c r="T971" s="1528"/>
      <c r="U971" s="1528"/>
      <c r="V971" s="1528"/>
      <c r="W971" s="1528"/>
      <c r="X971" s="1528"/>
      <c r="Y971" s="1528"/>
      <c r="Z971" s="1528"/>
      <c r="AA971" s="1528"/>
      <c r="AB971" s="1637">
        <f>BX663</f>
        <v>32</v>
      </c>
      <c r="AC971" s="1638"/>
      <c r="AD971" s="1638"/>
      <c r="AE971" s="1638"/>
      <c r="AF971" s="1638"/>
      <c r="AG971" s="1638"/>
      <c r="AH971" s="1638"/>
      <c r="AI971" s="1639"/>
      <c r="AJ971" s="1550">
        <f>IF(ISERROR((R971*AB971)),0,(R971*AB971))</f>
        <v>11929600</v>
      </c>
      <c r="AK971" s="1551"/>
      <c r="AL971" s="1551"/>
      <c r="AM971" s="1551"/>
      <c r="AN971" s="1551"/>
      <c r="AO971" s="1551"/>
      <c r="AP971" s="1551"/>
      <c r="AQ971" s="1552"/>
      <c r="AR971" s="1084"/>
      <c r="AS971" s="1084"/>
      <c r="AT971" s="1084"/>
      <c r="AU971" s="1084"/>
      <c r="AV971" s="1084"/>
      <c r="AW971" s="1084"/>
      <c r="AX971" s="1084"/>
      <c r="AY971" s="1084"/>
    </row>
    <row r="972" spans="1:110" s="14" customFormat="1" ht="12.75">
      <c r="B972" s="59"/>
      <c r="C972" s="63"/>
      <c r="D972" s="1546" t="s">
        <v>1496</v>
      </c>
      <c r="E972" s="1547"/>
      <c r="F972" s="1547"/>
      <c r="G972" s="1547"/>
      <c r="H972" s="1547"/>
      <c r="I972" s="1547"/>
      <c r="J972" s="1547"/>
      <c r="K972" s="1547"/>
      <c r="L972" s="1547"/>
      <c r="M972" s="1547"/>
      <c r="N972" s="1547"/>
      <c r="O972" s="1547"/>
      <c r="P972" s="1547"/>
      <c r="Q972" s="1548"/>
      <c r="R972" s="1528">
        <f>IF(ISNA(IF($BN$799="4%",(INDEX($BP$809:$BT$866,MATCH($CB$799,$BO$809:$BO$866,0),MATCH(D972,$BP$808:$BT$808,0))),(INDEX($BW$809:$CA$866,MATCH($CB$799,$BV$809:$BV$866,0),MATCH(D972,$BW$808:$CA$808,0))))),0,IF($BN$799="4%",(INDEX($BP$809:$BT$866,MATCH($CB$799,$BO$809:$BO$866,0),MATCH(D972,$BP$808:$BT$808,0))),(INDEX($BW$809:$CA$866,MATCH($CB$799,$BV$809:$BV$866,0),MATCH(D972,$BW$808:$CA$808,0)))))</f>
        <v>477184</v>
      </c>
      <c r="S972" s="1528"/>
      <c r="T972" s="1528"/>
      <c r="U972" s="1528"/>
      <c r="V972" s="1528"/>
      <c r="W972" s="1528"/>
      <c r="X972" s="1528"/>
      <c r="Y972" s="1528"/>
      <c r="Z972" s="1528"/>
      <c r="AA972" s="1528"/>
      <c r="AB972" s="1637">
        <f>CC663</f>
        <v>32</v>
      </c>
      <c r="AC972" s="1638"/>
      <c r="AD972" s="1638"/>
      <c r="AE972" s="1638"/>
      <c r="AF972" s="1638"/>
      <c r="AG972" s="1638"/>
      <c r="AH972" s="1638"/>
      <c r="AI972" s="1639"/>
      <c r="AJ972" s="1550">
        <f>IF(ISERROR((R972*AB972)),0,(R972*AB972))</f>
        <v>15269888</v>
      </c>
      <c r="AK972" s="1551"/>
      <c r="AL972" s="1551"/>
      <c r="AM972" s="1551"/>
      <c r="AN972" s="1551"/>
      <c r="AO972" s="1551"/>
      <c r="AP972" s="1551"/>
      <c r="AQ972" s="1552"/>
      <c r="AR972" s="1084"/>
      <c r="AS972" s="1084"/>
      <c r="AT972" s="1084"/>
      <c r="AU972" s="1084"/>
      <c r="AV972" s="1084"/>
      <c r="AW972" s="1084"/>
      <c r="AX972" s="1084"/>
      <c r="AY972" s="1084"/>
    </row>
    <row r="973" spans="1:110" ht="12.75" customHeight="1">
      <c r="A973" s="14"/>
      <c r="B973" s="40"/>
      <c r="C973" s="61"/>
      <c r="D973" s="1546" t="s">
        <v>1497</v>
      </c>
      <c r="E973" s="1547"/>
      <c r="F973" s="1547"/>
      <c r="G973" s="1547"/>
      <c r="H973" s="1547"/>
      <c r="I973" s="1547"/>
      <c r="J973" s="1547"/>
      <c r="K973" s="1547"/>
      <c r="L973" s="1547"/>
      <c r="M973" s="1547"/>
      <c r="N973" s="1547"/>
      <c r="O973" s="1547"/>
      <c r="P973" s="1547"/>
      <c r="Q973" s="1548"/>
      <c r="R973" s="1528">
        <f>IF(ISNA(IF($BN$799="4%",(INDEX($BP$809:$BT$866,MATCH($CB$799,$BO$809:$BO$866,0),MATCH(D973,$BP$808:$BT$808,0))),(INDEX($BW$809:$CA$866,MATCH($CB$799,$BV$809:$BV$866,0),MATCH(D973,$BW$808:$CA$808,0))))),0,IF($BN$799="4%",(INDEX($BP$809:$BT$866,MATCH($CB$799,$BO$809:$BO$866,0),MATCH(D973,$BP$808:$BT$808,0))),(INDEX($BW$809:$CA$866,MATCH($CB$799,$BV$809:$BV$866,0),MATCH(D973,$BW$808:$CA$808,0)))))</f>
        <v>531613</v>
      </c>
      <c r="S973" s="1528"/>
      <c r="T973" s="1528"/>
      <c r="U973" s="1528"/>
      <c r="V973" s="1528"/>
      <c r="W973" s="1528"/>
      <c r="X973" s="1528"/>
      <c r="Y973" s="1528"/>
      <c r="Z973" s="1528"/>
      <c r="AA973" s="1528"/>
      <c r="AB973" s="1637">
        <f>CM663+CH663</f>
        <v>0</v>
      </c>
      <c r="AC973" s="1638"/>
      <c r="AD973" s="1638"/>
      <c r="AE973" s="1638"/>
      <c r="AF973" s="1638"/>
      <c r="AG973" s="1638"/>
      <c r="AH973" s="1638"/>
      <c r="AI973" s="1639"/>
      <c r="AJ973" s="1550">
        <f>IF(ISERROR((R973*AB973)),0,(R973*AB973))</f>
        <v>0</v>
      </c>
      <c r="AK973" s="1551"/>
      <c r="AL973" s="1551"/>
      <c r="AM973" s="1551"/>
      <c r="AN973" s="1551"/>
      <c r="AO973" s="1551"/>
      <c r="AP973" s="1551"/>
      <c r="AQ973" s="1552"/>
      <c r="AR973" s="1084"/>
      <c r="AS973" s="1084"/>
      <c r="AT973" s="1084"/>
      <c r="AU973" s="1084"/>
      <c r="AV973" s="1084"/>
      <c r="AW973" s="1084"/>
      <c r="AX973" s="1084"/>
      <c r="AY973" s="1084"/>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656" t="s">
        <v>1719</v>
      </c>
      <c r="C974" s="1657"/>
      <c r="D974" s="1657"/>
      <c r="E974" s="1657"/>
      <c r="F974" s="1657"/>
      <c r="G974" s="1657"/>
      <c r="H974" s="1657"/>
      <c r="I974" s="1657"/>
      <c r="J974" s="1657"/>
      <c r="K974" s="1657"/>
      <c r="L974" s="1657"/>
      <c r="M974" s="1657"/>
      <c r="N974" s="1657"/>
      <c r="O974" s="1657"/>
      <c r="P974" s="1657"/>
      <c r="Q974" s="1657"/>
      <c r="R974" s="1657"/>
      <c r="S974" s="1657"/>
      <c r="T974" s="1657"/>
      <c r="U974" s="1657"/>
      <c r="V974" s="1657"/>
      <c r="W974" s="1657"/>
      <c r="X974" s="1657"/>
      <c r="Y974" s="1657"/>
      <c r="Z974" s="1657"/>
      <c r="AA974" s="1658"/>
      <c r="AB974" s="1637">
        <f>SUM(AB969:AI973)</f>
        <v>120</v>
      </c>
      <c r="AC974" s="1638"/>
      <c r="AD974" s="1638"/>
      <c r="AE974" s="1638"/>
      <c r="AF974" s="1638"/>
      <c r="AG974" s="1638"/>
      <c r="AH974" s="1638"/>
      <c r="AI974" s="1639"/>
      <c r="AJ974" s="1550"/>
      <c r="AK974" s="1551"/>
      <c r="AL974" s="1551"/>
      <c r="AM974" s="1551"/>
      <c r="AN974" s="1551"/>
      <c r="AO974" s="1551"/>
      <c r="AP974" s="1551"/>
      <c r="AQ974" s="1552"/>
      <c r="AR974" s="1084"/>
      <c r="AS974" s="1084"/>
      <c r="AT974" s="1084"/>
      <c r="AU974" s="1084"/>
      <c r="AV974" s="1084"/>
      <c r="AW974" s="1084"/>
      <c r="AX974" s="1084"/>
      <c r="AY974" s="1084"/>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689" t="s">
        <v>1720</v>
      </c>
      <c r="C975" s="1690"/>
      <c r="D975" s="1690"/>
      <c r="E975" s="1690"/>
      <c r="F975" s="1690"/>
      <c r="G975" s="1690"/>
      <c r="H975" s="1690"/>
      <c r="I975" s="1690"/>
      <c r="J975" s="1690"/>
      <c r="K975" s="1690"/>
      <c r="L975" s="1690"/>
      <c r="M975" s="1690"/>
      <c r="N975" s="1690"/>
      <c r="O975" s="1690"/>
      <c r="P975" s="1690"/>
      <c r="Q975" s="1690"/>
      <c r="R975" s="1690"/>
      <c r="S975" s="1690"/>
      <c r="T975" s="1690"/>
      <c r="U975" s="1690"/>
      <c r="V975" s="1690"/>
      <c r="W975" s="1690"/>
      <c r="X975" s="1690"/>
      <c r="Y975" s="1690"/>
      <c r="Z975" s="1690"/>
      <c r="AA975" s="1690"/>
      <c r="AB975" s="1690"/>
      <c r="AC975" s="1690"/>
      <c r="AD975" s="1690"/>
      <c r="AE975" s="1690"/>
      <c r="AF975" s="1690"/>
      <c r="AG975" s="1690"/>
      <c r="AH975" s="1690"/>
      <c r="AI975" s="1691"/>
      <c r="AJ975" s="1550">
        <f>SUM(AJ969:AQ973)</f>
        <v>44506344</v>
      </c>
      <c r="AK975" s="1551"/>
      <c r="AL975" s="1551"/>
      <c r="AM975" s="1551"/>
      <c r="AN975" s="1551"/>
      <c r="AO975" s="1551"/>
      <c r="AP975" s="1551"/>
      <c r="AQ975" s="1552"/>
      <c r="AR975" s="1084"/>
      <c r="AS975" s="1084"/>
      <c r="AT975" s="1084"/>
      <c r="AU975" s="1084"/>
      <c r="AV975" s="1084"/>
      <c r="AW975" s="1084"/>
      <c r="AX975" s="1084"/>
      <c r="AY975" s="1084"/>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27"/>
      <c r="C976" s="1628"/>
      <c r="D976" s="1628"/>
      <c r="E976" s="1628"/>
      <c r="F976" s="1628"/>
      <c r="G976" s="1628"/>
      <c r="H976" s="1628"/>
      <c r="I976" s="1628"/>
      <c r="J976" s="1628"/>
      <c r="K976" s="1628"/>
      <c r="L976" s="1628"/>
      <c r="M976" s="1628"/>
      <c r="N976" s="1628"/>
      <c r="O976" s="1628"/>
      <c r="P976" s="1628"/>
      <c r="Q976" s="1628"/>
      <c r="R976" s="1628"/>
      <c r="S976" s="1628"/>
      <c r="T976" s="1628"/>
      <c r="U976" s="1628"/>
      <c r="V976" s="1628"/>
      <c r="W976" s="1628"/>
      <c r="X976" s="1628"/>
      <c r="Y976" s="1628"/>
      <c r="Z976" s="1628"/>
      <c r="AA976" s="1628"/>
      <c r="AB976" s="1628"/>
      <c r="AC976" s="1628"/>
      <c r="AD976" s="1628"/>
      <c r="AE976" s="1629"/>
      <c r="AF976" s="1692" t="s">
        <v>1721</v>
      </c>
      <c r="AG976" s="1693"/>
      <c r="AH976" s="1693"/>
      <c r="AI976" s="1694"/>
      <c r="AJ976" s="1627"/>
      <c r="AK976" s="1628"/>
      <c r="AL976" s="1628"/>
      <c r="AM976" s="1628"/>
      <c r="AN976" s="1628"/>
      <c r="AO976" s="1628"/>
      <c r="AP976" s="1628"/>
      <c r="AQ976" s="1629"/>
      <c r="AR976" s="1084"/>
      <c r="AS976" s="1084"/>
      <c r="AT976" s="1084"/>
      <c r="AU976" s="1084"/>
      <c r="AV976" s="1084"/>
      <c r="AW976" s="1084"/>
      <c r="AX976" s="1084"/>
      <c r="AY976" s="1084"/>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6" t="s">
        <v>1722</v>
      </c>
      <c r="D977" s="1630" t="s">
        <v>1723</v>
      </c>
      <c r="E977" s="1631"/>
      <c r="F977" s="1631"/>
      <c r="G977" s="1631"/>
      <c r="H977" s="1631"/>
      <c r="I977" s="1631"/>
      <c r="J977" s="1631"/>
      <c r="K977" s="1631"/>
      <c r="L977" s="1631"/>
      <c r="M977" s="1631"/>
      <c r="N977" s="1631"/>
      <c r="O977" s="1631"/>
      <c r="P977" s="1631"/>
      <c r="Q977" s="1631"/>
      <c r="R977" s="1631"/>
      <c r="S977" s="1631"/>
      <c r="T977" s="1631"/>
      <c r="U977" s="1631"/>
      <c r="V977" s="1631"/>
      <c r="W977" s="1631"/>
      <c r="X977" s="1631"/>
      <c r="Y977" s="1631"/>
      <c r="Z977" s="1631"/>
      <c r="AA977" s="1631"/>
      <c r="AB977" s="1631"/>
      <c r="AC977" s="1631"/>
      <c r="AD977" s="1631"/>
      <c r="AE977" s="1632"/>
      <c r="AF977" s="62"/>
      <c r="AG977" s="1695" t="s">
        <v>929</v>
      </c>
      <c r="AH977" s="1696"/>
      <c r="AI977" s="65"/>
      <c r="AJ977" s="1612">
        <f>ROUND(IF(AND(AG977="yes",D979&gt;0),AJ975*0.2,0),0)</f>
        <v>0</v>
      </c>
      <c r="AK977" s="1613"/>
      <c r="AL977" s="1613"/>
      <c r="AM977" s="1613"/>
      <c r="AN977" s="1613"/>
      <c r="AO977" s="1613"/>
      <c r="AP977" s="1613"/>
      <c r="AQ977" s="1614"/>
      <c r="AR977" s="1084"/>
      <c r="AS977" s="1084"/>
      <c r="AT977" s="1084"/>
      <c r="AU977" s="1084"/>
      <c r="AV977" s="1084"/>
      <c r="AW977" s="1084"/>
      <c r="AX977" s="1084"/>
      <c r="AY977" s="1084"/>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7"/>
      <c r="C978" s="1088"/>
      <c r="D978" s="1659" t="s">
        <v>1724</v>
      </c>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1"/>
      <c r="AF978" s="59"/>
      <c r="AG978" s="14"/>
      <c r="AH978" s="14"/>
      <c r="AI978" s="63"/>
      <c r="AJ978" s="1615"/>
      <c r="AK978" s="1344"/>
      <c r="AL978" s="1344"/>
      <c r="AM978" s="1344"/>
      <c r="AN978" s="1344"/>
      <c r="AO978" s="1344"/>
      <c r="AP978" s="1344"/>
      <c r="AQ978" s="1616"/>
      <c r="AR978" s="1084"/>
      <c r="AS978" s="1084"/>
      <c r="AT978" s="1084"/>
      <c r="AU978" s="1084"/>
      <c r="AV978" s="1084"/>
      <c r="AW978" s="1084"/>
      <c r="AX978" s="1084"/>
      <c r="AY978" s="1084"/>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087"/>
      <c r="C979" s="1088"/>
      <c r="D979" s="1662"/>
      <c r="E979" s="1663"/>
      <c r="F979" s="1663"/>
      <c r="G979" s="1663"/>
      <c r="H979" s="1663"/>
      <c r="I979" s="1663"/>
      <c r="J979" s="1663"/>
      <c r="K979" s="1663"/>
      <c r="L979" s="1663"/>
      <c r="M979" s="1663"/>
      <c r="N979" s="1663"/>
      <c r="O979" s="1663"/>
      <c r="P979" s="1663"/>
      <c r="Q979" s="1663"/>
      <c r="R979" s="1663"/>
      <c r="S979" s="1663"/>
      <c r="T979" s="1663"/>
      <c r="U979" s="1663"/>
      <c r="V979" s="1663"/>
      <c r="W979" s="1663"/>
      <c r="X979" s="1663"/>
      <c r="Y979" s="1663"/>
      <c r="Z979" s="1663"/>
      <c r="AA979" s="1663"/>
      <c r="AB979" s="1663"/>
      <c r="AC979" s="1663"/>
      <c r="AD979" s="1663"/>
      <c r="AE979" s="1664"/>
      <c r="AF979" s="60"/>
      <c r="AG979" s="7"/>
      <c r="AH979" s="7"/>
      <c r="AI979" s="61"/>
      <c r="AJ979" s="1617"/>
      <c r="AK979" s="1618"/>
      <c r="AL979" s="1618"/>
      <c r="AM979" s="1618"/>
      <c r="AN979" s="1618"/>
      <c r="AO979" s="1618"/>
      <c r="AP979" s="1618"/>
      <c r="AQ979" s="1619"/>
      <c r="AR979" s="1084"/>
      <c r="AS979" s="1084"/>
      <c r="AT979" s="1084"/>
      <c r="AU979" s="1084"/>
      <c r="AV979" s="1084"/>
      <c r="AW979" s="1084"/>
      <c r="AX979" s="1084"/>
      <c r="AY979" s="1084"/>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9"/>
      <c r="C980" s="1090"/>
      <c r="D980" s="1595" t="s">
        <v>1725</v>
      </c>
      <c r="E980" s="1596"/>
      <c r="F980" s="1596"/>
      <c r="G980" s="1596"/>
      <c r="H980" s="1596"/>
      <c r="I980" s="1596"/>
      <c r="J980" s="1596"/>
      <c r="K980" s="1596"/>
      <c r="L980" s="1596"/>
      <c r="M980" s="1596"/>
      <c r="N980" s="1596"/>
      <c r="O980" s="1596"/>
      <c r="P980" s="1596"/>
      <c r="Q980" s="1596"/>
      <c r="R980" s="1596"/>
      <c r="S980" s="1596"/>
      <c r="T980" s="1596"/>
      <c r="U980" s="1596"/>
      <c r="V980" s="1596"/>
      <c r="W980" s="1596"/>
      <c r="X980" s="1596"/>
      <c r="Y980" s="1596"/>
      <c r="Z980" s="1596"/>
      <c r="AA980" s="1596"/>
      <c r="AB980" s="1596"/>
      <c r="AC980" s="1596"/>
      <c r="AD980" s="1596"/>
      <c r="AE980" s="1597"/>
      <c r="AF980" s="62"/>
      <c r="AG980" s="1605" t="s">
        <v>929</v>
      </c>
      <c r="AH980" s="1606"/>
      <c r="AI980" s="65"/>
      <c r="AJ980" s="1612">
        <f>ROUND(IF(AG980="yes",AJ975*0.05,0),0)</f>
        <v>0</v>
      </c>
      <c r="AK980" s="1613"/>
      <c r="AL980" s="1613"/>
      <c r="AM980" s="1613"/>
      <c r="AN980" s="1613"/>
      <c r="AO980" s="1613"/>
      <c r="AP980" s="1613"/>
      <c r="AQ980" s="1614"/>
      <c r="AR980" s="1084"/>
      <c r="AS980" s="1084"/>
      <c r="AT980" s="1084"/>
      <c r="AU980" s="1084"/>
      <c r="AV980" s="1084"/>
      <c r="AW980" s="1084"/>
      <c r="AX980" s="1084"/>
      <c r="AY980" s="1084"/>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087"/>
      <c r="C981" s="1091"/>
      <c r="D981" s="1659" t="s">
        <v>1726</v>
      </c>
      <c r="E981" s="1660"/>
      <c r="F981" s="1660"/>
      <c r="G981" s="1660"/>
      <c r="H981" s="1660"/>
      <c r="I981" s="1660"/>
      <c r="J981" s="1660"/>
      <c r="K981" s="1660"/>
      <c r="L981" s="1660"/>
      <c r="M981" s="1660"/>
      <c r="N981" s="1660"/>
      <c r="O981" s="1660"/>
      <c r="P981" s="1660"/>
      <c r="Q981" s="1660"/>
      <c r="R981" s="1660"/>
      <c r="S981" s="1660"/>
      <c r="T981" s="1660"/>
      <c r="U981" s="1660"/>
      <c r="V981" s="1660"/>
      <c r="W981" s="1660"/>
      <c r="X981" s="1660"/>
      <c r="Y981" s="1660"/>
      <c r="Z981" s="1660"/>
      <c r="AA981" s="1660"/>
      <c r="AB981" s="1660"/>
      <c r="AC981" s="1660"/>
      <c r="AD981" s="1660"/>
      <c r="AE981" s="1661"/>
      <c r="AF981" s="59"/>
      <c r="AG981" s="14"/>
      <c r="AH981" s="14"/>
      <c r="AI981" s="63"/>
      <c r="AJ981" s="1615"/>
      <c r="AK981" s="1344"/>
      <c r="AL981" s="1344"/>
      <c r="AM981" s="1344"/>
      <c r="AN981" s="1344"/>
      <c r="AO981" s="1344"/>
      <c r="AP981" s="1344"/>
      <c r="AQ981" s="1616"/>
      <c r="AR981" s="1084"/>
      <c r="AS981" s="1084"/>
      <c r="AT981" s="1084"/>
      <c r="AU981" s="1084"/>
      <c r="AV981" s="1084"/>
      <c r="AW981" s="1084"/>
      <c r="AX981" s="1084"/>
      <c r="AY981" s="1084"/>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7"/>
      <c r="C982" s="1091"/>
      <c r="D982" s="1659"/>
      <c r="E982" s="1660"/>
      <c r="F982" s="1660"/>
      <c r="G982" s="1660"/>
      <c r="H982" s="1660"/>
      <c r="I982" s="1660"/>
      <c r="J982" s="1660"/>
      <c r="K982" s="1660"/>
      <c r="L982" s="1660"/>
      <c r="M982" s="1660"/>
      <c r="N982" s="1660"/>
      <c r="O982" s="1660"/>
      <c r="P982" s="1660"/>
      <c r="Q982" s="1660"/>
      <c r="R982" s="1660"/>
      <c r="S982" s="1660"/>
      <c r="T982" s="1660"/>
      <c r="U982" s="1660"/>
      <c r="V982" s="1660"/>
      <c r="W982" s="1660"/>
      <c r="X982" s="1660"/>
      <c r="Y982" s="1660"/>
      <c r="Z982" s="1660"/>
      <c r="AA982" s="1660"/>
      <c r="AB982" s="1660"/>
      <c r="AC982" s="1660"/>
      <c r="AD982" s="1660"/>
      <c r="AE982" s="1661"/>
      <c r="AF982" s="59"/>
      <c r="AG982" s="14"/>
      <c r="AH982" s="14"/>
      <c r="AI982" s="63"/>
      <c r="AJ982" s="1615"/>
      <c r="AK982" s="1344"/>
      <c r="AL982" s="1344"/>
      <c r="AM982" s="1344"/>
      <c r="AN982" s="1344"/>
      <c r="AO982" s="1344"/>
      <c r="AP982" s="1344"/>
      <c r="AQ982" s="1616"/>
      <c r="AR982" s="1084"/>
      <c r="AS982" s="1084"/>
      <c r="AT982" s="1084"/>
      <c r="AU982" s="1084"/>
      <c r="AV982" s="1084"/>
      <c r="AW982" s="1084"/>
      <c r="AX982" s="1084"/>
      <c r="AY982" s="1084"/>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7"/>
      <c r="C983" s="1091"/>
      <c r="D983" s="1659"/>
      <c r="E983" s="1660"/>
      <c r="F983" s="1660"/>
      <c r="G983" s="1660"/>
      <c r="H983" s="1660"/>
      <c r="I983" s="1660"/>
      <c r="J983" s="1660"/>
      <c r="K983" s="1660"/>
      <c r="L983" s="1660"/>
      <c r="M983" s="1660"/>
      <c r="N983" s="1660"/>
      <c r="O983" s="1660"/>
      <c r="P983" s="1660"/>
      <c r="Q983" s="1660"/>
      <c r="R983" s="1660"/>
      <c r="S983" s="1660"/>
      <c r="T983" s="1660"/>
      <c r="U983" s="1660"/>
      <c r="V983" s="1660"/>
      <c r="W983" s="1660"/>
      <c r="X983" s="1660"/>
      <c r="Y983" s="1660"/>
      <c r="Z983" s="1660"/>
      <c r="AA983" s="1660"/>
      <c r="AB983" s="1660"/>
      <c r="AC983" s="1660"/>
      <c r="AD983" s="1660"/>
      <c r="AE983" s="1661"/>
      <c r="AF983" s="59"/>
      <c r="AG983" s="14"/>
      <c r="AH983" s="14"/>
      <c r="AI983" s="63"/>
      <c r="AJ983" s="1615"/>
      <c r="AK983" s="1344"/>
      <c r="AL983" s="1344"/>
      <c r="AM983" s="1344"/>
      <c r="AN983" s="1344"/>
      <c r="AO983" s="1344"/>
      <c r="AP983" s="1344"/>
      <c r="AQ983" s="1616"/>
      <c r="AR983" s="1084"/>
      <c r="AS983" s="1084"/>
      <c r="AT983" s="1084"/>
      <c r="AU983" s="1084"/>
      <c r="AV983" s="1084"/>
      <c r="AW983" s="1084"/>
      <c r="AX983" s="1084"/>
      <c r="AY983" s="1084"/>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7"/>
      <c r="C984" s="1091"/>
      <c r="D984" s="1659"/>
      <c r="E984" s="1660"/>
      <c r="F984" s="1660"/>
      <c r="G984" s="1660"/>
      <c r="H984" s="1660"/>
      <c r="I984" s="1660"/>
      <c r="J984" s="1660"/>
      <c r="K984" s="1660"/>
      <c r="L984" s="1660"/>
      <c r="M984" s="1660"/>
      <c r="N984" s="1660"/>
      <c r="O984" s="1660"/>
      <c r="P984" s="1660"/>
      <c r="Q984" s="1660"/>
      <c r="R984" s="1660"/>
      <c r="S984" s="1660"/>
      <c r="T984" s="1660"/>
      <c r="U984" s="1660"/>
      <c r="V984" s="1660"/>
      <c r="W984" s="1660"/>
      <c r="X984" s="1660"/>
      <c r="Y984" s="1660"/>
      <c r="Z984" s="1660"/>
      <c r="AA984" s="1660"/>
      <c r="AB984" s="1660"/>
      <c r="AC984" s="1660"/>
      <c r="AD984" s="1660"/>
      <c r="AE984" s="1661"/>
      <c r="AF984" s="59"/>
      <c r="AG984" s="14"/>
      <c r="AH984" s="14"/>
      <c r="AI984" s="63"/>
      <c r="AJ984" s="1615"/>
      <c r="AK984" s="1344"/>
      <c r="AL984" s="1344"/>
      <c r="AM984" s="1344"/>
      <c r="AN984" s="1344"/>
      <c r="AO984" s="1344"/>
      <c r="AP984" s="1344"/>
      <c r="AQ984" s="1616"/>
      <c r="AR984" s="1084"/>
      <c r="AS984" s="1084"/>
      <c r="AT984" s="1084"/>
      <c r="AU984" s="1084"/>
      <c r="AV984" s="1084"/>
      <c r="AW984" s="1084"/>
      <c r="AX984" s="1084"/>
      <c r="AY984" s="1084"/>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2"/>
      <c r="C985" s="1093"/>
      <c r="D985" s="1665"/>
      <c r="E985" s="1666"/>
      <c r="F985" s="1666"/>
      <c r="G985" s="1666"/>
      <c r="H985" s="1666"/>
      <c r="I985" s="1666"/>
      <c r="J985" s="1666"/>
      <c r="K985" s="1666"/>
      <c r="L985" s="1666"/>
      <c r="M985" s="1666"/>
      <c r="N985" s="1666"/>
      <c r="O985" s="1666"/>
      <c r="P985" s="1666"/>
      <c r="Q985" s="1666"/>
      <c r="R985" s="1666"/>
      <c r="S985" s="1666"/>
      <c r="T985" s="1666"/>
      <c r="U985" s="1666"/>
      <c r="V985" s="1666"/>
      <c r="W985" s="1666"/>
      <c r="X985" s="1666"/>
      <c r="Y985" s="1666"/>
      <c r="Z985" s="1666"/>
      <c r="AA985" s="1666"/>
      <c r="AB985" s="1666"/>
      <c r="AC985" s="1666"/>
      <c r="AD985" s="1666"/>
      <c r="AE985" s="1667"/>
      <c r="AF985" s="60"/>
      <c r="AG985" s="7"/>
      <c r="AH985" s="7"/>
      <c r="AI985" s="61"/>
      <c r="AJ985" s="1617"/>
      <c r="AK985" s="1618"/>
      <c r="AL985" s="1618"/>
      <c r="AM985" s="1618"/>
      <c r="AN985" s="1618"/>
      <c r="AO985" s="1618"/>
      <c r="AP985" s="1618"/>
      <c r="AQ985" s="1619"/>
      <c r="AR985" s="1084"/>
      <c r="AS985" s="1084"/>
      <c r="AT985" s="1084"/>
      <c r="AU985" s="1084"/>
      <c r="AV985" s="1084"/>
      <c r="AW985" s="1084"/>
      <c r="AX985" s="1084"/>
      <c r="AY985" s="1084"/>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9"/>
      <c r="C986" s="267" t="s">
        <v>1727</v>
      </c>
      <c r="D986" s="1595" t="s">
        <v>1728</v>
      </c>
      <c r="E986" s="1596"/>
      <c r="F986" s="1596"/>
      <c r="G986" s="1596"/>
      <c r="H986" s="1596"/>
      <c r="I986" s="1596"/>
      <c r="J986" s="1596"/>
      <c r="K986" s="1596"/>
      <c r="L986" s="1596"/>
      <c r="M986" s="1596"/>
      <c r="N986" s="1596"/>
      <c r="O986" s="1596"/>
      <c r="P986" s="1596"/>
      <c r="Q986" s="1596"/>
      <c r="R986" s="1596"/>
      <c r="S986" s="1596"/>
      <c r="T986" s="1596"/>
      <c r="U986" s="1596"/>
      <c r="V986" s="1596"/>
      <c r="W986" s="1596"/>
      <c r="X986" s="1596"/>
      <c r="Y986" s="1596"/>
      <c r="Z986" s="1596"/>
      <c r="AA986" s="1596"/>
      <c r="AB986" s="1596"/>
      <c r="AC986" s="1596"/>
      <c r="AD986" s="1596"/>
      <c r="AE986" s="1597"/>
      <c r="AF986" s="64"/>
      <c r="AG986" s="1605" t="s">
        <v>929</v>
      </c>
      <c r="AH986" s="1606"/>
      <c r="AI986" s="65"/>
      <c r="AJ986" s="1612">
        <f>ROUND(IF(AG986="yes",AJ975*0.1,0),0)</f>
        <v>0</v>
      </c>
      <c r="AK986" s="1613"/>
      <c r="AL986" s="1613"/>
      <c r="AM986" s="1613"/>
      <c r="AN986" s="1613"/>
      <c r="AO986" s="1613"/>
      <c r="AP986" s="1613"/>
      <c r="AQ986" s="1614"/>
      <c r="AR986" s="1084"/>
      <c r="AS986" s="1084"/>
      <c r="AT986" s="1084"/>
      <c r="AU986" s="1084"/>
      <c r="AV986" s="1084"/>
      <c r="AW986" s="1084"/>
      <c r="AX986" s="1084"/>
      <c r="AY986" s="1084"/>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4"/>
      <c r="D987" s="1598" t="s">
        <v>1729</v>
      </c>
      <c r="E987" s="1599"/>
      <c r="F987" s="1599"/>
      <c r="G987" s="1599"/>
      <c r="H987" s="1599"/>
      <c r="I987" s="1599"/>
      <c r="J987" s="1599"/>
      <c r="K987" s="1599"/>
      <c r="L987" s="1599"/>
      <c r="M987" s="1599"/>
      <c r="N987" s="1599"/>
      <c r="O987" s="1599"/>
      <c r="P987" s="1599"/>
      <c r="Q987" s="1599"/>
      <c r="R987" s="1599"/>
      <c r="S987" s="1599"/>
      <c r="T987" s="1599"/>
      <c r="U987" s="1599"/>
      <c r="V987" s="1599"/>
      <c r="W987" s="1599"/>
      <c r="X987" s="1599"/>
      <c r="Y987" s="1599"/>
      <c r="Z987" s="1599"/>
      <c r="AA987" s="1599"/>
      <c r="AB987" s="1599"/>
      <c r="AC987" s="1599"/>
      <c r="AD987" s="1599"/>
      <c r="AE987" s="1600"/>
      <c r="AF987" s="59"/>
      <c r="AI987" s="63"/>
      <c r="AJ987" s="1615"/>
      <c r="AK987" s="1344"/>
      <c r="AL987" s="1344"/>
      <c r="AM987" s="1344"/>
      <c r="AN987" s="1344"/>
      <c r="AO987" s="1344"/>
      <c r="AP987" s="1344"/>
      <c r="AQ987" s="1616"/>
      <c r="AR987" s="1084"/>
      <c r="AS987" s="1084"/>
      <c r="AT987" s="1084"/>
      <c r="AU987" s="1084"/>
      <c r="AV987" s="1084"/>
      <c r="AW987" s="1084"/>
      <c r="AX987" s="1084"/>
      <c r="AY987" s="1084"/>
      <c r="AZ987" s="3"/>
      <c r="BA987" s="874">
        <f>G753+O796</f>
        <v>119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4"/>
      <c r="D988" s="1598"/>
      <c r="E988" s="1599"/>
      <c r="F988" s="1599"/>
      <c r="G988" s="1599"/>
      <c r="H988" s="1599"/>
      <c r="I988" s="1599"/>
      <c r="J988" s="1599"/>
      <c r="K988" s="1599"/>
      <c r="L988" s="1599"/>
      <c r="M988" s="1599"/>
      <c r="N988" s="1599"/>
      <c r="O988" s="1599"/>
      <c r="P988" s="1599"/>
      <c r="Q988" s="1599"/>
      <c r="R988" s="1599"/>
      <c r="S988" s="1599"/>
      <c r="T988" s="1599"/>
      <c r="U988" s="1599"/>
      <c r="V988" s="1599"/>
      <c r="W988" s="1599"/>
      <c r="X988" s="1599"/>
      <c r="Y988" s="1599"/>
      <c r="Z988" s="1599"/>
      <c r="AA988" s="1599"/>
      <c r="AB988" s="1599"/>
      <c r="AC988" s="1599"/>
      <c r="AD988" s="1599"/>
      <c r="AE988" s="1600"/>
      <c r="AF988" s="59"/>
      <c r="AG988" s="14"/>
      <c r="AH988" s="14"/>
      <c r="AI988" s="63"/>
      <c r="AJ988" s="1615"/>
      <c r="AK988" s="1344"/>
      <c r="AL988" s="1344"/>
      <c r="AM988" s="1344"/>
      <c r="AN988" s="1344"/>
      <c r="AO988" s="1344"/>
      <c r="AP988" s="1344"/>
      <c r="AQ988" s="1616"/>
      <c r="AR988" s="1084"/>
      <c r="AS988" s="1084"/>
      <c r="AT988" s="1084"/>
      <c r="AU988" s="1084"/>
      <c r="AV988" s="1084"/>
      <c r="AW988" s="1084"/>
      <c r="AX988" s="1084"/>
      <c r="AY988" s="1084"/>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5"/>
      <c r="C989" s="1093"/>
      <c r="D989" s="1609"/>
      <c r="E989" s="1610"/>
      <c r="F989" s="1610"/>
      <c r="G989" s="1610"/>
      <c r="H989" s="1610"/>
      <c r="I989" s="1610"/>
      <c r="J989" s="1610"/>
      <c r="K989" s="1610"/>
      <c r="L989" s="1610"/>
      <c r="M989" s="1610"/>
      <c r="N989" s="1610"/>
      <c r="O989" s="1610"/>
      <c r="P989" s="1610"/>
      <c r="Q989" s="1610"/>
      <c r="R989" s="1610"/>
      <c r="S989" s="1610"/>
      <c r="T989" s="1610"/>
      <c r="U989" s="1610"/>
      <c r="V989" s="1610"/>
      <c r="W989" s="1610"/>
      <c r="X989" s="1610"/>
      <c r="Y989" s="1610"/>
      <c r="Z989" s="1610"/>
      <c r="AA989" s="1610"/>
      <c r="AB989" s="1610"/>
      <c r="AC989" s="1610"/>
      <c r="AD989" s="1610"/>
      <c r="AE989" s="1611"/>
      <c r="AF989" s="60"/>
      <c r="AG989" s="7"/>
      <c r="AH989" s="7"/>
      <c r="AI989" s="61"/>
      <c r="AJ989" s="1617"/>
      <c r="AK989" s="1618"/>
      <c r="AL989" s="1618"/>
      <c r="AM989" s="1618"/>
      <c r="AN989" s="1618"/>
      <c r="AO989" s="1618"/>
      <c r="AP989" s="1618"/>
      <c r="AQ989" s="1619"/>
      <c r="AR989" s="1084"/>
      <c r="AS989" s="1084"/>
      <c r="AT989" s="1084"/>
      <c r="AU989" s="1084"/>
      <c r="AV989" s="1084"/>
      <c r="AW989" s="1084"/>
      <c r="AX989" s="1084"/>
      <c r="AY989" s="1084"/>
      <c r="AZ989" s="3"/>
      <c r="BA989" s="873">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1730</v>
      </c>
      <c r="D990" s="1595" t="s">
        <v>1731</v>
      </c>
      <c r="E990" s="1596"/>
      <c r="F990" s="1596"/>
      <c r="G990" s="1596"/>
      <c r="H990" s="1596"/>
      <c r="I990" s="1596"/>
      <c r="J990" s="1596"/>
      <c r="K990" s="1596"/>
      <c r="L990" s="1596"/>
      <c r="M990" s="1596"/>
      <c r="N990" s="1596"/>
      <c r="O990" s="1596"/>
      <c r="P990" s="1596"/>
      <c r="Q990" s="1596"/>
      <c r="R990" s="1596"/>
      <c r="S990" s="1596"/>
      <c r="T990" s="1596"/>
      <c r="U990" s="1596"/>
      <c r="V990" s="1596"/>
      <c r="W990" s="1596"/>
      <c r="X990" s="1596"/>
      <c r="Y990" s="1596"/>
      <c r="Z990" s="1596"/>
      <c r="AA990" s="1596"/>
      <c r="AB990" s="1596"/>
      <c r="AC990" s="1596"/>
      <c r="AD990" s="1596"/>
      <c r="AE990" s="1597"/>
      <c r="AF990" s="62"/>
      <c r="AG990" s="1605" t="s">
        <v>929</v>
      </c>
      <c r="AH990" s="1606"/>
      <c r="AI990" s="65"/>
      <c r="AJ990" s="1612">
        <f>ROUND(IF(AG990="yes",AJ975*0.02,0),0)</f>
        <v>0</v>
      </c>
      <c r="AK990" s="1613"/>
      <c r="AL990" s="1613"/>
      <c r="AM990" s="1613"/>
      <c r="AN990" s="1613"/>
      <c r="AO990" s="1613"/>
      <c r="AP990" s="1613"/>
      <c r="AQ990" s="1614"/>
      <c r="AR990" s="1084"/>
      <c r="AS990" s="1084"/>
      <c r="AT990" s="1084"/>
      <c r="AU990" s="1084"/>
      <c r="AV990" s="1084"/>
      <c r="AW990" s="1084"/>
      <c r="AX990" s="1084"/>
      <c r="AY990" s="1084"/>
      <c r="AZ990" s="3"/>
      <c r="BA990" s="873">
        <f>ROUNDDOWN(X1031/I1031,2)</f>
        <v>0.11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4"/>
      <c r="D991" s="1609" t="s">
        <v>1732</v>
      </c>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0"/>
      <c r="AB991" s="1610"/>
      <c r="AC991" s="1610"/>
      <c r="AD991" s="1610"/>
      <c r="AE991" s="1611"/>
      <c r="AF991" s="60"/>
      <c r="AG991" s="7"/>
      <c r="AH991" s="7"/>
      <c r="AI991" s="61"/>
      <c r="AJ991" s="1617"/>
      <c r="AK991" s="1618"/>
      <c r="AL991" s="1618"/>
      <c r="AM991" s="1618"/>
      <c r="AN991" s="1618"/>
      <c r="AO991" s="1618"/>
      <c r="AP991" s="1618"/>
      <c r="AQ991" s="1619"/>
      <c r="AR991" s="1084"/>
      <c r="AS991" s="1084"/>
      <c r="AT991" s="1084"/>
      <c r="AU991" s="1084"/>
      <c r="AV991" s="1084"/>
      <c r="AW991" s="1084"/>
      <c r="AX991" s="1084"/>
      <c r="AY991" s="1084"/>
      <c r="BB991" s="3"/>
      <c r="BC991" s="3"/>
      <c r="BD991" s="3"/>
      <c r="BE991" s="3"/>
      <c r="BF991" s="3"/>
    </row>
    <row r="992" spans="1:110" ht="12.75" customHeight="1">
      <c r="A992" s="14"/>
      <c r="B992" s="62"/>
      <c r="C992" s="267" t="s">
        <v>1733</v>
      </c>
      <c r="D992" s="1595" t="s">
        <v>1734</v>
      </c>
      <c r="E992" s="1596"/>
      <c r="F992" s="1596"/>
      <c r="G992" s="1596"/>
      <c r="H992" s="1596"/>
      <c r="I992" s="1596"/>
      <c r="J992" s="1596"/>
      <c r="K992" s="1596"/>
      <c r="L992" s="1596"/>
      <c r="M992" s="1596"/>
      <c r="N992" s="1596"/>
      <c r="O992" s="1596"/>
      <c r="P992" s="1596"/>
      <c r="Q992" s="1596"/>
      <c r="R992" s="1596"/>
      <c r="S992" s="1596"/>
      <c r="T992" s="1596"/>
      <c r="U992" s="1596"/>
      <c r="V992" s="1596"/>
      <c r="W992" s="1596"/>
      <c r="X992" s="1596"/>
      <c r="Y992" s="1596"/>
      <c r="Z992" s="1596"/>
      <c r="AA992" s="1596"/>
      <c r="AB992" s="1596"/>
      <c r="AC992" s="1596"/>
      <c r="AD992" s="1596"/>
      <c r="AE992" s="1597"/>
      <c r="AF992" s="62"/>
      <c r="AG992" s="1605" t="s">
        <v>929</v>
      </c>
      <c r="AH992" s="1606"/>
      <c r="AI992" s="62"/>
      <c r="AJ992" s="1612">
        <f>ROUND(IF(AG992="yes",AJ975*0.02,0),0)</f>
        <v>0</v>
      </c>
      <c r="AK992" s="1613"/>
      <c r="AL992" s="1613"/>
      <c r="AM992" s="1613"/>
      <c r="AN992" s="1613"/>
      <c r="AO992" s="1613"/>
      <c r="AP992" s="1613"/>
      <c r="AQ992" s="1614"/>
      <c r="AR992" s="1084"/>
      <c r="AS992" s="1084"/>
      <c r="AT992" s="1084"/>
      <c r="AU992" s="1084"/>
      <c r="AV992" s="1084"/>
      <c r="AW992" s="1084"/>
      <c r="AX992" s="1084"/>
      <c r="AY992" s="1084"/>
    </row>
    <row r="993" spans="1:53" ht="12.75" customHeight="1">
      <c r="A993" s="14"/>
      <c r="B993" s="59"/>
      <c r="C993" s="1094"/>
      <c r="D993" s="1598" t="s">
        <v>1735</v>
      </c>
      <c r="E993" s="1599"/>
      <c r="F993" s="1599"/>
      <c r="G993" s="1599"/>
      <c r="H993" s="1599"/>
      <c r="I993" s="1599"/>
      <c r="J993" s="1599"/>
      <c r="K993" s="1599"/>
      <c r="L993" s="1599"/>
      <c r="M993" s="1599"/>
      <c r="N993" s="1599"/>
      <c r="O993" s="1599"/>
      <c r="P993" s="1599"/>
      <c r="Q993" s="1599"/>
      <c r="R993" s="1599"/>
      <c r="S993" s="1599"/>
      <c r="T993" s="1599"/>
      <c r="U993" s="1599"/>
      <c r="V993" s="1599"/>
      <c r="W993" s="1599"/>
      <c r="X993" s="1599"/>
      <c r="Y993" s="1599"/>
      <c r="Z993" s="1599"/>
      <c r="AA993" s="1599"/>
      <c r="AB993" s="1599"/>
      <c r="AC993" s="1599"/>
      <c r="AD993" s="1599"/>
      <c r="AE993" s="1600"/>
      <c r="AF993" s="59"/>
      <c r="AI993" s="14"/>
      <c r="AJ993" s="1615"/>
      <c r="AK993" s="1344"/>
      <c r="AL993" s="1344"/>
      <c r="AM993" s="1344"/>
      <c r="AN993" s="1344"/>
      <c r="AO993" s="1344"/>
      <c r="AP993" s="1344"/>
      <c r="AQ993" s="1616"/>
      <c r="AR993" s="1084"/>
      <c r="AS993" s="1084"/>
      <c r="AT993" s="1084"/>
      <c r="AU993" s="1084"/>
      <c r="AV993" s="1084"/>
      <c r="AW993" s="1084"/>
      <c r="AX993" s="1084"/>
      <c r="AY993" s="1084"/>
    </row>
    <row r="994" spans="1:53" ht="12.75" customHeight="1">
      <c r="A994" s="14"/>
      <c r="B994" s="1092"/>
      <c r="C994" s="1093"/>
      <c r="D994" s="1609"/>
      <c r="E994" s="1610"/>
      <c r="F994" s="1610"/>
      <c r="G994" s="1610"/>
      <c r="H994" s="1610"/>
      <c r="I994" s="1610"/>
      <c r="J994" s="1610"/>
      <c r="K994" s="1610"/>
      <c r="L994" s="1610"/>
      <c r="M994" s="1610"/>
      <c r="N994" s="1610"/>
      <c r="O994" s="1610"/>
      <c r="P994" s="1610"/>
      <c r="Q994" s="1610"/>
      <c r="R994" s="1610"/>
      <c r="S994" s="1610"/>
      <c r="T994" s="1610"/>
      <c r="U994" s="1610"/>
      <c r="V994" s="1610"/>
      <c r="W994" s="1610"/>
      <c r="X994" s="1610"/>
      <c r="Y994" s="1610"/>
      <c r="Z994" s="1610"/>
      <c r="AA994" s="1610"/>
      <c r="AB994" s="1610"/>
      <c r="AC994" s="1610"/>
      <c r="AD994" s="1610"/>
      <c r="AE994" s="1611"/>
      <c r="AF994" s="60"/>
      <c r="AG994" s="7"/>
      <c r="AH994" s="7"/>
      <c r="AI994" s="61"/>
      <c r="AJ994" s="1617"/>
      <c r="AK994" s="1618"/>
      <c r="AL994" s="1618"/>
      <c r="AM994" s="1618"/>
      <c r="AN994" s="1618"/>
      <c r="AO994" s="1618"/>
      <c r="AP994" s="1618"/>
      <c r="AQ994" s="1619"/>
      <c r="AR994" s="1084"/>
      <c r="AS994" s="1084"/>
      <c r="AT994" s="1084"/>
      <c r="AU994" s="1084"/>
      <c r="AV994" s="1084"/>
      <c r="AW994" s="1084"/>
      <c r="AX994" s="1084"/>
      <c r="AY994" s="1084"/>
    </row>
    <row r="995" spans="1:53" ht="12.75" customHeight="1">
      <c r="A995" s="14"/>
      <c r="B995" s="62"/>
      <c r="C995" s="267" t="s">
        <v>1736</v>
      </c>
      <c r="D995" s="1630" t="s">
        <v>1737</v>
      </c>
      <c r="E995" s="1631"/>
      <c r="F995" s="1631"/>
      <c r="G995" s="1631"/>
      <c r="H995" s="1631"/>
      <c r="I995" s="1631"/>
      <c r="J995" s="1631"/>
      <c r="K995" s="1631"/>
      <c r="L995" s="1631"/>
      <c r="M995" s="1631"/>
      <c r="N995" s="1631"/>
      <c r="O995" s="1631"/>
      <c r="P995" s="1631"/>
      <c r="Q995" s="1631"/>
      <c r="R995" s="1631"/>
      <c r="S995" s="1631"/>
      <c r="T995" s="1631"/>
      <c r="U995" s="1631"/>
      <c r="V995" s="1631"/>
      <c r="W995" s="1631"/>
      <c r="X995" s="1631"/>
      <c r="Y995" s="1631"/>
      <c r="Z995" s="1631"/>
      <c r="AA995" s="1631"/>
      <c r="AB995" s="1631"/>
      <c r="AC995" s="1631"/>
      <c r="AD995" s="1631"/>
      <c r="AE995" s="1632"/>
      <c r="AF995" s="62"/>
      <c r="AG995" s="1605" t="s">
        <v>929</v>
      </c>
      <c r="AH995" s="1606"/>
      <c r="AI995" s="65"/>
      <c r="AJ995" s="1612">
        <f>IF(AG995="yes",AJ975*BA995,0)</f>
        <v>0</v>
      </c>
      <c r="AK995" s="1613"/>
      <c r="AL995" s="1613"/>
      <c r="AM995" s="1613"/>
      <c r="AN995" s="1613"/>
      <c r="AO995" s="1613"/>
      <c r="AP995" s="1613"/>
      <c r="AQ995" s="1614"/>
      <c r="AR995" s="1084"/>
      <c r="AS995" s="1084"/>
      <c r="AT995" s="1084"/>
      <c r="AU995" s="1084"/>
      <c r="AV995" s="1084"/>
      <c r="AW995" s="1084"/>
      <c r="AX995" s="1084"/>
      <c r="AY995" s="1084"/>
      <c r="BA995" s="1096">
        <f>IF(SUM(BA997:BA1005)&lt;=0.1,SUM(BA997:BA1005),0.1)</f>
        <v>0.02</v>
      </c>
    </row>
    <row r="996" spans="1:53" ht="12.75" customHeight="1">
      <c r="A996" s="14"/>
      <c r="B996" s="59"/>
      <c r="C996" s="1094"/>
      <c r="D996" s="1598" t="s">
        <v>1738</v>
      </c>
      <c r="E996" s="1599"/>
      <c r="F996" s="1599"/>
      <c r="G996" s="1599"/>
      <c r="H996" s="1599"/>
      <c r="I996" s="1599"/>
      <c r="J996" s="1599"/>
      <c r="K996" s="1599"/>
      <c r="L996" s="1599"/>
      <c r="M996" s="1599"/>
      <c r="N996" s="1599"/>
      <c r="O996" s="1599"/>
      <c r="P996" s="1599"/>
      <c r="Q996" s="1599"/>
      <c r="R996" s="1599"/>
      <c r="S996" s="1599"/>
      <c r="T996" s="1599"/>
      <c r="U996" s="1599"/>
      <c r="V996" s="1599"/>
      <c r="W996" s="1599"/>
      <c r="X996" s="1599"/>
      <c r="Y996" s="1599"/>
      <c r="Z996" s="1599"/>
      <c r="AA996" s="1599"/>
      <c r="AB996" s="1599"/>
      <c r="AC996" s="1599"/>
      <c r="AD996" s="1599"/>
      <c r="AE996" s="1600"/>
      <c r="AF996" s="59"/>
      <c r="AG996" s="14"/>
      <c r="AH996" s="14"/>
      <c r="AI996" s="63"/>
      <c r="AJ996" s="1615"/>
      <c r="AK996" s="1344"/>
      <c r="AL996" s="1344"/>
      <c r="AM996" s="1344"/>
      <c r="AN996" s="1344"/>
      <c r="AO996" s="1344"/>
      <c r="AP996" s="1344"/>
      <c r="AQ996" s="1616"/>
      <c r="AR996" s="1084"/>
      <c r="AS996" s="1084"/>
      <c r="AT996" s="1084"/>
      <c r="AU996" s="1084"/>
      <c r="AV996" s="1084"/>
      <c r="AW996" s="1084"/>
      <c r="AX996" s="1084"/>
      <c r="AY996" s="1084"/>
    </row>
    <row r="997" spans="1:53" ht="12.75" customHeight="1">
      <c r="A997" s="14"/>
      <c r="B997" s="59"/>
      <c r="C997" s="1094"/>
      <c r="D997" s="1598"/>
      <c r="E997" s="1599"/>
      <c r="F997" s="1599"/>
      <c r="G997" s="1599"/>
      <c r="H997" s="1599"/>
      <c r="I997" s="1599"/>
      <c r="J997" s="1599"/>
      <c r="K997" s="1599"/>
      <c r="L997" s="1599"/>
      <c r="M997" s="1599"/>
      <c r="N997" s="1599"/>
      <c r="O997" s="1599"/>
      <c r="P997" s="1599"/>
      <c r="Q997" s="1599"/>
      <c r="R997" s="1599"/>
      <c r="S997" s="1599"/>
      <c r="T997" s="1599"/>
      <c r="U997" s="1599"/>
      <c r="V997" s="1599"/>
      <c r="W997" s="1599"/>
      <c r="X997" s="1599"/>
      <c r="Y997" s="1599"/>
      <c r="Z997" s="1599"/>
      <c r="AA997" s="1599"/>
      <c r="AB997" s="1599"/>
      <c r="AC997" s="1599"/>
      <c r="AD997" s="1599"/>
      <c r="AE997" s="1600"/>
      <c r="AF997" s="59"/>
      <c r="AG997" s="14"/>
      <c r="AH997" s="14"/>
      <c r="AI997" s="63"/>
      <c r="AJ997" s="1615"/>
      <c r="AK997" s="1344"/>
      <c r="AL997" s="1344"/>
      <c r="AM997" s="1344"/>
      <c r="AN997" s="1344"/>
      <c r="AO997" s="1344"/>
      <c r="AP997" s="1344"/>
      <c r="AQ997" s="1616"/>
      <c r="AR997" s="1084"/>
      <c r="AS997" s="1084"/>
      <c r="AT997" s="1084"/>
      <c r="AU997" s="1084"/>
      <c r="AV997" s="1084"/>
      <c r="AW997" s="1084"/>
      <c r="AX997" s="1084"/>
      <c r="AY997" s="1084"/>
      <c r="BA997" s="1097">
        <f>IF(A1044="Yes",0.05,0)</f>
        <v>0</v>
      </c>
    </row>
    <row r="998" spans="1:53" ht="15" customHeight="1">
      <c r="A998" s="14"/>
      <c r="B998" s="1098"/>
      <c r="C998" s="1091"/>
      <c r="D998" s="1609"/>
      <c r="E998" s="1610"/>
      <c r="F998" s="1610"/>
      <c r="G998" s="1610"/>
      <c r="H998" s="1610"/>
      <c r="I998" s="1610"/>
      <c r="J998" s="1610"/>
      <c r="K998" s="1610"/>
      <c r="L998" s="1610"/>
      <c r="M998" s="1610"/>
      <c r="N998" s="1610"/>
      <c r="O998" s="1610"/>
      <c r="P998" s="1610"/>
      <c r="Q998" s="1610"/>
      <c r="R998" s="1610"/>
      <c r="S998" s="1610"/>
      <c r="T998" s="1610"/>
      <c r="U998" s="1610"/>
      <c r="V998" s="1610"/>
      <c r="W998" s="1610"/>
      <c r="X998" s="1610"/>
      <c r="Y998" s="1610"/>
      <c r="Z998" s="1610"/>
      <c r="AA998" s="1610"/>
      <c r="AB998" s="1610"/>
      <c r="AC998" s="1610"/>
      <c r="AD998" s="1610"/>
      <c r="AE998" s="1611"/>
      <c r="AF998" s="60"/>
      <c r="AG998" s="7"/>
      <c r="AH998" s="7"/>
      <c r="AI998" s="61"/>
      <c r="AJ998" s="1617"/>
      <c r="AK998" s="1618"/>
      <c r="AL998" s="1618"/>
      <c r="AM998" s="1618"/>
      <c r="AN998" s="1618"/>
      <c r="AO998" s="1618"/>
      <c r="AP998" s="1618"/>
      <c r="AQ998" s="1619"/>
      <c r="AR998" s="1084"/>
      <c r="AS998" s="1084"/>
      <c r="AT998" s="1084"/>
      <c r="AU998" s="1084"/>
      <c r="AV998" s="1084"/>
      <c r="AW998" s="1084"/>
      <c r="AX998" s="1084"/>
      <c r="AY998" s="1084"/>
      <c r="BA998" s="1097">
        <f>IF(A1050="Yes",0.02,0)</f>
        <v>0.02</v>
      </c>
    </row>
    <row r="999" spans="1:53" ht="15" customHeight="1">
      <c r="A999" s="14"/>
      <c r="B999" s="62"/>
      <c r="C999" s="267" t="s">
        <v>1739</v>
      </c>
      <c r="D999" s="1680" t="s">
        <v>1740</v>
      </c>
      <c r="E999" s="1681"/>
      <c r="F999" s="1681"/>
      <c r="G999" s="1681"/>
      <c r="H999" s="1681"/>
      <c r="I999" s="1681"/>
      <c r="J999" s="1681"/>
      <c r="K999" s="1681"/>
      <c r="L999" s="1681"/>
      <c r="M999" s="1681"/>
      <c r="N999" s="1681"/>
      <c r="O999" s="1681"/>
      <c r="P999" s="1681"/>
      <c r="Q999" s="1681"/>
      <c r="R999" s="1681"/>
      <c r="S999" s="1681"/>
      <c r="T999" s="1681"/>
      <c r="U999" s="1681"/>
      <c r="V999" s="1681"/>
      <c r="W999" s="1681"/>
      <c r="X999" s="1681"/>
      <c r="Y999" s="1681"/>
      <c r="Z999" s="1681"/>
      <c r="AA999" s="1681"/>
      <c r="AB999" s="1681"/>
      <c r="AC999" s="1681"/>
      <c r="AD999" s="1681"/>
      <c r="AE999" s="1682"/>
      <c r="AF999" s="62"/>
      <c r="AG999" s="1605" t="s">
        <v>929</v>
      </c>
      <c r="AH999" s="1606"/>
      <c r="AI999" s="65"/>
      <c r="AJ999" s="1647"/>
      <c r="AK999" s="1648"/>
      <c r="AL999" s="1648"/>
      <c r="AM999" s="1648"/>
      <c r="AN999" s="1648"/>
      <c r="AO999" s="1648"/>
      <c r="AP999" s="1648"/>
      <c r="AQ999" s="1649"/>
      <c r="AR999" s="1084"/>
      <c r="AS999" s="1084"/>
      <c r="AT999" s="1084"/>
      <c r="AU999" s="1084"/>
      <c r="AV999" s="1084"/>
      <c r="AW999" s="1084"/>
      <c r="AX999" s="1084"/>
      <c r="AY999" s="1084"/>
      <c r="BA999" s="1097">
        <f>IF(A1056="Yes",0.04,0)</f>
        <v>0</v>
      </c>
    </row>
    <row r="1000" spans="1:53" ht="12.75">
      <c r="A1000" s="14"/>
      <c r="B1000" s="1098"/>
      <c r="C1000" s="1099"/>
      <c r="D1000" s="1683"/>
      <c r="E1000" s="1684"/>
      <c r="F1000" s="1684"/>
      <c r="G1000" s="1684"/>
      <c r="H1000" s="1684"/>
      <c r="I1000" s="1684"/>
      <c r="J1000" s="1684"/>
      <c r="K1000" s="1684"/>
      <c r="L1000" s="1684"/>
      <c r="M1000" s="1684"/>
      <c r="N1000" s="1684"/>
      <c r="O1000" s="1684"/>
      <c r="P1000" s="1684"/>
      <c r="Q1000" s="1684"/>
      <c r="R1000" s="1684"/>
      <c r="S1000" s="1684"/>
      <c r="T1000" s="1684"/>
      <c r="U1000" s="1684"/>
      <c r="V1000" s="1684"/>
      <c r="W1000" s="1684"/>
      <c r="X1000" s="1684"/>
      <c r="Y1000" s="1684"/>
      <c r="Z1000" s="1684"/>
      <c r="AA1000" s="1684"/>
      <c r="AB1000" s="1684"/>
      <c r="AC1000" s="1684"/>
      <c r="AD1000" s="1684"/>
      <c r="AE1000" s="1685"/>
      <c r="AF1000" s="1668">
        <f>IF(AG999="yes","Please Select Type and Enter Amount:",0)</f>
        <v>0</v>
      </c>
      <c r="AG1000" s="1669"/>
      <c r="AH1000" s="1669"/>
      <c r="AI1000" s="1670"/>
      <c r="AJ1000" s="1650"/>
      <c r="AK1000" s="1651"/>
      <c r="AL1000" s="1651"/>
      <c r="AM1000" s="1651"/>
      <c r="AN1000" s="1651"/>
      <c r="AO1000" s="1651"/>
      <c r="AP1000" s="1651"/>
      <c r="AQ1000" s="1652"/>
      <c r="AR1000" s="1084"/>
      <c r="AS1000" s="1084"/>
      <c r="AT1000" s="1084"/>
      <c r="AU1000" s="1084"/>
      <c r="AV1000" s="1084"/>
      <c r="AW1000" s="1084"/>
      <c r="AX1000" s="1084"/>
      <c r="AY1000" s="1084"/>
      <c r="BA1000" s="1097">
        <f>IF(A1063="Yes",0.04,0)</f>
        <v>0</v>
      </c>
    </row>
    <row r="1001" spans="1:53" ht="12.75" customHeight="1">
      <c r="A1001" s="14"/>
      <c r="B1001" s="1098"/>
      <c r="C1001" s="1099"/>
      <c r="D1001" s="1598" t="s">
        <v>1741</v>
      </c>
      <c r="E1001" s="1599"/>
      <c r="F1001" s="1599"/>
      <c r="G1001" s="1599"/>
      <c r="H1001" s="1599"/>
      <c r="I1001" s="1599"/>
      <c r="J1001" s="1599"/>
      <c r="K1001" s="1599"/>
      <c r="L1001" s="1599"/>
      <c r="M1001" s="1599"/>
      <c r="N1001" s="1599"/>
      <c r="O1001" s="1599"/>
      <c r="P1001" s="1599"/>
      <c r="Q1001" s="1599"/>
      <c r="R1001" s="1599"/>
      <c r="S1001" s="1599"/>
      <c r="T1001" s="1599"/>
      <c r="U1001" s="1599"/>
      <c r="V1001" s="1599"/>
      <c r="W1001" s="1599"/>
      <c r="X1001" s="1599"/>
      <c r="Y1001" s="1599"/>
      <c r="Z1001" s="1599"/>
      <c r="AA1001" s="1599"/>
      <c r="AB1001" s="1599"/>
      <c r="AC1001" s="1599"/>
      <c r="AD1001" s="1599"/>
      <c r="AE1001" s="1600"/>
      <c r="AF1001" s="1668"/>
      <c r="AG1001" s="1669"/>
      <c r="AH1001" s="1669"/>
      <c r="AI1001" s="1670"/>
      <c r="AJ1001" s="1650"/>
      <c r="AK1001" s="1651"/>
      <c r="AL1001" s="1651"/>
      <c r="AM1001" s="1651"/>
      <c r="AN1001" s="1651"/>
      <c r="AO1001" s="1651"/>
      <c r="AP1001" s="1651"/>
      <c r="AQ1001" s="1652"/>
      <c r="AR1001" s="1084"/>
      <c r="AS1001" s="1084"/>
      <c r="AT1001" s="1084"/>
      <c r="AU1001" s="1084"/>
      <c r="AV1001" s="1084"/>
      <c r="AW1001" s="1084"/>
      <c r="AX1001" s="1084"/>
      <c r="AY1001" s="1084"/>
      <c r="BA1001" s="1097">
        <f>IF(A1066="Yes",0.01,0)</f>
        <v>0</v>
      </c>
    </row>
    <row r="1002" spans="1:53" ht="12.75" customHeight="1">
      <c r="A1002" s="14"/>
      <c r="B1002" s="1098"/>
      <c r="C1002" s="1099"/>
      <c r="D1002" s="1598"/>
      <c r="E1002" s="1599"/>
      <c r="F1002" s="1599"/>
      <c r="G1002" s="1599"/>
      <c r="H1002" s="1599"/>
      <c r="I1002" s="1599"/>
      <c r="J1002" s="1599"/>
      <c r="K1002" s="1599"/>
      <c r="L1002" s="1599"/>
      <c r="M1002" s="1599"/>
      <c r="N1002" s="1599"/>
      <c r="O1002" s="1599"/>
      <c r="P1002" s="1599"/>
      <c r="Q1002" s="1599"/>
      <c r="R1002" s="1599"/>
      <c r="S1002" s="1599"/>
      <c r="T1002" s="1599"/>
      <c r="U1002" s="1599"/>
      <c r="V1002" s="1599"/>
      <c r="W1002" s="1599"/>
      <c r="X1002" s="1599"/>
      <c r="Y1002" s="1599"/>
      <c r="Z1002" s="1599"/>
      <c r="AA1002" s="1599"/>
      <c r="AB1002" s="1599"/>
      <c r="AC1002" s="1599"/>
      <c r="AD1002" s="1599"/>
      <c r="AE1002" s="1600"/>
      <c r="AF1002" s="1668"/>
      <c r="AG1002" s="1669"/>
      <c r="AH1002" s="1669"/>
      <c r="AI1002" s="1670"/>
      <c r="AJ1002" s="1650"/>
      <c r="AK1002" s="1651"/>
      <c r="AL1002" s="1651"/>
      <c r="AM1002" s="1651"/>
      <c r="AN1002" s="1651"/>
      <c r="AO1002" s="1651"/>
      <c r="AP1002" s="1651"/>
      <c r="AQ1002" s="1652"/>
      <c r="AR1002" s="1084"/>
      <c r="AS1002" s="1084"/>
      <c r="AT1002" s="1084"/>
      <c r="AU1002" s="1084"/>
      <c r="AV1002" s="1084"/>
      <c r="AW1002" s="1084"/>
      <c r="AX1002" s="1084"/>
      <c r="AY1002" s="1084"/>
      <c r="BA1002" s="1097">
        <f>IF(A1071="Yes",0.01,0)</f>
        <v>0</v>
      </c>
    </row>
    <row r="1003" spans="1:53" ht="12.75" customHeight="1">
      <c r="A1003" s="14"/>
      <c r="B1003" s="1098"/>
      <c r="C1003" s="1099"/>
      <c r="D1003" s="459" t="s">
        <v>1742</v>
      </c>
      <c r="E1003" s="67"/>
      <c r="F1003" s="67"/>
      <c r="G1003" s="856"/>
      <c r="H1003" s="856"/>
      <c r="I1003" s="42"/>
      <c r="J1003" s="1686" t="s">
        <v>299</v>
      </c>
      <c r="K1003" s="1687"/>
      <c r="L1003" s="1687"/>
      <c r="M1003" s="1687"/>
      <c r="N1003" s="1687"/>
      <c r="O1003" s="1687"/>
      <c r="P1003" s="1687"/>
      <c r="Q1003" s="1687"/>
      <c r="R1003" s="1687"/>
      <c r="S1003" s="1687"/>
      <c r="T1003" s="1687"/>
      <c r="U1003" s="1687"/>
      <c r="V1003" s="1687"/>
      <c r="W1003" s="1687"/>
      <c r="X1003" s="1687"/>
      <c r="Y1003" s="1687"/>
      <c r="Z1003" s="1687"/>
      <c r="AA1003" s="1687"/>
      <c r="AB1003" s="1687"/>
      <c r="AC1003" s="1687"/>
      <c r="AD1003" s="1687"/>
      <c r="AE1003" s="1688"/>
      <c r="AF1003" s="1671"/>
      <c r="AG1003" s="1672"/>
      <c r="AH1003" s="1672"/>
      <c r="AI1003" s="1673"/>
      <c r="AJ1003" s="1653"/>
      <c r="AK1003" s="1654"/>
      <c r="AL1003" s="1654"/>
      <c r="AM1003" s="1654"/>
      <c r="AN1003" s="1654"/>
      <c r="AO1003" s="1654"/>
      <c r="AP1003" s="1654"/>
      <c r="AQ1003" s="1655"/>
      <c r="AR1003" s="1084"/>
      <c r="AS1003" s="1084"/>
      <c r="AT1003" s="1084"/>
      <c r="AU1003" s="1084"/>
      <c r="AV1003" s="1084"/>
      <c r="AW1003" s="1084"/>
      <c r="AX1003" s="1084"/>
      <c r="AY1003" s="1084"/>
      <c r="BA1003" s="1097">
        <f>IF(A1074="Yes",0.01,0)</f>
        <v>0</v>
      </c>
    </row>
    <row r="1004" spans="1:53" ht="12.75" customHeight="1">
      <c r="A1004" s="14"/>
      <c r="B1004" s="62"/>
      <c r="C1004" s="267" t="s">
        <v>1743</v>
      </c>
      <c r="D1004" s="1595" t="s">
        <v>1744</v>
      </c>
      <c r="E1004" s="1596"/>
      <c r="F1004" s="1596"/>
      <c r="G1004" s="1596"/>
      <c r="H1004" s="1596"/>
      <c r="I1004" s="1596"/>
      <c r="J1004" s="1596"/>
      <c r="K1004" s="1596"/>
      <c r="L1004" s="1596"/>
      <c r="M1004" s="1596"/>
      <c r="N1004" s="1596"/>
      <c r="O1004" s="1596"/>
      <c r="P1004" s="1596"/>
      <c r="Q1004" s="1596"/>
      <c r="R1004" s="1596"/>
      <c r="S1004" s="1596"/>
      <c r="T1004" s="1596"/>
      <c r="U1004" s="1596"/>
      <c r="V1004" s="1596"/>
      <c r="W1004" s="1596"/>
      <c r="X1004" s="1596"/>
      <c r="Y1004" s="1596"/>
      <c r="Z1004" s="1596"/>
      <c r="AA1004" s="1596"/>
      <c r="AB1004" s="1596"/>
      <c r="AC1004" s="1596"/>
      <c r="AD1004" s="1596"/>
      <c r="AE1004" s="1597"/>
      <c r="AF1004" s="62"/>
      <c r="AG1004" s="1605" t="s">
        <v>825</v>
      </c>
      <c r="AH1004" s="1606"/>
      <c r="AI1004" s="65"/>
      <c r="AJ1004" s="1647">
        <f>'Sources and Uses Budget'!B85</f>
        <v>5025667</v>
      </c>
      <c r="AK1004" s="1648"/>
      <c r="AL1004" s="1648"/>
      <c r="AM1004" s="1648"/>
      <c r="AN1004" s="1648"/>
      <c r="AO1004" s="1648"/>
      <c r="AP1004" s="1648"/>
      <c r="AQ1004" s="1649"/>
      <c r="AR1004" s="1084"/>
      <c r="AS1004" s="1084"/>
      <c r="AT1004" s="1084"/>
      <c r="AU1004" s="1084"/>
      <c r="AV1004" s="1084"/>
      <c r="AW1004" s="1084"/>
      <c r="AX1004" s="1084"/>
      <c r="AY1004" s="1084"/>
      <c r="BA1004" s="1097">
        <f>IF(A1078="Yes",0.02,0)</f>
        <v>0</v>
      </c>
    </row>
    <row r="1005" spans="1:53" ht="12.75" customHeight="1">
      <c r="A1005" s="14"/>
      <c r="B1005" s="59"/>
      <c r="C1005" s="1094"/>
      <c r="D1005" s="1598" t="s">
        <v>1745</v>
      </c>
      <c r="E1005" s="1599"/>
      <c r="F1005" s="1599"/>
      <c r="G1005" s="1599"/>
      <c r="H1005" s="1599"/>
      <c r="I1005" s="1599"/>
      <c r="J1005" s="1599"/>
      <c r="K1005" s="1599"/>
      <c r="L1005" s="1599"/>
      <c r="M1005" s="1599"/>
      <c r="N1005" s="1599"/>
      <c r="O1005" s="1599"/>
      <c r="P1005" s="1599"/>
      <c r="Q1005" s="1599"/>
      <c r="R1005" s="1599"/>
      <c r="S1005" s="1599"/>
      <c r="T1005" s="1599"/>
      <c r="U1005" s="1599"/>
      <c r="V1005" s="1599"/>
      <c r="W1005" s="1599"/>
      <c r="X1005" s="1599"/>
      <c r="Y1005" s="1599"/>
      <c r="Z1005" s="1599"/>
      <c r="AA1005" s="1599"/>
      <c r="AB1005" s="1599"/>
      <c r="AC1005" s="1599"/>
      <c r="AD1005" s="1599"/>
      <c r="AE1005" s="1600"/>
      <c r="AF1005" s="1674" t="str">
        <f>IF(AG1004="yes","Please Enter Amount:",0)</f>
        <v>Please Enter Amount:</v>
      </c>
      <c r="AG1005" s="1675"/>
      <c r="AH1005" s="1675"/>
      <c r="AI1005" s="1676"/>
      <c r="AJ1005" s="1650"/>
      <c r="AK1005" s="1651"/>
      <c r="AL1005" s="1651"/>
      <c r="AM1005" s="1651"/>
      <c r="AN1005" s="1651"/>
      <c r="AO1005" s="1651"/>
      <c r="AP1005" s="1651"/>
      <c r="AQ1005" s="1652"/>
      <c r="AR1005" s="1084"/>
      <c r="AS1005" s="1084"/>
      <c r="AT1005" s="1084"/>
      <c r="AU1005" s="1084"/>
      <c r="AV1005" s="1084"/>
      <c r="AW1005" s="1084"/>
      <c r="AX1005" s="1084"/>
      <c r="AY1005" s="1084"/>
      <c r="BA1005" s="822">
        <f>IF(A1082="Yes",0.02,0)</f>
        <v>0</v>
      </c>
    </row>
    <row r="1006" spans="1:53" ht="12.75" customHeight="1">
      <c r="A1006" s="14"/>
      <c r="B1006" s="59"/>
      <c r="C1006" s="1094"/>
      <c r="D1006" s="1598"/>
      <c r="E1006" s="1599"/>
      <c r="F1006" s="1599"/>
      <c r="G1006" s="1599"/>
      <c r="H1006" s="1599"/>
      <c r="I1006" s="1599"/>
      <c r="J1006" s="1599"/>
      <c r="K1006" s="1599"/>
      <c r="L1006" s="1599"/>
      <c r="M1006" s="1599"/>
      <c r="N1006" s="1599"/>
      <c r="O1006" s="1599"/>
      <c r="P1006" s="1599"/>
      <c r="Q1006" s="1599"/>
      <c r="R1006" s="1599"/>
      <c r="S1006" s="1599"/>
      <c r="T1006" s="1599"/>
      <c r="U1006" s="1599"/>
      <c r="V1006" s="1599"/>
      <c r="W1006" s="1599"/>
      <c r="X1006" s="1599"/>
      <c r="Y1006" s="1599"/>
      <c r="Z1006" s="1599"/>
      <c r="AA1006" s="1599"/>
      <c r="AB1006" s="1599"/>
      <c r="AC1006" s="1599"/>
      <c r="AD1006" s="1599"/>
      <c r="AE1006" s="1600"/>
      <c r="AF1006" s="1674"/>
      <c r="AG1006" s="1675"/>
      <c r="AH1006" s="1675"/>
      <c r="AI1006" s="1676"/>
      <c r="AJ1006" s="1650"/>
      <c r="AK1006" s="1651"/>
      <c r="AL1006" s="1651"/>
      <c r="AM1006" s="1651"/>
      <c r="AN1006" s="1651"/>
      <c r="AO1006" s="1651"/>
      <c r="AP1006" s="1651"/>
      <c r="AQ1006" s="1652"/>
      <c r="AR1006" s="1084"/>
      <c r="AS1006" s="1084"/>
      <c r="AT1006" s="1084"/>
      <c r="AU1006" s="1084"/>
      <c r="AV1006" s="1084"/>
      <c r="AW1006" s="1084"/>
      <c r="AX1006" s="1084"/>
      <c r="AY1006" s="1084"/>
    </row>
    <row r="1007" spans="1:53" ht="12.75" customHeight="1">
      <c r="A1007" s="14"/>
      <c r="B1007" s="1095"/>
      <c r="C1007" s="1099"/>
      <c r="D1007" s="1609"/>
      <c r="E1007" s="1610"/>
      <c r="F1007" s="1610"/>
      <c r="G1007" s="1610"/>
      <c r="H1007" s="1610"/>
      <c r="I1007" s="1610"/>
      <c r="J1007" s="1610"/>
      <c r="K1007" s="1610"/>
      <c r="L1007" s="1610"/>
      <c r="M1007" s="1610"/>
      <c r="N1007" s="1610"/>
      <c r="O1007" s="1610"/>
      <c r="P1007" s="1610"/>
      <c r="Q1007" s="1610"/>
      <c r="R1007" s="1610"/>
      <c r="S1007" s="1610"/>
      <c r="T1007" s="1610"/>
      <c r="U1007" s="1610"/>
      <c r="V1007" s="1610"/>
      <c r="W1007" s="1610"/>
      <c r="X1007" s="1610"/>
      <c r="Y1007" s="1610"/>
      <c r="Z1007" s="1610"/>
      <c r="AA1007" s="1610"/>
      <c r="AB1007" s="1610"/>
      <c r="AC1007" s="1610"/>
      <c r="AD1007" s="1610"/>
      <c r="AE1007" s="1611"/>
      <c r="AF1007" s="1677"/>
      <c r="AG1007" s="1678"/>
      <c r="AH1007" s="1678"/>
      <c r="AI1007" s="1679"/>
      <c r="AJ1007" s="1653"/>
      <c r="AK1007" s="1654"/>
      <c r="AL1007" s="1654"/>
      <c r="AM1007" s="1654"/>
      <c r="AN1007" s="1654"/>
      <c r="AO1007" s="1654"/>
      <c r="AP1007" s="1654"/>
      <c r="AQ1007" s="1655"/>
      <c r="AR1007" s="1084"/>
      <c r="AS1007" s="1084"/>
      <c r="AT1007" s="1084"/>
      <c r="AU1007" s="1084"/>
      <c r="AV1007" s="1084"/>
      <c r="AW1007" s="1084"/>
      <c r="AX1007" s="1084"/>
      <c r="AY1007" s="1084"/>
    </row>
    <row r="1008" spans="1:53" ht="12.75" customHeight="1">
      <c r="A1008" s="14"/>
      <c r="B1008" s="62"/>
      <c r="C1008" s="267" t="s">
        <v>1746</v>
      </c>
      <c r="D1008" s="1630" t="s">
        <v>1747</v>
      </c>
      <c r="E1008" s="1631"/>
      <c r="F1008" s="1631"/>
      <c r="G1008" s="1631"/>
      <c r="H1008" s="1631"/>
      <c r="I1008" s="1631"/>
      <c r="J1008" s="1631"/>
      <c r="K1008" s="1631"/>
      <c r="L1008" s="1631"/>
      <c r="M1008" s="1631"/>
      <c r="N1008" s="1631"/>
      <c r="O1008" s="1631"/>
      <c r="P1008" s="1631"/>
      <c r="Q1008" s="1631"/>
      <c r="R1008" s="1631"/>
      <c r="S1008" s="1631"/>
      <c r="T1008" s="1631"/>
      <c r="U1008" s="1631"/>
      <c r="V1008" s="1631"/>
      <c r="W1008" s="1631"/>
      <c r="X1008" s="1631"/>
      <c r="Y1008" s="1631"/>
      <c r="Z1008" s="1631"/>
      <c r="AA1008" s="1631"/>
      <c r="AB1008" s="1631"/>
      <c r="AC1008" s="1631"/>
      <c r="AD1008" s="1631"/>
      <c r="AE1008" s="1632"/>
      <c r="AF1008" s="62"/>
      <c r="AG1008" s="1605" t="s">
        <v>929</v>
      </c>
      <c r="AH1008" s="1606"/>
      <c r="AI1008" s="65"/>
      <c r="AJ1008" s="1612">
        <f>ROUND(IF(AG1008="yes",(AJ975*0.1),0),0)</f>
        <v>0</v>
      </c>
      <c r="AK1008" s="1613"/>
      <c r="AL1008" s="1613"/>
      <c r="AM1008" s="1613"/>
      <c r="AN1008" s="1613"/>
      <c r="AO1008" s="1613"/>
      <c r="AP1008" s="1613"/>
      <c r="AQ1008" s="1614"/>
      <c r="AR1008" s="1084"/>
      <c r="AS1008" s="1084"/>
      <c r="AT1008" s="1084"/>
      <c r="AU1008" s="1084"/>
      <c r="AV1008" s="1084"/>
      <c r="AW1008" s="1084"/>
      <c r="AX1008" s="1084"/>
      <c r="AY1008" s="1084"/>
    </row>
    <row r="1009" spans="1:51" ht="12.75" customHeight="1">
      <c r="A1009" s="14"/>
      <c r="B1009" s="59"/>
      <c r="C1009" s="1094"/>
      <c r="D1009" s="1598" t="s">
        <v>1748</v>
      </c>
      <c r="E1009" s="1599"/>
      <c r="F1009" s="1599"/>
      <c r="G1009" s="1599"/>
      <c r="H1009" s="1599"/>
      <c r="I1009" s="1599"/>
      <c r="J1009" s="1599"/>
      <c r="K1009" s="1599"/>
      <c r="L1009" s="1599"/>
      <c r="M1009" s="1599"/>
      <c r="N1009" s="1599"/>
      <c r="O1009" s="1599"/>
      <c r="P1009" s="1599"/>
      <c r="Q1009" s="1599"/>
      <c r="R1009" s="1599"/>
      <c r="S1009" s="1599"/>
      <c r="T1009" s="1599"/>
      <c r="U1009" s="1599"/>
      <c r="V1009" s="1599"/>
      <c r="W1009" s="1599"/>
      <c r="X1009" s="1599"/>
      <c r="Y1009" s="1599"/>
      <c r="Z1009" s="1599"/>
      <c r="AA1009" s="1599"/>
      <c r="AB1009" s="1599"/>
      <c r="AC1009" s="1599"/>
      <c r="AD1009" s="1599"/>
      <c r="AE1009" s="1600"/>
      <c r="AF1009" s="59"/>
      <c r="AG1009" s="14"/>
      <c r="AH1009" s="14"/>
      <c r="AI1009" s="63"/>
      <c r="AJ1009" s="1615"/>
      <c r="AK1009" s="1344"/>
      <c r="AL1009" s="1344"/>
      <c r="AM1009" s="1344"/>
      <c r="AN1009" s="1344"/>
      <c r="AO1009" s="1344"/>
      <c r="AP1009" s="1344"/>
      <c r="AQ1009" s="1616"/>
      <c r="AR1009" s="1084"/>
      <c r="AS1009" s="1084"/>
      <c r="AT1009" s="1084"/>
      <c r="AU1009" s="1084"/>
      <c r="AV1009" s="1084"/>
      <c r="AW1009" s="1084"/>
      <c r="AX1009" s="1084"/>
      <c r="AY1009" s="1084"/>
    </row>
    <row r="1010" spans="1:51" ht="12.75" customHeight="1">
      <c r="A1010" s="14"/>
      <c r="B1010" s="60"/>
      <c r="C1010" s="1094"/>
      <c r="D1010" s="1609"/>
      <c r="E1010" s="1610"/>
      <c r="F1010" s="1610"/>
      <c r="G1010" s="1610"/>
      <c r="H1010" s="1610"/>
      <c r="I1010" s="1610"/>
      <c r="J1010" s="1610"/>
      <c r="K1010" s="1610"/>
      <c r="L1010" s="1610"/>
      <c r="M1010" s="1610"/>
      <c r="N1010" s="1610"/>
      <c r="O1010" s="1610"/>
      <c r="P1010" s="1610"/>
      <c r="Q1010" s="1610"/>
      <c r="R1010" s="1610"/>
      <c r="S1010" s="1610"/>
      <c r="T1010" s="1610"/>
      <c r="U1010" s="1610"/>
      <c r="V1010" s="1610"/>
      <c r="W1010" s="1610"/>
      <c r="X1010" s="1610"/>
      <c r="Y1010" s="1610"/>
      <c r="Z1010" s="1610"/>
      <c r="AA1010" s="1610"/>
      <c r="AB1010" s="1610"/>
      <c r="AC1010" s="1610"/>
      <c r="AD1010" s="1610"/>
      <c r="AE1010" s="1611"/>
      <c r="AF1010" s="59"/>
      <c r="AG1010" s="14"/>
      <c r="AH1010" s="14"/>
      <c r="AI1010" s="63"/>
      <c r="AJ1010" s="1617"/>
      <c r="AK1010" s="1618"/>
      <c r="AL1010" s="1618"/>
      <c r="AM1010" s="1618"/>
      <c r="AN1010" s="1618"/>
      <c r="AO1010" s="1618"/>
      <c r="AP1010" s="1618"/>
      <c r="AQ1010" s="1619"/>
      <c r="AR1010" s="1084"/>
      <c r="AS1010" s="1084"/>
      <c r="AT1010" s="1084"/>
      <c r="AU1010" s="1084"/>
      <c r="AV1010" s="1084"/>
      <c r="AW1010" s="1084"/>
      <c r="AX1010" s="1084"/>
      <c r="AY1010" s="1084"/>
    </row>
    <row r="1011" spans="1:51" ht="12.75" customHeight="1">
      <c r="A1011" s="14"/>
      <c r="B1011" s="59"/>
      <c r="C1011" s="267" t="s">
        <v>21</v>
      </c>
      <c r="D1011" s="1595" t="s">
        <v>1749</v>
      </c>
      <c r="E1011" s="1596"/>
      <c r="F1011" s="1596"/>
      <c r="G1011" s="1596"/>
      <c r="H1011" s="1596"/>
      <c r="I1011" s="1596"/>
      <c r="J1011" s="1596"/>
      <c r="K1011" s="1596"/>
      <c r="L1011" s="1596"/>
      <c r="M1011" s="1596"/>
      <c r="N1011" s="1596"/>
      <c r="O1011" s="1596"/>
      <c r="P1011" s="1596"/>
      <c r="Q1011" s="1596"/>
      <c r="R1011" s="1596"/>
      <c r="S1011" s="1596"/>
      <c r="T1011" s="1596"/>
      <c r="U1011" s="1596"/>
      <c r="V1011" s="1596"/>
      <c r="W1011" s="1596"/>
      <c r="X1011" s="1596"/>
      <c r="Y1011" s="1596"/>
      <c r="Z1011" s="1596"/>
      <c r="AA1011" s="1596"/>
      <c r="AB1011" s="1596"/>
      <c r="AC1011" s="1596"/>
      <c r="AD1011" s="1596"/>
      <c r="AE1011" s="1597"/>
      <c r="AF1011" s="62"/>
      <c r="AG1011" s="1605" t="s">
        <v>929</v>
      </c>
      <c r="AH1011" s="1606"/>
      <c r="AI1011" s="65"/>
      <c r="AJ1011" s="1612">
        <f>ROUND(IF(AG1011="yes",(AJ975*0.15),0),0)</f>
        <v>0</v>
      </c>
      <c r="AK1011" s="1613"/>
      <c r="AL1011" s="1613"/>
      <c r="AM1011" s="1613"/>
      <c r="AN1011" s="1613"/>
      <c r="AO1011" s="1613"/>
      <c r="AP1011" s="1613"/>
      <c r="AQ1011" s="1614"/>
      <c r="AR1011" s="1084"/>
      <c r="AS1011" s="1084"/>
      <c r="AT1011" s="1084"/>
      <c r="AU1011" s="1084"/>
      <c r="AV1011" s="1084"/>
      <c r="AW1011" s="1084"/>
      <c r="AX1011" s="1084"/>
      <c r="AY1011" s="1084"/>
    </row>
    <row r="1012" spans="1:51" ht="12.75" customHeight="1">
      <c r="A1012" s="14"/>
      <c r="B1012" s="59"/>
      <c r="C1012" s="1094"/>
      <c r="D1012" s="1623" t="s">
        <v>1750</v>
      </c>
      <c r="E1012" s="1130"/>
      <c r="F1012" s="1130"/>
      <c r="G1012" s="1130"/>
      <c r="H1012" s="1130"/>
      <c r="I1012" s="1130"/>
      <c r="J1012" s="1130"/>
      <c r="K1012" s="1130"/>
      <c r="L1012" s="1130"/>
      <c r="M1012" s="1130"/>
      <c r="N1012" s="1130"/>
      <c r="O1012" s="1130"/>
      <c r="P1012" s="1130"/>
      <c r="Q1012" s="1130"/>
      <c r="R1012" s="1130"/>
      <c r="S1012" s="1130"/>
      <c r="T1012" s="1130"/>
      <c r="U1012" s="1130"/>
      <c r="V1012" s="1130"/>
      <c r="W1012" s="1130"/>
      <c r="X1012" s="1130"/>
      <c r="Y1012" s="1130"/>
      <c r="Z1012" s="1130"/>
      <c r="AA1012" s="1130"/>
      <c r="AB1012" s="1130"/>
      <c r="AC1012" s="1130"/>
      <c r="AD1012" s="1130"/>
      <c r="AE1012" s="1624"/>
      <c r="AF1012" s="875"/>
      <c r="AG1012" s="876"/>
      <c r="AH1012" s="876"/>
      <c r="AI1012" s="877"/>
      <c r="AJ1012" s="1615"/>
      <c r="AK1012" s="1344"/>
      <c r="AL1012" s="1344"/>
      <c r="AM1012" s="1344"/>
      <c r="AN1012" s="1344"/>
      <c r="AO1012" s="1344"/>
      <c r="AP1012" s="1344"/>
      <c r="AQ1012" s="1616"/>
      <c r="AR1012" s="1084"/>
      <c r="AS1012" s="1084"/>
      <c r="AT1012" s="1084"/>
      <c r="AU1012" s="1084"/>
      <c r="AV1012" s="1084"/>
      <c r="AW1012" s="1084"/>
      <c r="AX1012" s="1084"/>
      <c r="AY1012" s="1084"/>
    </row>
    <row r="1013" spans="1:51" ht="12.75" customHeight="1">
      <c r="A1013" s="14"/>
      <c r="B1013" s="59"/>
      <c r="C1013" s="1094"/>
      <c r="D1013" s="1623"/>
      <c r="E1013" s="1130"/>
      <c r="F1013" s="1130"/>
      <c r="G1013" s="1130"/>
      <c r="H1013" s="1130"/>
      <c r="I1013" s="1130"/>
      <c r="J1013" s="1130"/>
      <c r="K1013" s="1130"/>
      <c r="L1013" s="1130"/>
      <c r="M1013" s="1130"/>
      <c r="N1013" s="1130"/>
      <c r="O1013" s="1130"/>
      <c r="P1013" s="1130"/>
      <c r="Q1013" s="1130"/>
      <c r="R1013" s="1130"/>
      <c r="S1013" s="1130"/>
      <c r="T1013" s="1130"/>
      <c r="U1013" s="1130"/>
      <c r="V1013" s="1130"/>
      <c r="W1013" s="1130"/>
      <c r="X1013" s="1130"/>
      <c r="Y1013" s="1130"/>
      <c r="Z1013" s="1130"/>
      <c r="AA1013" s="1130"/>
      <c r="AB1013" s="1130"/>
      <c r="AC1013" s="1130"/>
      <c r="AD1013" s="1130"/>
      <c r="AE1013" s="1624"/>
      <c r="AF1013" s="875"/>
      <c r="AG1013" s="876"/>
      <c r="AH1013" s="876"/>
      <c r="AI1013" s="877"/>
      <c r="AJ1013" s="1615"/>
      <c r="AK1013" s="1344"/>
      <c r="AL1013" s="1344"/>
      <c r="AM1013" s="1344"/>
      <c r="AN1013" s="1344"/>
      <c r="AO1013" s="1344"/>
      <c r="AP1013" s="1344"/>
      <c r="AQ1013" s="1616"/>
      <c r="AR1013" s="1084"/>
      <c r="AS1013" s="1084"/>
      <c r="AT1013" s="1084"/>
      <c r="AU1013" s="1084"/>
      <c r="AV1013" s="1084"/>
      <c r="AW1013" s="1084"/>
      <c r="AX1013" s="1084"/>
      <c r="AY1013" s="1084"/>
    </row>
    <row r="1014" spans="1:51" ht="12.75" customHeight="1">
      <c r="A1014" s="14"/>
      <c r="B1014" s="59"/>
      <c r="C1014" s="1094"/>
      <c r="D1014" s="1625"/>
      <c r="E1014" s="1422"/>
      <c r="F1014" s="1422"/>
      <c r="G1014" s="1422"/>
      <c r="H1014" s="1422"/>
      <c r="I1014" s="1422"/>
      <c r="J1014" s="1422"/>
      <c r="K1014" s="1422"/>
      <c r="L1014" s="1422"/>
      <c r="M1014" s="1422"/>
      <c r="N1014" s="1422"/>
      <c r="O1014" s="1422"/>
      <c r="P1014" s="1422"/>
      <c r="Q1014" s="1422"/>
      <c r="R1014" s="1422"/>
      <c r="S1014" s="1422"/>
      <c r="T1014" s="1422"/>
      <c r="U1014" s="1422"/>
      <c r="V1014" s="1422"/>
      <c r="W1014" s="1422"/>
      <c r="X1014" s="1422"/>
      <c r="Y1014" s="1422"/>
      <c r="Z1014" s="1422"/>
      <c r="AA1014" s="1422"/>
      <c r="AB1014" s="1422"/>
      <c r="AC1014" s="1422"/>
      <c r="AD1014" s="1422"/>
      <c r="AE1014" s="1626"/>
      <c r="AF1014" s="878"/>
      <c r="AG1014" s="879"/>
      <c r="AH1014" s="879"/>
      <c r="AI1014" s="880"/>
      <c r="AJ1014" s="1617"/>
      <c r="AK1014" s="1618"/>
      <c r="AL1014" s="1618"/>
      <c r="AM1014" s="1618"/>
      <c r="AN1014" s="1618"/>
      <c r="AO1014" s="1618"/>
      <c r="AP1014" s="1618"/>
      <c r="AQ1014" s="1619"/>
      <c r="AR1014" s="1084"/>
      <c r="AS1014" s="1084"/>
      <c r="AT1014" s="1084"/>
      <c r="AU1014" s="1084"/>
      <c r="AV1014" s="1084"/>
      <c r="AW1014" s="1084"/>
      <c r="AX1014" s="1084"/>
      <c r="AY1014" s="1084"/>
    </row>
    <row r="1015" spans="1:51" ht="12.75" customHeight="1">
      <c r="A1015" s="14"/>
      <c r="B1015" s="59"/>
      <c r="C1015" s="267" t="s">
        <v>21</v>
      </c>
      <c r="D1015" s="1630" t="s">
        <v>1751</v>
      </c>
      <c r="E1015" s="1631"/>
      <c r="F1015" s="1631"/>
      <c r="G1015" s="1631"/>
      <c r="H1015" s="1631"/>
      <c r="I1015" s="1631"/>
      <c r="J1015" s="1631"/>
      <c r="K1015" s="1631"/>
      <c r="L1015" s="1631"/>
      <c r="M1015" s="1631"/>
      <c r="N1015" s="1631"/>
      <c r="O1015" s="1631"/>
      <c r="P1015" s="1631"/>
      <c r="Q1015" s="1631"/>
      <c r="R1015" s="1631"/>
      <c r="S1015" s="1631"/>
      <c r="T1015" s="1631"/>
      <c r="U1015" s="1631"/>
      <c r="V1015" s="1631"/>
      <c r="W1015" s="1631"/>
      <c r="X1015" s="1631"/>
      <c r="Y1015" s="1631"/>
      <c r="Z1015" s="1631"/>
      <c r="AA1015" s="1631"/>
      <c r="AB1015" s="1631"/>
      <c r="AC1015" s="1631"/>
      <c r="AD1015" s="1631"/>
      <c r="AE1015" s="1632"/>
      <c r="AF1015" s="59"/>
      <c r="AG1015" s="1607" t="s">
        <v>929</v>
      </c>
      <c r="AH1015" s="1608"/>
      <c r="AI1015" s="63"/>
      <c r="AJ1015" s="1612">
        <f>ROUND(IF(AG1015="yes",(AJ975*0.1),0),0)</f>
        <v>0</v>
      </c>
      <c r="AK1015" s="1613"/>
      <c r="AL1015" s="1613"/>
      <c r="AM1015" s="1613"/>
      <c r="AN1015" s="1613"/>
      <c r="AO1015" s="1613"/>
      <c r="AP1015" s="1613"/>
      <c r="AQ1015" s="1614"/>
      <c r="AR1015" s="1084"/>
      <c r="AS1015" s="1084"/>
      <c r="AT1015" s="1084"/>
      <c r="AU1015" s="1084"/>
      <c r="AV1015" s="1084"/>
      <c r="AW1015" s="1084"/>
      <c r="AX1015" s="1084"/>
      <c r="AY1015" s="1084"/>
    </row>
    <row r="1016" spans="1:51" ht="12.75" customHeight="1">
      <c r="A1016" s="14"/>
      <c r="B1016" s="59"/>
      <c r="C1016" s="1094"/>
      <c r="D1016" s="1623" t="s">
        <v>1752</v>
      </c>
      <c r="E1016" s="1130"/>
      <c r="F1016" s="1130"/>
      <c r="G1016" s="1130"/>
      <c r="H1016" s="1130"/>
      <c r="I1016" s="1130"/>
      <c r="J1016" s="1130"/>
      <c r="K1016" s="1130"/>
      <c r="L1016" s="1130"/>
      <c r="M1016" s="1130"/>
      <c r="N1016" s="1130"/>
      <c r="O1016" s="1130"/>
      <c r="P1016" s="1130"/>
      <c r="Q1016" s="1130"/>
      <c r="R1016" s="1130"/>
      <c r="S1016" s="1130"/>
      <c r="T1016" s="1130"/>
      <c r="U1016" s="1130"/>
      <c r="V1016" s="1130"/>
      <c r="W1016" s="1130"/>
      <c r="X1016" s="1130"/>
      <c r="Y1016" s="1130"/>
      <c r="Z1016" s="1130"/>
      <c r="AA1016" s="1130"/>
      <c r="AB1016" s="1130"/>
      <c r="AC1016" s="1130"/>
      <c r="AD1016" s="1130"/>
      <c r="AE1016" s="1624"/>
      <c r="AF1016" s="59"/>
      <c r="AG1016" s="14"/>
      <c r="AH1016" s="14"/>
      <c r="AI1016" s="63"/>
      <c r="AJ1016" s="1615"/>
      <c r="AK1016" s="1344"/>
      <c r="AL1016" s="1344"/>
      <c r="AM1016" s="1344"/>
      <c r="AN1016" s="1344"/>
      <c r="AO1016" s="1344"/>
      <c r="AP1016" s="1344"/>
      <c r="AQ1016" s="1616"/>
      <c r="AR1016" s="1084"/>
      <c r="AS1016" s="1084"/>
      <c r="AT1016" s="1084"/>
      <c r="AU1016" s="1084"/>
      <c r="AV1016" s="1084"/>
      <c r="AW1016" s="1084"/>
      <c r="AX1016" s="1084"/>
      <c r="AY1016" s="1084"/>
    </row>
    <row r="1017" spans="1:51" ht="12.75" customHeight="1">
      <c r="A1017" s="14"/>
      <c r="B1017" s="59"/>
      <c r="C1017" s="1094"/>
      <c r="D1017" s="1623"/>
      <c r="E1017" s="1130"/>
      <c r="F1017" s="1130"/>
      <c r="G1017" s="1130"/>
      <c r="H1017" s="1130"/>
      <c r="I1017" s="1130"/>
      <c r="J1017" s="1130"/>
      <c r="K1017" s="1130"/>
      <c r="L1017" s="1130"/>
      <c r="M1017" s="1130"/>
      <c r="N1017" s="1130"/>
      <c r="O1017" s="1130"/>
      <c r="P1017" s="1130"/>
      <c r="Q1017" s="1130"/>
      <c r="R1017" s="1130"/>
      <c r="S1017" s="1130"/>
      <c r="T1017" s="1130"/>
      <c r="U1017" s="1130"/>
      <c r="V1017" s="1130"/>
      <c r="W1017" s="1130"/>
      <c r="X1017" s="1130"/>
      <c r="Y1017" s="1130"/>
      <c r="Z1017" s="1130"/>
      <c r="AA1017" s="1130"/>
      <c r="AB1017" s="1130"/>
      <c r="AC1017" s="1130"/>
      <c r="AD1017" s="1130"/>
      <c r="AE1017" s="1624"/>
      <c r="AF1017" s="59"/>
      <c r="AG1017" s="14"/>
      <c r="AH1017" s="14"/>
      <c r="AI1017" s="63"/>
      <c r="AJ1017" s="1615"/>
      <c r="AK1017" s="1344"/>
      <c r="AL1017" s="1344"/>
      <c r="AM1017" s="1344"/>
      <c r="AN1017" s="1344"/>
      <c r="AO1017" s="1344"/>
      <c r="AP1017" s="1344"/>
      <c r="AQ1017" s="1616"/>
      <c r="AR1017" s="1084"/>
      <c r="AS1017" s="1084"/>
      <c r="AT1017" s="1084"/>
      <c r="AU1017" s="1084"/>
      <c r="AV1017" s="1084"/>
      <c r="AW1017" s="1084"/>
      <c r="AX1017" s="1084"/>
      <c r="AY1017" s="1084"/>
    </row>
    <row r="1018" spans="1:51" ht="12.75" customHeight="1">
      <c r="A1018" s="14"/>
      <c r="B1018" s="59"/>
      <c r="C1018" s="1094"/>
      <c r="D1018" s="1623"/>
      <c r="E1018" s="1130"/>
      <c r="F1018" s="1130"/>
      <c r="G1018" s="1130"/>
      <c r="H1018" s="1130"/>
      <c r="I1018" s="1130"/>
      <c r="J1018" s="1130"/>
      <c r="K1018" s="1130"/>
      <c r="L1018" s="1130"/>
      <c r="M1018" s="1130"/>
      <c r="N1018" s="1130"/>
      <c r="O1018" s="1130"/>
      <c r="P1018" s="1130"/>
      <c r="Q1018" s="1130"/>
      <c r="R1018" s="1130"/>
      <c r="S1018" s="1130"/>
      <c r="T1018" s="1130"/>
      <c r="U1018" s="1130"/>
      <c r="V1018" s="1130"/>
      <c r="W1018" s="1130"/>
      <c r="X1018" s="1130"/>
      <c r="Y1018" s="1130"/>
      <c r="Z1018" s="1130"/>
      <c r="AA1018" s="1130"/>
      <c r="AB1018" s="1130"/>
      <c r="AC1018" s="1130"/>
      <c r="AD1018" s="1130"/>
      <c r="AE1018" s="1624"/>
      <c r="AF1018" s="59"/>
      <c r="AG1018" s="14"/>
      <c r="AH1018" s="14"/>
      <c r="AI1018" s="63"/>
      <c r="AJ1018" s="1615"/>
      <c r="AK1018" s="1344"/>
      <c r="AL1018" s="1344"/>
      <c r="AM1018" s="1344"/>
      <c r="AN1018" s="1344"/>
      <c r="AO1018" s="1344"/>
      <c r="AP1018" s="1344"/>
      <c r="AQ1018" s="1616"/>
      <c r="AR1018" s="1084"/>
      <c r="AS1018" s="1084"/>
      <c r="AT1018" s="1084"/>
      <c r="AU1018" s="1084"/>
      <c r="AV1018" s="1084"/>
      <c r="AW1018" s="1084"/>
      <c r="AX1018" s="1084"/>
      <c r="AY1018" s="1084"/>
    </row>
    <row r="1019" spans="1:51" ht="12.75" customHeight="1">
      <c r="A1019" s="14"/>
      <c r="B1019" s="59"/>
      <c r="C1019" s="1094"/>
      <c r="D1019" s="1625"/>
      <c r="E1019" s="1422"/>
      <c r="F1019" s="1422"/>
      <c r="G1019" s="1422"/>
      <c r="H1019" s="1422"/>
      <c r="I1019" s="1422"/>
      <c r="J1019" s="1422"/>
      <c r="K1019" s="1422"/>
      <c r="L1019" s="1422"/>
      <c r="M1019" s="1422"/>
      <c r="N1019" s="1422"/>
      <c r="O1019" s="1422"/>
      <c r="P1019" s="1422"/>
      <c r="Q1019" s="1422"/>
      <c r="R1019" s="1422"/>
      <c r="S1019" s="1422"/>
      <c r="T1019" s="1422"/>
      <c r="U1019" s="1422"/>
      <c r="V1019" s="1422"/>
      <c r="W1019" s="1422"/>
      <c r="X1019" s="1422"/>
      <c r="Y1019" s="1422"/>
      <c r="Z1019" s="1422"/>
      <c r="AA1019" s="1422"/>
      <c r="AB1019" s="1422"/>
      <c r="AC1019" s="1422"/>
      <c r="AD1019" s="1422"/>
      <c r="AE1019" s="1626"/>
      <c r="AF1019" s="59"/>
      <c r="AG1019" s="14"/>
      <c r="AH1019" s="14"/>
      <c r="AI1019" s="63"/>
      <c r="AJ1019" s="1615"/>
      <c r="AK1019" s="1344"/>
      <c r="AL1019" s="1344"/>
      <c r="AM1019" s="1344"/>
      <c r="AN1019" s="1344"/>
      <c r="AO1019" s="1344"/>
      <c r="AP1019" s="1344"/>
      <c r="AQ1019" s="1616"/>
      <c r="AR1019" s="1084"/>
      <c r="AS1019" s="1084"/>
      <c r="AT1019" s="1084"/>
      <c r="AU1019" s="1084"/>
      <c r="AV1019" s="1084"/>
      <c r="AW1019" s="1084"/>
      <c r="AX1019" s="1084"/>
      <c r="AY1019" s="1084"/>
    </row>
    <row r="1020" spans="1:51" ht="12.75" customHeight="1">
      <c r="A1020" s="14"/>
      <c r="B1020" s="62"/>
      <c r="C1020" s="97" t="s">
        <v>1753</v>
      </c>
      <c r="D1020" s="1595" t="s">
        <v>1754</v>
      </c>
      <c r="E1020" s="1596"/>
      <c r="F1020" s="1596"/>
      <c r="G1020" s="1596"/>
      <c r="H1020" s="1596"/>
      <c r="I1020" s="1596"/>
      <c r="J1020" s="1596"/>
      <c r="K1020" s="1596"/>
      <c r="L1020" s="1596"/>
      <c r="M1020" s="1596"/>
      <c r="N1020" s="1596"/>
      <c r="O1020" s="1596"/>
      <c r="P1020" s="1596"/>
      <c r="Q1020" s="1596"/>
      <c r="R1020" s="1596"/>
      <c r="S1020" s="1596"/>
      <c r="T1020" s="1596"/>
      <c r="U1020" s="1596"/>
      <c r="V1020" s="1596"/>
      <c r="W1020" s="1596"/>
      <c r="X1020" s="1596"/>
      <c r="Y1020" s="1596"/>
      <c r="Z1020" s="1596"/>
      <c r="AA1020" s="1596"/>
      <c r="AB1020" s="1596"/>
      <c r="AC1020" s="1596"/>
      <c r="AD1020" s="1596"/>
      <c r="AE1020" s="1597"/>
      <c r="AF1020" s="62"/>
      <c r="AG1020" s="1605" t="s">
        <v>929</v>
      </c>
      <c r="AH1020" s="1606"/>
      <c r="AI1020" s="65"/>
      <c r="AJ1020" s="1612">
        <f>ROUND(IF(AG1020="yes",(AJ975*0.1),0),0)</f>
        <v>0</v>
      </c>
      <c r="AK1020" s="1613"/>
      <c r="AL1020" s="1613"/>
      <c r="AM1020" s="1613"/>
      <c r="AN1020" s="1613"/>
      <c r="AO1020" s="1613"/>
      <c r="AP1020" s="1613"/>
      <c r="AQ1020" s="1614"/>
      <c r="AR1020" s="1084"/>
      <c r="AS1020" s="1084"/>
      <c r="AT1020" s="1084"/>
      <c r="AU1020" s="1084"/>
      <c r="AV1020" s="1084"/>
      <c r="AW1020" s="1084"/>
      <c r="AX1020" s="1084"/>
      <c r="AY1020" s="1084"/>
    </row>
    <row r="1021" spans="1:51" ht="12.75" customHeight="1">
      <c r="A1021" s="14"/>
      <c r="B1021" s="59"/>
      <c r="C1021" s="1094"/>
      <c r="D1021" s="1598" t="s">
        <v>1755</v>
      </c>
      <c r="E1021" s="1599"/>
      <c r="F1021" s="1599"/>
      <c r="G1021" s="1599"/>
      <c r="H1021" s="1599"/>
      <c r="I1021" s="1599"/>
      <c r="J1021" s="1599"/>
      <c r="K1021" s="1599"/>
      <c r="L1021" s="1599"/>
      <c r="M1021" s="1599"/>
      <c r="N1021" s="1599"/>
      <c r="O1021" s="1599"/>
      <c r="P1021" s="1599"/>
      <c r="Q1021" s="1599"/>
      <c r="R1021" s="1599"/>
      <c r="S1021" s="1599"/>
      <c r="T1021" s="1599"/>
      <c r="U1021" s="1599"/>
      <c r="V1021" s="1599"/>
      <c r="W1021" s="1599"/>
      <c r="X1021" s="1599"/>
      <c r="Y1021" s="1599"/>
      <c r="Z1021" s="1599"/>
      <c r="AA1021" s="1599"/>
      <c r="AB1021" s="1599"/>
      <c r="AC1021" s="1599"/>
      <c r="AD1021" s="1599"/>
      <c r="AE1021" s="1600"/>
      <c r="AF1021" s="59"/>
      <c r="AG1021" s="14"/>
      <c r="AH1021" s="14"/>
      <c r="AI1021" s="63"/>
      <c r="AJ1021" s="1615"/>
      <c r="AK1021" s="1344"/>
      <c r="AL1021" s="1344"/>
      <c r="AM1021" s="1344"/>
      <c r="AN1021" s="1344"/>
      <c r="AO1021" s="1344"/>
      <c r="AP1021" s="1344"/>
      <c r="AQ1021" s="1616"/>
      <c r="AR1021" s="1084"/>
      <c r="AS1021" s="1084"/>
      <c r="AT1021" s="1084"/>
      <c r="AU1021" s="1084"/>
      <c r="AV1021" s="1084"/>
      <c r="AW1021" s="1084"/>
      <c r="AX1021" s="1084"/>
      <c r="AY1021" s="1084"/>
    </row>
    <row r="1022" spans="1:51" ht="12.75" customHeight="1">
      <c r="A1022" s="14"/>
      <c r="B1022" s="59"/>
      <c r="C1022" s="1094"/>
      <c r="D1022" s="1598"/>
      <c r="E1022" s="1599"/>
      <c r="F1022" s="1599"/>
      <c r="G1022" s="1599"/>
      <c r="H1022" s="1599"/>
      <c r="I1022" s="1599"/>
      <c r="J1022" s="1599"/>
      <c r="K1022" s="1599"/>
      <c r="L1022" s="1599"/>
      <c r="M1022" s="1599"/>
      <c r="N1022" s="1599"/>
      <c r="O1022" s="1599"/>
      <c r="P1022" s="1599"/>
      <c r="Q1022" s="1599"/>
      <c r="R1022" s="1599"/>
      <c r="S1022" s="1599"/>
      <c r="T1022" s="1599"/>
      <c r="U1022" s="1599"/>
      <c r="V1022" s="1599"/>
      <c r="W1022" s="1599"/>
      <c r="X1022" s="1599"/>
      <c r="Y1022" s="1599"/>
      <c r="Z1022" s="1599"/>
      <c r="AA1022" s="1599"/>
      <c r="AB1022" s="1599"/>
      <c r="AC1022" s="1599"/>
      <c r="AD1022" s="1599"/>
      <c r="AE1022" s="1600"/>
      <c r="AF1022" s="59"/>
      <c r="AG1022" s="14"/>
      <c r="AH1022" s="14"/>
      <c r="AI1022" s="63"/>
      <c r="AJ1022" s="1615"/>
      <c r="AK1022" s="1344"/>
      <c r="AL1022" s="1344"/>
      <c r="AM1022" s="1344"/>
      <c r="AN1022" s="1344"/>
      <c r="AO1022" s="1344"/>
      <c r="AP1022" s="1344"/>
      <c r="AQ1022" s="1616"/>
      <c r="AR1022" s="1084"/>
      <c r="AS1022" s="1084"/>
      <c r="AT1022" s="1084"/>
      <c r="AU1022" s="1084"/>
      <c r="AV1022" s="1084"/>
      <c r="AW1022" s="1084"/>
      <c r="AX1022" s="1084"/>
      <c r="AY1022" s="1084"/>
    </row>
    <row r="1023" spans="1:51" ht="12.75" customHeight="1">
      <c r="A1023" s="14"/>
      <c r="B1023" s="59"/>
      <c r="C1023" s="1094"/>
      <c r="D1023" s="1609"/>
      <c r="E1023" s="1610"/>
      <c r="F1023" s="1610"/>
      <c r="G1023" s="1610"/>
      <c r="H1023" s="1610"/>
      <c r="I1023" s="1610"/>
      <c r="J1023" s="1610"/>
      <c r="K1023" s="1610"/>
      <c r="L1023" s="1610"/>
      <c r="M1023" s="1610"/>
      <c r="N1023" s="1610"/>
      <c r="O1023" s="1610"/>
      <c r="P1023" s="1610"/>
      <c r="Q1023" s="1610"/>
      <c r="R1023" s="1610"/>
      <c r="S1023" s="1610"/>
      <c r="T1023" s="1610"/>
      <c r="U1023" s="1610"/>
      <c r="V1023" s="1610"/>
      <c r="W1023" s="1610"/>
      <c r="X1023" s="1610"/>
      <c r="Y1023" s="1610"/>
      <c r="Z1023" s="1610"/>
      <c r="AA1023" s="1610"/>
      <c r="AB1023" s="1610"/>
      <c r="AC1023" s="1610"/>
      <c r="AD1023" s="1610"/>
      <c r="AE1023" s="1611"/>
      <c r="AF1023" s="59"/>
      <c r="AG1023" s="14"/>
      <c r="AH1023" s="14"/>
      <c r="AI1023" s="63"/>
      <c r="AJ1023" s="1617"/>
      <c r="AK1023" s="1618"/>
      <c r="AL1023" s="1618"/>
      <c r="AM1023" s="1618"/>
      <c r="AN1023" s="1618"/>
      <c r="AO1023" s="1618"/>
      <c r="AP1023" s="1618"/>
      <c r="AQ1023" s="1619"/>
      <c r="AR1023" s="1084"/>
      <c r="AS1023" s="1084"/>
      <c r="AT1023" s="1084"/>
      <c r="AU1023" s="1084"/>
      <c r="AV1023" s="1084"/>
      <c r="AW1023" s="1084"/>
      <c r="AX1023" s="1084"/>
      <c r="AY1023" s="1084"/>
    </row>
    <row r="1024" spans="1:51" ht="12.75" customHeight="1">
      <c r="A1024" s="14"/>
      <c r="B1024" s="62"/>
      <c r="C1024" s="97" t="s">
        <v>1756</v>
      </c>
      <c r="D1024" s="1630" t="s">
        <v>1757</v>
      </c>
      <c r="E1024" s="1631"/>
      <c r="F1024" s="1631"/>
      <c r="G1024" s="1631"/>
      <c r="H1024" s="1631"/>
      <c r="I1024" s="1631"/>
      <c r="J1024" s="1631"/>
      <c r="K1024" s="1631"/>
      <c r="L1024" s="1631"/>
      <c r="M1024" s="1631"/>
      <c r="N1024" s="1631"/>
      <c r="O1024" s="1631"/>
      <c r="P1024" s="1631"/>
      <c r="Q1024" s="1631"/>
      <c r="R1024" s="1631"/>
      <c r="S1024" s="1631"/>
      <c r="T1024" s="1631"/>
      <c r="U1024" s="1631"/>
      <c r="V1024" s="1631"/>
      <c r="W1024" s="1631"/>
      <c r="X1024" s="1631"/>
      <c r="Y1024" s="1631"/>
      <c r="Z1024" s="1631"/>
      <c r="AA1024" s="1631"/>
      <c r="AB1024" s="1631"/>
      <c r="AC1024" s="1631"/>
      <c r="AD1024" s="1631"/>
      <c r="AE1024" s="1632"/>
      <c r="AF1024" s="62"/>
      <c r="AG1024" s="1601" t="str">
        <f>IF(X1027&gt;0,"Yes","No")</f>
        <v>Yes</v>
      </c>
      <c r="AH1024" s="1602"/>
      <c r="AI1024" s="65"/>
      <c r="AJ1024" s="1612">
        <f>IF((X1027=0),0,BA989*AJ975)</f>
        <v>4895697.84</v>
      </c>
      <c r="AK1024" s="1613"/>
      <c r="AL1024" s="1613"/>
      <c r="AM1024" s="1613"/>
      <c r="AN1024" s="1613"/>
      <c r="AO1024" s="1613"/>
      <c r="AP1024" s="1613"/>
      <c r="AQ1024" s="1614"/>
      <c r="AR1024" s="1084"/>
      <c r="AS1024" s="1084"/>
      <c r="AT1024" s="1084"/>
      <c r="AU1024" s="1084"/>
      <c r="AV1024" s="1084"/>
      <c r="AW1024" s="1084"/>
      <c r="AX1024" s="1084"/>
      <c r="AY1024" s="1084"/>
    </row>
    <row r="1025" spans="1:51" ht="12.75" customHeight="1">
      <c r="A1025" s="14"/>
      <c r="B1025" s="59"/>
      <c r="C1025" s="378"/>
      <c r="D1025" s="1598" t="s">
        <v>1758</v>
      </c>
      <c r="E1025" s="1599"/>
      <c r="F1025" s="1599"/>
      <c r="G1025" s="1599"/>
      <c r="H1025" s="1599"/>
      <c r="I1025" s="1599"/>
      <c r="J1025" s="1599"/>
      <c r="K1025" s="1599"/>
      <c r="L1025" s="1599"/>
      <c r="M1025" s="1599"/>
      <c r="N1025" s="1599"/>
      <c r="O1025" s="1599"/>
      <c r="P1025" s="1599"/>
      <c r="Q1025" s="1599"/>
      <c r="R1025" s="1599"/>
      <c r="S1025" s="1599"/>
      <c r="T1025" s="1599"/>
      <c r="U1025" s="1599"/>
      <c r="V1025" s="1599"/>
      <c r="W1025" s="1599"/>
      <c r="X1025" s="1599"/>
      <c r="Y1025" s="1599"/>
      <c r="Z1025" s="1599"/>
      <c r="AA1025" s="1599"/>
      <c r="AB1025" s="1599"/>
      <c r="AC1025" s="1599"/>
      <c r="AD1025" s="1599"/>
      <c r="AE1025" s="1600"/>
      <c r="AF1025" s="59"/>
      <c r="AG1025" s="1100"/>
      <c r="AH1025" s="1100"/>
      <c r="AI1025" s="63"/>
      <c r="AJ1025" s="1615"/>
      <c r="AK1025" s="1344"/>
      <c r="AL1025" s="1344"/>
      <c r="AM1025" s="1344"/>
      <c r="AN1025" s="1344"/>
      <c r="AO1025" s="1344"/>
      <c r="AP1025" s="1344"/>
      <c r="AQ1025" s="1616"/>
      <c r="AR1025" s="1084"/>
      <c r="AS1025" s="1084"/>
      <c r="AT1025" s="1084"/>
      <c r="AU1025" s="1084"/>
      <c r="AV1025" s="1084"/>
      <c r="AW1025" s="1084"/>
      <c r="AX1025" s="1084"/>
      <c r="AY1025" s="1084"/>
    </row>
    <row r="1026" spans="1:51" ht="12.75" customHeight="1">
      <c r="A1026" s="14"/>
      <c r="B1026" s="59"/>
      <c r="C1026" s="378"/>
      <c r="D1026" s="1598"/>
      <c r="E1026" s="1599"/>
      <c r="F1026" s="1599"/>
      <c r="G1026" s="1599"/>
      <c r="H1026" s="1599"/>
      <c r="I1026" s="1599"/>
      <c r="J1026" s="1599"/>
      <c r="K1026" s="1599"/>
      <c r="L1026" s="1599"/>
      <c r="M1026" s="1599"/>
      <c r="N1026" s="1599"/>
      <c r="O1026" s="1599"/>
      <c r="P1026" s="1599"/>
      <c r="Q1026" s="1599"/>
      <c r="R1026" s="1599"/>
      <c r="S1026" s="1599"/>
      <c r="T1026" s="1599"/>
      <c r="U1026" s="1599"/>
      <c r="V1026" s="1599"/>
      <c r="W1026" s="1599"/>
      <c r="X1026" s="1599"/>
      <c r="Y1026" s="1599"/>
      <c r="Z1026" s="1599"/>
      <c r="AA1026" s="1599"/>
      <c r="AB1026" s="1599"/>
      <c r="AC1026" s="1599"/>
      <c r="AD1026" s="1599"/>
      <c r="AE1026" s="1600"/>
      <c r="AF1026" s="59"/>
      <c r="AG1026" s="1100"/>
      <c r="AH1026" s="1100"/>
      <c r="AI1026" s="63"/>
      <c r="AJ1026" s="1615"/>
      <c r="AK1026" s="1344"/>
      <c r="AL1026" s="1344"/>
      <c r="AM1026" s="1344"/>
      <c r="AN1026" s="1344"/>
      <c r="AO1026" s="1344"/>
      <c r="AP1026" s="1344"/>
      <c r="AQ1026" s="1616"/>
      <c r="AR1026" s="1084"/>
      <c r="AS1026" s="1084"/>
      <c r="AT1026" s="1084"/>
      <c r="AU1026" s="1084"/>
      <c r="AV1026" s="1084"/>
      <c r="AW1026" s="1084"/>
      <c r="AX1026" s="1084"/>
      <c r="AY1026" s="1084"/>
    </row>
    <row r="1027" spans="1:51" ht="12.75" customHeight="1">
      <c r="A1027" s="14"/>
      <c r="B1027" s="60"/>
      <c r="C1027" s="61"/>
      <c r="D1027" s="98" t="s">
        <v>1759</v>
      </c>
      <c r="E1027" s="7"/>
      <c r="F1027" s="7"/>
      <c r="G1027" s="7"/>
      <c r="H1027" s="7"/>
      <c r="I1027" s="1603">
        <f>BA987</f>
        <v>119</v>
      </c>
      <c r="J1027" s="1604"/>
      <c r="K1027" s="7"/>
      <c r="L1027" s="7"/>
      <c r="M1027" s="7"/>
      <c r="N1027" s="7"/>
      <c r="O1027" s="7"/>
      <c r="P1027" s="7"/>
      <c r="Q1027" s="7"/>
      <c r="R1027" s="7"/>
      <c r="S1027" s="7"/>
      <c r="T1027" s="7"/>
      <c r="U1027" s="7"/>
      <c r="V1027" s="99" t="s">
        <v>1760</v>
      </c>
      <c r="W1027" s="41"/>
      <c r="X1027" s="1601">
        <f>BG635</f>
        <v>14</v>
      </c>
      <c r="Y1027" s="1602"/>
      <c r="Z1027" s="41"/>
      <c r="AA1027" s="41"/>
      <c r="AB1027" s="41"/>
      <c r="AC1027" s="41"/>
      <c r="AD1027" s="41"/>
      <c r="AE1027" s="42"/>
      <c r="AF1027" s="884"/>
      <c r="AG1027" s="885"/>
      <c r="AH1027" s="885"/>
      <c r="AI1027" s="886"/>
      <c r="AJ1027" s="1617"/>
      <c r="AK1027" s="1618"/>
      <c r="AL1027" s="1618"/>
      <c r="AM1027" s="1618"/>
      <c r="AN1027" s="1618"/>
      <c r="AO1027" s="1618"/>
      <c r="AP1027" s="1618"/>
      <c r="AQ1027" s="1619"/>
      <c r="AR1027" s="1084"/>
      <c r="AS1027" s="1084"/>
      <c r="AT1027" s="1084"/>
      <c r="AU1027" s="1084"/>
      <c r="AV1027" s="1084"/>
      <c r="AW1027" s="1084"/>
      <c r="AX1027" s="1084"/>
      <c r="AY1027" s="1084"/>
    </row>
    <row r="1028" spans="1:51" ht="12.75" customHeight="1">
      <c r="A1028" s="14"/>
      <c r="B1028" s="62"/>
      <c r="C1028" s="97" t="s">
        <v>1761</v>
      </c>
      <c r="D1028" s="1595" t="s">
        <v>1762</v>
      </c>
      <c r="E1028" s="1596"/>
      <c r="F1028" s="1596"/>
      <c r="G1028" s="1596"/>
      <c r="H1028" s="1596"/>
      <c r="I1028" s="1596"/>
      <c r="J1028" s="1596"/>
      <c r="K1028" s="1596"/>
      <c r="L1028" s="1596"/>
      <c r="M1028" s="1596"/>
      <c r="N1028" s="1596"/>
      <c r="O1028" s="1596"/>
      <c r="P1028" s="1596"/>
      <c r="Q1028" s="1596"/>
      <c r="R1028" s="1596"/>
      <c r="S1028" s="1596"/>
      <c r="T1028" s="1596"/>
      <c r="U1028" s="1596"/>
      <c r="V1028" s="1596"/>
      <c r="W1028" s="1596"/>
      <c r="X1028" s="1596"/>
      <c r="Y1028" s="1596"/>
      <c r="Z1028" s="1596"/>
      <c r="AA1028" s="1596"/>
      <c r="AB1028" s="1596"/>
      <c r="AC1028" s="1596"/>
      <c r="AD1028" s="1596"/>
      <c r="AE1028" s="1597"/>
      <c r="AF1028" s="59"/>
      <c r="AG1028" s="1601" t="str">
        <f>IF(X1031&gt;0,"Yes","No")</f>
        <v>Yes</v>
      </c>
      <c r="AH1028" s="1602"/>
      <c r="AI1028" s="63"/>
      <c r="AJ1028" s="1612">
        <f>IF((X1031=0),0,(2*BA990)*AJ975)</f>
        <v>9791395.6799999997</v>
      </c>
      <c r="AK1028" s="1613"/>
      <c r="AL1028" s="1613"/>
      <c r="AM1028" s="1613"/>
      <c r="AN1028" s="1613"/>
      <c r="AO1028" s="1613"/>
      <c r="AP1028" s="1613"/>
      <c r="AQ1028" s="1614"/>
      <c r="AR1028" s="1084"/>
      <c r="AS1028" s="1084"/>
      <c r="AT1028" s="1084"/>
      <c r="AU1028" s="1084"/>
      <c r="AV1028" s="1084"/>
      <c r="AW1028" s="1084"/>
      <c r="AX1028" s="1084"/>
      <c r="AY1028" s="1084"/>
    </row>
    <row r="1029" spans="1:51" ht="12.75" customHeight="1">
      <c r="A1029" s="14"/>
      <c r="B1029" s="59"/>
      <c r="C1029" s="378"/>
      <c r="D1029" s="1598" t="s">
        <v>1763</v>
      </c>
      <c r="E1029" s="1599"/>
      <c r="F1029" s="1599"/>
      <c r="G1029" s="1599"/>
      <c r="H1029" s="1599"/>
      <c r="I1029" s="1599"/>
      <c r="J1029" s="1599"/>
      <c r="K1029" s="1599"/>
      <c r="L1029" s="1599"/>
      <c r="M1029" s="1599"/>
      <c r="N1029" s="1599"/>
      <c r="O1029" s="1599"/>
      <c r="P1029" s="1599"/>
      <c r="Q1029" s="1599"/>
      <c r="R1029" s="1599"/>
      <c r="S1029" s="1599"/>
      <c r="T1029" s="1599"/>
      <c r="U1029" s="1599"/>
      <c r="V1029" s="1599"/>
      <c r="W1029" s="1599"/>
      <c r="X1029" s="1599"/>
      <c r="Y1029" s="1599"/>
      <c r="Z1029" s="1599"/>
      <c r="AA1029" s="1599"/>
      <c r="AB1029" s="1599"/>
      <c r="AC1029" s="1599"/>
      <c r="AD1029" s="1599"/>
      <c r="AE1029" s="1600"/>
      <c r="AF1029" s="59"/>
      <c r="AG1029" s="1100"/>
      <c r="AH1029" s="1100"/>
      <c r="AI1029" s="63"/>
      <c r="AJ1029" s="1615"/>
      <c r="AK1029" s="1344"/>
      <c r="AL1029" s="1344"/>
      <c r="AM1029" s="1344"/>
      <c r="AN1029" s="1344"/>
      <c r="AO1029" s="1344"/>
      <c r="AP1029" s="1344"/>
      <c r="AQ1029" s="1616"/>
      <c r="AR1029" s="1084"/>
      <c r="AS1029" s="1084"/>
      <c r="AT1029" s="1084"/>
      <c r="AU1029" s="1084"/>
      <c r="AV1029" s="1084"/>
      <c r="AW1029" s="1084"/>
      <c r="AX1029" s="1084"/>
      <c r="AY1029" s="1084"/>
    </row>
    <row r="1030" spans="1:51" ht="12.75" customHeight="1">
      <c r="A1030" s="14"/>
      <c r="B1030" s="59"/>
      <c r="C1030" s="63"/>
      <c r="D1030" s="1598"/>
      <c r="E1030" s="1599"/>
      <c r="F1030" s="1599"/>
      <c r="G1030" s="1599"/>
      <c r="H1030" s="1599"/>
      <c r="I1030" s="1599"/>
      <c r="J1030" s="1599"/>
      <c r="K1030" s="1599"/>
      <c r="L1030" s="1599"/>
      <c r="M1030" s="1599"/>
      <c r="N1030" s="1599"/>
      <c r="O1030" s="1599"/>
      <c r="P1030" s="1599"/>
      <c r="Q1030" s="1599"/>
      <c r="R1030" s="1599"/>
      <c r="S1030" s="1599"/>
      <c r="T1030" s="1599"/>
      <c r="U1030" s="1599"/>
      <c r="V1030" s="1599"/>
      <c r="W1030" s="1599"/>
      <c r="X1030" s="1599"/>
      <c r="Y1030" s="1599"/>
      <c r="Z1030" s="1599"/>
      <c r="AA1030" s="1599"/>
      <c r="AB1030" s="1599"/>
      <c r="AC1030" s="1599"/>
      <c r="AD1030" s="1599"/>
      <c r="AE1030" s="1600"/>
      <c r="AF1030" s="881"/>
      <c r="AG1030" s="882"/>
      <c r="AH1030" s="882"/>
      <c r="AI1030" s="883"/>
      <c r="AJ1030" s="1615"/>
      <c r="AK1030" s="1344"/>
      <c r="AL1030" s="1344"/>
      <c r="AM1030" s="1344"/>
      <c r="AN1030" s="1344"/>
      <c r="AO1030" s="1344"/>
      <c r="AP1030" s="1344"/>
      <c r="AQ1030" s="1616"/>
      <c r="AR1030" s="1084"/>
      <c r="AS1030" s="1084"/>
      <c r="AT1030" s="1084"/>
      <c r="AU1030" s="1084"/>
      <c r="AV1030" s="1084"/>
      <c r="AW1030" s="1084"/>
      <c r="AX1030" s="1084"/>
      <c r="AY1030" s="1084"/>
    </row>
    <row r="1031" spans="1:51" ht="12.75" customHeight="1">
      <c r="A1031" s="14"/>
      <c r="B1031" s="60"/>
      <c r="C1031" s="61"/>
      <c r="D1031" s="98" t="s">
        <v>1759</v>
      </c>
      <c r="E1031" s="7"/>
      <c r="F1031" s="7"/>
      <c r="G1031" s="7"/>
      <c r="H1031" s="7"/>
      <c r="I1031" s="1603">
        <f>BA987</f>
        <v>119</v>
      </c>
      <c r="J1031" s="1604"/>
      <c r="K1031" s="14"/>
      <c r="L1031" s="7"/>
      <c r="M1031" s="7"/>
      <c r="N1031" s="7"/>
      <c r="O1031" s="7"/>
      <c r="P1031" s="7"/>
      <c r="Q1031" s="7"/>
      <c r="R1031" s="7"/>
      <c r="S1031" s="7"/>
      <c r="T1031" s="7"/>
      <c r="U1031" s="7"/>
      <c r="V1031" s="99" t="s">
        <v>1764</v>
      </c>
      <c r="X1031" s="1601">
        <f>BK635</f>
        <v>14</v>
      </c>
      <c r="Y1031" s="1602"/>
      <c r="AF1031" s="884"/>
      <c r="AG1031" s="885"/>
      <c r="AH1031" s="885"/>
      <c r="AI1031" s="886"/>
      <c r="AJ1031" s="1617"/>
      <c r="AK1031" s="1618"/>
      <c r="AL1031" s="1618"/>
      <c r="AM1031" s="1618"/>
      <c r="AN1031" s="1618"/>
      <c r="AO1031" s="1618"/>
      <c r="AP1031" s="1618"/>
      <c r="AQ1031" s="1619"/>
      <c r="AR1031" s="1084"/>
      <c r="AS1031" s="1084"/>
      <c r="AT1031" s="1084"/>
      <c r="AU1031" s="1084"/>
      <c r="AV1031" s="1084"/>
      <c r="AW1031" s="1084"/>
      <c r="AX1031" s="1084"/>
      <c r="AY1031" s="1084"/>
    </row>
    <row r="1032" spans="1:51" ht="12.75" customHeight="1">
      <c r="A1032" s="14"/>
      <c r="B1032" s="78"/>
      <c r="C1032" s="1101"/>
      <c r="D1032" s="1593" t="s">
        <v>1765</v>
      </c>
      <c r="E1032" s="1593"/>
      <c r="F1032" s="1593"/>
      <c r="G1032" s="1593"/>
      <c r="H1032" s="1593"/>
      <c r="I1032" s="1593"/>
      <c r="J1032" s="1593"/>
      <c r="K1032" s="1593"/>
      <c r="L1032" s="1593"/>
      <c r="M1032" s="1593"/>
      <c r="N1032" s="1593"/>
      <c r="O1032" s="1593"/>
      <c r="P1032" s="1593"/>
      <c r="Q1032" s="1593"/>
      <c r="R1032" s="1593"/>
      <c r="S1032" s="1593"/>
      <c r="T1032" s="1593"/>
      <c r="U1032" s="1593"/>
      <c r="V1032" s="1593"/>
      <c r="W1032" s="1593"/>
      <c r="X1032" s="1593"/>
      <c r="Y1032" s="1593"/>
      <c r="Z1032" s="1593"/>
      <c r="AA1032" s="1593"/>
      <c r="AB1032" s="1593"/>
      <c r="AC1032" s="1593"/>
      <c r="AD1032" s="1593"/>
      <c r="AE1032" s="1593"/>
      <c r="AF1032" s="1593"/>
      <c r="AG1032" s="1593"/>
      <c r="AH1032" s="1593"/>
      <c r="AI1032" s="1594"/>
      <c r="AJ1032" s="1620">
        <f>SUM(AJ975:AQ1031)</f>
        <v>64219104.520000003</v>
      </c>
      <c r="AK1032" s="1621"/>
      <c r="AL1032" s="1621"/>
      <c r="AM1032" s="1621"/>
      <c r="AN1032" s="1621"/>
      <c r="AO1032" s="1621"/>
      <c r="AP1032" s="1621"/>
      <c r="AQ1032" s="1622"/>
      <c r="AR1032" s="1084"/>
      <c r="AS1032" s="1084"/>
      <c r="AT1032" s="1084"/>
      <c r="AU1032" s="1084"/>
      <c r="AV1032" s="1084"/>
      <c r="AW1032" s="1084"/>
      <c r="AX1032" s="1084"/>
      <c r="AY1032" s="1084"/>
    </row>
    <row r="1033" spans="1:51" ht="12.75" customHeight="1">
      <c r="A1033" s="14"/>
      <c r="B1033" s="14"/>
      <c r="C1033" s="1102"/>
      <c r="D1033" s="1103"/>
      <c r="E1033" s="1103"/>
      <c r="F1033" s="1103"/>
      <c r="G1033" s="1103"/>
      <c r="H1033" s="1103"/>
      <c r="I1033" s="1103"/>
      <c r="J1033" s="1103"/>
      <c r="K1033" s="1103"/>
      <c r="L1033" s="1103"/>
      <c r="M1033" s="1103"/>
      <c r="N1033" s="1103"/>
      <c r="O1033" s="1103"/>
      <c r="P1033" s="1103"/>
      <c r="Q1033" s="1103"/>
      <c r="R1033" s="1103"/>
      <c r="S1033" s="1103"/>
      <c r="T1033" s="1104"/>
      <c r="U1033" s="1104"/>
      <c r="V1033" s="1104"/>
      <c r="W1033" s="1104"/>
      <c r="X1033" s="1104"/>
      <c r="Y1033" s="1104"/>
      <c r="Z1033" s="1104"/>
      <c r="AA1033" s="1104"/>
      <c r="AB1033" s="1104"/>
      <c r="AC1033" s="1104"/>
      <c r="AD1033" s="147"/>
      <c r="AE1033" s="147"/>
      <c r="AF1033" s="147"/>
      <c r="AG1033" s="147"/>
      <c r="AH1033" s="147"/>
      <c r="AI1033" s="147"/>
      <c r="AJ1033" s="147"/>
      <c r="AK1033" s="147"/>
      <c r="AL1033" s="1084"/>
      <c r="AM1033" s="1084"/>
      <c r="AN1033" s="1084"/>
      <c r="AO1033" s="1084"/>
      <c r="AP1033" s="1084"/>
      <c r="AQ1033" s="1084"/>
      <c r="AR1033" s="1084"/>
      <c r="AS1033" s="1084"/>
      <c r="AT1033" s="1084"/>
      <c r="AU1033" s="1084"/>
      <c r="AV1033" s="1084"/>
      <c r="AW1033" s="1084"/>
      <c r="AX1033" s="1084"/>
      <c r="AY1033" s="1084"/>
    </row>
    <row r="1034" spans="1:51" ht="12.75" customHeight="1">
      <c r="A1034" s="14"/>
      <c r="B1034" s="1303" t="s">
        <v>1766</v>
      </c>
      <c r="C1034" s="1303"/>
      <c r="D1034" s="1303"/>
      <c r="E1034" s="1303"/>
      <c r="F1034" s="1303"/>
      <c r="G1034" s="1303"/>
      <c r="H1034" s="1303"/>
      <c r="I1034" s="1303"/>
      <c r="J1034" s="1303"/>
      <c r="K1034" s="1303"/>
      <c r="L1034" s="1303"/>
      <c r="M1034" s="1303"/>
      <c r="N1034" s="1303"/>
      <c r="O1034" s="1303"/>
      <c r="P1034" s="1303"/>
      <c r="Q1034" s="1303"/>
      <c r="R1034" s="1303"/>
      <c r="S1034" s="1303"/>
      <c r="T1034" s="1303"/>
      <c r="U1034" s="1303"/>
      <c r="V1034" s="1303"/>
      <c r="W1034" s="1303"/>
      <c r="X1034" s="1303"/>
      <c r="Y1034" s="1303"/>
      <c r="Z1034" s="151"/>
      <c r="AA1034" s="151"/>
      <c r="AB1034" s="151"/>
      <c r="AC1034" s="151"/>
      <c r="AL1034" s="1084"/>
      <c r="AM1034" s="1084"/>
      <c r="AN1034" s="1084"/>
      <c r="AO1034" s="1084"/>
      <c r="AP1034" s="1084"/>
      <c r="AQ1034" s="1084"/>
      <c r="AR1034" s="1084"/>
      <c r="AS1034" s="1084"/>
      <c r="AT1034" s="1084"/>
      <c r="AU1034" s="1084"/>
      <c r="AV1034" s="1084"/>
      <c r="AW1034" s="1084"/>
      <c r="AX1034" s="1084"/>
      <c r="AY1034" s="1084"/>
    </row>
    <row r="1035" spans="1:51" ht="12.75" customHeight="1">
      <c r="A1035" s="14"/>
      <c r="B1035" s="14" t="s">
        <v>1767</v>
      </c>
      <c r="C1035" s="1102"/>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57"/>
      <c r="Y1035" s="1557"/>
      <c r="Z1035" s="1557"/>
      <c r="AA1035" s="1557"/>
      <c r="AB1035" s="1557"/>
      <c r="AC1035" s="1557"/>
      <c r="AD1035" s="1325">
        <f>R971</f>
        <v>372800</v>
      </c>
      <c r="AE1035" s="1162"/>
      <c r="AF1035" s="1162"/>
      <c r="AG1035" s="1162"/>
      <c r="AH1035" s="1162"/>
      <c r="AI1035" s="1162"/>
      <c r="AJ1035" s="1162"/>
      <c r="AK1035" s="1162"/>
      <c r="AL1035" s="1084"/>
      <c r="AM1035" s="1084"/>
      <c r="AN1035" s="1084"/>
      <c r="AO1035" s="1084"/>
      <c r="AP1035" s="1084"/>
      <c r="AQ1035" s="1084"/>
      <c r="AR1035" s="1084"/>
      <c r="AS1035" s="1084"/>
      <c r="AT1035" s="1084"/>
      <c r="AU1035" s="1084"/>
      <c r="AV1035" s="1084"/>
      <c r="AW1035" s="1084"/>
      <c r="AX1035" s="1084"/>
      <c r="AY1035" s="1084"/>
    </row>
    <row r="1036" spans="1:51" ht="12.75" customHeight="1">
      <c r="A1036" s="14"/>
      <c r="B1036" s="14" t="s">
        <v>1768</v>
      </c>
      <c r="C1036" s="1102"/>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58"/>
      <c r="Y1036" s="1558"/>
      <c r="Z1036" s="1558"/>
      <c r="AA1036" s="1558"/>
      <c r="AB1036" s="1558"/>
      <c r="AC1036" s="1558"/>
      <c r="AD1036" s="1344">
        <f>MEDIAN((BR809:BR866))</f>
        <v>388000</v>
      </c>
      <c r="AE1036" s="1344"/>
      <c r="AF1036" s="1344"/>
      <c r="AG1036" s="1344"/>
      <c r="AH1036" s="1344"/>
      <c r="AI1036" s="1344"/>
      <c r="AJ1036" s="1344"/>
      <c r="AK1036" s="1344"/>
      <c r="AL1036" s="1084"/>
      <c r="AM1036" s="1084"/>
      <c r="AN1036" s="1084"/>
      <c r="AO1036" s="1084"/>
      <c r="AP1036" s="1084"/>
      <c r="AQ1036" s="1084"/>
      <c r="AR1036" s="1084"/>
      <c r="AS1036" s="1084"/>
      <c r="AT1036" s="1084"/>
      <c r="AU1036" s="1084"/>
      <c r="AV1036" s="1084"/>
      <c r="AW1036" s="1084"/>
      <c r="AX1036" s="1084"/>
      <c r="AY1036" s="1084"/>
    </row>
    <row r="1037" spans="1:51" ht="12.75" customHeight="1">
      <c r="A1037" s="14"/>
      <c r="B1037" s="1326" t="s">
        <v>1769</v>
      </c>
      <c r="C1037" s="1326"/>
      <c r="D1037" s="1326"/>
      <c r="E1037" s="1326"/>
      <c r="F1037" s="1326"/>
      <c r="G1037" s="1326"/>
      <c r="H1037" s="1326"/>
      <c r="I1037" s="1326"/>
      <c r="J1037" s="1326"/>
      <c r="K1037" s="1326"/>
      <c r="L1037" s="1326"/>
      <c r="M1037" s="1326"/>
      <c r="N1037" s="1326"/>
      <c r="O1037" s="1326"/>
      <c r="P1037" s="1326"/>
      <c r="Q1037" s="1326"/>
      <c r="R1037" s="1326"/>
      <c r="S1037" s="1326"/>
      <c r="T1037" s="1326"/>
      <c r="U1037" s="1326"/>
      <c r="V1037" s="1326"/>
      <c r="W1037" s="1326"/>
      <c r="X1037" s="1326"/>
      <c r="Y1037" s="1326"/>
      <c r="Z1037" s="1105"/>
      <c r="AA1037" s="1105"/>
      <c r="AB1037" s="1105"/>
      <c r="AC1037" s="1105"/>
      <c r="AD1037" s="1322">
        <f>IF(((AD1035-AD1036)/AD1036)&gt;0.3,0.3,((AD1035-AD1036)/AD1036))</f>
        <v>-3.9175257731958762E-2</v>
      </c>
      <c r="AE1037" s="1323"/>
      <c r="AF1037" s="1323"/>
      <c r="AG1037" s="1323"/>
      <c r="AH1037" s="1323"/>
      <c r="AI1037" s="1323"/>
      <c r="AJ1037" s="1323"/>
      <c r="AK1037" s="1324"/>
      <c r="AL1037" s="1084"/>
      <c r="AM1037" s="1084"/>
      <c r="AN1037" s="1084"/>
      <c r="AO1037" s="1084"/>
      <c r="AP1037" s="1084"/>
      <c r="AQ1037" s="1084"/>
      <c r="AR1037" s="1084"/>
      <c r="AS1037" s="1084"/>
      <c r="AT1037" s="1084"/>
      <c r="AU1037" s="1084"/>
      <c r="AV1037" s="1084"/>
      <c r="AW1037" s="1084"/>
      <c r="AX1037" s="1084"/>
      <c r="AY1037" s="1084"/>
    </row>
    <row r="1038" spans="1:51" ht="12.75" customHeight="1">
      <c r="A1038" s="14"/>
      <c r="B1038" s="14"/>
      <c r="C1038" s="1102"/>
      <c r="D1038" s="1105"/>
      <c r="E1038" s="1105"/>
      <c r="F1038" s="1105"/>
      <c r="G1038" s="1105"/>
      <c r="H1038" s="1105"/>
      <c r="I1038" s="1105"/>
      <c r="J1038" s="1105"/>
      <c r="K1038" s="1105"/>
      <c r="L1038" s="1105"/>
      <c r="M1038" s="1105"/>
      <c r="N1038" s="1105"/>
      <c r="O1038" s="1105"/>
      <c r="P1038" s="1105"/>
      <c r="Q1038" s="1105"/>
      <c r="R1038" s="1105"/>
      <c r="S1038" s="1105"/>
      <c r="T1038" s="1105"/>
      <c r="U1038" s="1105"/>
      <c r="V1038" s="1105"/>
      <c r="W1038" s="1105"/>
      <c r="X1038" s="1105"/>
      <c r="Y1038" s="1105"/>
      <c r="Z1038" s="1105"/>
      <c r="AA1038" s="1105"/>
      <c r="AB1038" s="1105"/>
      <c r="AC1038" s="1105"/>
      <c r="AD1038" s="1105"/>
      <c r="AE1038" s="1105"/>
      <c r="AF1038" s="1105"/>
      <c r="AG1038" s="1105"/>
      <c r="AH1038" s="1105"/>
      <c r="AI1038" s="1105"/>
      <c r="AJ1038" s="1105"/>
      <c r="AK1038" s="1105"/>
      <c r="AL1038" s="1084"/>
      <c r="AM1038" s="1084"/>
      <c r="AN1038" s="1084"/>
      <c r="AO1038" s="1084"/>
      <c r="AP1038" s="1084"/>
      <c r="AQ1038" s="1084"/>
      <c r="AR1038" s="1084"/>
      <c r="AS1038" s="1084"/>
      <c r="AT1038" s="1084"/>
      <c r="AU1038" s="1084"/>
      <c r="AV1038" s="1084"/>
      <c r="AW1038" s="1084"/>
      <c r="AX1038" s="1084"/>
      <c r="AY1038" s="1084"/>
    </row>
    <row r="1039" spans="1:51" ht="12.6" customHeight="1">
      <c r="A1039" s="1106"/>
      <c r="B1039" s="1556">
        <f>IF(ISNA(IF((AJ999&gt;(AJ975*0.15)),"(f) cannot be greater than 15% of unadjusted eligible basis.",0)),"",(IF((AJ999&gt;(AJ975*0.15)),"(f) cannot be greater than 15% of unadjusted eligible basis.",0)))</f>
        <v>0</v>
      </c>
      <c r="C1039" s="1556"/>
      <c r="D1039" s="1556"/>
      <c r="E1039" s="1556"/>
      <c r="F1039" s="1556"/>
      <c r="G1039" s="1556"/>
      <c r="H1039" s="1556"/>
      <c r="I1039" s="1556"/>
      <c r="J1039" s="1556"/>
      <c r="K1039" s="1556"/>
      <c r="L1039" s="1556"/>
      <c r="M1039" s="1556"/>
      <c r="N1039" s="1556"/>
      <c r="O1039" s="1556"/>
      <c r="P1039" s="1556"/>
      <c r="Q1039" s="1556"/>
      <c r="R1039" s="1556"/>
      <c r="S1039" s="1556"/>
      <c r="T1039" s="1556"/>
      <c r="U1039" s="1556"/>
      <c r="V1039" s="1556"/>
      <c r="W1039" s="1556"/>
      <c r="X1039" s="1556"/>
      <c r="Y1039" s="1556"/>
      <c r="Z1039" s="1556"/>
      <c r="AA1039" s="1556"/>
      <c r="AB1039" s="1556"/>
      <c r="AC1039" s="1556"/>
      <c r="AD1039" s="1556"/>
      <c r="AE1039" s="1556"/>
      <c r="AF1039" s="1556"/>
      <c r="AG1039" s="1556"/>
      <c r="AH1039" s="1556"/>
      <c r="AI1039" s="1556"/>
      <c r="AJ1039" s="1556"/>
      <c r="AK1039" s="1556"/>
      <c r="AL1039" s="1084"/>
      <c r="AM1039" s="1084"/>
      <c r="AN1039" s="1084"/>
      <c r="AO1039" s="1084"/>
      <c r="AP1039" s="1084"/>
      <c r="AQ1039" s="1084"/>
      <c r="AR1039" s="1084"/>
      <c r="AS1039" s="1084"/>
      <c r="AT1039" s="1084"/>
      <c r="AU1039" s="1084"/>
      <c r="AV1039" s="1084"/>
      <c r="AW1039" s="1084"/>
      <c r="AX1039" s="1084"/>
      <c r="AY1039" s="1084"/>
    </row>
    <row r="1040" spans="1:51" ht="12.6" customHeight="1" thickBot="1">
      <c r="A1040" s="1526" t="s">
        <v>1770</v>
      </c>
      <c r="B1040" s="1526"/>
      <c r="C1040" s="1526"/>
      <c r="D1040" s="1526"/>
      <c r="E1040" s="1526"/>
      <c r="F1040" s="1526"/>
      <c r="G1040" s="1526"/>
      <c r="H1040" s="1526"/>
      <c r="I1040" s="1526"/>
      <c r="J1040" s="1526"/>
      <c r="K1040" s="1526"/>
      <c r="L1040" s="1526"/>
      <c r="M1040" s="1526"/>
      <c r="N1040" s="1526"/>
      <c r="O1040" s="1526"/>
      <c r="P1040" s="1526"/>
      <c r="Q1040" s="1526"/>
      <c r="R1040" s="1526"/>
      <c r="S1040" s="1526"/>
      <c r="T1040" s="1526"/>
      <c r="U1040" s="1526"/>
      <c r="V1040" s="1526"/>
      <c r="W1040" s="1526"/>
      <c r="X1040" s="1526"/>
      <c r="Y1040" s="1526"/>
      <c r="Z1040" s="1526"/>
      <c r="AA1040" s="1526"/>
      <c r="AB1040" s="1526"/>
      <c r="AC1040" s="1526"/>
      <c r="AD1040" s="1526"/>
      <c r="AE1040" s="1526"/>
      <c r="AF1040" s="1526"/>
      <c r="AG1040" s="1526"/>
      <c r="AH1040" s="1526"/>
      <c r="AI1040" s="1526"/>
      <c r="AJ1040" s="1526"/>
      <c r="AK1040" s="1526"/>
      <c r="AL1040" s="1526"/>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1771</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1772</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63" t="s">
        <v>299</v>
      </c>
      <c r="B1044" s="1263"/>
      <c r="C1044" s="8">
        <v>1</v>
      </c>
      <c r="D1044" s="1125" t="s">
        <v>1773</v>
      </c>
      <c r="E1044" s="1125"/>
      <c r="F1044" s="1125"/>
      <c r="G1044" s="1125"/>
      <c r="H1044" s="1125"/>
      <c r="I1044" s="1125"/>
      <c r="J1044" s="1125"/>
      <c r="K1044" s="1125"/>
      <c r="L1044" s="1125"/>
      <c r="M1044" s="1125"/>
      <c r="N1044" s="1125"/>
      <c r="O1044" s="1125"/>
      <c r="P1044" s="1125"/>
      <c r="Q1044" s="1125"/>
      <c r="R1044" s="1125"/>
      <c r="S1044" s="1125"/>
      <c r="T1044" s="1125"/>
      <c r="U1044" s="1125"/>
      <c r="V1044" s="1125"/>
      <c r="W1044" s="1125"/>
      <c r="X1044" s="1125"/>
      <c r="Y1044" s="1125"/>
      <c r="Z1044" s="1125"/>
      <c r="AA1044" s="1125"/>
      <c r="AB1044" s="1125"/>
      <c r="AC1044" s="1125"/>
      <c r="AD1044" s="1125"/>
      <c r="AE1044" s="1125"/>
      <c r="AF1044" s="1125"/>
      <c r="AG1044" s="1125"/>
      <c r="AH1044" s="1125"/>
      <c r="AI1044" s="1125"/>
      <c r="AJ1044" s="1125"/>
      <c r="AK1044" s="1125"/>
      <c r="AL1044" s="1084"/>
      <c r="AM1044" s="1084"/>
      <c r="AN1044" s="1084"/>
      <c r="AO1044" s="1084"/>
      <c r="AP1044" s="1084"/>
      <c r="AQ1044" s="1084"/>
      <c r="AR1044" s="1084"/>
      <c r="AS1044" s="1084"/>
      <c r="AT1044" s="1084"/>
      <c r="AU1044" s="1084"/>
      <c r="AV1044" s="1084"/>
      <c r="AW1044" s="1084"/>
      <c r="AX1044" s="1084"/>
      <c r="AY1044" s="1084"/>
    </row>
    <row r="1045" spans="1:51" ht="12.6" customHeight="1">
      <c r="A1045" s="1"/>
      <c r="B1045" s="1"/>
      <c r="C1045" s="8"/>
      <c r="D1045" s="1125"/>
      <c r="E1045" s="1125"/>
      <c r="F1045" s="1125"/>
      <c r="G1045" s="1125"/>
      <c r="H1045" s="1125"/>
      <c r="I1045" s="1125"/>
      <c r="J1045" s="1125"/>
      <c r="K1045" s="1125"/>
      <c r="L1045" s="1125"/>
      <c r="M1045" s="1125"/>
      <c r="N1045" s="1125"/>
      <c r="O1045" s="1125"/>
      <c r="P1045" s="1125"/>
      <c r="Q1045" s="1125"/>
      <c r="R1045" s="1125"/>
      <c r="S1045" s="1125"/>
      <c r="T1045" s="1125"/>
      <c r="U1045" s="1125"/>
      <c r="V1045" s="1125"/>
      <c r="W1045" s="1125"/>
      <c r="X1045" s="1125"/>
      <c r="Y1045" s="1125"/>
      <c r="Z1045" s="1125"/>
      <c r="AA1045" s="1125"/>
      <c r="AB1045" s="1125"/>
      <c r="AC1045" s="1125"/>
      <c r="AD1045" s="1125"/>
      <c r="AE1045" s="1125"/>
      <c r="AF1045" s="1125"/>
      <c r="AG1045" s="1125"/>
      <c r="AH1045" s="1125"/>
      <c r="AI1045" s="1125"/>
      <c r="AJ1045" s="1125"/>
      <c r="AK1045" s="1125"/>
      <c r="AL1045" s="1084"/>
      <c r="AM1045" s="1084"/>
      <c r="AN1045" s="1084"/>
      <c r="AO1045" s="1084"/>
      <c r="AP1045" s="1084"/>
      <c r="AQ1045" s="1084"/>
      <c r="AR1045" s="1084"/>
      <c r="AS1045" s="1084"/>
      <c r="AT1045" s="1084"/>
      <c r="AU1045" s="1084"/>
      <c r="AV1045" s="1084"/>
      <c r="AW1045" s="1084"/>
      <c r="AX1045" s="1084"/>
      <c r="AY1045" s="1084"/>
    </row>
    <row r="1046" spans="1:51" ht="12.6" customHeight="1">
      <c r="A1046" s="1"/>
      <c r="B1046" s="1"/>
      <c r="C1046" s="8"/>
      <c r="D1046" s="1125"/>
      <c r="E1046" s="1125"/>
      <c r="F1046" s="1125"/>
      <c r="G1046" s="1125"/>
      <c r="H1046" s="1125"/>
      <c r="I1046" s="1125"/>
      <c r="J1046" s="1125"/>
      <c r="K1046" s="1125"/>
      <c r="L1046" s="1125"/>
      <c r="M1046" s="1125"/>
      <c r="N1046" s="1125"/>
      <c r="O1046" s="1125"/>
      <c r="P1046" s="1125"/>
      <c r="Q1046" s="1125"/>
      <c r="R1046" s="1125"/>
      <c r="S1046" s="1125"/>
      <c r="T1046" s="1125"/>
      <c r="U1046" s="1125"/>
      <c r="V1046" s="1125"/>
      <c r="W1046" s="1125"/>
      <c r="X1046" s="1125"/>
      <c r="Y1046" s="1125"/>
      <c r="Z1046" s="1125"/>
      <c r="AA1046" s="1125"/>
      <c r="AB1046" s="1125"/>
      <c r="AC1046" s="1125"/>
      <c r="AD1046" s="1125"/>
      <c r="AE1046" s="1125"/>
      <c r="AF1046" s="1125"/>
      <c r="AG1046" s="1125"/>
      <c r="AH1046" s="1125"/>
      <c r="AI1046" s="1125"/>
      <c r="AJ1046" s="1125"/>
      <c r="AK1046" s="1125"/>
      <c r="AL1046" s="1084"/>
      <c r="AM1046" s="1084"/>
      <c r="AN1046" s="1084"/>
      <c r="AO1046" s="1084"/>
      <c r="AP1046" s="1084"/>
      <c r="AQ1046" s="1084"/>
      <c r="AR1046" s="1084"/>
      <c r="AS1046" s="1084"/>
      <c r="AT1046" s="1084"/>
      <c r="AU1046" s="1084"/>
      <c r="AV1046" s="1084"/>
      <c r="AW1046" s="1084"/>
      <c r="AX1046" s="1084"/>
      <c r="AY1046" s="1084"/>
    </row>
    <row r="1047" spans="1:51" ht="12.6" customHeight="1">
      <c r="A1047" s="1"/>
      <c r="B1047" s="1"/>
      <c r="C1047" s="8"/>
      <c r="D1047" s="1125"/>
      <c r="E1047" s="1125"/>
      <c r="F1047" s="1125"/>
      <c r="G1047" s="1125"/>
      <c r="H1047" s="1125"/>
      <c r="I1047" s="1125"/>
      <c r="J1047" s="1125"/>
      <c r="K1047" s="1125"/>
      <c r="L1047" s="1125"/>
      <c r="M1047" s="1125"/>
      <c r="N1047" s="1125"/>
      <c r="O1047" s="1125"/>
      <c r="P1047" s="1125"/>
      <c r="Q1047" s="1125"/>
      <c r="R1047" s="1125"/>
      <c r="S1047" s="1125"/>
      <c r="T1047" s="1125"/>
      <c r="U1047" s="1125"/>
      <c r="V1047" s="1125"/>
      <c r="W1047" s="1125"/>
      <c r="X1047" s="1125"/>
      <c r="Y1047" s="1125"/>
      <c r="Z1047" s="1125"/>
      <c r="AA1047" s="1125"/>
      <c r="AB1047" s="1125"/>
      <c r="AC1047" s="1125"/>
      <c r="AD1047" s="1125"/>
      <c r="AE1047" s="1125"/>
      <c r="AF1047" s="1125"/>
      <c r="AG1047" s="1125"/>
      <c r="AH1047" s="1125"/>
      <c r="AI1047" s="1125"/>
      <c r="AJ1047" s="1125"/>
      <c r="AK1047" s="1125"/>
      <c r="AL1047" s="1084"/>
      <c r="AM1047" s="1084"/>
      <c r="AN1047" s="1084"/>
      <c r="AO1047" s="1084"/>
      <c r="AP1047" s="1084"/>
      <c r="AQ1047" s="1084"/>
      <c r="AR1047" s="1084"/>
      <c r="AS1047" s="1084"/>
      <c r="AT1047" s="1084"/>
      <c r="AU1047" s="1084"/>
      <c r="AV1047" s="1084"/>
      <c r="AW1047" s="1084"/>
      <c r="AX1047" s="1084"/>
      <c r="AY1047" s="1084"/>
    </row>
    <row r="1048" spans="1:51" ht="12.6" customHeight="1">
      <c r="A1048" s="1"/>
      <c r="B1048" s="1"/>
      <c r="C1048" s="8"/>
      <c r="D1048" s="1125"/>
      <c r="E1048" s="1125"/>
      <c r="F1048" s="1125"/>
      <c r="G1048" s="1125"/>
      <c r="H1048" s="1125"/>
      <c r="I1048" s="1125"/>
      <c r="J1048" s="1125"/>
      <c r="K1048" s="1125"/>
      <c r="L1048" s="1125"/>
      <c r="M1048" s="1125"/>
      <c r="N1048" s="1125"/>
      <c r="O1048" s="1125"/>
      <c r="P1048" s="1125"/>
      <c r="Q1048" s="1125"/>
      <c r="R1048" s="1125"/>
      <c r="S1048" s="1125"/>
      <c r="T1048" s="1125"/>
      <c r="U1048" s="1125"/>
      <c r="V1048" s="1125"/>
      <c r="W1048" s="1125"/>
      <c r="X1048" s="1125"/>
      <c r="Y1048" s="1125"/>
      <c r="Z1048" s="1125"/>
      <c r="AA1048" s="1125"/>
      <c r="AB1048" s="1125"/>
      <c r="AC1048" s="1125"/>
      <c r="AD1048" s="1125"/>
      <c r="AE1048" s="1125"/>
      <c r="AF1048" s="1125"/>
      <c r="AG1048" s="1125"/>
      <c r="AH1048" s="1125"/>
      <c r="AI1048" s="1125"/>
      <c r="AJ1048" s="1125"/>
      <c r="AK1048" s="1125"/>
      <c r="AL1048" s="1084"/>
      <c r="AM1048" s="1084"/>
      <c r="AN1048" s="1084"/>
      <c r="AO1048" s="1084"/>
      <c r="AP1048" s="1084"/>
      <c r="AQ1048" s="1084"/>
      <c r="AR1048" s="1084"/>
      <c r="AS1048" s="1084"/>
      <c r="AT1048" s="1084"/>
      <c r="AU1048" s="1084"/>
      <c r="AV1048" s="1084"/>
      <c r="AW1048" s="1084"/>
      <c r="AX1048" s="1084"/>
      <c r="AY1048" s="1084"/>
    </row>
    <row r="1049" spans="1:51" ht="12.6" customHeight="1">
      <c r="A1049" s="2"/>
      <c r="B1049" s="22"/>
      <c r="C1049" s="8"/>
      <c r="D1049" s="1125"/>
      <c r="E1049" s="1125"/>
      <c r="F1049" s="1125"/>
      <c r="G1049" s="1125"/>
      <c r="H1049" s="1125"/>
      <c r="I1049" s="1125"/>
      <c r="J1049" s="1125"/>
      <c r="K1049" s="1125"/>
      <c r="L1049" s="1125"/>
      <c r="M1049" s="1125"/>
      <c r="N1049" s="1125"/>
      <c r="O1049" s="1125"/>
      <c r="P1049" s="1125"/>
      <c r="Q1049" s="1125"/>
      <c r="R1049" s="1125"/>
      <c r="S1049" s="1125"/>
      <c r="T1049" s="1125"/>
      <c r="U1049" s="1125"/>
      <c r="V1049" s="1125"/>
      <c r="W1049" s="1125"/>
      <c r="X1049" s="1125"/>
      <c r="Y1049" s="1125"/>
      <c r="Z1049" s="1125"/>
      <c r="AA1049" s="1125"/>
      <c r="AB1049" s="1125"/>
      <c r="AC1049" s="1125"/>
      <c r="AD1049" s="1125"/>
      <c r="AE1049" s="1125"/>
      <c r="AF1049" s="1125"/>
      <c r="AG1049" s="1125"/>
      <c r="AH1049" s="1125"/>
      <c r="AI1049" s="1125"/>
      <c r="AJ1049" s="1125"/>
      <c r="AK1049" s="1125"/>
      <c r="AL1049" s="1084"/>
      <c r="AM1049" s="1084"/>
      <c r="AN1049" s="1084"/>
      <c r="AO1049" s="1084"/>
      <c r="AP1049" s="1084"/>
      <c r="AQ1049" s="1084"/>
      <c r="AR1049" s="1084"/>
      <c r="AS1049" s="1084"/>
      <c r="AT1049" s="1084"/>
      <c r="AU1049" s="1084"/>
      <c r="AV1049" s="1084"/>
      <c r="AW1049" s="1084"/>
      <c r="AX1049" s="1084"/>
      <c r="AY1049" s="1084"/>
    </row>
    <row r="1050" spans="1:51" ht="12.6" customHeight="1">
      <c r="A1050" s="1263" t="s">
        <v>825</v>
      </c>
      <c r="B1050" s="1263"/>
      <c r="C1050" s="8">
        <v>2</v>
      </c>
      <c r="D1050" s="1125" t="s">
        <v>1774</v>
      </c>
      <c r="E1050" s="1125"/>
      <c r="F1050" s="1125"/>
      <c r="G1050" s="1125"/>
      <c r="H1050" s="1125"/>
      <c r="I1050" s="1125"/>
      <c r="J1050" s="1125"/>
      <c r="K1050" s="1125"/>
      <c r="L1050" s="1125"/>
      <c r="M1050" s="1125"/>
      <c r="N1050" s="1125"/>
      <c r="O1050" s="1125"/>
      <c r="P1050" s="1125"/>
      <c r="Q1050" s="1125"/>
      <c r="R1050" s="1125"/>
      <c r="S1050" s="1125"/>
      <c r="T1050" s="1125"/>
      <c r="U1050" s="1125"/>
      <c r="V1050" s="1125"/>
      <c r="W1050" s="1125"/>
      <c r="X1050" s="1125"/>
      <c r="Y1050" s="1125"/>
      <c r="Z1050" s="1125"/>
      <c r="AA1050" s="1125"/>
      <c r="AB1050" s="1125"/>
      <c r="AC1050" s="1125"/>
      <c r="AD1050" s="1125"/>
      <c r="AE1050" s="1125"/>
      <c r="AF1050" s="1125"/>
      <c r="AG1050" s="1125"/>
      <c r="AH1050" s="1125"/>
      <c r="AI1050" s="1125"/>
      <c r="AJ1050" s="1125"/>
      <c r="AK1050" s="1125"/>
      <c r="AL1050" s="1084"/>
      <c r="AM1050" s="1084"/>
      <c r="AN1050" s="1084"/>
      <c r="AO1050" s="1084"/>
      <c r="AP1050" s="1084"/>
      <c r="AQ1050" s="1084"/>
      <c r="AR1050" s="1084"/>
      <c r="AS1050" s="1084"/>
      <c r="AT1050" s="1084"/>
      <c r="AU1050" s="1084"/>
      <c r="AV1050" s="1084"/>
      <c r="AW1050" s="1084"/>
      <c r="AX1050" s="1084"/>
      <c r="AY1050" s="1084"/>
    </row>
    <row r="1051" spans="1:51" ht="12.6" customHeight="1">
      <c r="A1051" s="1"/>
      <c r="B1051" s="1"/>
      <c r="C1051" s="8"/>
      <c r="D1051" s="1125"/>
      <c r="E1051" s="1125"/>
      <c r="F1051" s="1125"/>
      <c r="G1051" s="1125"/>
      <c r="H1051" s="1125"/>
      <c r="I1051" s="1125"/>
      <c r="J1051" s="1125"/>
      <c r="K1051" s="1125"/>
      <c r="L1051" s="1125"/>
      <c r="M1051" s="1125"/>
      <c r="N1051" s="1125"/>
      <c r="O1051" s="1125"/>
      <c r="P1051" s="1125"/>
      <c r="Q1051" s="1125"/>
      <c r="R1051" s="1125"/>
      <c r="S1051" s="1125"/>
      <c r="T1051" s="1125"/>
      <c r="U1051" s="1125"/>
      <c r="V1051" s="1125"/>
      <c r="W1051" s="1125"/>
      <c r="X1051" s="1125"/>
      <c r="Y1051" s="1125"/>
      <c r="Z1051" s="1125"/>
      <c r="AA1051" s="1125"/>
      <c r="AB1051" s="1125"/>
      <c r="AC1051" s="1125"/>
      <c r="AD1051" s="1125"/>
      <c r="AE1051" s="1125"/>
      <c r="AF1051" s="1125"/>
      <c r="AG1051" s="1125"/>
      <c r="AH1051" s="1125"/>
      <c r="AI1051" s="1125"/>
      <c r="AJ1051" s="1125"/>
      <c r="AK1051" s="1125"/>
      <c r="AL1051" s="1084"/>
      <c r="AM1051" s="1084"/>
      <c r="AN1051" s="1084"/>
      <c r="AO1051" s="1084"/>
      <c r="AP1051" s="1084"/>
      <c r="AQ1051" s="1084"/>
      <c r="AR1051" s="1084"/>
      <c r="AS1051" s="1084"/>
      <c r="AT1051" s="1084"/>
      <c r="AU1051" s="1084"/>
      <c r="AV1051" s="1084"/>
      <c r="AW1051" s="1084"/>
      <c r="AX1051" s="1084"/>
      <c r="AY1051" s="1084"/>
    </row>
    <row r="1052" spans="1:51" ht="12.6" customHeight="1">
      <c r="A1052" s="1"/>
      <c r="B1052" s="1"/>
      <c r="C1052" s="8"/>
      <c r="D1052" s="1125"/>
      <c r="E1052" s="1125"/>
      <c r="F1052" s="1125"/>
      <c r="G1052" s="1125"/>
      <c r="H1052" s="1125"/>
      <c r="I1052" s="1125"/>
      <c r="J1052" s="1125"/>
      <c r="K1052" s="1125"/>
      <c r="L1052" s="1125"/>
      <c r="M1052" s="1125"/>
      <c r="N1052" s="1125"/>
      <c r="O1052" s="1125"/>
      <c r="P1052" s="1125"/>
      <c r="Q1052" s="1125"/>
      <c r="R1052" s="1125"/>
      <c r="S1052" s="1125"/>
      <c r="T1052" s="1125"/>
      <c r="U1052" s="1125"/>
      <c r="V1052" s="1125"/>
      <c r="W1052" s="1125"/>
      <c r="X1052" s="1125"/>
      <c r="Y1052" s="1125"/>
      <c r="Z1052" s="1125"/>
      <c r="AA1052" s="1125"/>
      <c r="AB1052" s="1125"/>
      <c r="AC1052" s="1125"/>
      <c r="AD1052" s="1125"/>
      <c r="AE1052" s="1125"/>
      <c r="AF1052" s="1125"/>
      <c r="AG1052" s="1125"/>
      <c r="AH1052" s="1125"/>
      <c r="AI1052" s="1125"/>
      <c r="AJ1052" s="1125"/>
      <c r="AK1052" s="1125"/>
      <c r="AL1052" s="1084"/>
      <c r="AM1052" s="1084"/>
      <c r="AN1052" s="1084"/>
      <c r="AO1052" s="1084"/>
      <c r="AP1052" s="1084"/>
      <c r="AQ1052" s="1084"/>
      <c r="AR1052" s="1084"/>
      <c r="AS1052" s="1084"/>
      <c r="AT1052" s="1084"/>
      <c r="AU1052" s="1084"/>
      <c r="AV1052" s="1084"/>
      <c r="AW1052" s="1084"/>
      <c r="AX1052" s="1084"/>
      <c r="AY1052" s="1084"/>
    </row>
    <row r="1053" spans="1:51" ht="12.6" customHeight="1">
      <c r="A1053" s="1"/>
      <c r="B1053" s="1"/>
      <c r="C1053" s="8"/>
      <c r="D1053" s="1125"/>
      <c r="E1053" s="1125"/>
      <c r="F1053" s="1125"/>
      <c r="G1053" s="1125"/>
      <c r="H1053" s="1125"/>
      <c r="I1053" s="1125"/>
      <c r="J1053" s="1125"/>
      <c r="K1053" s="1125"/>
      <c r="L1053" s="1125"/>
      <c r="M1053" s="1125"/>
      <c r="N1053" s="1125"/>
      <c r="O1053" s="1125"/>
      <c r="P1053" s="1125"/>
      <c r="Q1053" s="1125"/>
      <c r="R1053" s="1125"/>
      <c r="S1053" s="1125"/>
      <c r="T1053" s="1125"/>
      <c r="U1053" s="1125"/>
      <c r="V1053" s="1125"/>
      <c r="W1053" s="1125"/>
      <c r="X1053" s="1125"/>
      <c r="Y1053" s="1125"/>
      <c r="Z1053" s="1125"/>
      <c r="AA1053" s="1125"/>
      <c r="AB1053" s="1125"/>
      <c r="AC1053" s="1125"/>
      <c r="AD1053" s="1125"/>
      <c r="AE1053" s="1125"/>
      <c r="AF1053" s="1125"/>
      <c r="AG1053" s="1125"/>
      <c r="AH1053" s="1125"/>
      <c r="AI1053" s="1125"/>
      <c r="AJ1053" s="1125"/>
      <c r="AK1053" s="1125"/>
      <c r="AL1053" s="1084"/>
      <c r="AM1053" s="1084"/>
      <c r="AN1053" s="1084"/>
      <c r="AO1053" s="1084"/>
      <c r="AP1053" s="1084"/>
      <c r="AQ1053" s="1084"/>
      <c r="AR1053" s="1084"/>
      <c r="AS1053" s="1084"/>
      <c r="AT1053" s="1084"/>
      <c r="AU1053" s="1084"/>
      <c r="AV1053" s="1084"/>
      <c r="AW1053" s="1084"/>
      <c r="AX1053" s="1084"/>
      <c r="AY1053" s="1084"/>
    </row>
    <row r="1054" spans="1:51" ht="12.6" customHeight="1">
      <c r="A1054" s="1"/>
      <c r="B1054" s="1"/>
      <c r="C1054" s="8"/>
      <c r="D1054" s="1125"/>
      <c r="E1054" s="1125"/>
      <c r="F1054" s="1125"/>
      <c r="G1054" s="1125"/>
      <c r="H1054" s="1125"/>
      <c r="I1054" s="1125"/>
      <c r="J1054" s="1125"/>
      <c r="K1054" s="1125"/>
      <c r="L1054" s="1125"/>
      <c r="M1054" s="1125"/>
      <c r="N1054" s="1125"/>
      <c r="O1054" s="1125"/>
      <c r="P1054" s="1125"/>
      <c r="Q1054" s="1125"/>
      <c r="R1054" s="1125"/>
      <c r="S1054" s="1125"/>
      <c r="T1054" s="1125"/>
      <c r="U1054" s="1125"/>
      <c r="V1054" s="1125"/>
      <c r="W1054" s="1125"/>
      <c r="X1054" s="1125"/>
      <c r="Y1054" s="1125"/>
      <c r="Z1054" s="1125"/>
      <c r="AA1054" s="1125"/>
      <c r="AB1054" s="1125"/>
      <c r="AC1054" s="1125"/>
      <c r="AD1054" s="1125"/>
      <c r="AE1054" s="1125"/>
      <c r="AF1054" s="1125"/>
      <c r="AG1054" s="1125"/>
      <c r="AH1054" s="1125"/>
      <c r="AI1054" s="1125"/>
      <c r="AJ1054" s="1125"/>
      <c r="AK1054" s="1125"/>
      <c r="AL1054" s="1084"/>
      <c r="AM1054" s="1084"/>
      <c r="AN1054" s="1084"/>
      <c r="AO1054" s="1084"/>
      <c r="AP1054" s="1084"/>
      <c r="AQ1054" s="1084"/>
      <c r="AR1054" s="1084"/>
      <c r="AS1054" s="1084"/>
      <c r="AT1054" s="1084"/>
      <c r="AU1054" s="1084"/>
      <c r="AV1054" s="1084"/>
      <c r="AW1054" s="1084"/>
      <c r="AX1054" s="1084"/>
      <c r="AY1054" s="1084"/>
    </row>
    <row r="1055" spans="1:51" ht="12.6" customHeight="1">
      <c r="A1055" s="1"/>
      <c r="B1055" s="1"/>
      <c r="C1055" s="8"/>
      <c r="D1055" s="1125"/>
      <c r="E1055" s="1125"/>
      <c r="F1055" s="1125"/>
      <c r="G1055" s="1125"/>
      <c r="H1055" s="1125"/>
      <c r="I1055" s="1125"/>
      <c r="J1055" s="1125"/>
      <c r="K1055" s="1125"/>
      <c r="L1055" s="1125"/>
      <c r="M1055" s="1125"/>
      <c r="N1055" s="1125"/>
      <c r="O1055" s="1125"/>
      <c r="P1055" s="1125"/>
      <c r="Q1055" s="1125"/>
      <c r="R1055" s="1125"/>
      <c r="S1055" s="1125"/>
      <c r="T1055" s="1125"/>
      <c r="U1055" s="1125"/>
      <c r="V1055" s="1125"/>
      <c r="W1055" s="1125"/>
      <c r="X1055" s="1125"/>
      <c r="Y1055" s="1125"/>
      <c r="Z1055" s="1125"/>
      <c r="AA1055" s="1125"/>
      <c r="AB1055" s="1125"/>
      <c r="AC1055" s="1125"/>
      <c r="AD1055" s="1125"/>
      <c r="AE1055" s="1125"/>
      <c r="AF1055" s="1125"/>
      <c r="AG1055" s="1125"/>
      <c r="AH1055" s="1125"/>
      <c r="AI1055" s="1125"/>
      <c r="AJ1055" s="1125"/>
      <c r="AK1055" s="1125"/>
    </row>
    <row r="1056" spans="1:51" ht="12.6" customHeight="1">
      <c r="A1056" s="1263" t="s">
        <v>299</v>
      </c>
      <c r="B1056" s="1263"/>
      <c r="C1056" s="8">
        <v>3</v>
      </c>
      <c r="D1056" s="1125" t="s">
        <v>1775</v>
      </c>
      <c r="E1056" s="1125"/>
      <c r="F1056" s="1125"/>
      <c r="G1056" s="1125"/>
      <c r="H1056" s="1125"/>
      <c r="I1056" s="1125"/>
      <c r="J1056" s="1125"/>
      <c r="K1056" s="1125"/>
      <c r="L1056" s="1125"/>
      <c r="M1056" s="1125"/>
      <c r="N1056" s="1125"/>
      <c r="O1056" s="1125"/>
      <c r="P1056" s="1125"/>
      <c r="Q1056" s="1125"/>
      <c r="R1056" s="1125"/>
      <c r="S1056" s="1125"/>
      <c r="T1056" s="1125"/>
      <c r="U1056" s="1125"/>
      <c r="V1056" s="1125"/>
      <c r="W1056" s="1125"/>
      <c r="X1056" s="1125"/>
      <c r="Y1056" s="1125"/>
      <c r="Z1056" s="1125"/>
      <c r="AA1056" s="1125"/>
      <c r="AB1056" s="1125"/>
      <c r="AC1056" s="1125"/>
      <c r="AD1056" s="1125"/>
      <c r="AE1056" s="1125"/>
      <c r="AF1056" s="1125"/>
      <c r="AG1056" s="1125"/>
      <c r="AH1056" s="1125"/>
      <c r="AI1056" s="1125"/>
      <c r="AJ1056" s="1125"/>
      <c r="AK1056" s="1125"/>
    </row>
    <row r="1057" spans="1:37" ht="12.6" customHeight="1">
      <c r="A1057" s="3"/>
      <c r="B1057" s="3"/>
      <c r="C1057" s="8"/>
      <c r="D1057" s="1125"/>
      <c r="E1057" s="1125"/>
      <c r="F1057" s="1125"/>
      <c r="G1057" s="1125"/>
      <c r="H1057" s="1125"/>
      <c r="I1057" s="1125"/>
      <c r="J1057" s="1125"/>
      <c r="K1057" s="1125"/>
      <c r="L1057" s="1125"/>
      <c r="M1057" s="1125"/>
      <c r="N1057" s="1125"/>
      <c r="O1057" s="1125"/>
      <c r="P1057" s="1125"/>
      <c r="Q1057" s="1125"/>
      <c r="R1057" s="1125"/>
      <c r="S1057" s="1125"/>
      <c r="T1057" s="1125"/>
      <c r="U1057" s="1125"/>
      <c r="V1057" s="1125"/>
      <c r="W1057" s="1125"/>
      <c r="X1057" s="1125"/>
      <c r="Y1057" s="1125"/>
      <c r="Z1057" s="1125"/>
      <c r="AA1057" s="1125"/>
      <c r="AB1057" s="1125"/>
      <c r="AC1057" s="1125"/>
      <c r="AD1057" s="1125"/>
      <c r="AE1057" s="1125"/>
      <c r="AF1057" s="1125"/>
      <c r="AG1057" s="1125"/>
      <c r="AH1057" s="1125"/>
      <c r="AI1057" s="1125"/>
      <c r="AJ1057" s="1125"/>
      <c r="AK1057" s="1125"/>
    </row>
    <row r="1058" spans="1:37" ht="12.6" customHeight="1">
      <c r="A1058" s="3"/>
      <c r="B1058" s="3"/>
      <c r="C1058" s="8"/>
      <c r="D1058" s="1125"/>
      <c r="E1058" s="1125"/>
      <c r="F1058" s="1125"/>
      <c r="G1058" s="1125"/>
      <c r="H1058" s="1125"/>
      <c r="I1058" s="1125"/>
      <c r="J1058" s="1125"/>
      <c r="K1058" s="1125"/>
      <c r="L1058" s="1125"/>
      <c r="M1058" s="1125"/>
      <c r="N1058" s="1125"/>
      <c r="O1058" s="1125"/>
      <c r="P1058" s="1125"/>
      <c r="Q1058" s="1125"/>
      <c r="R1058" s="1125"/>
      <c r="S1058" s="1125"/>
      <c r="T1058" s="1125"/>
      <c r="U1058" s="1125"/>
      <c r="V1058" s="1125"/>
      <c r="W1058" s="1125"/>
      <c r="X1058" s="1125"/>
      <c r="Y1058" s="1125"/>
      <c r="Z1058" s="1125"/>
      <c r="AA1058" s="1125"/>
      <c r="AB1058" s="1125"/>
      <c r="AC1058" s="1125"/>
      <c r="AD1058" s="1125"/>
      <c r="AE1058" s="1125"/>
      <c r="AF1058" s="1125"/>
      <c r="AG1058" s="1125"/>
      <c r="AH1058" s="1125"/>
      <c r="AI1058" s="1125"/>
      <c r="AJ1058" s="1125"/>
      <c r="AK1058" s="1125"/>
    </row>
    <row r="1059" spans="1:37" ht="12.6" customHeight="1">
      <c r="A1059" s="85"/>
      <c r="B1059" s="22"/>
      <c r="C1059" s="8"/>
      <c r="D1059" s="1125"/>
      <c r="E1059" s="1125"/>
      <c r="F1059" s="1125"/>
      <c r="G1059" s="1125"/>
      <c r="H1059" s="1125"/>
      <c r="I1059" s="1125"/>
      <c r="J1059" s="1125"/>
      <c r="K1059" s="1125"/>
      <c r="L1059" s="1125"/>
      <c r="M1059" s="1125"/>
      <c r="N1059" s="1125"/>
      <c r="O1059" s="1125"/>
      <c r="P1059" s="1125"/>
      <c r="Q1059" s="1125"/>
      <c r="R1059" s="1125"/>
      <c r="S1059" s="1125"/>
      <c r="T1059" s="1125"/>
      <c r="U1059" s="1125"/>
      <c r="V1059" s="1125"/>
      <c r="W1059" s="1125"/>
      <c r="X1059" s="1125"/>
      <c r="Y1059" s="1125"/>
      <c r="Z1059" s="1125"/>
      <c r="AA1059" s="1125"/>
      <c r="AB1059" s="1125"/>
      <c r="AC1059" s="1125"/>
      <c r="AD1059" s="1125"/>
      <c r="AE1059" s="1125"/>
      <c r="AF1059" s="1125"/>
      <c r="AG1059" s="1125"/>
      <c r="AH1059" s="1125"/>
      <c r="AI1059" s="1125"/>
      <c r="AJ1059" s="1125"/>
      <c r="AK1059" s="1125"/>
    </row>
    <row r="1060" spans="1:37" ht="12.6" customHeight="1">
      <c r="A1060" s="85"/>
      <c r="B1060" s="22"/>
      <c r="C1060" s="8"/>
      <c r="D1060" s="1125"/>
      <c r="E1060" s="1125"/>
      <c r="F1060" s="1125"/>
      <c r="G1060" s="1125"/>
      <c r="H1060" s="1125"/>
      <c r="I1060" s="1125"/>
      <c r="J1060" s="1125"/>
      <c r="K1060" s="1125"/>
      <c r="L1060" s="1125"/>
      <c r="M1060" s="1125"/>
      <c r="N1060" s="1125"/>
      <c r="O1060" s="1125"/>
      <c r="P1060" s="1125"/>
      <c r="Q1060" s="1125"/>
      <c r="R1060" s="1125"/>
      <c r="S1060" s="1125"/>
      <c r="T1060" s="1125"/>
      <c r="U1060" s="1125"/>
      <c r="V1060" s="1125"/>
      <c r="W1060" s="1125"/>
      <c r="X1060" s="1125"/>
      <c r="Y1060" s="1125"/>
      <c r="Z1060" s="1125"/>
      <c r="AA1060" s="1125"/>
      <c r="AB1060" s="1125"/>
      <c r="AC1060" s="1125"/>
      <c r="AD1060" s="1125"/>
      <c r="AE1060" s="1125"/>
      <c r="AF1060" s="1125"/>
      <c r="AG1060" s="1125"/>
      <c r="AH1060" s="1125"/>
      <c r="AI1060" s="1125"/>
      <c r="AJ1060" s="1125"/>
      <c r="AK1060" s="1125"/>
    </row>
    <row r="1061" spans="1:37" ht="12.6" customHeight="1">
      <c r="A1061" s="85"/>
      <c r="B1061" s="22"/>
      <c r="C1061" s="8"/>
      <c r="D1061" s="1125"/>
      <c r="E1061" s="1125"/>
      <c r="F1061" s="1125"/>
      <c r="G1061" s="1125"/>
      <c r="H1061" s="1125"/>
      <c r="I1061" s="1125"/>
      <c r="J1061" s="1125"/>
      <c r="K1061" s="1125"/>
      <c r="L1061" s="1125"/>
      <c r="M1061" s="1125"/>
      <c r="N1061" s="1125"/>
      <c r="O1061" s="1125"/>
      <c r="P1061" s="1125"/>
      <c r="Q1061" s="1125"/>
      <c r="R1061" s="1125"/>
      <c r="S1061" s="1125"/>
      <c r="T1061" s="1125"/>
      <c r="U1061" s="1125"/>
      <c r="V1061" s="1125"/>
      <c r="W1061" s="1125"/>
      <c r="X1061" s="1125"/>
      <c r="Y1061" s="1125"/>
      <c r="Z1061" s="1125"/>
      <c r="AA1061" s="1125"/>
      <c r="AB1061" s="1125"/>
      <c r="AC1061" s="1125"/>
      <c r="AD1061" s="1125"/>
      <c r="AE1061" s="1125"/>
      <c r="AF1061" s="1125"/>
      <c r="AG1061" s="1125"/>
      <c r="AH1061" s="1125"/>
      <c r="AI1061" s="1125"/>
      <c r="AJ1061" s="1125"/>
      <c r="AK1061" s="1125"/>
    </row>
    <row r="1062" spans="1:37" ht="12.6" customHeight="1">
      <c r="A1062" s="85"/>
      <c r="B1062" s="22"/>
      <c r="C1062" s="8"/>
      <c r="D1062" s="1125"/>
      <c r="E1062" s="1125"/>
      <c r="F1062" s="1125"/>
      <c r="G1062" s="1125"/>
      <c r="H1062" s="1125"/>
      <c r="I1062" s="1125"/>
      <c r="J1062" s="1125"/>
      <c r="K1062" s="1125"/>
      <c r="L1062" s="1125"/>
      <c r="M1062" s="1125"/>
      <c r="N1062" s="1125"/>
      <c r="O1062" s="1125"/>
      <c r="P1062" s="1125"/>
      <c r="Q1062" s="1125"/>
      <c r="R1062" s="1125"/>
      <c r="S1062" s="1125"/>
      <c r="T1062" s="1125"/>
      <c r="U1062" s="1125"/>
      <c r="V1062" s="1125"/>
      <c r="W1062" s="1125"/>
      <c r="X1062" s="1125"/>
      <c r="Y1062" s="1125"/>
      <c r="Z1062" s="1125"/>
      <c r="AA1062" s="1125"/>
      <c r="AB1062" s="1125"/>
      <c r="AC1062" s="1125"/>
      <c r="AD1062" s="1125"/>
      <c r="AE1062" s="1125"/>
      <c r="AF1062" s="1125"/>
      <c r="AG1062" s="1125"/>
      <c r="AH1062" s="1125"/>
      <c r="AI1062" s="1125"/>
      <c r="AJ1062" s="1125"/>
      <c r="AK1062" s="1125"/>
    </row>
    <row r="1063" spans="1:37" ht="12.6" customHeight="1">
      <c r="A1063" s="1263" t="s">
        <v>299</v>
      </c>
      <c r="B1063" s="1263"/>
      <c r="C1063" s="8">
        <v>4</v>
      </c>
      <c r="D1063" s="1125" t="s">
        <v>1776</v>
      </c>
      <c r="E1063" s="1125"/>
      <c r="F1063" s="1125"/>
      <c r="G1063" s="1125"/>
      <c r="H1063" s="1125"/>
      <c r="I1063" s="1125"/>
      <c r="J1063" s="1125"/>
      <c r="K1063" s="1125"/>
      <c r="L1063" s="1125"/>
      <c r="M1063" s="1125"/>
      <c r="N1063" s="1125"/>
      <c r="O1063" s="1125"/>
      <c r="P1063" s="1125"/>
      <c r="Q1063" s="1125"/>
      <c r="R1063" s="1125"/>
      <c r="S1063" s="1125"/>
      <c r="T1063" s="1125"/>
      <c r="U1063" s="1125"/>
      <c r="V1063" s="1125"/>
      <c r="W1063" s="1125"/>
      <c r="X1063" s="1125"/>
      <c r="Y1063" s="1125"/>
      <c r="Z1063" s="1125"/>
      <c r="AA1063" s="1125"/>
      <c r="AB1063" s="1125"/>
      <c r="AC1063" s="1125"/>
      <c r="AD1063" s="1125"/>
      <c r="AE1063" s="1125"/>
      <c r="AF1063" s="1125"/>
      <c r="AG1063" s="1125"/>
      <c r="AH1063" s="1125"/>
      <c r="AI1063" s="1125"/>
      <c r="AJ1063" s="1125"/>
      <c r="AK1063" s="1125"/>
    </row>
    <row r="1064" spans="1:37" ht="12.6" customHeight="1">
      <c r="A1064" s="1"/>
      <c r="B1064" s="1"/>
      <c r="C1064" s="8"/>
      <c r="D1064" s="1125"/>
      <c r="E1064" s="1125"/>
      <c r="F1064" s="1125"/>
      <c r="G1064" s="1125"/>
      <c r="H1064" s="1125"/>
      <c r="I1064" s="1125"/>
      <c r="J1064" s="1125"/>
      <c r="K1064" s="1125"/>
      <c r="L1064" s="1125"/>
      <c r="M1064" s="1125"/>
      <c r="N1064" s="1125"/>
      <c r="O1064" s="1125"/>
      <c r="P1064" s="1125"/>
      <c r="Q1064" s="1125"/>
      <c r="R1064" s="1125"/>
      <c r="S1064" s="1125"/>
      <c r="T1064" s="1125"/>
      <c r="U1064" s="1125"/>
      <c r="V1064" s="1125"/>
      <c r="W1064" s="1125"/>
      <c r="X1064" s="1125"/>
      <c r="Y1064" s="1125"/>
      <c r="Z1064" s="1125"/>
      <c r="AA1064" s="1125"/>
      <c r="AB1064" s="1125"/>
      <c r="AC1064" s="1125"/>
      <c r="AD1064" s="1125"/>
      <c r="AE1064" s="1125"/>
      <c r="AF1064" s="1125"/>
      <c r="AG1064" s="1125"/>
      <c r="AH1064" s="1125"/>
      <c r="AI1064" s="1125"/>
      <c r="AJ1064" s="1125"/>
      <c r="AK1064" s="1125"/>
    </row>
    <row r="1065" spans="1:37" ht="12.6" customHeight="1">
      <c r="A1065" s="85"/>
      <c r="B1065" s="22"/>
      <c r="C1065" s="8"/>
      <c r="D1065" s="1125"/>
      <c r="E1065" s="1125"/>
      <c r="F1065" s="1125"/>
      <c r="G1065" s="1125"/>
      <c r="H1065" s="1125"/>
      <c r="I1065" s="1125"/>
      <c r="J1065" s="1125"/>
      <c r="K1065" s="1125"/>
      <c r="L1065" s="1125"/>
      <c r="M1065" s="1125"/>
      <c r="N1065" s="1125"/>
      <c r="O1065" s="1125"/>
      <c r="P1065" s="1125"/>
      <c r="Q1065" s="1125"/>
      <c r="R1065" s="1125"/>
      <c r="S1065" s="1125"/>
      <c r="T1065" s="1125"/>
      <c r="U1065" s="1125"/>
      <c r="V1065" s="1125"/>
      <c r="W1065" s="1125"/>
      <c r="X1065" s="1125"/>
      <c r="Y1065" s="1125"/>
      <c r="Z1065" s="1125"/>
      <c r="AA1065" s="1125"/>
      <c r="AB1065" s="1125"/>
      <c r="AC1065" s="1125"/>
      <c r="AD1065" s="1125"/>
      <c r="AE1065" s="1125"/>
      <c r="AF1065" s="1125"/>
      <c r="AG1065" s="1125"/>
      <c r="AH1065" s="1125"/>
      <c r="AI1065" s="1125"/>
      <c r="AJ1065" s="1125"/>
      <c r="AK1065" s="1125"/>
    </row>
    <row r="1066" spans="1:37" ht="12.6" customHeight="1">
      <c r="A1066" s="1263" t="s">
        <v>299</v>
      </c>
      <c r="B1066" s="1263"/>
      <c r="C1066" s="8">
        <v>5</v>
      </c>
      <c r="D1066" s="1125" t="s">
        <v>1777</v>
      </c>
      <c r="E1066" s="1125"/>
      <c r="F1066" s="1125"/>
      <c r="G1066" s="1125"/>
      <c r="H1066" s="1125"/>
      <c r="I1066" s="1125"/>
      <c r="J1066" s="1125"/>
      <c r="K1066" s="1125"/>
      <c r="L1066" s="1125"/>
      <c r="M1066" s="1125"/>
      <c r="N1066" s="1125"/>
      <c r="O1066" s="1125"/>
      <c r="P1066" s="1125"/>
      <c r="Q1066" s="1125"/>
      <c r="R1066" s="1125"/>
      <c r="S1066" s="1125"/>
      <c r="T1066" s="1125"/>
      <c r="U1066" s="1125"/>
      <c r="V1066" s="1125"/>
      <c r="W1066" s="1125"/>
      <c r="X1066" s="1125"/>
      <c r="Y1066" s="1125"/>
      <c r="Z1066" s="1125"/>
      <c r="AA1066" s="1125"/>
      <c r="AB1066" s="1125"/>
      <c r="AC1066" s="1125"/>
      <c r="AD1066" s="1125"/>
      <c r="AE1066" s="1125"/>
      <c r="AF1066" s="1125"/>
      <c r="AG1066" s="1125"/>
      <c r="AH1066" s="1125"/>
      <c r="AI1066" s="1125"/>
      <c r="AJ1066" s="1125"/>
      <c r="AK1066" s="1125"/>
    </row>
    <row r="1067" spans="1:37" ht="12.6" customHeight="1">
      <c r="A1067" s="1"/>
      <c r="B1067" s="1"/>
      <c r="C1067" s="8"/>
      <c r="D1067" s="1125"/>
      <c r="E1067" s="1125"/>
      <c r="F1067" s="1125"/>
      <c r="G1067" s="1125"/>
      <c r="H1067" s="1125"/>
      <c r="I1067" s="1125"/>
      <c r="J1067" s="1125"/>
      <c r="K1067" s="1125"/>
      <c r="L1067" s="1125"/>
      <c r="M1067" s="1125"/>
      <c r="N1067" s="1125"/>
      <c r="O1067" s="1125"/>
      <c r="P1067" s="1125"/>
      <c r="Q1067" s="1125"/>
      <c r="R1067" s="1125"/>
      <c r="S1067" s="1125"/>
      <c r="T1067" s="1125"/>
      <c r="U1067" s="1125"/>
      <c r="V1067" s="1125"/>
      <c r="W1067" s="1125"/>
      <c r="X1067" s="1125"/>
      <c r="Y1067" s="1125"/>
      <c r="Z1067" s="1125"/>
      <c r="AA1067" s="1125"/>
      <c r="AB1067" s="1125"/>
      <c r="AC1067" s="1125"/>
      <c r="AD1067" s="1125"/>
      <c r="AE1067" s="1125"/>
      <c r="AF1067" s="1125"/>
      <c r="AG1067" s="1125"/>
      <c r="AH1067" s="1125"/>
      <c r="AI1067" s="1125"/>
      <c r="AJ1067" s="1125"/>
      <c r="AK1067" s="1125"/>
    </row>
    <row r="1068" spans="1:37" ht="12.6" customHeight="1">
      <c r="A1068" s="1"/>
      <c r="B1068" s="1"/>
      <c r="C1068" s="8"/>
      <c r="D1068" s="1125"/>
      <c r="E1068" s="1125"/>
      <c r="F1068" s="1125"/>
      <c r="G1068" s="1125"/>
      <c r="H1068" s="1125"/>
      <c r="I1068" s="1125"/>
      <c r="J1068" s="1125"/>
      <c r="K1068" s="1125"/>
      <c r="L1068" s="1125"/>
      <c r="M1068" s="1125"/>
      <c r="N1068" s="1125"/>
      <c r="O1068" s="1125"/>
      <c r="P1068" s="1125"/>
      <c r="Q1068" s="1125"/>
      <c r="R1068" s="1125"/>
      <c r="S1068" s="1125"/>
      <c r="T1068" s="1125"/>
      <c r="U1068" s="1125"/>
      <c r="V1068" s="1125"/>
      <c r="W1068" s="1125"/>
      <c r="X1068" s="1125"/>
      <c r="Y1068" s="1125"/>
      <c r="Z1068" s="1125"/>
      <c r="AA1068" s="1125"/>
      <c r="AB1068" s="1125"/>
      <c r="AC1068" s="1125"/>
      <c r="AD1068" s="1125"/>
      <c r="AE1068" s="1125"/>
      <c r="AF1068" s="1125"/>
      <c r="AG1068" s="1125"/>
      <c r="AH1068" s="1125"/>
      <c r="AI1068" s="1125"/>
      <c r="AJ1068" s="1125"/>
      <c r="AK1068" s="1125"/>
    </row>
    <row r="1069" spans="1:37" ht="12.6" customHeight="1">
      <c r="A1069" s="1"/>
      <c r="B1069" s="1"/>
      <c r="C1069" s="8"/>
      <c r="D1069" s="1125"/>
      <c r="E1069" s="1125"/>
      <c r="F1069" s="1125"/>
      <c r="G1069" s="1125"/>
      <c r="H1069" s="1125"/>
      <c r="I1069" s="1125"/>
      <c r="J1069" s="1125"/>
      <c r="K1069" s="1125"/>
      <c r="L1069" s="1125"/>
      <c r="M1069" s="1125"/>
      <c r="N1069" s="1125"/>
      <c r="O1069" s="1125"/>
      <c r="P1069" s="1125"/>
      <c r="Q1069" s="1125"/>
      <c r="R1069" s="1125"/>
      <c r="S1069" s="1125"/>
      <c r="T1069" s="1125"/>
      <c r="U1069" s="1125"/>
      <c r="V1069" s="1125"/>
      <c r="W1069" s="1125"/>
      <c r="X1069" s="1125"/>
      <c r="Y1069" s="1125"/>
      <c r="Z1069" s="1125"/>
      <c r="AA1069" s="1125"/>
      <c r="AB1069" s="1125"/>
      <c r="AC1069" s="1125"/>
      <c r="AD1069" s="1125"/>
      <c r="AE1069" s="1125"/>
      <c r="AF1069" s="1125"/>
      <c r="AG1069" s="1125"/>
      <c r="AH1069" s="1125"/>
      <c r="AI1069" s="1125"/>
      <c r="AJ1069" s="1125"/>
      <c r="AK1069" s="1125"/>
    </row>
    <row r="1070" spans="1:37" ht="12.6" customHeight="1">
      <c r="A1070" s="85"/>
      <c r="B1070" s="22"/>
      <c r="C1070" s="8"/>
      <c r="D1070" s="1125"/>
      <c r="E1070" s="1125"/>
      <c r="F1070" s="1125"/>
      <c r="G1070" s="1125"/>
      <c r="H1070" s="1125"/>
      <c r="I1070" s="1125"/>
      <c r="J1070" s="1125"/>
      <c r="K1070" s="1125"/>
      <c r="L1070" s="1125"/>
      <c r="M1070" s="1125"/>
      <c r="N1070" s="1125"/>
      <c r="O1070" s="1125"/>
      <c r="P1070" s="1125"/>
      <c r="Q1070" s="1125"/>
      <c r="R1070" s="1125"/>
      <c r="S1070" s="1125"/>
      <c r="T1070" s="1125"/>
      <c r="U1070" s="1125"/>
      <c r="V1070" s="1125"/>
      <c r="W1070" s="1125"/>
      <c r="X1070" s="1125"/>
      <c r="Y1070" s="1125"/>
      <c r="Z1070" s="1125"/>
      <c r="AA1070" s="1125"/>
      <c r="AB1070" s="1125"/>
      <c r="AC1070" s="1125"/>
      <c r="AD1070" s="1125"/>
      <c r="AE1070" s="1125"/>
      <c r="AF1070" s="1125"/>
      <c r="AG1070" s="1125"/>
      <c r="AH1070" s="1125"/>
      <c r="AI1070" s="1125"/>
      <c r="AJ1070" s="1125"/>
      <c r="AK1070" s="1125"/>
    </row>
    <row r="1071" spans="1:37" ht="12.6" customHeight="1">
      <c r="A1071" s="1263" t="s">
        <v>299</v>
      </c>
      <c r="B1071" s="1263"/>
      <c r="C1071" s="8">
        <v>6</v>
      </c>
      <c r="D1071" s="1125" t="s">
        <v>1778</v>
      </c>
      <c r="E1071" s="1125"/>
      <c r="F1071" s="1125"/>
      <c r="G1071" s="1125"/>
      <c r="H1071" s="1125"/>
      <c r="I1071" s="1125"/>
      <c r="J1071" s="1125"/>
      <c r="K1071" s="1125"/>
      <c r="L1071" s="1125"/>
      <c r="M1071" s="1125"/>
      <c r="N1071" s="1125"/>
      <c r="O1071" s="1125"/>
      <c r="P1071" s="1125"/>
      <c r="Q1071" s="1125"/>
      <c r="R1071" s="1125"/>
      <c r="S1071" s="1125"/>
      <c r="T1071" s="1125"/>
      <c r="U1071" s="1125"/>
      <c r="V1071" s="1125"/>
      <c r="W1071" s="1125"/>
      <c r="X1071" s="1125"/>
      <c r="Y1071" s="1125"/>
      <c r="Z1071" s="1125"/>
      <c r="AA1071" s="1125"/>
      <c r="AB1071" s="1125"/>
      <c r="AC1071" s="1125"/>
      <c r="AD1071" s="1125"/>
      <c r="AE1071" s="1125"/>
      <c r="AF1071" s="1125"/>
      <c r="AG1071" s="1125"/>
      <c r="AH1071" s="1125"/>
      <c r="AI1071" s="1125"/>
      <c r="AJ1071" s="1125"/>
      <c r="AK1071" s="1125"/>
    </row>
    <row r="1072" spans="1:37" ht="12.6" customHeight="1">
      <c r="A1072" s="85"/>
      <c r="B1072" s="22"/>
      <c r="C1072" s="8"/>
      <c r="D1072" s="1125"/>
      <c r="E1072" s="1125"/>
      <c r="F1072" s="1125"/>
      <c r="G1072" s="1125"/>
      <c r="H1072" s="1125"/>
      <c r="I1072" s="1125"/>
      <c r="J1072" s="1125"/>
      <c r="K1072" s="1125"/>
      <c r="L1072" s="1125"/>
      <c r="M1072" s="1125"/>
      <c r="N1072" s="1125"/>
      <c r="O1072" s="1125"/>
      <c r="P1072" s="1125"/>
      <c r="Q1072" s="1125"/>
      <c r="R1072" s="1125"/>
      <c r="S1072" s="1125"/>
      <c r="T1072" s="1125"/>
      <c r="U1072" s="1125"/>
      <c r="V1072" s="1125"/>
      <c r="W1072" s="1125"/>
      <c r="X1072" s="1125"/>
      <c r="Y1072" s="1125"/>
      <c r="Z1072" s="1125"/>
      <c r="AA1072" s="1125"/>
      <c r="AB1072" s="1125"/>
      <c r="AC1072" s="1125"/>
      <c r="AD1072" s="1125"/>
      <c r="AE1072" s="1125"/>
      <c r="AF1072" s="1125"/>
      <c r="AG1072" s="1125"/>
      <c r="AH1072" s="1125"/>
      <c r="AI1072" s="1125"/>
      <c r="AJ1072" s="1125"/>
      <c r="AK1072" s="1125"/>
    </row>
    <row r="1073" spans="1:37" ht="12.6" customHeight="1">
      <c r="A1073" s="85"/>
      <c r="B1073" s="22"/>
      <c r="C1073" s="8"/>
      <c r="D1073" s="1125"/>
      <c r="E1073" s="1125"/>
      <c r="F1073" s="1125"/>
      <c r="G1073" s="1125"/>
      <c r="H1073" s="1125"/>
      <c r="I1073" s="1125"/>
      <c r="J1073" s="1125"/>
      <c r="K1073" s="1125"/>
      <c r="L1073" s="1125"/>
      <c r="M1073" s="1125"/>
      <c r="N1073" s="1125"/>
      <c r="O1073" s="1125"/>
      <c r="P1073" s="1125"/>
      <c r="Q1073" s="1125"/>
      <c r="R1073" s="1125"/>
      <c r="S1073" s="1125"/>
      <c r="T1073" s="1125"/>
      <c r="U1073" s="1125"/>
      <c r="V1073" s="1125"/>
      <c r="W1073" s="1125"/>
      <c r="X1073" s="1125"/>
      <c r="Y1073" s="1125"/>
      <c r="Z1073" s="1125"/>
      <c r="AA1073" s="1125"/>
      <c r="AB1073" s="1125"/>
      <c r="AC1073" s="1125"/>
      <c r="AD1073" s="1125"/>
      <c r="AE1073" s="1125"/>
      <c r="AF1073" s="1125"/>
      <c r="AG1073" s="1125"/>
      <c r="AH1073" s="1125"/>
      <c r="AI1073" s="1125"/>
      <c r="AJ1073" s="1125"/>
      <c r="AK1073" s="1125"/>
    </row>
    <row r="1074" spans="1:37" ht="12.6" customHeight="1">
      <c r="A1074" s="1263" t="s">
        <v>299</v>
      </c>
      <c r="B1074" s="1263"/>
      <c r="C1074" s="1053">
        <v>7</v>
      </c>
      <c r="D1074" s="1125" t="s">
        <v>1779</v>
      </c>
      <c r="E1074" s="1125"/>
      <c r="F1074" s="1125"/>
      <c r="G1074" s="1125"/>
      <c r="H1074" s="1125"/>
      <c r="I1074" s="1125"/>
      <c r="J1074" s="1125"/>
      <c r="K1074" s="1125"/>
      <c r="L1074" s="1125"/>
      <c r="M1074" s="1125"/>
      <c r="N1074" s="1125"/>
      <c r="O1074" s="1125"/>
      <c r="P1074" s="1125"/>
      <c r="Q1074" s="1125"/>
      <c r="R1074" s="1125"/>
      <c r="S1074" s="1125"/>
      <c r="T1074" s="1125"/>
      <c r="U1074" s="1125"/>
      <c r="V1074" s="1125"/>
      <c r="W1074" s="1125"/>
      <c r="X1074" s="1125"/>
      <c r="Y1074" s="1125"/>
      <c r="Z1074" s="1125"/>
      <c r="AA1074" s="1125"/>
      <c r="AB1074" s="1125"/>
      <c r="AC1074" s="1125"/>
      <c r="AD1074" s="1125"/>
      <c r="AE1074" s="1125"/>
      <c r="AF1074" s="1125"/>
      <c r="AG1074" s="1125"/>
      <c r="AH1074" s="1125"/>
      <c r="AI1074" s="1125"/>
      <c r="AJ1074" s="1125"/>
      <c r="AK1074" s="1125"/>
    </row>
    <row r="1075" spans="1:37" ht="12.6" customHeight="1">
      <c r="A1075" s="1"/>
      <c r="B1075" s="1"/>
      <c r="C1075" s="1053"/>
      <c r="D1075" s="1125"/>
      <c r="E1075" s="1125"/>
      <c r="F1075" s="1125"/>
      <c r="G1075" s="1125"/>
      <c r="H1075" s="1125"/>
      <c r="I1075" s="1125"/>
      <c r="J1075" s="1125"/>
      <c r="K1075" s="1125"/>
      <c r="L1075" s="1125"/>
      <c r="M1075" s="1125"/>
      <c r="N1075" s="1125"/>
      <c r="O1075" s="1125"/>
      <c r="P1075" s="1125"/>
      <c r="Q1075" s="1125"/>
      <c r="R1075" s="1125"/>
      <c r="S1075" s="1125"/>
      <c r="T1075" s="1125"/>
      <c r="U1075" s="1125"/>
      <c r="V1075" s="1125"/>
      <c r="W1075" s="1125"/>
      <c r="X1075" s="1125"/>
      <c r="Y1075" s="1125"/>
      <c r="Z1075" s="1125"/>
      <c r="AA1075" s="1125"/>
      <c r="AB1075" s="1125"/>
      <c r="AC1075" s="1125"/>
      <c r="AD1075" s="1125"/>
      <c r="AE1075" s="1125"/>
      <c r="AF1075" s="1125"/>
      <c r="AG1075" s="1125"/>
      <c r="AH1075" s="1125"/>
      <c r="AI1075" s="1125"/>
      <c r="AJ1075" s="1125"/>
      <c r="AK1075" s="1125"/>
    </row>
    <row r="1076" spans="1:37" ht="12.6" customHeight="1">
      <c r="A1076" s="1"/>
      <c r="B1076" s="1"/>
      <c r="C1076" s="1053"/>
      <c r="D1076" s="1125"/>
      <c r="E1076" s="1125"/>
      <c r="F1076" s="1125"/>
      <c r="G1076" s="1125"/>
      <c r="H1076" s="1125"/>
      <c r="I1076" s="1125"/>
      <c r="J1076" s="1125"/>
      <c r="K1076" s="1125"/>
      <c r="L1076" s="1125"/>
      <c r="M1076" s="1125"/>
      <c r="N1076" s="1125"/>
      <c r="O1076" s="1125"/>
      <c r="P1076" s="1125"/>
      <c r="Q1076" s="1125"/>
      <c r="R1076" s="1125"/>
      <c r="S1076" s="1125"/>
      <c r="T1076" s="1125"/>
      <c r="U1076" s="1125"/>
      <c r="V1076" s="1125"/>
      <c r="W1076" s="1125"/>
      <c r="X1076" s="1125"/>
      <c r="Y1076" s="1125"/>
      <c r="Z1076" s="1125"/>
      <c r="AA1076" s="1125"/>
      <c r="AB1076" s="1125"/>
      <c r="AC1076" s="1125"/>
      <c r="AD1076" s="1125"/>
      <c r="AE1076" s="1125"/>
      <c r="AF1076" s="1125"/>
      <c r="AG1076" s="1125"/>
      <c r="AH1076" s="1125"/>
      <c r="AI1076" s="1125"/>
      <c r="AJ1076" s="1125"/>
      <c r="AK1076" s="1125"/>
    </row>
    <row r="1077" spans="1:37" ht="12.6" customHeight="1">
      <c r="A1077" s="85"/>
      <c r="B1077" s="22"/>
      <c r="C1077" s="1053"/>
      <c r="D1077" s="1125"/>
      <c r="E1077" s="1125"/>
      <c r="F1077" s="1125"/>
      <c r="G1077" s="1125"/>
      <c r="H1077" s="1125"/>
      <c r="I1077" s="1125"/>
      <c r="J1077" s="1125"/>
      <c r="K1077" s="1125"/>
      <c r="L1077" s="1125"/>
      <c r="M1077" s="1125"/>
      <c r="N1077" s="1125"/>
      <c r="O1077" s="1125"/>
      <c r="P1077" s="1125"/>
      <c r="Q1077" s="1125"/>
      <c r="R1077" s="1125"/>
      <c r="S1077" s="1125"/>
      <c r="T1077" s="1125"/>
      <c r="U1077" s="1125"/>
      <c r="V1077" s="1125"/>
      <c r="W1077" s="1125"/>
      <c r="X1077" s="1125"/>
      <c r="Y1077" s="1125"/>
      <c r="Z1077" s="1125"/>
      <c r="AA1077" s="1125"/>
      <c r="AB1077" s="1125"/>
      <c r="AC1077" s="1125"/>
      <c r="AD1077" s="1125"/>
      <c r="AE1077" s="1125"/>
      <c r="AF1077" s="1125"/>
      <c r="AG1077" s="1125"/>
      <c r="AH1077" s="1125"/>
      <c r="AI1077" s="1125"/>
      <c r="AJ1077" s="1125"/>
      <c r="AK1077" s="1125"/>
    </row>
    <row r="1078" spans="1:37" ht="12.6" customHeight="1">
      <c r="A1078" s="1263" t="s">
        <v>299</v>
      </c>
      <c r="B1078" s="1263"/>
      <c r="C1078" s="1053">
        <v>8</v>
      </c>
      <c r="D1078" s="1207" t="s">
        <v>1780</v>
      </c>
      <c r="E1078" s="1207"/>
      <c r="F1078" s="1207"/>
      <c r="G1078" s="1207"/>
      <c r="H1078" s="1207"/>
      <c r="I1078" s="1207"/>
      <c r="J1078" s="1207"/>
      <c r="K1078" s="1207"/>
      <c r="L1078" s="1207"/>
      <c r="M1078" s="1207"/>
      <c r="N1078" s="1207"/>
      <c r="O1078" s="1207"/>
      <c r="P1078" s="1207"/>
      <c r="Q1078" s="1207"/>
      <c r="R1078" s="1207"/>
      <c r="S1078" s="1207"/>
      <c r="T1078" s="1207"/>
      <c r="U1078" s="1207"/>
      <c r="V1078" s="1207"/>
      <c r="W1078" s="1207"/>
      <c r="X1078" s="1207"/>
      <c r="Y1078" s="1207"/>
      <c r="Z1078" s="1207"/>
      <c r="AA1078" s="1207"/>
      <c r="AB1078" s="1207"/>
      <c r="AC1078" s="1207"/>
      <c r="AD1078" s="1207"/>
      <c r="AE1078" s="1207"/>
      <c r="AF1078" s="1207"/>
      <c r="AG1078" s="1207"/>
      <c r="AH1078" s="1207"/>
      <c r="AI1078" s="1207"/>
      <c r="AJ1078" s="1207"/>
      <c r="AK1078" s="1207"/>
    </row>
    <row r="1079" spans="1:37" ht="12.6" customHeight="1">
      <c r="A1079" s="1"/>
      <c r="B1079" s="1"/>
      <c r="C1079" s="1053"/>
      <c r="D1079" s="1207"/>
      <c r="E1079" s="1207"/>
      <c r="F1079" s="1207"/>
      <c r="G1079" s="1207"/>
      <c r="H1079" s="1207"/>
      <c r="I1079" s="1207"/>
      <c r="J1079" s="1207"/>
      <c r="K1079" s="1207"/>
      <c r="L1079" s="1207"/>
      <c r="M1079" s="1207"/>
      <c r="N1079" s="1207"/>
      <c r="O1079" s="1207"/>
      <c r="P1079" s="1207"/>
      <c r="Q1079" s="1207"/>
      <c r="R1079" s="1207"/>
      <c r="S1079" s="1207"/>
      <c r="T1079" s="1207"/>
      <c r="U1079" s="1207"/>
      <c r="V1079" s="1207"/>
      <c r="W1079" s="1207"/>
      <c r="X1079" s="1207"/>
      <c r="Y1079" s="1207"/>
      <c r="Z1079" s="1207"/>
      <c r="AA1079" s="1207"/>
      <c r="AB1079" s="1207"/>
      <c r="AC1079" s="1207"/>
      <c r="AD1079" s="1207"/>
      <c r="AE1079" s="1207"/>
      <c r="AF1079" s="1207"/>
      <c r="AG1079" s="1207"/>
      <c r="AH1079" s="1207"/>
      <c r="AI1079" s="1207"/>
      <c r="AJ1079" s="1207"/>
      <c r="AK1079" s="1207"/>
    </row>
    <row r="1080" spans="1:37" ht="12.6" customHeight="1">
      <c r="A1080" s="1"/>
      <c r="B1080" s="1"/>
      <c r="C1080" s="1053"/>
      <c r="D1080" s="1207"/>
      <c r="E1080" s="1207"/>
      <c r="F1080" s="1207"/>
      <c r="G1080" s="1207"/>
      <c r="H1080" s="1207"/>
      <c r="I1080" s="1207"/>
      <c r="J1080" s="1207"/>
      <c r="K1080" s="1207"/>
      <c r="L1080" s="1207"/>
      <c r="M1080" s="1207"/>
      <c r="N1080" s="1207"/>
      <c r="O1080" s="1207"/>
      <c r="P1080" s="1207"/>
      <c r="Q1080" s="1207"/>
      <c r="R1080" s="1207"/>
      <c r="S1080" s="1207"/>
      <c r="T1080" s="1207"/>
      <c r="U1080" s="1207"/>
      <c r="V1080" s="1207"/>
      <c r="W1080" s="1207"/>
      <c r="X1080" s="1207"/>
      <c r="Y1080" s="1207"/>
      <c r="Z1080" s="1207"/>
      <c r="AA1080" s="1207"/>
      <c r="AB1080" s="1207"/>
      <c r="AC1080" s="1207"/>
      <c r="AD1080" s="1207"/>
      <c r="AE1080" s="1207"/>
      <c r="AF1080" s="1207"/>
      <c r="AG1080" s="1207"/>
      <c r="AH1080" s="1207"/>
      <c r="AI1080" s="1207"/>
      <c r="AJ1080" s="1207"/>
      <c r="AK1080" s="1207"/>
    </row>
    <row r="1081" spans="1:37" ht="12" customHeight="1">
      <c r="A1081" s="85"/>
      <c r="B1081" s="22"/>
      <c r="C1081" s="1053"/>
      <c r="D1081" s="1207"/>
      <c r="E1081" s="1207"/>
      <c r="F1081" s="1207"/>
      <c r="G1081" s="1207"/>
      <c r="H1081" s="1207"/>
      <c r="I1081" s="1207"/>
      <c r="J1081" s="1207"/>
      <c r="K1081" s="1207"/>
      <c r="L1081" s="1207"/>
      <c r="M1081" s="1207"/>
      <c r="N1081" s="1207"/>
      <c r="O1081" s="1207"/>
      <c r="P1081" s="1207"/>
      <c r="Q1081" s="1207"/>
      <c r="R1081" s="1207"/>
      <c r="S1081" s="1207"/>
      <c r="T1081" s="1207"/>
      <c r="U1081" s="1207"/>
      <c r="V1081" s="1207"/>
      <c r="W1081" s="1207"/>
      <c r="X1081" s="1207"/>
      <c r="Y1081" s="1207"/>
      <c r="Z1081" s="1207"/>
      <c r="AA1081" s="1207"/>
      <c r="AB1081" s="1207"/>
      <c r="AC1081" s="1207"/>
      <c r="AD1081" s="1207"/>
      <c r="AE1081" s="1207"/>
      <c r="AF1081" s="1207"/>
      <c r="AG1081" s="1207"/>
      <c r="AH1081" s="1207"/>
      <c r="AI1081" s="1207"/>
      <c r="AJ1081" s="1207"/>
      <c r="AK1081" s="1207"/>
    </row>
    <row r="1082" spans="1:37" ht="12.6" customHeight="1">
      <c r="A1082" s="1263" t="s">
        <v>299</v>
      </c>
      <c r="B1082" s="1263"/>
      <c r="C1082" s="1053">
        <v>9</v>
      </c>
      <c r="D1082" s="1125" t="s">
        <v>1781</v>
      </c>
      <c r="E1082" s="1125"/>
      <c r="F1082" s="1125"/>
      <c r="G1082" s="1125"/>
      <c r="H1082" s="1125"/>
      <c r="I1082" s="1125"/>
      <c r="J1082" s="1125"/>
      <c r="K1082" s="1125"/>
      <c r="L1082" s="1125"/>
      <c r="M1082" s="1125"/>
      <c r="N1082" s="1125"/>
      <c r="O1082" s="1125"/>
      <c r="P1082" s="1125"/>
      <c r="Q1082" s="1125"/>
      <c r="R1082" s="1125"/>
      <c r="S1082" s="1125"/>
      <c r="T1082" s="1125"/>
      <c r="U1082" s="1125"/>
      <c r="V1082" s="1125"/>
      <c r="W1082" s="1125"/>
      <c r="X1082" s="1125"/>
      <c r="Y1082" s="1125"/>
      <c r="Z1082" s="1125"/>
      <c r="AA1082" s="1125"/>
      <c r="AB1082" s="1125"/>
      <c r="AC1082" s="1125"/>
      <c r="AD1082" s="1125"/>
      <c r="AE1082" s="1125"/>
      <c r="AF1082" s="1125"/>
      <c r="AG1082" s="1125"/>
      <c r="AH1082" s="1125"/>
      <c r="AI1082" s="1125"/>
      <c r="AJ1082" s="1125"/>
      <c r="AK1082" s="1125"/>
    </row>
    <row r="1083" spans="1:37" ht="15" customHeight="1">
      <c r="A1083" s="85"/>
      <c r="B1083" s="22"/>
      <c r="C1083" s="1053"/>
      <c r="D1083" s="1125"/>
      <c r="E1083" s="1125"/>
      <c r="F1083" s="1125"/>
      <c r="G1083" s="1125"/>
      <c r="H1083" s="1125"/>
      <c r="I1083" s="1125"/>
      <c r="J1083" s="1125"/>
      <c r="K1083" s="1125"/>
      <c r="L1083" s="1125"/>
      <c r="M1083" s="1125"/>
      <c r="N1083" s="1125"/>
      <c r="O1083" s="1125"/>
      <c r="P1083" s="1125"/>
      <c r="Q1083" s="1125"/>
      <c r="R1083" s="1125"/>
      <c r="S1083" s="1125"/>
      <c r="T1083" s="1125"/>
      <c r="U1083" s="1125"/>
      <c r="V1083" s="1125"/>
      <c r="W1083" s="1125"/>
      <c r="X1083" s="1125"/>
      <c r="Y1083" s="1125"/>
      <c r="Z1083" s="1125"/>
      <c r="AA1083" s="1125"/>
      <c r="AB1083" s="1125"/>
      <c r="AC1083" s="1125"/>
      <c r="AD1083" s="1125"/>
      <c r="AE1083" s="1125"/>
      <c r="AF1083" s="1125"/>
      <c r="AG1083" s="1125"/>
      <c r="AH1083" s="1125"/>
      <c r="AI1083" s="1125"/>
      <c r="AJ1083" s="1125"/>
      <c r="AK1083" s="1125"/>
    </row>
    <row r="1084" spans="1:37" ht="15" customHeight="1">
      <c r="D1084" s="1125"/>
      <c r="E1084" s="1125"/>
      <c r="F1084" s="1125"/>
      <c r="G1084" s="1125"/>
      <c r="H1084" s="1125"/>
      <c r="I1084" s="1125"/>
      <c r="J1084" s="1125"/>
      <c r="K1084" s="1125"/>
      <c r="L1084" s="1125"/>
      <c r="M1084" s="1125"/>
      <c r="N1084" s="1125"/>
      <c r="O1084" s="1125"/>
      <c r="P1084" s="1125"/>
      <c r="Q1084" s="1125"/>
      <c r="R1084" s="1125"/>
      <c r="S1084" s="1125"/>
      <c r="T1084" s="1125"/>
      <c r="U1084" s="1125"/>
      <c r="V1084" s="1125"/>
      <c r="W1084" s="1125"/>
      <c r="X1084" s="1125"/>
      <c r="Y1084" s="1125"/>
      <c r="Z1084" s="1125"/>
      <c r="AA1084" s="1125"/>
      <c r="AB1084" s="1125"/>
      <c r="AC1084" s="1125"/>
      <c r="AD1084" s="1125"/>
      <c r="AE1084" s="1125"/>
      <c r="AF1084" s="1125"/>
      <c r="AG1084" s="1125"/>
      <c r="AH1084" s="1125"/>
      <c r="AI1084" s="1125"/>
      <c r="AJ1084" s="1125"/>
      <c r="AK1084" s="1125"/>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DR654:DV654"/>
    <mergeCell ref="CS631:CW631"/>
    <mergeCell ref="CX631:DB631"/>
    <mergeCell ref="DC631:DG631"/>
    <mergeCell ref="DH631:DL631"/>
    <mergeCell ref="DM633:DQ633"/>
    <mergeCell ref="DR633:DV633"/>
    <mergeCell ref="DH633:DL633"/>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AO647:AS647"/>
    <mergeCell ref="CX651:DB651"/>
    <mergeCell ref="DC651:DG651"/>
    <mergeCell ref="AO643:AS643"/>
    <mergeCell ref="CM653:CQ653"/>
    <mergeCell ref="BX634:CB634"/>
    <mergeCell ref="AO651:AS651"/>
    <mergeCell ref="C575:P575"/>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X648:AB648"/>
    <mergeCell ref="AF644:AJ644"/>
    <mergeCell ref="AF645:AJ645"/>
    <mergeCell ref="AO645:AS645"/>
    <mergeCell ref="DH649:DL649"/>
    <mergeCell ref="DM649:DQ649"/>
    <mergeCell ref="DR649:DV649"/>
    <mergeCell ref="BS656:BW656"/>
    <mergeCell ref="BX649:CB649"/>
    <mergeCell ref="BS655:BW655"/>
    <mergeCell ref="CH654:CL654"/>
    <mergeCell ref="CH653:CL653"/>
    <mergeCell ref="CM658:CQ658"/>
    <mergeCell ref="U648:W648"/>
    <mergeCell ref="Z654:AK654"/>
    <mergeCell ref="CC654:CG654"/>
    <mergeCell ref="BX652:CB652"/>
    <mergeCell ref="Q574:S574"/>
    <mergeCell ref="Q575:S575"/>
    <mergeCell ref="U634:W636"/>
    <mergeCell ref="G621:R621"/>
    <mergeCell ref="H600:R600"/>
    <mergeCell ref="N585:O585"/>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AA616:AK616"/>
    <mergeCell ref="G615:L615"/>
    <mergeCell ref="G589:R589"/>
    <mergeCell ref="Z581:AK581"/>
    <mergeCell ref="Z613:AK613"/>
    <mergeCell ref="AI582:AK582"/>
    <mergeCell ref="Z578:AK578"/>
    <mergeCell ref="Z580:AK580"/>
    <mergeCell ref="B634:N636"/>
    <mergeCell ref="AG625:AH625"/>
    <mergeCell ref="N625:O625"/>
    <mergeCell ref="C574:P574"/>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6:EB626"/>
    <mergeCell ref="EC626:EG626"/>
    <mergeCell ref="EH626:EL626"/>
    <mergeCell ref="EM626:EQ626"/>
    <mergeCell ref="ER626:EV626"/>
    <mergeCell ref="DX620:EB620"/>
    <mergeCell ref="EC620:EG620"/>
    <mergeCell ref="EH620:EL620"/>
    <mergeCell ref="EM620:EQ620"/>
    <mergeCell ref="ER620:EV620"/>
    <mergeCell ref="DM629:DQ629"/>
    <mergeCell ref="CS629:CW629"/>
    <mergeCell ref="CX629:DB629"/>
    <mergeCell ref="DR635:DV635"/>
    <mergeCell ref="U638:W638"/>
    <mergeCell ref="U639:W639"/>
    <mergeCell ref="X637:AB637"/>
    <mergeCell ref="DC635:DG635"/>
    <mergeCell ref="DH635:DL635"/>
    <mergeCell ref="AF638:AJ638"/>
    <mergeCell ref="BN635:BR635"/>
    <mergeCell ref="BS635:BW635"/>
    <mergeCell ref="BK634:BL634"/>
    <mergeCell ref="BN634:BR634"/>
    <mergeCell ref="DR634:DV634"/>
    <mergeCell ref="R644:T644"/>
    <mergeCell ref="O634:Q636"/>
    <mergeCell ref="R634:T636"/>
    <mergeCell ref="AK639:AN639"/>
    <mergeCell ref="AK641:AN641"/>
    <mergeCell ref="AK642:AN642"/>
    <mergeCell ref="AK643:AN643"/>
    <mergeCell ref="X638:AB638"/>
    <mergeCell ref="X634:AB636"/>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CM643:CQ643"/>
    <mergeCell ref="AK640:AN640"/>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T728:X728"/>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09:CW609"/>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13:DG613"/>
    <mergeCell ref="DH613:DL613"/>
    <mergeCell ref="CH615:CL615"/>
    <mergeCell ref="CH630:CL630"/>
    <mergeCell ref="BK624:BL624"/>
    <mergeCell ref="BN624:BR624"/>
    <mergeCell ref="BE630:BF630"/>
    <mergeCell ref="BG630:BH630"/>
    <mergeCell ref="CH629:CL629"/>
    <mergeCell ref="C642:N642"/>
    <mergeCell ref="C643:N643"/>
    <mergeCell ref="C644:N644"/>
    <mergeCell ref="O647:Q647"/>
    <mergeCell ref="DM609:DQ609"/>
    <mergeCell ref="G582:L582"/>
    <mergeCell ref="G597:R597"/>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T574:V574"/>
    <mergeCell ref="AO649:AS649"/>
    <mergeCell ref="AO639:AS639"/>
    <mergeCell ref="AF640:AJ640"/>
    <mergeCell ref="AF641:AJ641"/>
    <mergeCell ref="AF642:AJ642"/>
    <mergeCell ref="Z612:AK612"/>
    <mergeCell ref="Z623:AE623"/>
    <mergeCell ref="G620:R620"/>
    <mergeCell ref="H624:R624"/>
    <mergeCell ref="H322:M322"/>
    <mergeCell ref="AA329:AK329"/>
    <mergeCell ref="H323:M323"/>
    <mergeCell ref="AA320:AK320"/>
    <mergeCell ref="H324:R324"/>
    <mergeCell ref="W468:Y468"/>
    <mergeCell ref="J366:K366"/>
    <mergeCell ref="AG378:AH378"/>
    <mergeCell ref="H334:R334"/>
    <mergeCell ref="M357:N357"/>
    <mergeCell ref="O645:Q645"/>
    <mergeCell ref="AC638:AE638"/>
    <mergeCell ref="AC637:AE637"/>
    <mergeCell ref="O644:Q644"/>
    <mergeCell ref="O638:Q638"/>
    <mergeCell ref="O639:Q639"/>
    <mergeCell ref="O640:Q640"/>
    <mergeCell ref="O641:Q641"/>
    <mergeCell ref="O642:Q642"/>
    <mergeCell ref="R647:T647"/>
    <mergeCell ref="R648:T648"/>
    <mergeCell ref="C645:N645"/>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CS622:CW622"/>
    <mergeCell ref="AC370:AF370"/>
    <mergeCell ref="AJ355:AK355"/>
    <mergeCell ref="H336:R336"/>
    <mergeCell ref="AA322:AF322"/>
    <mergeCell ref="P322:R322"/>
    <mergeCell ref="AP204:AQ204"/>
    <mergeCell ref="I420:K420"/>
    <mergeCell ref="AA321:AK321"/>
    <mergeCell ref="H335:R335"/>
    <mergeCell ref="H327:R327"/>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AK638:AN638"/>
    <mergeCell ref="N659:O659"/>
    <mergeCell ref="R643:T643"/>
    <mergeCell ref="BN653:BR653"/>
    <mergeCell ref="BN652:BR652"/>
    <mergeCell ref="BN651:BR651"/>
    <mergeCell ref="BN649:BR649"/>
    <mergeCell ref="AA624:AK624"/>
    <mergeCell ref="G654:R654"/>
    <mergeCell ref="Z655:AK655"/>
    <mergeCell ref="CC627:CG627"/>
    <mergeCell ref="BN628:BR628"/>
    <mergeCell ref="BG628:BH628"/>
    <mergeCell ref="G653:R653"/>
    <mergeCell ref="G661:R661"/>
    <mergeCell ref="G662:R662"/>
    <mergeCell ref="Z663:AK663"/>
    <mergeCell ref="Z657:AE657"/>
    <mergeCell ref="Z662:AK662"/>
    <mergeCell ref="AA658:AK658"/>
    <mergeCell ref="H658:R658"/>
    <mergeCell ref="G657:L657"/>
    <mergeCell ref="P657:R657"/>
    <mergeCell ref="AI657:AK657"/>
    <mergeCell ref="AO634:AS636"/>
    <mergeCell ref="BK632:BL632"/>
    <mergeCell ref="BN631:BR631"/>
    <mergeCell ref="BI630:BJ630"/>
    <mergeCell ref="BK630:BL630"/>
    <mergeCell ref="BG635:BH635"/>
    <mergeCell ref="BK635:BL635"/>
    <mergeCell ref="O648:Q648"/>
    <mergeCell ref="R640:T640"/>
    <mergeCell ref="C637:N637"/>
    <mergeCell ref="C638:N638"/>
    <mergeCell ref="C639:N639"/>
    <mergeCell ref="C640:N640"/>
    <mergeCell ref="C641:N641"/>
    <mergeCell ref="AO648:AS648"/>
    <mergeCell ref="R641:T641"/>
    <mergeCell ref="R642:T642"/>
    <mergeCell ref="C646:N64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P417:R417"/>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95:R595"/>
    <mergeCell ref="AG585:AH585"/>
    <mergeCell ref="G607:L607"/>
    <mergeCell ref="AA608:AK608"/>
    <mergeCell ref="BE611:BF611"/>
    <mergeCell ref="BG611:BH611"/>
    <mergeCell ref="BK615:BL615"/>
    <mergeCell ref="BK616:BL616"/>
    <mergeCell ref="P615:R615"/>
    <mergeCell ref="Z597:AK597"/>
    <mergeCell ref="AI599:AK599"/>
    <mergeCell ref="Z587:AK587"/>
    <mergeCell ref="G612:R612"/>
    <mergeCell ref="CC611:CG611"/>
    <mergeCell ref="BS613:BW613"/>
    <mergeCell ref="AM576:AS576"/>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M563:AS563"/>
    <mergeCell ref="B532:H554"/>
    <mergeCell ref="W574:Y574"/>
    <mergeCell ref="W575:Y575"/>
    <mergeCell ref="AE575:AH575"/>
    <mergeCell ref="C569:P569"/>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G622:BH622"/>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28:BJ628"/>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C643:CG643"/>
    <mergeCell ref="CH643:CL643"/>
    <mergeCell ref="BX656:CB656"/>
    <mergeCell ref="BX657:CB657"/>
    <mergeCell ref="CC652:CG652"/>
    <mergeCell ref="CC653:CG653"/>
    <mergeCell ref="CC655:CG655"/>
    <mergeCell ref="BS631:BW631"/>
    <mergeCell ref="BN663:BR663"/>
    <mergeCell ref="BN654:BR654"/>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H515:AK515"/>
    <mergeCell ref="AH554:AK554"/>
    <mergeCell ref="AH546:AK546"/>
    <mergeCell ref="AC520:AF520"/>
    <mergeCell ref="AH528:AK528"/>
    <mergeCell ref="T563:V563"/>
    <mergeCell ref="AM573:AS573"/>
    <mergeCell ref="AC532:AF532"/>
    <mergeCell ref="AC554:AF554"/>
    <mergeCell ref="AC539:AF539"/>
    <mergeCell ref="AC535:AF535"/>
    <mergeCell ref="AI573:AL573"/>
    <mergeCell ref="AC515:AF515"/>
    <mergeCell ref="AH531:AK531"/>
    <mergeCell ref="AC543:AF543"/>
    <mergeCell ref="AH543:AK543"/>
    <mergeCell ref="Q563:S563"/>
    <mergeCell ref="AH534:AK534"/>
    <mergeCell ref="AH542:AK542"/>
    <mergeCell ref="AH553:AK553"/>
    <mergeCell ref="AC547:AF547"/>
    <mergeCell ref="AE563:AH563"/>
    <mergeCell ref="Z563:AD563"/>
    <mergeCell ref="AC542:AF542"/>
    <mergeCell ref="O538:AA538"/>
    <mergeCell ref="AC516:AF516"/>
    <mergeCell ref="B563:P563"/>
    <mergeCell ref="AE573:AH573"/>
    <mergeCell ref="AH544:AK544"/>
    <mergeCell ref="AH527:AK527"/>
    <mergeCell ref="AC528:AF528"/>
    <mergeCell ref="W573:Y573"/>
    <mergeCell ref="B526:H528"/>
    <mergeCell ref="Q573:S573"/>
    <mergeCell ref="C566:P566"/>
    <mergeCell ref="AH519:AK519"/>
    <mergeCell ref="C573:P573"/>
    <mergeCell ref="AC514:AF514"/>
    <mergeCell ref="AH512:AK512"/>
    <mergeCell ref="Q501:R502"/>
    <mergeCell ref="AC531:AF531"/>
    <mergeCell ref="AC533:AF533"/>
    <mergeCell ref="Q500:AK500"/>
    <mergeCell ref="Q505:AK505"/>
    <mergeCell ref="Q498:AK498"/>
    <mergeCell ref="L520:AB520"/>
    <mergeCell ref="Q428:R428"/>
    <mergeCell ref="BE619:BF619"/>
    <mergeCell ref="P599:R599"/>
    <mergeCell ref="BE614:BF614"/>
    <mergeCell ref="G611:R611"/>
    <mergeCell ref="T489:X489"/>
    <mergeCell ref="AC517:AF517"/>
    <mergeCell ref="Z607:AE607"/>
    <mergeCell ref="AH520:AK520"/>
    <mergeCell ref="Y492:AC492"/>
    <mergeCell ref="Z605:AK605"/>
    <mergeCell ref="Z591:AE591"/>
    <mergeCell ref="Z596:AK596"/>
    <mergeCell ref="AH550:AK550"/>
    <mergeCell ref="AH552:AK552"/>
    <mergeCell ref="AC552:AF552"/>
    <mergeCell ref="AC551:AF551"/>
    <mergeCell ref="G604:R604"/>
    <mergeCell ref="AG617:AH617"/>
    <mergeCell ref="H616:R616"/>
    <mergeCell ref="B515:H520"/>
    <mergeCell ref="O532:AA532"/>
    <mergeCell ref="AH541:AK541"/>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C570:P570"/>
    <mergeCell ref="Q499:AK499"/>
    <mergeCell ref="T494:X494"/>
    <mergeCell ref="Y495:AC495"/>
    <mergeCell ref="D443:AF443"/>
    <mergeCell ref="S412:T412"/>
    <mergeCell ref="AE424:AF424"/>
    <mergeCell ref="AD494:AH494"/>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T573:V573"/>
    <mergeCell ref="AC782:AG785"/>
    <mergeCell ref="X793:AB793"/>
    <mergeCell ref="T795:W795"/>
    <mergeCell ref="X773:AB773"/>
    <mergeCell ref="D442:AF442"/>
    <mergeCell ref="X772:AB772"/>
    <mergeCell ref="AD1036:AK1036"/>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I417:K417"/>
    <mergeCell ref="Z431:AA431"/>
    <mergeCell ref="AC455:AF455"/>
    <mergeCell ref="AG376:AH376"/>
    <mergeCell ref="E417:G417"/>
    <mergeCell ref="D467:V467"/>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S401:U401"/>
    <mergeCell ref="AG439:AJ439"/>
    <mergeCell ref="AC386:AJ386"/>
    <mergeCell ref="V387:AJ387"/>
    <mergeCell ref="AG440:AJ440"/>
    <mergeCell ref="W417:Y417"/>
    <mergeCell ref="R411:S411"/>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BS642:BW642"/>
    <mergeCell ref="BS643:BW643"/>
    <mergeCell ref="BX642:CB642"/>
    <mergeCell ref="BX643:CB643"/>
    <mergeCell ref="BN642:BR642"/>
    <mergeCell ref="BN643:BR643"/>
    <mergeCell ref="BN644:BR644"/>
    <mergeCell ref="BS644:BW644"/>
    <mergeCell ref="BE615:BF615"/>
    <mergeCell ref="BE613:BF613"/>
    <mergeCell ref="BE612:BF612"/>
    <mergeCell ref="AM564:AS564"/>
    <mergeCell ref="T564:V564"/>
    <mergeCell ref="AI566:AL566"/>
    <mergeCell ref="P424:Q424"/>
    <mergeCell ref="D445:AF445"/>
    <mergeCell ref="D446:AF446"/>
    <mergeCell ref="AG441:AJ441"/>
    <mergeCell ref="AG444:AJ444"/>
    <mergeCell ref="AG445:AJ445"/>
    <mergeCell ref="T772:W772"/>
    <mergeCell ref="Q503:AK503"/>
    <mergeCell ref="D439:AF439"/>
    <mergeCell ref="AG437:AJ437"/>
    <mergeCell ref="AE423:AF423"/>
    <mergeCell ref="AG393:AJ393"/>
    <mergeCell ref="AJ354:AK354"/>
    <mergeCell ref="A350:AL351"/>
    <mergeCell ref="AC384:AJ384"/>
    <mergeCell ref="D444:AF444"/>
    <mergeCell ref="B513:H514"/>
    <mergeCell ref="AI615:AK615"/>
    <mergeCell ref="T490:X490"/>
    <mergeCell ref="Y494:AC494"/>
    <mergeCell ref="N601:O601"/>
    <mergeCell ref="AA583:AK583"/>
    <mergeCell ref="Z604:AK604"/>
    <mergeCell ref="O535:AA535"/>
    <mergeCell ref="Z588:AK588"/>
    <mergeCell ref="G587:R587"/>
    <mergeCell ref="T491:X491"/>
    <mergeCell ref="Z571:AD571"/>
    <mergeCell ref="AI567:AL567"/>
    <mergeCell ref="Q567:S567"/>
    <mergeCell ref="Q568:S568"/>
    <mergeCell ref="AE571:AH571"/>
    <mergeCell ref="T568:V568"/>
    <mergeCell ref="W571:Y571"/>
    <mergeCell ref="W572:Y572"/>
    <mergeCell ref="AD410:AE410"/>
    <mergeCell ref="AM572:AS572"/>
    <mergeCell ref="O122:R122"/>
    <mergeCell ref="CC658:CG658"/>
    <mergeCell ref="CH658:CL658"/>
    <mergeCell ref="J386:U386"/>
    <mergeCell ref="AC385:AJ385"/>
    <mergeCell ref="CC656:CG656"/>
    <mergeCell ref="CC657:CG657"/>
    <mergeCell ref="Q392:U392"/>
    <mergeCell ref="Y491:AC491"/>
    <mergeCell ref="AH521:AK521"/>
    <mergeCell ref="AC522:AF522"/>
    <mergeCell ref="AH522:AK522"/>
    <mergeCell ref="AC524:AF524"/>
    <mergeCell ref="AH524:AK524"/>
    <mergeCell ref="AC521:AF521"/>
    <mergeCell ref="Z579:AK579"/>
    <mergeCell ref="Z573:AD573"/>
    <mergeCell ref="AI575:AL575"/>
    <mergeCell ref="AM568:AS568"/>
    <mergeCell ref="Q569:S569"/>
    <mergeCell ref="Q570:S570"/>
    <mergeCell ref="Q565:S565"/>
    <mergeCell ref="T569:V569"/>
    <mergeCell ref="T397:AJ397"/>
    <mergeCell ref="AI570:AL570"/>
    <mergeCell ref="AM566:AS566"/>
    <mergeCell ref="W569:Y569"/>
    <mergeCell ref="W570:Y570"/>
    <mergeCell ref="AI565:AL565"/>
    <mergeCell ref="AM571:AS571"/>
    <mergeCell ref="D447:AF447"/>
    <mergeCell ref="AM569:AS569"/>
    <mergeCell ref="AE569:AH569"/>
    <mergeCell ref="AI569:AL569"/>
    <mergeCell ref="AE570:AH570"/>
    <mergeCell ref="AI571:AL571"/>
    <mergeCell ref="AM567:AS567"/>
    <mergeCell ref="AE567:AH567"/>
    <mergeCell ref="AE565:AH565"/>
    <mergeCell ref="Z565:AD565"/>
    <mergeCell ref="AM570:AS570"/>
    <mergeCell ref="T565:V565"/>
    <mergeCell ref="T566:V566"/>
    <mergeCell ref="Z566:AD566"/>
    <mergeCell ref="AM565:AS565"/>
    <mergeCell ref="Z569:AD569"/>
    <mergeCell ref="Z570:AD570"/>
    <mergeCell ref="W568:Y568"/>
    <mergeCell ref="AE566:AH566"/>
    <mergeCell ref="Q566:S566"/>
    <mergeCell ref="Q571:S571"/>
    <mergeCell ref="Q572:S572"/>
    <mergeCell ref="G580:R580"/>
    <mergeCell ref="G581:R581"/>
    <mergeCell ref="G579:R579"/>
    <mergeCell ref="T571:V571"/>
    <mergeCell ref="T572:V572"/>
    <mergeCell ref="W566:Y566"/>
    <mergeCell ref="AI564:AL564"/>
    <mergeCell ref="Q564:S564"/>
    <mergeCell ref="AE568:AH568"/>
    <mergeCell ref="AI568:AL568"/>
    <mergeCell ref="T567:V567"/>
    <mergeCell ref="W564:Y564"/>
    <mergeCell ref="W565:Y565"/>
    <mergeCell ref="Z568:AD568"/>
    <mergeCell ref="Z567:AD567"/>
    <mergeCell ref="AE572:AH572"/>
    <mergeCell ref="AI572:AL572"/>
    <mergeCell ref="C568:P568"/>
    <mergeCell ref="C565:P565"/>
    <mergeCell ref="C567:P567"/>
    <mergeCell ref="C564:P564"/>
    <mergeCell ref="C572:P572"/>
    <mergeCell ref="C571:P571"/>
    <mergeCell ref="Z564:AD564"/>
    <mergeCell ref="Z572:AD572"/>
    <mergeCell ref="AE564:AH564"/>
    <mergeCell ref="AI574:AL574"/>
    <mergeCell ref="T570:V570"/>
    <mergeCell ref="W567:Y567"/>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3:AF520 AC532:AF549"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xSplit="2" ySplit="3" topLeftCell="N20" activePane="bottomRight" state="frozen"/>
      <selection pane="topRight" activeCell="C1" sqref="C1"/>
      <selection pane="bottomLeft" activeCell="A4" sqref="A4"/>
      <selection pane="bottomRight" activeCell="H10" sqref="H10"/>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1782</v>
      </c>
      <c r="B1" s="92"/>
      <c r="C1" s="92"/>
      <c r="D1" s="92"/>
      <c r="E1" s="93"/>
      <c r="F1" s="1713" t="s">
        <v>1783</v>
      </c>
      <c r="G1" s="1714"/>
      <c r="H1" s="1714"/>
      <c r="I1" s="1714"/>
      <c r="J1" s="1714"/>
      <c r="K1" s="1714"/>
      <c r="L1" s="1714"/>
      <c r="M1" s="1714"/>
      <c r="N1" s="1714"/>
      <c r="O1" s="1714"/>
      <c r="P1" s="1714"/>
      <c r="Q1" s="1714"/>
      <c r="R1" s="1715"/>
      <c r="S1" s="81"/>
      <c r="T1" s="80"/>
      <c r="U1" s="82"/>
    </row>
    <row r="2" spans="1:21" s="102" customFormat="1" ht="71.25" customHeight="1">
      <c r="A2" s="101"/>
      <c r="B2" s="102" t="s">
        <v>1784</v>
      </c>
      <c r="C2" s="102" t="s">
        <v>1785</v>
      </c>
      <c r="D2" s="102" t="s">
        <v>1786</v>
      </c>
      <c r="E2" s="102" t="s">
        <v>1787</v>
      </c>
      <c r="F2" s="103" t="str">
        <f>Application!B637&amp;Application!C637</f>
        <v>1)PW Bank Permanent Loan</v>
      </c>
      <c r="G2" s="103" t="str">
        <f>Application!B638&amp;Application!C638</f>
        <v>2)Deferred Developer Fee</v>
      </c>
      <c r="H2" s="103" t="str">
        <f>Application!B639&amp;Application!C639</f>
        <v>3)Master Developer Land Note</v>
      </c>
      <c r="I2" s="103" t="str">
        <f>Application!B640&amp;Application!C640</f>
        <v>4)Solar Equity</v>
      </c>
      <c r="J2" s="103" t="str">
        <f>Application!B641&amp;Application!C641</f>
        <v>5)Residual Receipt Loans Accrued Interest</v>
      </c>
      <c r="K2" s="103" t="str">
        <f>Application!B642&amp;Application!C642</f>
        <v>6)GP Contribution of Developer Fee</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1788</v>
      </c>
      <c r="S2" s="102" t="s">
        <v>1789</v>
      </c>
      <c r="T2" s="102" t="s">
        <v>1790</v>
      </c>
      <c r="U2" s="104"/>
    </row>
    <row r="3" spans="1:21" s="106" customFormat="1">
      <c r="A3" s="105" t="s">
        <v>1791</v>
      </c>
      <c r="B3" s="1107"/>
      <c r="C3" s="1107"/>
      <c r="D3" s="1107"/>
      <c r="E3" s="1107"/>
      <c r="F3" s="1107"/>
      <c r="G3" s="1107"/>
      <c r="H3" s="1107"/>
      <c r="I3" s="1107"/>
      <c r="J3" s="1107"/>
      <c r="K3" s="1107"/>
      <c r="L3" s="1107"/>
      <c r="M3" s="1107"/>
      <c r="N3" s="1107"/>
      <c r="O3" s="1107"/>
      <c r="P3" s="1107"/>
      <c r="Q3" s="1107"/>
      <c r="R3" s="1107"/>
      <c r="S3" s="1107"/>
      <c r="T3" s="1107"/>
      <c r="U3" s="1108"/>
    </row>
    <row r="4" spans="1:21" s="106" customFormat="1">
      <c r="A4" s="212" t="s">
        <v>1792</v>
      </c>
      <c r="B4" s="270">
        <f>SUM(C4+D4)</f>
        <v>3500000</v>
      </c>
      <c r="C4" s="940">
        <v>3500000</v>
      </c>
      <c r="D4" s="940"/>
      <c r="E4" s="940">
        <f>C4-SUM(F4:Q4)</f>
        <v>2500000</v>
      </c>
      <c r="F4" s="940">
        <v>1000000</v>
      </c>
      <c r="G4" s="940"/>
      <c r="H4" s="940"/>
      <c r="I4" s="940"/>
      <c r="J4" s="940"/>
      <c r="K4" s="940"/>
      <c r="L4" s="940"/>
      <c r="M4" s="940"/>
      <c r="N4" s="940"/>
      <c r="O4" s="940"/>
      <c r="P4" s="940"/>
      <c r="Q4" s="940"/>
      <c r="R4" s="449">
        <f>SUM(E4:Q4)</f>
        <v>3500000</v>
      </c>
      <c r="S4" s="1109"/>
      <c r="T4" s="1109"/>
      <c r="U4" s="1108"/>
    </row>
    <row r="5" spans="1:21" s="106" customFormat="1">
      <c r="A5" s="212" t="s">
        <v>1793</v>
      </c>
      <c r="B5" s="270">
        <f>SUM(C5+D5)</f>
        <v>0</v>
      </c>
      <c r="C5" s="940"/>
      <c r="D5" s="940"/>
      <c r="E5" s="940">
        <f t="shared" ref="E5:E10" si="0">C5-SUM(F5:Q5)</f>
        <v>0</v>
      </c>
      <c r="F5" s="940"/>
      <c r="G5" s="940"/>
      <c r="H5" s="940"/>
      <c r="I5" s="940"/>
      <c r="J5" s="940"/>
      <c r="K5" s="940"/>
      <c r="L5" s="940"/>
      <c r="M5" s="940"/>
      <c r="N5" s="940"/>
      <c r="O5" s="940"/>
      <c r="P5" s="940"/>
      <c r="Q5" s="940"/>
      <c r="R5" s="449">
        <f>SUM(E5:Q5)</f>
        <v>0</v>
      </c>
      <c r="S5" s="1109"/>
      <c r="T5" s="1109"/>
      <c r="U5" s="1108"/>
    </row>
    <row r="6" spans="1:21" s="106" customFormat="1">
      <c r="A6" s="212" t="s">
        <v>1794</v>
      </c>
      <c r="B6" s="270">
        <f>SUM(C6+D6)</f>
        <v>5000</v>
      </c>
      <c r="C6" s="940">
        <v>5000</v>
      </c>
      <c r="D6" s="940"/>
      <c r="E6" s="940">
        <f t="shared" si="0"/>
        <v>5000</v>
      </c>
      <c r="F6" s="940"/>
      <c r="G6" s="940"/>
      <c r="H6" s="940"/>
      <c r="I6" s="940"/>
      <c r="J6" s="940"/>
      <c r="K6" s="940"/>
      <c r="L6" s="940"/>
      <c r="M6" s="940"/>
      <c r="N6" s="940"/>
      <c r="O6" s="940"/>
      <c r="P6" s="940"/>
      <c r="Q6" s="940"/>
      <c r="R6" s="449">
        <f>SUM(E6:Q6)</f>
        <v>5000</v>
      </c>
      <c r="S6" s="1109"/>
      <c r="T6" s="1109"/>
      <c r="U6" s="1108"/>
    </row>
    <row r="7" spans="1:21" s="106" customFormat="1">
      <c r="A7" s="212" t="s">
        <v>1795</v>
      </c>
      <c r="B7" s="270">
        <f>SUM(C7+D7)</f>
        <v>0</v>
      </c>
      <c r="C7" s="940"/>
      <c r="D7" s="940"/>
      <c r="E7" s="940">
        <f t="shared" si="0"/>
        <v>0</v>
      </c>
      <c r="F7" s="940"/>
      <c r="G7" s="940"/>
      <c r="H7" s="940"/>
      <c r="I7" s="940"/>
      <c r="J7" s="940"/>
      <c r="K7" s="940"/>
      <c r="L7" s="940"/>
      <c r="M7" s="940"/>
      <c r="N7" s="940"/>
      <c r="O7" s="940"/>
      <c r="P7" s="940"/>
      <c r="Q7" s="940"/>
      <c r="R7" s="449">
        <f>SUM(E7:Q7)</f>
        <v>0</v>
      </c>
      <c r="S7" s="1109"/>
      <c r="T7" s="1109"/>
      <c r="U7" s="1108"/>
    </row>
    <row r="8" spans="1:21" s="106" customFormat="1">
      <c r="A8" s="107" t="s">
        <v>1796</v>
      </c>
      <c r="B8" s="270">
        <f>SUM(C8:D8)</f>
        <v>3505000</v>
      </c>
      <c r="C8" s="270">
        <f t="shared" ref="C8:Q8" si="1">SUM(C4:C7)</f>
        <v>3505000</v>
      </c>
      <c r="D8" s="270">
        <f t="shared" si="1"/>
        <v>0</v>
      </c>
      <c r="E8" s="270">
        <f t="shared" si="1"/>
        <v>2505000</v>
      </c>
      <c r="F8" s="270">
        <f t="shared" si="1"/>
        <v>1000000</v>
      </c>
      <c r="G8" s="270">
        <f t="shared" si="1"/>
        <v>0</v>
      </c>
      <c r="H8" s="270">
        <f t="shared" si="1"/>
        <v>0</v>
      </c>
      <c r="I8" s="270">
        <f t="shared" si="1"/>
        <v>0</v>
      </c>
      <c r="J8" s="270">
        <f t="shared" si="1"/>
        <v>0</v>
      </c>
      <c r="K8" s="270">
        <f t="shared" si="1"/>
        <v>0</v>
      </c>
      <c r="L8" s="270">
        <f t="shared" si="1"/>
        <v>0</v>
      </c>
      <c r="M8" s="270">
        <f t="shared" si="1"/>
        <v>0</v>
      </c>
      <c r="N8" s="270">
        <f t="shared" si="1"/>
        <v>0</v>
      </c>
      <c r="O8" s="270">
        <f t="shared" si="1"/>
        <v>0</v>
      </c>
      <c r="P8" s="270"/>
      <c r="Q8" s="270">
        <f t="shared" si="1"/>
        <v>0</v>
      </c>
      <c r="R8" s="270">
        <f>SUM(R4:R7)</f>
        <v>3505000</v>
      </c>
      <c r="S8" s="1109"/>
      <c r="T8" s="1109"/>
      <c r="U8" s="1108"/>
    </row>
    <row r="9" spans="1:21" s="106" customFormat="1">
      <c r="A9" s="212" t="s">
        <v>1797</v>
      </c>
      <c r="B9" s="270">
        <f>SUM(C9+D9)</f>
        <v>2020000</v>
      </c>
      <c r="C9" s="940">
        <v>2020000</v>
      </c>
      <c r="D9" s="940"/>
      <c r="E9" s="940">
        <f t="shared" si="0"/>
        <v>0</v>
      </c>
      <c r="F9" s="940"/>
      <c r="G9" s="940"/>
      <c r="H9" s="940">
        <f>Application!AM569</f>
        <v>2020000</v>
      </c>
      <c r="I9" s="940"/>
      <c r="J9" s="940"/>
      <c r="K9" s="940"/>
      <c r="L9" s="940"/>
      <c r="M9" s="940"/>
      <c r="N9" s="940"/>
      <c r="O9" s="940"/>
      <c r="P9" s="940"/>
      <c r="Q9" s="940"/>
      <c r="R9" s="449">
        <f>SUM(E9:Q9)</f>
        <v>2020000</v>
      </c>
      <c r="S9" s="1109"/>
      <c r="T9" s="940"/>
      <c r="U9" s="1108"/>
    </row>
    <row r="10" spans="1:21" s="106" customFormat="1">
      <c r="A10" s="212" t="s">
        <v>1798</v>
      </c>
      <c r="B10" s="270">
        <f>SUM(C10+D10)</f>
        <v>0</v>
      </c>
      <c r="C10" s="940"/>
      <c r="D10" s="940"/>
      <c r="E10" s="940">
        <f t="shared" si="0"/>
        <v>0</v>
      </c>
      <c r="F10" s="940"/>
      <c r="G10" s="940"/>
      <c r="H10" s="940"/>
      <c r="I10" s="940"/>
      <c r="J10" s="940"/>
      <c r="K10" s="940"/>
      <c r="L10" s="940"/>
      <c r="M10" s="940"/>
      <c r="N10" s="940"/>
      <c r="O10" s="940"/>
      <c r="P10" s="940"/>
      <c r="Q10" s="940"/>
      <c r="R10" s="449">
        <f>SUM(E10:Q10)</f>
        <v>0</v>
      </c>
      <c r="S10" s="940"/>
      <c r="T10" s="940"/>
      <c r="U10" s="1108"/>
    </row>
    <row r="11" spans="1:21" s="106" customFormat="1">
      <c r="A11" s="107" t="s">
        <v>1799</v>
      </c>
      <c r="B11" s="270">
        <f>SUM(C11:D11)</f>
        <v>2020000</v>
      </c>
      <c r="C11" s="270">
        <f t="shared" ref="C11:Q11" si="2">SUM(C9:C10)</f>
        <v>2020000</v>
      </c>
      <c r="D11" s="270">
        <f t="shared" si="2"/>
        <v>0</v>
      </c>
      <c r="E11" s="270">
        <f t="shared" si="2"/>
        <v>0</v>
      </c>
      <c r="F11" s="270">
        <f t="shared" si="2"/>
        <v>0</v>
      </c>
      <c r="G11" s="270">
        <f t="shared" si="2"/>
        <v>0</v>
      </c>
      <c r="H11" s="270">
        <f t="shared" si="2"/>
        <v>2020000</v>
      </c>
      <c r="I11" s="270">
        <f t="shared" si="2"/>
        <v>0</v>
      </c>
      <c r="J11" s="270">
        <f t="shared" si="2"/>
        <v>0</v>
      </c>
      <c r="K11" s="270">
        <f t="shared" si="2"/>
        <v>0</v>
      </c>
      <c r="L11" s="270">
        <f t="shared" si="2"/>
        <v>0</v>
      </c>
      <c r="M11" s="270">
        <f t="shared" si="2"/>
        <v>0</v>
      </c>
      <c r="N11" s="270">
        <f t="shared" si="2"/>
        <v>0</v>
      </c>
      <c r="O11" s="270">
        <f t="shared" si="2"/>
        <v>0</v>
      </c>
      <c r="P11" s="270"/>
      <c r="Q11" s="270">
        <f t="shared" si="2"/>
        <v>0</v>
      </c>
      <c r="R11" s="270">
        <f>SUM(R9:R10)</f>
        <v>2020000</v>
      </c>
      <c r="S11" s="1109"/>
      <c r="T11" s="108">
        <f>SUM(T9:T10)</f>
        <v>0</v>
      </c>
      <c r="U11" s="1108"/>
    </row>
    <row r="12" spans="1:21" s="106" customFormat="1">
      <c r="A12" s="107" t="s">
        <v>1800</v>
      </c>
      <c r="B12" s="270">
        <f t="shared" ref="B12:Q12" si="3">SUM(B8+B11)</f>
        <v>5525000</v>
      </c>
      <c r="C12" s="270">
        <f t="shared" si="3"/>
        <v>5525000</v>
      </c>
      <c r="D12" s="270">
        <f t="shared" si="3"/>
        <v>0</v>
      </c>
      <c r="E12" s="270">
        <f t="shared" si="3"/>
        <v>2505000</v>
      </c>
      <c r="F12" s="270">
        <f t="shared" si="3"/>
        <v>1000000</v>
      </c>
      <c r="G12" s="270">
        <f t="shared" si="3"/>
        <v>0</v>
      </c>
      <c r="H12" s="270">
        <f t="shared" si="3"/>
        <v>2020000</v>
      </c>
      <c r="I12" s="270">
        <f t="shared" si="3"/>
        <v>0</v>
      </c>
      <c r="J12" s="270">
        <f t="shared" si="3"/>
        <v>0</v>
      </c>
      <c r="K12" s="270">
        <f t="shared" si="3"/>
        <v>0</v>
      </c>
      <c r="L12" s="270">
        <f t="shared" si="3"/>
        <v>0</v>
      </c>
      <c r="M12" s="270">
        <f t="shared" si="3"/>
        <v>0</v>
      </c>
      <c r="N12" s="270">
        <f t="shared" si="3"/>
        <v>0</v>
      </c>
      <c r="O12" s="270">
        <f t="shared" si="3"/>
        <v>0</v>
      </c>
      <c r="P12" s="270"/>
      <c r="Q12" s="270">
        <f t="shared" si="3"/>
        <v>0</v>
      </c>
      <c r="R12" s="270">
        <f>SUM(R8+R11)</f>
        <v>5525000</v>
      </c>
      <c r="S12" s="1109"/>
      <c r="T12" s="1109"/>
      <c r="U12" s="1108"/>
    </row>
    <row r="13" spans="1:21" s="106" customFormat="1">
      <c r="A13" s="215" t="s">
        <v>1801</v>
      </c>
      <c r="B13" s="270">
        <f>SUM(C13+D13)</f>
        <v>0</v>
      </c>
      <c r="C13" s="940"/>
      <c r="D13" s="940"/>
      <c r="E13" s="940">
        <f t="shared" ref="E13:E15" si="4">C13-SUM(F13:Q13)</f>
        <v>0</v>
      </c>
      <c r="F13" s="940"/>
      <c r="G13" s="940"/>
      <c r="H13" s="940"/>
      <c r="I13" s="940"/>
      <c r="J13" s="940"/>
      <c r="K13" s="940"/>
      <c r="L13" s="940"/>
      <c r="M13" s="940"/>
      <c r="N13" s="940"/>
      <c r="O13" s="940"/>
      <c r="P13" s="940"/>
      <c r="Q13" s="940"/>
      <c r="R13" s="449">
        <f>SUM(E13:Q13)</f>
        <v>0</v>
      </c>
      <c r="S13" s="940"/>
      <c r="T13" s="940"/>
      <c r="U13" s="1108"/>
    </row>
    <row r="14" spans="1:21" s="106" customFormat="1" ht="24">
      <c r="A14" s="216" t="s">
        <v>1802</v>
      </c>
      <c r="B14" s="270">
        <f>SUM(C14+D14)</f>
        <v>0</v>
      </c>
      <c r="C14" s="940"/>
      <c r="D14" s="940"/>
      <c r="E14" s="940">
        <f t="shared" si="4"/>
        <v>0</v>
      </c>
      <c r="F14" s="940"/>
      <c r="G14" s="940"/>
      <c r="H14" s="940"/>
      <c r="I14" s="940"/>
      <c r="J14" s="940"/>
      <c r="K14" s="940"/>
      <c r="L14" s="940"/>
      <c r="M14" s="940"/>
      <c r="N14" s="940"/>
      <c r="O14" s="940"/>
      <c r="P14" s="940"/>
      <c r="Q14" s="940"/>
      <c r="R14" s="449">
        <f>SUM(E14:Q14)</f>
        <v>0</v>
      </c>
      <c r="S14" s="940"/>
      <c r="T14" s="940"/>
      <c r="U14" s="1108"/>
    </row>
    <row r="15" spans="1:21" s="106" customFormat="1">
      <c r="A15" s="216" t="s">
        <v>1803</v>
      </c>
      <c r="B15" s="270">
        <f>SUM(C15+D15)</f>
        <v>0</v>
      </c>
      <c r="C15" s="940"/>
      <c r="D15" s="940"/>
      <c r="E15" s="940">
        <f t="shared" si="4"/>
        <v>0</v>
      </c>
      <c r="F15" s="940"/>
      <c r="G15" s="940"/>
      <c r="H15" s="940"/>
      <c r="I15" s="940"/>
      <c r="J15" s="940"/>
      <c r="K15" s="940"/>
      <c r="L15" s="940"/>
      <c r="M15" s="940"/>
      <c r="N15" s="940"/>
      <c r="O15" s="940"/>
      <c r="P15" s="940"/>
      <c r="Q15" s="940"/>
      <c r="R15" s="449">
        <f>SUM(E15:Q15)</f>
        <v>0</v>
      </c>
      <c r="S15" s="1109"/>
      <c r="T15" s="1109"/>
      <c r="U15" s="1108"/>
    </row>
    <row r="16" spans="1:21" s="106" customFormat="1">
      <c r="A16" s="105" t="s">
        <v>1804</v>
      </c>
      <c r="B16" s="1107"/>
      <c r="C16" s="1107"/>
      <c r="D16" s="1107"/>
      <c r="E16" s="271"/>
      <c r="F16" s="271"/>
      <c r="G16" s="271"/>
      <c r="H16" s="271"/>
      <c r="I16" s="271"/>
      <c r="J16" s="271"/>
      <c r="K16" s="271"/>
      <c r="L16" s="271"/>
      <c r="M16" s="271"/>
      <c r="N16" s="271"/>
      <c r="O16" s="271"/>
      <c r="P16" s="271"/>
      <c r="Q16" s="271"/>
      <c r="R16" s="271"/>
      <c r="S16" s="1107"/>
      <c r="T16" s="1107"/>
      <c r="U16" s="1108"/>
    </row>
    <row r="17" spans="1:21" s="106" customFormat="1">
      <c r="A17" s="212" t="s">
        <v>1805</v>
      </c>
      <c r="B17" s="270">
        <f t="shared" ref="B17:B26" si="5">SUM(C17+D17)</f>
        <v>0</v>
      </c>
      <c r="C17" s="940"/>
      <c r="D17" s="940"/>
      <c r="E17" s="940">
        <f t="shared" ref="E17:E25" si="6">C17-SUM(F17:Q17)</f>
        <v>0</v>
      </c>
      <c r="F17" s="940"/>
      <c r="G17" s="940"/>
      <c r="H17" s="940"/>
      <c r="I17" s="940"/>
      <c r="J17" s="940"/>
      <c r="K17" s="940"/>
      <c r="L17" s="940"/>
      <c r="M17" s="940"/>
      <c r="N17" s="940"/>
      <c r="O17" s="940"/>
      <c r="P17" s="940"/>
      <c r="Q17" s="940"/>
      <c r="R17" s="449">
        <f>SUM(E17:Q17)</f>
        <v>0</v>
      </c>
      <c r="S17" s="940"/>
      <c r="T17" s="940"/>
      <c r="U17" s="1108"/>
    </row>
    <row r="18" spans="1:21" s="106" customFormat="1">
      <c r="A18" s="212" t="s">
        <v>1806</v>
      </c>
      <c r="B18" s="270">
        <f t="shared" si="5"/>
        <v>0</v>
      </c>
      <c r="C18" s="940"/>
      <c r="D18" s="940"/>
      <c r="E18" s="940">
        <f t="shared" si="6"/>
        <v>0</v>
      </c>
      <c r="F18" s="940"/>
      <c r="G18" s="940"/>
      <c r="H18" s="940"/>
      <c r="I18" s="940"/>
      <c r="J18" s="940"/>
      <c r="K18" s="940"/>
      <c r="L18" s="940"/>
      <c r="M18" s="940"/>
      <c r="N18" s="940"/>
      <c r="O18" s="940"/>
      <c r="P18" s="940"/>
      <c r="Q18" s="940"/>
      <c r="R18" s="449">
        <f>SUM(E18:Q18)</f>
        <v>0</v>
      </c>
      <c r="S18" s="940"/>
      <c r="T18" s="940"/>
      <c r="U18" s="1108"/>
    </row>
    <row r="19" spans="1:21" s="106" customFormat="1">
      <c r="A19" s="212" t="s">
        <v>1807</v>
      </c>
      <c r="B19" s="270">
        <f t="shared" si="5"/>
        <v>0</v>
      </c>
      <c r="C19" s="940"/>
      <c r="D19" s="940"/>
      <c r="E19" s="940">
        <f t="shared" si="6"/>
        <v>0</v>
      </c>
      <c r="F19" s="940"/>
      <c r="G19" s="940"/>
      <c r="H19" s="940"/>
      <c r="I19" s="940"/>
      <c r="J19" s="940"/>
      <c r="K19" s="940"/>
      <c r="L19" s="940"/>
      <c r="M19" s="940"/>
      <c r="N19" s="940"/>
      <c r="O19" s="940"/>
      <c r="P19" s="940"/>
      <c r="Q19" s="940"/>
      <c r="R19" s="449">
        <f>SUM(E19:Q19)</f>
        <v>0</v>
      </c>
      <c r="S19" s="940"/>
      <c r="T19" s="940"/>
      <c r="U19" s="1108"/>
    </row>
    <row r="20" spans="1:21" s="106" customFormat="1">
      <c r="A20" s="212" t="s">
        <v>1808</v>
      </c>
      <c r="B20" s="270">
        <f t="shared" si="5"/>
        <v>0</v>
      </c>
      <c r="C20" s="940"/>
      <c r="D20" s="940"/>
      <c r="E20" s="940">
        <f t="shared" si="6"/>
        <v>0</v>
      </c>
      <c r="F20" s="940"/>
      <c r="G20" s="940"/>
      <c r="H20" s="940"/>
      <c r="I20" s="940"/>
      <c r="J20" s="940"/>
      <c r="K20" s="940"/>
      <c r="L20" s="940"/>
      <c r="M20" s="940"/>
      <c r="N20" s="940"/>
      <c r="O20" s="940"/>
      <c r="P20" s="940"/>
      <c r="Q20" s="940"/>
      <c r="R20" s="449">
        <f t="shared" ref="R20:R27" si="7">SUM(E20:Q20)</f>
        <v>0</v>
      </c>
      <c r="S20" s="940"/>
      <c r="T20" s="940"/>
      <c r="U20" s="1108"/>
    </row>
    <row r="21" spans="1:21" s="106" customFormat="1">
      <c r="A21" s="212" t="s">
        <v>1809</v>
      </c>
      <c r="B21" s="270">
        <f t="shared" si="5"/>
        <v>0</v>
      </c>
      <c r="C21" s="940"/>
      <c r="D21" s="940"/>
      <c r="E21" s="940">
        <f t="shared" si="6"/>
        <v>0</v>
      </c>
      <c r="F21" s="940"/>
      <c r="G21" s="940"/>
      <c r="H21" s="940"/>
      <c r="I21" s="940"/>
      <c r="J21" s="940"/>
      <c r="K21" s="940"/>
      <c r="L21" s="940"/>
      <c r="M21" s="940"/>
      <c r="N21" s="940"/>
      <c r="O21" s="940"/>
      <c r="P21" s="940"/>
      <c r="Q21" s="940"/>
      <c r="R21" s="449">
        <f t="shared" si="7"/>
        <v>0</v>
      </c>
      <c r="S21" s="940"/>
      <c r="T21" s="940"/>
      <c r="U21" s="1108"/>
    </row>
    <row r="22" spans="1:21" s="106" customFormat="1">
      <c r="A22" s="212" t="s">
        <v>1810</v>
      </c>
      <c r="B22" s="270">
        <f t="shared" si="5"/>
        <v>0</v>
      </c>
      <c r="C22" s="940"/>
      <c r="D22" s="940"/>
      <c r="E22" s="940">
        <f t="shared" si="6"/>
        <v>0</v>
      </c>
      <c r="F22" s="940"/>
      <c r="G22" s="940"/>
      <c r="H22" s="940"/>
      <c r="I22" s="940"/>
      <c r="J22" s="940"/>
      <c r="K22" s="940"/>
      <c r="L22" s="940"/>
      <c r="M22" s="940"/>
      <c r="N22" s="940"/>
      <c r="O22" s="940"/>
      <c r="P22" s="940"/>
      <c r="Q22" s="940"/>
      <c r="R22" s="449">
        <f t="shared" si="7"/>
        <v>0</v>
      </c>
      <c r="S22" s="940"/>
      <c r="T22" s="940"/>
      <c r="U22" s="1108"/>
    </row>
    <row r="23" spans="1:21" s="106" customFormat="1">
      <c r="A23" s="212" t="s">
        <v>1811</v>
      </c>
      <c r="B23" s="270">
        <f t="shared" si="5"/>
        <v>0</v>
      </c>
      <c r="C23" s="940"/>
      <c r="D23" s="940"/>
      <c r="E23" s="940">
        <f t="shared" si="6"/>
        <v>0</v>
      </c>
      <c r="F23" s="940"/>
      <c r="G23" s="940"/>
      <c r="H23" s="940"/>
      <c r="I23" s="940"/>
      <c r="J23" s="940"/>
      <c r="K23" s="940"/>
      <c r="L23" s="940"/>
      <c r="M23" s="940"/>
      <c r="N23" s="940"/>
      <c r="O23" s="940"/>
      <c r="P23" s="940"/>
      <c r="Q23" s="940"/>
      <c r="R23" s="449">
        <f t="shared" si="7"/>
        <v>0</v>
      </c>
      <c r="S23" s="940"/>
      <c r="T23" s="940"/>
      <c r="U23" s="1108"/>
    </row>
    <row r="24" spans="1:21" s="106" customFormat="1">
      <c r="A24" s="442" t="s">
        <v>1812</v>
      </c>
      <c r="B24" s="270">
        <f t="shared" si="5"/>
        <v>0</v>
      </c>
      <c r="C24" s="940"/>
      <c r="D24" s="940"/>
      <c r="E24" s="940">
        <f t="shared" si="6"/>
        <v>0</v>
      </c>
      <c r="F24" s="940"/>
      <c r="G24" s="940"/>
      <c r="H24" s="940"/>
      <c r="I24" s="940"/>
      <c r="J24" s="940"/>
      <c r="K24" s="940"/>
      <c r="L24" s="940"/>
      <c r="M24" s="940"/>
      <c r="N24" s="940"/>
      <c r="O24" s="940"/>
      <c r="P24" s="940"/>
      <c r="Q24" s="940"/>
      <c r="R24" s="449"/>
      <c r="S24" s="940"/>
      <c r="T24" s="940"/>
      <c r="U24" s="1108"/>
    </row>
    <row r="25" spans="1:21" s="106" customFormat="1">
      <c r="A25" s="1110" t="s">
        <v>1813</v>
      </c>
      <c r="B25" s="270">
        <f t="shared" si="5"/>
        <v>0</v>
      </c>
      <c r="C25" s="940"/>
      <c r="D25" s="940"/>
      <c r="E25" s="940">
        <f t="shared" si="6"/>
        <v>0</v>
      </c>
      <c r="F25" s="940"/>
      <c r="G25" s="940"/>
      <c r="H25" s="940"/>
      <c r="I25" s="940"/>
      <c r="J25" s="940"/>
      <c r="K25" s="940"/>
      <c r="L25" s="940"/>
      <c r="M25" s="940"/>
      <c r="N25" s="940"/>
      <c r="O25" s="940"/>
      <c r="P25" s="940"/>
      <c r="Q25" s="940"/>
      <c r="R25" s="449">
        <f t="shared" si="7"/>
        <v>0</v>
      </c>
      <c r="S25" s="940"/>
      <c r="T25" s="940"/>
      <c r="U25" s="1108"/>
    </row>
    <row r="26" spans="1:21" s="106" customFormat="1">
      <c r="A26" s="107" t="s">
        <v>1814</v>
      </c>
      <c r="B26" s="270">
        <f t="shared" si="5"/>
        <v>0</v>
      </c>
      <c r="C26" s="270">
        <f>SUM(C17:C25)</f>
        <v>0</v>
      </c>
      <c r="D26" s="270">
        <f t="shared" ref="D26:Q26" si="8">SUM(D17:D25)</f>
        <v>0</v>
      </c>
      <c r="E26" s="270">
        <f t="shared" si="8"/>
        <v>0</v>
      </c>
      <c r="F26" s="270">
        <f t="shared" si="8"/>
        <v>0</v>
      </c>
      <c r="G26" s="270">
        <f t="shared" si="8"/>
        <v>0</v>
      </c>
      <c r="H26" s="270">
        <f t="shared" si="8"/>
        <v>0</v>
      </c>
      <c r="I26" s="270">
        <f t="shared" si="8"/>
        <v>0</v>
      </c>
      <c r="J26" s="270">
        <f t="shared" si="8"/>
        <v>0</v>
      </c>
      <c r="K26" s="270">
        <f t="shared" si="8"/>
        <v>0</v>
      </c>
      <c r="L26" s="270">
        <f t="shared" si="8"/>
        <v>0</v>
      </c>
      <c r="M26" s="270">
        <f t="shared" si="8"/>
        <v>0</v>
      </c>
      <c r="N26" s="270">
        <f t="shared" si="8"/>
        <v>0</v>
      </c>
      <c r="O26" s="270">
        <f t="shared" si="8"/>
        <v>0</v>
      </c>
      <c r="P26" s="270">
        <f t="shared" si="8"/>
        <v>0</v>
      </c>
      <c r="Q26" s="270">
        <f t="shared" si="8"/>
        <v>0</v>
      </c>
      <c r="R26" s="270">
        <f>SUM(R17:R25)</f>
        <v>0</v>
      </c>
      <c r="S26" s="108">
        <f>SUM(S17:S25)</f>
        <v>0</v>
      </c>
      <c r="T26" s="108">
        <f>SUM(T17:T25)</f>
        <v>0</v>
      </c>
      <c r="U26" s="1108"/>
    </row>
    <row r="27" spans="1:21" s="106" customFormat="1">
      <c r="A27" s="107" t="s">
        <v>1815</v>
      </c>
      <c r="B27" s="270">
        <f>SUM(C27:D27)</f>
        <v>0</v>
      </c>
      <c r="C27" s="940"/>
      <c r="D27" s="940"/>
      <c r="E27" s="940">
        <f t="shared" ref="E27" si="9">C27-SUM(F27:Q27)</f>
        <v>0</v>
      </c>
      <c r="F27" s="940"/>
      <c r="G27" s="940"/>
      <c r="H27" s="940"/>
      <c r="I27" s="940"/>
      <c r="J27" s="940"/>
      <c r="K27" s="940"/>
      <c r="L27" s="940"/>
      <c r="M27" s="940"/>
      <c r="N27" s="940"/>
      <c r="O27" s="940"/>
      <c r="P27" s="940"/>
      <c r="Q27" s="940"/>
      <c r="R27" s="449">
        <f t="shared" si="7"/>
        <v>0</v>
      </c>
      <c r="S27" s="940"/>
      <c r="T27" s="940"/>
      <c r="U27" s="1108"/>
    </row>
    <row r="28" spans="1:21" s="106" customFormat="1">
      <c r="A28" s="105" t="s">
        <v>1816</v>
      </c>
      <c r="B28" s="1107"/>
      <c r="C28" s="1107"/>
      <c r="D28" s="1107"/>
      <c r="E28" s="271"/>
      <c r="F28" s="271"/>
      <c r="G28" s="271"/>
      <c r="H28" s="271"/>
      <c r="I28" s="271"/>
      <c r="J28" s="271"/>
      <c r="K28" s="271"/>
      <c r="L28" s="271"/>
      <c r="M28" s="271"/>
      <c r="N28" s="271"/>
      <c r="O28" s="271"/>
      <c r="P28" s="271"/>
      <c r="Q28" s="271"/>
      <c r="R28" s="271"/>
      <c r="S28" s="1107"/>
      <c r="T28" s="1107"/>
      <c r="U28" s="1108"/>
    </row>
    <row r="29" spans="1:21" s="106" customFormat="1">
      <c r="A29" s="212" t="s">
        <v>1805</v>
      </c>
      <c r="B29" s="270">
        <f t="shared" ref="B29:B38" si="10">SUM(C29+D29)</f>
        <v>2996510</v>
      </c>
      <c r="C29" s="940">
        <v>2996510</v>
      </c>
      <c r="D29" s="940"/>
      <c r="E29" s="940">
        <f t="shared" ref="E29:E37" si="11">C29-SUM(F29:Q29)</f>
        <v>1996510</v>
      </c>
      <c r="F29" s="940">
        <v>1000000</v>
      </c>
      <c r="G29" s="940"/>
      <c r="H29" s="940"/>
      <c r="I29" s="940"/>
      <c r="J29" s="940"/>
      <c r="K29" s="940"/>
      <c r="L29" s="940"/>
      <c r="M29" s="940"/>
      <c r="N29" s="940"/>
      <c r="O29" s="940"/>
      <c r="P29" s="940"/>
      <c r="Q29" s="940"/>
      <c r="R29" s="449">
        <f t="shared" ref="R29:R37" si="12">SUM(E29:Q29)</f>
        <v>2996510</v>
      </c>
      <c r="S29" s="940">
        <f>R29</f>
        <v>2996510</v>
      </c>
      <c r="T29" s="940"/>
      <c r="U29" s="1108"/>
    </row>
    <row r="30" spans="1:21" s="106" customFormat="1">
      <c r="A30" s="212" t="s">
        <v>1806</v>
      </c>
      <c r="B30" s="270">
        <f t="shared" si="10"/>
        <v>16532711</v>
      </c>
      <c r="C30" s="940">
        <v>16532711</v>
      </c>
      <c r="D30" s="940"/>
      <c r="E30" s="940">
        <f t="shared" si="11"/>
        <v>4812616</v>
      </c>
      <c r="F30" s="940">
        <v>11720095</v>
      </c>
      <c r="G30" s="940"/>
      <c r="H30" s="940"/>
      <c r="I30" s="940"/>
      <c r="J30" s="940"/>
      <c r="K30" s="940"/>
      <c r="L30" s="940"/>
      <c r="M30" s="940"/>
      <c r="N30" s="940"/>
      <c r="O30" s="940"/>
      <c r="P30" s="940"/>
      <c r="Q30" s="940"/>
      <c r="R30" s="449">
        <f t="shared" si="12"/>
        <v>16532711</v>
      </c>
      <c r="S30" s="940">
        <f t="shared" ref="S30:S37" si="13">R30</f>
        <v>16532711</v>
      </c>
      <c r="T30" s="940"/>
      <c r="U30" s="1108"/>
    </row>
    <row r="31" spans="1:21" s="106" customFormat="1">
      <c r="A31" s="212" t="s">
        <v>1807</v>
      </c>
      <c r="B31" s="270">
        <f t="shared" si="10"/>
        <v>1171753</v>
      </c>
      <c r="C31" s="940">
        <v>1171753</v>
      </c>
      <c r="D31" s="940"/>
      <c r="E31" s="940">
        <f t="shared" si="11"/>
        <v>671753</v>
      </c>
      <c r="F31" s="940">
        <v>500000</v>
      </c>
      <c r="G31" s="940"/>
      <c r="H31" s="940"/>
      <c r="I31" s="940"/>
      <c r="J31" s="940"/>
      <c r="K31" s="940"/>
      <c r="L31" s="940"/>
      <c r="M31" s="940"/>
      <c r="N31" s="940"/>
      <c r="O31" s="940"/>
      <c r="P31" s="940"/>
      <c r="Q31" s="940"/>
      <c r="R31" s="449">
        <f t="shared" si="12"/>
        <v>1171753</v>
      </c>
      <c r="S31" s="940">
        <f t="shared" si="13"/>
        <v>1171753</v>
      </c>
      <c r="T31" s="940"/>
      <c r="U31" s="1108"/>
    </row>
    <row r="32" spans="1:21" s="106" customFormat="1">
      <c r="A32" s="212" t="s">
        <v>1808</v>
      </c>
      <c r="B32" s="270">
        <f t="shared" si="10"/>
        <v>390584</v>
      </c>
      <c r="C32" s="940">
        <v>390584</v>
      </c>
      <c r="D32" s="940"/>
      <c r="E32" s="940">
        <f t="shared" si="11"/>
        <v>390584</v>
      </c>
      <c r="F32" s="940"/>
      <c r="G32" s="940"/>
      <c r="H32" s="940"/>
      <c r="I32" s="940"/>
      <c r="J32" s="940"/>
      <c r="K32" s="940"/>
      <c r="L32" s="940"/>
      <c r="M32" s="940"/>
      <c r="N32" s="940"/>
      <c r="O32" s="940"/>
      <c r="P32" s="940"/>
      <c r="Q32" s="940"/>
      <c r="R32" s="449">
        <f t="shared" si="12"/>
        <v>390584</v>
      </c>
      <c r="S32" s="940">
        <f t="shared" si="13"/>
        <v>390584</v>
      </c>
      <c r="T32" s="940"/>
      <c r="U32" s="1108"/>
    </row>
    <row r="33" spans="1:21" s="106" customFormat="1">
      <c r="A33" s="212" t="s">
        <v>1809</v>
      </c>
      <c r="B33" s="270">
        <f t="shared" si="10"/>
        <v>1171753</v>
      </c>
      <c r="C33" s="940">
        <f>C31</f>
        <v>1171753</v>
      </c>
      <c r="D33" s="940"/>
      <c r="E33" s="940">
        <f t="shared" si="11"/>
        <v>671753</v>
      </c>
      <c r="F33" s="940">
        <f>F31</f>
        <v>500000</v>
      </c>
      <c r="G33" s="940"/>
      <c r="H33" s="940"/>
      <c r="I33" s="940"/>
      <c r="J33" s="940"/>
      <c r="K33" s="940"/>
      <c r="L33" s="940"/>
      <c r="M33" s="940"/>
      <c r="N33" s="940"/>
      <c r="O33" s="940"/>
      <c r="P33" s="940"/>
      <c r="Q33" s="940"/>
      <c r="R33" s="449">
        <f t="shared" si="12"/>
        <v>1171753</v>
      </c>
      <c r="S33" s="940">
        <f t="shared" si="13"/>
        <v>1171753</v>
      </c>
      <c r="T33" s="940"/>
      <c r="U33" s="1108"/>
    </row>
    <row r="34" spans="1:21" s="106" customFormat="1">
      <c r="A34" s="212" t="s">
        <v>1810</v>
      </c>
      <c r="B34" s="270">
        <f t="shared" si="10"/>
        <v>0</v>
      </c>
      <c r="C34" s="940"/>
      <c r="D34" s="940"/>
      <c r="E34" s="940">
        <f t="shared" si="11"/>
        <v>0</v>
      </c>
      <c r="F34" s="940"/>
      <c r="G34" s="940"/>
      <c r="H34" s="940"/>
      <c r="I34" s="940"/>
      <c r="J34" s="940"/>
      <c r="K34" s="940"/>
      <c r="L34" s="940"/>
      <c r="M34" s="940"/>
      <c r="N34" s="940"/>
      <c r="O34" s="940"/>
      <c r="P34" s="940"/>
      <c r="Q34" s="940"/>
      <c r="R34" s="449">
        <f t="shared" si="12"/>
        <v>0</v>
      </c>
      <c r="S34" s="940">
        <f t="shared" si="13"/>
        <v>0</v>
      </c>
      <c r="T34" s="940"/>
      <c r="U34" s="1108"/>
    </row>
    <row r="35" spans="1:21" s="106" customFormat="1">
      <c r="A35" s="212" t="s">
        <v>1811</v>
      </c>
      <c r="B35" s="270">
        <f t="shared" si="10"/>
        <v>195292</v>
      </c>
      <c r="C35" s="940">
        <v>195292</v>
      </c>
      <c r="D35" s="940"/>
      <c r="E35" s="940">
        <f t="shared" si="11"/>
        <v>195292</v>
      </c>
      <c r="F35" s="940"/>
      <c r="G35" s="940"/>
      <c r="H35" s="940"/>
      <c r="I35" s="940"/>
      <c r="J35" s="940"/>
      <c r="K35" s="940"/>
      <c r="L35" s="940"/>
      <c r="M35" s="940"/>
      <c r="N35" s="940"/>
      <c r="O35" s="940"/>
      <c r="P35" s="940"/>
      <c r="Q35" s="940"/>
      <c r="R35" s="449">
        <f t="shared" si="12"/>
        <v>195292</v>
      </c>
      <c r="S35" s="940">
        <f t="shared" si="13"/>
        <v>195292</v>
      </c>
      <c r="T35" s="940"/>
      <c r="U35" s="1108"/>
    </row>
    <row r="36" spans="1:21" s="106" customFormat="1">
      <c r="A36" s="212" t="s">
        <v>1812</v>
      </c>
      <c r="B36" s="270">
        <f t="shared" si="10"/>
        <v>0</v>
      </c>
      <c r="C36" s="940"/>
      <c r="D36" s="940"/>
      <c r="E36" s="940">
        <f t="shared" si="11"/>
        <v>0</v>
      </c>
      <c r="F36" s="940"/>
      <c r="G36" s="940"/>
      <c r="H36" s="940"/>
      <c r="I36" s="940"/>
      <c r="J36" s="940"/>
      <c r="K36" s="940"/>
      <c r="L36" s="940"/>
      <c r="M36" s="940"/>
      <c r="N36" s="940"/>
      <c r="O36" s="940"/>
      <c r="P36" s="940"/>
      <c r="Q36" s="940"/>
      <c r="R36" s="449">
        <f t="shared" si="12"/>
        <v>0</v>
      </c>
      <c r="S36" s="940">
        <f t="shared" si="13"/>
        <v>0</v>
      </c>
      <c r="T36" s="940"/>
      <c r="U36" s="1108"/>
    </row>
    <row r="37" spans="1:21" s="106" customFormat="1">
      <c r="A37" s="1110" t="s">
        <v>1817</v>
      </c>
      <c r="B37" s="270">
        <f t="shared" si="10"/>
        <v>1200000</v>
      </c>
      <c r="C37" s="940">
        <v>1200000</v>
      </c>
      <c r="D37" s="940"/>
      <c r="E37" s="940">
        <f t="shared" si="11"/>
        <v>715700</v>
      </c>
      <c r="F37" s="940">
        <v>250000</v>
      </c>
      <c r="G37" s="940"/>
      <c r="H37" s="940"/>
      <c r="I37" s="940">
        <f>Application!AO640</f>
        <v>234300</v>
      </c>
      <c r="J37" s="940"/>
      <c r="K37" s="940"/>
      <c r="L37" s="940"/>
      <c r="M37" s="940"/>
      <c r="N37" s="940"/>
      <c r="O37" s="940"/>
      <c r="P37" s="940"/>
      <c r="Q37" s="940"/>
      <c r="R37" s="449">
        <f t="shared" si="12"/>
        <v>1200000</v>
      </c>
      <c r="S37" s="940">
        <f t="shared" si="13"/>
        <v>1200000</v>
      </c>
      <c r="T37" s="940"/>
      <c r="U37" s="1108"/>
    </row>
    <row r="38" spans="1:21" s="106" customFormat="1">
      <c r="A38" s="107" t="s">
        <v>1818</v>
      </c>
      <c r="B38" s="270">
        <f t="shared" si="10"/>
        <v>23658603</v>
      </c>
      <c r="C38" s="270">
        <f>SUM(C29:C37)</f>
        <v>23658603</v>
      </c>
      <c r="D38" s="270">
        <f t="shared" ref="D38:Q38" si="14">SUM(D29:D37)</f>
        <v>0</v>
      </c>
      <c r="E38" s="270">
        <f t="shared" si="14"/>
        <v>9454208</v>
      </c>
      <c r="F38" s="270">
        <f t="shared" si="14"/>
        <v>13970095</v>
      </c>
      <c r="G38" s="270">
        <f t="shared" si="14"/>
        <v>0</v>
      </c>
      <c r="H38" s="270">
        <f t="shared" si="14"/>
        <v>0</v>
      </c>
      <c r="I38" s="270">
        <f t="shared" si="14"/>
        <v>234300</v>
      </c>
      <c r="J38" s="270">
        <f t="shared" si="14"/>
        <v>0</v>
      </c>
      <c r="K38" s="270">
        <f t="shared" si="14"/>
        <v>0</v>
      </c>
      <c r="L38" s="270">
        <f t="shared" si="14"/>
        <v>0</v>
      </c>
      <c r="M38" s="270">
        <f t="shared" si="14"/>
        <v>0</v>
      </c>
      <c r="N38" s="270">
        <f t="shared" si="14"/>
        <v>0</v>
      </c>
      <c r="O38" s="270">
        <f t="shared" si="14"/>
        <v>0</v>
      </c>
      <c r="P38" s="270">
        <f t="shared" si="14"/>
        <v>0</v>
      </c>
      <c r="Q38" s="270">
        <f t="shared" si="14"/>
        <v>0</v>
      </c>
      <c r="R38" s="270">
        <f>SUM(R29:R37)</f>
        <v>23658603</v>
      </c>
      <c r="S38" s="108">
        <f>SUM(S29:S37)</f>
        <v>23658603</v>
      </c>
      <c r="T38" s="108">
        <f>SUM(T29:T37)</f>
        <v>0</v>
      </c>
      <c r="U38" s="1108"/>
    </row>
    <row r="39" spans="1:21" s="106" customFormat="1">
      <c r="A39" s="105" t="s">
        <v>1819</v>
      </c>
      <c r="B39" s="1107"/>
      <c r="C39" s="1107"/>
      <c r="D39" s="1107"/>
      <c r="E39" s="271"/>
      <c r="F39" s="271"/>
      <c r="G39" s="271"/>
      <c r="H39" s="271"/>
      <c r="I39" s="271"/>
      <c r="J39" s="271"/>
      <c r="K39" s="271"/>
      <c r="L39" s="271"/>
      <c r="M39" s="271"/>
      <c r="N39" s="271"/>
      <c r="O39" s="271"/>
      <c r="P39" s="271"/>
      <c r="Q39" s="271"/>
      <c r="R39" s="271"/>
      <c r="S39" s="1107"/>
      <c r="T39" s="1107"/>
      <c r="U39" s="1108"/>
    </row>
    <row r="40" spans="1:21" s="106" customFormat="1">
      <c r="A40" s="212" t="s">
        <v>1820</v>
      </c>
      <c r="B40" s="270">
        <f>SUM(C40+D40)</f>
        <v>910980</v>
      </c>
      <c r="C40" s="940">
        <v>910980</v>
      </c>
      <c r="D40" s="940"/>
      <c r="E40" s="940">
        <f t="shared" ref="E40:E41" si="15">C40-SUM(F40:Q40)</f>
        <v>660980</v>
      </c>
      <c r="F40" s="940">
        <v>250000</v>
      </c>
      <c r="G40" s="940"/>
      <c r="H40" s="940"/>
      <c r="I40" s="940"/>
      <c r="J40" s="940"/>
      <c r="K40" s="940"/>
      <c r="L40" s="940"/>
      <c r="M40" s="940"/>
      <c r="N40" s="940"/>
      <c r="O40" s="940"/>
      <c r="P40" s="940"/>
      <c r="Q40" s="940"/>
      <c r="R40" s="449">
        <f>SUM(E40:Q40)</f>
        <v>910980</v>
      </c>
      <c r="S40" s="940">
        <f>R40</f>
        <v>910980</v>
      </c>
      <c r="T40" s="940"/>
      <c r="U40" s="1108"/>
    </row>
    <row r="41" spans="1:21" s="106" customFormat="1">
      <c r="A41" s="212" t="s">
        <v>1821</v>
      </c>
      <c r="B41" s="270">
        <f>SUM(C41+D41)</f>
        <v>0</v>
      </c>
      <c r="C41" s="940"/>
      <c r="D41" s="940"/>
      <c r="E41" s="940">
        <f t="shared" si="15"/>
        <v>0</v>
      </c>
      <c r="F41" s="940"/>
      <c r="G41" s="940"/>
      <c r="H41" s="940"/>
      <c r="I41" s="940"/>
      <c r="J41" s="940"/>
      <c r="K41" s="940"/>
      <c r="L41" s="940"/>
      <c r="M41" s="940"/>
      <c r="N41" s="940"/>
      <c r="O41" s="940"/>
      <c r="P41" s="940"/>
      <c r="Q41" s="940"/>
      <c r="R41" s="449">
        <f>SUM(E41:Q41)</f>
        <v>0</v>
      </c>
      <c r="S41" s="940"/>
      <c r="T41" s="940"/>
      <c r="U41" s="1108"/>
    </row>
    <row r="42" spans="1:21" s="106" customFormat="1">
      <c r="A42" s="107" t="s">
        <v>1822</v>
      </c>
      <c r="B42" s="270">
        <f>SUM(C42:D42)</f>
        <v>910980</v>
      </c>
      <c r="C42" s="270">
        <f>SUM(C39:C41)</f>
        <v>910980</v>
      </c>
      <c r="D42" s="270">
        <f>SUM(D39:D41)</f>
        <v>0</v>
      </c>
      <c r="E42" s="270">
        <f t="shared" ref="E42:T42" si="16">SUM(E40:E41)</f>
        <v>660980</v>
      </c>
      <c r="F42" s="270">
        <f t="shared" si="16"/>
        <v>250000</v>
      </c>
      <c r="G42" s="270">
        <f t="shared" si="16"/>
        <v>0</v>
      </c>
      <c r="H42" s="270">
        <f t="shared" si="16"/>
        <v>0</v>
      </c>
      <c r="I42" s="270">
        <f t="shared" si="16"/>
        <v>0</v>
      </c>
      <c r="J42" s="270">
        <f t="shared" si="16"/>
        <v>0</v>
      </c>
      <c r="K42" s="270">
        <f t="shared" si="16"/>
        <v>0</v>
      </c>
      <c r="L42" s="270">
        <f t="shared" si="16"/>
        <v>0</v>
      </c>
      <c r="M42" s="270">
        <f t="shared" si="16"/>
        <v>0</v>
      </c>
      <c r="N42" s="270">
        <f t="shared" si="16"/>
        <v>0</v>
      </c>
      <c r="O42" s="270">
        <f t="shared" si="16"/>
        <v>0</v>
      </c>
      <c r="P42" s="270">
        <f t="shared" si="16"/>
        <v>0</v>
      </c>
      <c r="Q42" s="270">
        <f t="shared" si="16"/>
        <v>0</v>
      </c>
      <c r="R42" s="270">
        <f>SUM(R40:R41)</f>
        <v>910980</v>
      </c>
      <c r="S42" s="108">
        <f t="shared" si="16"/>
        <v>910980</v>
      </c>
      <c r="T42" s="108">
        <f t="shared" si="16"/>
        <v>0</v>
      </c>
      <c r="U42" s="1108"/>
    </row>
    <row r="43" spans="1:21" s="106" customFormat="1">
      <c r="A43" s="107" t="s">
        <v>1823</v>
      </c>
      <c r="B43" s="270">
        <f>SUM(C43:D43)</f>
        <v>910000</v>
      </c>
      <c r="C43" s="940">
        <v>910000</v>
      </c>
      <c r="D43" s="940"/>
      <c r="E43" s="940">
        <f t="shared" ref="E43" si="17">C43-SUM(F43:Q43)</f>
        <v>660000</v>
      </c>
      <c r="F43" s="940">
        <v>250000</v>
      </c>
      <c r="G43" s="940"/>
      <c r="H43" s="940"/>
      <c r="I43" s="940"/>
      <c r="J43" s="940"/>
      <c r="K43" s="940"/>
      <c r="L43" s="940"/>
      <c r="M43" s="940"/>
      <c r="N43" s="940"/>
      <c r="O43" s="940"/>
      <c r="P43" s="940"/>
      <c r="Q43" s="940"/>
      <c r="R43" s="449">
        <f>SUM(E43:Q43)</f>
        <v>910000</v>
      </c>
      <c r="S43" s="940">
        <f>R43</f>
        <v>910000</v>
      </c>
      <c r="T43" s="940"/>
      <c r="U43" s="1108"/>
    </row>
    <row r="44" spans="1:21" s="106" customFormat="1">
      <c r="A44" s="105" t="s">
        <v>1824</v>
      </c>
      <c r="B44" s="1107"/>
      <c r="C44" s="1107"/>
      <c r="D44" s="1107"/>
      <c r="E44" s="271"/>
      <c r="F44" s="271"/>
      <c r="G44" s="271"/>
      <c r="H44" s="271"/>
      <c r="I44" s="271"/>
      <c r="J44" s="271"/>
      <c r="K44" s="271"/>
      <c r="L44" s="271"/>
      <c r="M44" s="271"/>
      <c r="N44" s="271"/>
      <c r="O44" s="271"/>
      <c r="P44" s="271"/>
      <c r="Q44" s="271"/>
      <c r="R44" s="271"/>
      <c r="S44" s="1107"/>
      <c r="T44" s="1107"/>
      <c r="U44" s="1108"/>
    </row>
    <row r="45" spans="1:21" s="106" customFormat="1">
      <c r="A45" s="212" t="s">
        <v>1825</v>
      </c>
      <c r="B45" s="270">
        <f t="shared" ref="B45:B53" si="18">SUM(C45+D45)</f>
        <v>1832642</v>
      </c>
      <c r="C45" s="940">
        <v>1832642</v>
      </c>
      <c r="D45" s="940"/>
      <c r="E45" s="940">
        <f t="shared" ref="E45:E53" si="19">C45-SUM(F45:Q45)</f>
        <v>721542</v>
      </c>
      <c r="F45" s="940">
        <v>1000000</v>
      </c>
      <c r="G45" s="940"/>
      <c r="H45" s="940"/>
      <c r="I45" s="940"/>
      <c r="J45" s="940">
        <f>Application!AO641</f>
        <v>111100</v>
      </c>
      <c r="K45" s="940"/>
      <c r="L45" s="940"/>
      <c r="M45" s="940"/>
      <c r="N45" s="940"/>
      <c r="O45" s="940"/>
      <c r="P45" s="940"/>
      <c r="Q45" s="940"/>
      <c r="R45" s="449">
        <f t="shared" ref="R45:R53" si="20">SUM(E45:Q45)</f>
        <v>1832642</v>
      </c>
      <c r="S45" s="940">
        <v>1294562</v>
      </c>
      <c r="T45" s="940"/>
      <c r="U45" s="1108"/>
    </row>
    <row r="46" spans="1:21" s="106" customFormat="1">
      <c r="A46" s="212" t="s">
        <v>1826</v>
      </c>
      <c r="B46" s="270">
        <f t="shared" si="18"/>
        <v>254071</v>
      </c>
      <c r="C46" s="940">
        <v>254071</v>
      </c>
      <c r="D46" s="940"/>
      <c r="E46" s="940">
        <f t="shared" si="19"/>
        <v>54071</v>
      </c>
      <c r="F46" s="940">
        <v>200000</v>
      </c>
      <c r="G46" s="940"/>
      <c r="H46" s="940"/>
      <c r="I46" s="940"/>
      <c r="J46" s="940"/>
      <c r="K46" s="940"/>
      <c r="L46" s="940"/>
      <c r="M46" s="940"/>
      <c r="N46" s="940"/>
      <c r="O46" s="940"/>
      <c r="P46" s="940"/>
      <c r="Q46" s="940"/>
      <c r="R46" s="449">
        <f t="shared" si="20"/>
        <v>254071</v>
      </c>
      <c r="S46" s="940">
        <f t="shared" ref="S46:S48" si="21">R46</f>
        <v>254071</v>
      </c>
      <c r="T46" s="940"/>
      <c r="U46" s="1108"/>
    </row>
    <row r="47" spans="1:21" s="106" customFormat="1">
      <c r="A47" s="1111" t="s">
        <v>1827</v>
      </c>
      <c r="B47" s="270">
        <f t="shared" si="18"/>
        <v>0</v>
      </c>
      <c r="C47" s="940"/>
      <c r="D47" s="940"/>
      <c r="E47" s="940">
        <f t="shared" si="19"/>
        <v>0</v>
      </c>
      <c r="F47" s="940"/>
      <c r="G47" s="940"/>
      <c r="H47" s="940"/>
      <c r="I47" s="940"/>
      <c r="J47" s="940"/>
      <c r="K47" s="940"/>
      <c r="L47" s="940"/>
      <c r="M47" s="940"/>
      <c r="N47" s="940"/>
      <c r="O47" s="940"/>
      <c r="P47" s="940"/>
      <c r="Q47" s="940"/>
      <c r="R47" s="449">
        <f t="shared" si="20"/>
        <v>0</v>
      </c>
      <c r="S47" s="940">
        <f t="shared" si="21"/>
        <v>0</v>
      </c>
      <c r="T47" s="940"/>
      <c r="U47" s="1108"/>
    </row>
    <row r="48" spans="1:21" s="106" customFormat="1">
      <c r="A48" s="212" t="s">
        <v>1828</v>
      </c>
      <c r="B48" s="270">
        <f t="shared" si="18"/>
        <v>0</v>
      </c>
      <c r="C48" s="940"/>
      <c r="D48" s="940"/>
      <c r="E48" s="940">
        <f t="shared" si="19"/>
        <v>0</v>
      </c>
      <c r="F48" s="940"/>
      <c r="G48" s="940"/>
      <c r="H48" s="940"/>
      <c r="I48" s="940"/>
      <c r="J48" s="940"/>
      <c r="K48" s="940"/>
      <c r="L48" s="940"/>
      <c r="M48" s="940"/>
      <c r="N48" s="940"/>
      <c r="O48" s="940"/>
      <c r="P48" s="940"/>
      <c r="Q48" s="940"/>
      <c r="R48" s="449">
        <f t="shared" si="20"/>
        <v>0</v>
      </c>
      <c r="S48" s="940">
        <f t="shared" si="21"/>
        <v>0</v>
      </c>
      <c r="T48" s="940"/>
      <c r="U48" s="1108"/>
    </row>
    <row r="49" spans="1:21" s="106" customFormat="1">
      <c r="A49" s="212" t="s">
        <v>1829</v>
      </c>
      <c r="B49" s="270">
        <f t="shared" si="18"/>
        <v>48438</v>
      </c>
      <c r="C49" s="940">
        <v>48438</v>
      </c>
      <c r="D49" s="940"/>
      <c r="E49" s="940">
        <f t="shared" si="19"/>
        <v>48438</v>
      </c>
      <c r="F49" s="940"/>
      <c r="G49" s="940"/>
      <c r="H49" s="940"/>
      <c r="I49" s="940"/>
      <c r="J49" s="940"/>
      <c r="K49" s="940"/>
      <c r="L49" s="940"/>
      <c r="M49" s="940"/>
      <c r="N49" s="940"/>
      <c r="O49" s="940"/>
      <c r="P49" s="940"/>
      <c r="Q49" s="940"/>
      <c r="R49" s="449">
        <f t="shared" si="20"/>
        <v>48438</v>
      </c>
      <c r="S49" s="940"/>
      <c r="T49" s="940"/>
      <c r="U49" s="1108"/>
    </row>
    <row r="50" spans="1:21" s="106" customFormat="1">
      <c r="A50" s="212" t="s">
        <v>1830</v>
      </c>
      <c r="B50" s="270">
        <f t="shared" si="18"/>
        <v>50000</v>
      </c>
      <c r="C50" s="940">
        <v>50000</v>
      </c>
      <c r="D50" s="940"/>
      <c r="E50" s="940">
        <f t="shared" si="19"/>
        <v>50000</v>
      </c>
      <c r="F50" s="940"/>
      <c r="G50" s="940"/>
      <c r="H50" s="940"/>
      <c r="I50" s="940"/>
      <c r="J50" s="940"/>
      <c r="K50" s="940"/>
      <c r="L50" s="940"/>
      <c r="M50" s="940"/>
      <c r="N50" s="940"/>
      <c r="O50" s="940"/>
      <c r="P50" s="940"/>
      <c r="Q50" s="940"/>
      <c r="R50" s="449">
        <f t="shared" si="20"/>
        <v>50000</v>
      </c>
      <c r="S50" s="940">
        <f t="shared" ref="S50:S53" si="22">R50</f>
        <v>50000</v>
      </c>
      <c r="T50" s="940"/>
      <c r="U50" s="1108"/>
    </row>
    <row r="51" spans="1:21" s="106" customFormat="1">
      <c r="A51" s="212" t="s">
        <v>1831</v>
      </c>
      <c r="B51" s="270">
        <f t="shared" si="18"/>
        <v>179490</v>
      </c>
      <c r="C51" s="940">
        <v>179490</v>
      </c>
      <c r="D51" s="940"/>
      <c r="E51" s="940">
        <f t="shared" si="19"/>
        <v>179490</v>
      </c>
      <c r="F51" s="940"/>
      <c r="G51" s="940"/>
      <c r="H51" s="940"/>
      <c r="I51" s="940"/>
      <c r="J51" s="940"/>
      <c r="K51" s="940"/>
      <c r="L51" s="940"/>
      <c r="M51" s="940"/>
      <c r="N51" s="940"/>
      <c r="O51" s="940"/>
      <c r="P51" s="940"/>
      <c r="Q51" s="940"/>
      <c r="R51" s="449">
        <f t="shared" si="20"/>
        <v>179490</v>
      </c>
      <c r="S51" s="940">
        <f t="shared" si="22"/>
        <v>179490</v>
      </c>
      <c r="T51" s="940"/>
      <c r="U51" s="1108"/>
    </row>
    <row r="52" spans="1:21" s="106" customFormat="1">
      <c r="A52" s="212" t="s">
        <v>1832</v>
      </c>
      <c r="B52" s="270">
        <f t="shared" si="18"/>
        <v>454708</v>
      </c>
      <c r="C52" s="940">
        <v>454708</v>
      </c>
      <c r="D52" s="940"/>
      <c r="E52" s="940">
        <f t="shared" si="19"/>
        <v>104708</v>
      </c>
      <c r="F52" s="940">
        <v>350000</v>
      </c>
      <c r="G52" s="940"/>
      <c r="H52" s="940"/>
      <c r="I52" s="940"/>
      <c r="J52" s="940"/>
      <c r="K52" s="940"/>
      <c r="L52" s="940"/>
      <c r="M52" s="940"/>
      <c r="N52" s="940"/>
      <c r="O52" s="940"/>
      <c r="P52" s="940"/>
      <c r="Q52" s="940"/>
      <c r="R52" s="449">
        <f t="shared" si="20"/>
        <v>454708</v>
      </c>
      <c r="S52" s="940">
        <f t="shared" si="22"/>
        <v>454708</v>
      </c>
      <c r="T52" s="940"/>
      <c r="U52" s="1108"/>
    </row>
    <row r="53" spans="1:21" s="106" customFormat="1" ht="24">
      <c r="A53" s="1110" t="s">
        <v>1833</v>
      </c>
      <c r="B53" s="270">
        <f t="shared" si="18"/>
        <v>425000</v>
      </c>
      <c r="C53" s="940">
        <v>425000</v>
      </c>
      <c r="D53" s="940"/>
      <c r="E53" s="940">
        <f t="shared" si="19"/>
        <v>75000</v>
      </c>
      <c r="F53" s="940">
        <v>350000</v>
      </c>
      <c r="G53" s="940"/>
      <c r="H53" s="940"/>
      <c r="I53" s="940"/>
      <c r="J53" s="940"/>
      <c r="K53" s="940"/>
      <c r="L53" s="940"/>
      <c r="M53" s="940"/>
      <c r="N53" s="940"/>
      <c r="O53" s="940"/>
      <c r="P53" s="940"/>
      <c r="Q53" s="940"/>
      <c r="R53" s="449">
        <f t="shared" si="20"/>
        <v>425000</v>
      </c>
      <c r="S53" s="940">
        <f t="shared" si="22"/>
        <v>425000</v>
      </c>
      <c r="T53" s="940"/>
      <c r="U53" s="1108"/>
    </row>
    <row r="54" spans="1:21" s="110" customFormat="1">
      <c r="A54" s="107" t="s">
        <v>1834</v>
      </c>
      <c r="B54" s="108">
        <f>SUM(C54:D54)</f>
        <v>3244349</v>
      </c>
      <c r="C54" s="108">
        <f t="shared" ref="C54:T54" si="23">SUM(C45:C53)</f>
        <v>3244349</v>
      </c>
      <c r="D54" s="108">
        <f t="shared" si="23"/>
        <v>0</v>
      </c>
      <c r="E54" s="108">
        <f t="shared" si="23"/>
        <v>1233249</v>
      </c>
      <c r="F54" s="108">
        <f t="shared" si="23"/>
        <v>1900000</v>
      </c>
      <c r="G54" s="108">
        <f t="shared" si="23"/>
        <v>0</v>
      </c>
      <c r="H54" s="108">
        <f t="shared" si="23"/>
        <v>0</v>
      </c>
      <c r="I54" s="108">
        <f t="shared" si="23"/>
        <v>0</v>
      </c>
      <c r="J54" s="108">
        <f t="shared" si="23"/>
        <v>111100</v>
      </c>
      <c r="K54" s="108">
        <f t="shared" si="23"/>
        <v>0</v>
      </c>
      <c r="L54" s="108">
        <f t="shared" si="23"/>
        <v>0</v>
      </c>
      <c r="M54" s="108">
        <f t="shared" si="23"/>
        <v>0</v>
      </c>
      <c r="N54" s="108">
        <f t="shared" si="23"/>
        <v>0</v>
      </c>
      <c r="O54" s="108">
        <f t="shared" si="23"/>
        <v>0</v>
      </c>
      <c r="P54" s="108">
        <f t="shared" si="23"/>
        <v>0</v>
      </c>
      <c r="Q54" s="108">
        <f t="shared" si="23"/>
        <v>0</v>
      </c>
      <c r="R54" s="270">
        <f t="shared" si="23"/>
        <v>3244349</v>
      </c>
      <c r="S54" s="108">
        <f t="shared" si="23"/>
        <v>2657831</v>
      </c>
      <c r="T54" s="108">
        <f t="shared" si="23"/>
        <v>0</v>
      </c>
      <c r="U54" s="109"/>
    </row>
    <row r="55" spans="1:21" s="106" customFormat="1">
      <c r="A55" s="105" t="s">
        <v>1435</v>
      </c>
      <c r="B55" s="1107"/>
      <c r="C55" s="1107"/>
      <c r="D55" s="1107"/>
      <c r="E55" s="271"/>
      <c r="F55" s="271"/>
      <c r="G55" s="271"/>
      <c r="H55" s="271"/>
      <c r="I55" s="271"/>
      <c r="J55" s="271"/>
      <c r="K55" s="271"/>
      <c r="L55" s="271"/>
      <c r="M55" s="271"/>
      <c r="N55" s="271"/>
      <c r="O55" s="271"/>
      <c r="P55" s="271"/>
      <c r="Q55" s="271"/>
      <c r="R55" s="271"/>
      <c r="S55" s="1107"/>
      <c r="T55" s="1107"/>
      <c r="U55" s="1108"/>
    </row>
    <row r="56" spans="1:21" s="106" customFormat="1">
      <c r="A56" s="212" t="s">
        <v>1835</v>
      </c>
      <c r="B56" s="270">
        <f t="shared" ref="B56:B61" si="24">SUM(C56+D56)</f>
        <v>150000</v>
      </c>
      <c r="C56" s="940">
        <v>150000</v>
      </c>
      <c r="D56" s="940"/>
      <c r="E56" s="940">
        <f t="shared" ref="E56:E61" si="25">C56-SUM(F56:Q56)</f>
        <v>0</v>
      </c>
      <c r="F56" s="940">
        <v>150000</v>
      </c>
      <c r="G56" s="940"/>
      <c r="H56" s="940"/>
      <c r="I56" s="940"/>
      <c r="J56" s="940"/>
      <c r="K56" s="940"/>
      <c r="L56" s="940"/>
      <c r="M56" s="940"/>
      <c r="N56" s="940"/>
      <c r="O56" s="940"/>
      <c r="P56" s="940"/>
      <c r="Q56" s="940"/>
      <c r="R56" s="449">
        <f t="shared" ref="R56:R61" si="26">SUM(E56:Q56)</f>
        <v>150000</v>
      </c>
      <c r="S56" s="1109"/>
      <c r="T56" s="1109"/>
      <c r="U56" s="1108"/>
    </row>
    <row r="57" spans="1:21" s="137" customFormat="1">
      <c r="A57" s="1111" t="s">
        <v>1827</v>
      </c>
      <c r="B57" s="1112">
        <f t="shared" si="24"/>
        <v>0</v>
      </c>
      <c r="C57" s="1113"/>
      <c r="D57" s="1113"/>
      <c r="E57" s="940">
        <f t="shared" si="25"/>
        <v>0</v>
      </c>
      <c r="F57" s="1113"/>
      <c r="G57" s="1113"/>
      <c r="H57" s="1113"/>
      <c r="I57" s="1113"/>
      <c r="J57" s="1113"/>
      <c r="K57" s="1113"/>
      <c r="L57" s="1113"/>
      <c r="M57" s="1113"/>
      <c r="N57" s="1113"/>
      <c r="O57" s="1113"/>
      <c r="P57" s="1113"/>
      <c r="Q57" s="1113"/>
      <c r="R57" s="449">
        <f t="shared" si="26"/>
        <v>0</v>
      </c>
      <c r="S57" s="1114"/>
      <c r="T57" s="1114"/>
      <c r="U57" s="1115"/>
    </row>
    <row r="58" spans="1:21" s="106" customFormat="1">
      <c r="A58" s="212" t="s">
        <v>1830</v>
      </c>
      <c r="B58" s="270">
        <f t="shared" si="24"/>
        <v>12500</v>
      </c>
      <c r="C58" s="940">
        <v>12500</v>
      </c>
      <c r="D58" s="940"/>
      <c r="E58" s="940">
        <f t="shared" si="25"/>
        <v>12500</v>
      </c>
      <c r="F58" s="940"/>
      <c r="G58" s="940"/>
      <c r="H58" s="940"/>
      <c r="I58" s="940"/>
      <c r="J58" s="940"/>
      <c r="K58" s="940"/>
      <c r="L58" s="940"/>
      <c r="M58" s="940"/>
      <c r="N58" s="940"/>
      <c r="O58" s="940"/>
      <c r="P58" s="940"/>
      <c r="Q58" s="940"/>
      <c r="R58" s="449">
        <f t="shared" si="26"/>
        <v>12500</v>
      </c>
      <c r="S58" s="1109"/>
      <c r="T58" s="1109"/>
      <c r="U58" s="1108"/>
    </row>
    <row r="59" spans="1:21" s="106" customFormat="1">
      <c r="A59" s="212" t="s">
        <v>1831</v>
      </c>
      <c r="B59" s="270">
        <f t="shared" si="24"/>
        <v>0</v>
      </c>
      <c r="C59" s="940"/>
      <c r="D59" s="940"/>
      <c r="E59" s="940">
        <f t="shared" si="25"/>
        <v>0</v>
      </c>
      <c r="F59" s="940"/>
      <c r="G59" s="940"/>
      <c r="H59" s="940"/>
      <c r="I59" s="940"/>
      <c r="J59" s="940"/>
      <c r="K59" s="940"/>
      <c r="L59" s="940"/>
      <c r="M59" s="940"/>
      <c r="N59" s="940"/>
      <c r="O59" s="940"/>
      <c r="P59" s="940"/>
      <c r="Q59" s="940"/>
      <c r="R59" s="449">
        <f t="shared" si="26"/>
        <v>0</v>
      </c>
      <c r="S59" s="1109"/>
      <c r="T59" s="1109"/>
      <c r="U59" s="1108"/>
    </row>
    <row r="60" spans="1:21" s="106" customFormat="1">
      <c r="A60" s="212" t="s">
        <v>1832</v>
      </c>
      <c r="B60" s="270">
        <f t="shared" si="24"/>
        <v>0</v>
      </c>
      <c r="C60" s="940"/>
      <c r="D60" s="940"/>
      <c r="E60" s="940">
        <f t="shared" si="25"/>
        <v>0</v>
      </c>
      <c r="F60" s="940"/>
      <c r="G60" s="940"/>
      <c r="H60" s="940"/>
      <c r="I60" s="940"/>
      <c r="J60" s="940"/>
      <c r="K60" s="940"/>
      <c r="L60" s="940"/>
      <c r="M60" s="940"/>
      <c r="N60" s="940"/>
      <c r="O60" s="940"/>
      <c r="P60" s="940"/>
      <c r="Q60" s="940"/>
      <c r="R60" s="449">
        <f t="shared" si="26"/>
        <v>0</v>
      </c>
      <c r="S60" s="1109"/>
      <c r="T60" s="1109"/>
      <c r="U60" s="1108"/>
    </row>
    <row r="61" spans="1:21" s="106" customFormat="1">
      <c r="A61" s="1110" t="s">
        <v>1813</v>
      </c>
      <c r="B61" s="270">
        <f t="shared" si="24"/>
        <v>0</v>
      </c>
      <c r="C61" s="940"/>
      <c r="D61" s="940"/>
      <c r="E61" s="940">
        <f t="shared" si="25"/>
        <v>0</v>
      </c>
      <c r="F61" s="940"/>
      <c r="G61" s="940"/>
      <c r="H61" s="940"/>
      <c r="I61" s="940"/>
      <c r="J61" s="940"/>
      <c r="K61" s="940"/>
      <c r="L61" s="940"/>
      <c r="M61" s="940"/>
      <c r="N61" s="940"/>
      <c r="O61" s="940"/>
      <c r="P61" s="940"/>
      <c r="Q61" s="940"/>
      <c r="R61" s="449">
        <f t="shared" si="26"/>
        <v>0</v>
      </c>
      <c r="S61" s="1109"/>
      <c r="T61" s="1109"/>
      <c r="U61" s="1108"/>
    </row>
    <row r="62" spans="1:21" s="106" customFormat="1" ht="13.7" customHeight="1">
      <c r="A62" s="107" t="s">
        <v>1836</v>
      </c>
      <c r="B62" s="270">
        <f>SUM(C62:D62)</f>
        <v>162500</v>
      </c>
      <c r="C62" s="270">
        <f t="shared" ref="C62:R62" si="27">SUM(C56:C61)</f>
        <v>162500</v>
      </c>
      <c r="D62" s="270">
        <f t="shared" si="27"/>
        <v>0</v>
      </c>
      <c r="E62" s="270">
        <f t="shared" si="27"/>
        <v>12500</v>
      </c>
      <c r="F62" s="270">
        <f t="shared" si="27"/>
        <v>150000</v>
      </c>
      <c r="G62" s="270">
        <f t="shared" si="27"/>
        <v>0</v>
      </c>
      <c r="H62" s="270">
        <f t="shared" si="27"/>
        <v>0</v>
      </c>
      <c r="I62" s="270">
        <f t="shared" si="27"/>
        <v>0</v>
      </c>
      <c r="J62" s="270">
        <f t="shared" si="27"/>
        <v>0</v>
      </c>
      <c r="K62" s="270">
        <f t="shared" si="27"/>
        <v>0</v>
      </c>
      <c r="L62" s="270">
        <f t="shared" si="27"/>
        <v>0</v>
      </c>
      <c r="M62" s="270">
        <f t="shared" si="27"/>
        <v>0</v>
      </c>
      <c r="N62" s="270">
        <f t="shared" si="27"/>
        <v>0</v>
      </c>
      <c r="O62" s="270">
        <f t="shared" si="27"/>
        <v>0</v>
      </c>
      <c r="P62" s="270">
        <f t="shared" si="27"/>
        <v>0</v>
      </c>
      <c r="Q62" s="270">
        <f t="shared" si="27"/>
        <v>0</v>
      </c>
      <c r="R62" s="270">
        <f t="shared" si="27"/>
        <v>162500</v>
      </c>
      <c r="S62" s="1109"/>
      <c r="T62" s="1109"/>
      <c r="U62" s="1108"/>
    </row>
    <row r="63" spans="1:21" s="106" customFormat="1">
      <c r="A63" s="111" t="s">
        <v>1837</v>
      </c>
      <c r="B63" s="270">
        <f t="shared" ref="B63:R63" si="28">SUM(B8+B11+B13+B14+B15+B26+B27+B38+B42+B43+B54+B62)</f>
        <v>34411432</v>
      </c>
      <c r="C63" s="270">
        <f t="shared" si="28"/>
        <v>34411432</v>
      </c>
      <c r="D63" s="270">
        <f t="shared" si="28"/>
        <v>0</v>
      </c>
      <c r="E63" s="270">
        <f t="shared" si="28"/>
        <v>14525937</v>
      </c>
      <c r="F63" s="270">
        <f t="shared" si="28"/>
        <v>17520095</v>
      </c>
      <c r="G63" s="270">
        <f t="shared" si="28"/>
        <v>0</v>
      </c>
      <c r="H63" s="270">
        <f t="shared" si="28"/>
        <v>2020000</v>
      </c>
      <c r="I63" s="270">
        <f t="shared" si="28"/>
        <v>234300</v>
      </c>
      <c r="J63" s="270">
        <f t="shared" si="28"/>
        <v>111100</v>
      </c>
      <c r="K63" s="270">
        <f t="shared" si="28"/>
        <v>0</v>
      </c>
      <c r="L63" s="270">
        <f t="shared" si="28"/>
        <v>0</v>
      </c>
      <c r="M63" s="270">
        <f t="shared" si="28"/>
        <v>0</v>
      </c>
      <c r="N63" s="270">
        <f t="shared" si="28"/>
        <v>0</v>
      </c>
      <c r="O63" s="270">
        <f t="shared" si="28"/>
        <v>0</v>
      </c>
      <c r="P63" s="270">
        <f t="shared" si="28"/>
        <v>0</v>
      </c>
      <c r="Q63" s="270">
        <f t="shared" si="28"/>
        <v>0</v>
      </c>
      <c r="R63" s="270">
        <f t="shared" si="28"/>
        <v>34411432</v>
      </c>
      <c r="S63" s="270">
        <f>SUM(S10+S13+S14+S15+S26+S27+S38+S42+S43+S54)</f>
        <v>28137414</v>
      </c>
      <c r="T63" s="270">
        <f>SUM(T11+T13+T14+T15+T26+T27+T38+T42+T43+T54)</f>
        <v>0</v>
      </c>
      <c r="U63" s="1108"/>
    </row>
    <row r="64" spans="1:21" s="106" customFormat="1" ht="24">
      <c r="A64" s="105" t="s">
        <v>1838</v>
      </c>
      <c r="B64" s="1107"/>
      <c r="C64" s="1107"/>
      <c r="D64" s="1107"/>
      <c r="E64" s="271"/>
      <c r="F64" s="271"/>
      <c r="G64" s="271"/>
      <c r="H64" s="271"/>
      <c r="I64" s="271"/>
      <c r="J64" s="271"/>
      <c r="K64" s="271"/>
      <c r="L64" s="271"/>
      <c r="M64" s="271"/>
      <c r="N64" s="271"/>
      <c r="O64" s="271"/>
      <c r="P64" s="271"/>
      <c r="Q64" s="271"/>
      <c r="R64" s="271"/>
      <c r="S64" s="1107"/>
      <c r="T64" s="1107"/>
      <c r="U64" s="1108"/>
    </row>
    <row r="65" spans="1:21" s="106" customFormat="1">
      <c r="A65" s="212" t="s">
        <v>1839</v>
      </c>
      <c r="B65" s="270">
        <f>SUM(C65+D65)</f>
        <v>374000</v>
      </c>
      <c r="C65" s="940">
        <v>374000</v>
      </c>
      <c r="D65" s="940"/>
      <c r="E65" s="940">
        <f t="shared" ref="E65:E69" si="29">C65-SUM(F65:Q65)</f>
        <v>100000</v>
      </c>
      <c r="F65" s="940">
        <v>274000</v>
      </c>
      <c r="G65" s="940"/>
      <c r="H65" s="940"/>
      <c r="I65" s="940"/>
      <c r="J65" s="940"/>
      <c r="K65" s="940"/>
      <c r="L65" s="940"/>
      <c r="M65" s="940"/>
      <c r="N65" s="940"/>
      <c r="O65" s="940"/>
      <c r="P65" s="940"/>
      <c r="Q65" s="940"/>
      <c r="R65" s="449">
        <f>SUM(E65:Q65)</f>
        <v>374000</v>
      </c>
      <c r="S65" s="940">
        <v>144000</v>
      </c>
      <c r="T65" s="940"/>
      <c r="U65" s="1108"/>
    </row>
    <row r="66" spans="1:21" s="106" customFormat="1" ht="24" customHeight="1">
      <c r="A66" s="212" t="s">
        <v>1840</v>
      </c>
      <c r="B66" s="270">
        <f t="shared" ref="B66:B69" si="30">SUM(C66+D66)</f>
        <v>300000</v>
      </c>
      <c r="C66" s="940">
        <v>300000</v>
      </c>
      <c r="D66" s="940"/>
      <c r="E66" s="940">
        <f t="shared" si="29"/>
        <v>100000</v>
      </c>
      <c r="F66" s="940">
        <v>200000</v>
      </c>
      <c r="G66" s="940"/>
      <c r="H66" s="940"/>
      <c r="I66" s="940"/>
      <c r="J66" s="940"/>
      <c r="K66" s="940"/>
      <c r="L66" s="940"/>
      <c r="M66" s="940"/>
      <c r="N66" s="940"/>
      <c r="O66" s="940"/>
      <c r="P66" s="940"/>
      <c r="Q66" s="940"/>
      <c r="R66" s="449">
        <f t="shared" ref="R66:R68" si="31">SUM(E66:Q66)</f>
        <v>300000</v>
      </c>
      <c r="S66" s="940">
        <f t="shared" ref="S66" si="32">R66</f>
        <v>300000</v>
      </c>
      <c r="T66" s="940"/>
      <c r="U66" s="1108"/>
    </row>
    <row r="67" spans="1:21" s="106" customFormat="1" ht="24" customHeight="1">
      <c r="A67" s="212" t="s">
        <v>1841</v>
      </c>
      <c r="B67" s="270">
        <f t="shared" si="30"/>
        <v>0</v>
      </c>
      <c r="C67" s="940"/>
      <c r="D67" s="940"/>
      <c r="E67" s="940">
        <f t="shared" si="29"/>
        <v>0</v>
      </c>
      <c r="F67" s="940"/>
      <c r="G67" s="940"/>
      <c r="H67" s="940"/>
      <c r="I67" s="940"/>
      <c r="J67" s="940"/>
      <c r="K67" s="940"/>
      <c r="L67" s="940"/>
      <c r="M67" s="940"/>
      <c r="N67" s="940"/>
      <c r="O67" s="940"/>
      <c r="P67" s="940"/>
      <c r="Q67" s="940"/>
      <c r="R67" s="449">
        <f t="shared" si="31"/>
        <v>0</v>
      </c>
      <c r="S67" s="940"/>
      <c r="T67" s="940"/>
      <c r="U67" s="1108"/>
    </row>
    <row r="68" spans="1:21" s="106" customFormat="1" ht="12" customHeight="1">
      <c r="A68" s="212" t="s">
        <v>1842</v>
      </c>
      <c r="B68" s="270">
        <f t="shared" si="30"/>
        <v>0</v>
      </c>
      <c r="C68" s="940"/>
      <c r="D68" s="940"/>
      <c r="E68" s="940">
        <f t="shared" si="29"/>
        <v>0</v>
      </c>
      <c r="F68" s="940"/>
      <c r="G68" s="940"/>
      <c r="H68" s="940"/>
      <c r="I68" s="940"/>
      <c r="J68" s="940"/>
      <c r="K68" s="940"/>
      <c r="L68" s="940"/>
      <c r="M68" s="940"/>
      <c r="N68" s="940"/>
      <c r="O68" s="940"/>
      <c r="P68" s="940"/>
      <c r="Q68" s="940"/>
      <c r="R68" s="449">
        <f t="shared" si="31"/>
        <v>0</v>
      </c>
      <c r="S68" s="940"/>
      <c r="T68" s="940"/>
      <c r="U68" s="1108"/>
    </row>
    <row r="69" spans="1:21" s="106" customFormat="1">
      <c r="A69" s="1110" t="s">
        <v>1813</v>
      </c>
      <c r="B69" s="270">
        <f t="shared" si="30"/>
        <v>0</v>
      </c>
      <c r="C69" s="940"/>
      <c r="D69" s="940"/>
      <c r="E69" s="940">
        <f t="shared" si="29"/>
        <v>0</v>
      </c>
      <c r="F69" s="940"/>
      <c r="G69" s="940"/>
      <c r="H69" s="940"/>
      <c r="I69" s="940"/>
      <c r="J69" s="940"/>
      <c r="K69" s="940"/>
      <c r="L69" s="940"/>
      <c r="M69" s="940"/>
      <c r="N69" s="940"/>
      <c r="O69" s="940"/>
      <c r="P69" s="940"/>
      <c r="Q69" s="940"/>
      <c r="R69" s="449">
        <f>SUM(E69:Q69)</f>
        <v>0</v>
      </c>
      <c r="S69" s="940"/>
      <c r="T69" s="940"/>
      <c r="U69" s="1108"/>
    </row>
    <row r="70" spans="1:21" s="106" customFormat="1">
      <c r="A70" s="107" t="s">
        <v>1843</v>
      </c>
      <c r="B70" s="270">
        <f>SUM(C70:D70)</f>
        <v>674000</v>
      </c>
      <c r="C70" s="270">
        <f>SUM(C65:C69)</f>
        <v>674000</v>
      </c>
      <c r="D70" s="270">
        <f>SUM(D65:D69)</f>
        <v>0</v>
      </c>
      <c r="E70" s="270">
        <f t="shared" ref="E70:T70" si="33">SUM(E65:E69)</f>
        <v>200000</v>
      </c>
      <c r="F70" s="270">
        <f t="shared" si="33"/>
        <v>474000</v>
      </c>
      <c r="G70" s="270">
        <f t="shared" si="33"/>
        <v>0</v>
      </c>
      <c r="H70" s="270">
        <f t="shared" si="33"/>
        <v>0</v>
      </c>
      <c r="I70" s="270">
        <f t="shared" si="33"/>
        <v>0</v>
      </c>
      <c r="J70" s="270">
        <f t="shared" si="33"/>
        <v>0</v>
      </c>
      <c r="K70" s="270">
        <f t="shared" si="33"/>
        <v>0</v>
      </c>
      <c r="L70" s="270">
        <f t="shared" si="33"/>
        <v>0</v>
      </c>
      <c r="M70" s="270">
        <f t="shared" si="33"/>
        <v>0</v>
      </c>
      <c r="N70" s="270">
        <f t="shared" si="33"/>
        <v>0</v>
      </c>
      <c r="O70" s="270">
        <f t="shared" si="33"/>
        <v>0</v>
      </c>
      <c r="P70" s="270">
        <f t="shared" si="33"/>
        <v>0</v>
      </c>
      <c r="Q70" s="270">
        <f t="shared" si="33"/>
        <v>0</v>
      </c>
      <c r="R70" s="270">
        <f t="shared" si="33"/>
        <v>674000</v>
      </c>
      <c r="S70" s="108">
        <f t="shared" si="33"/>
        <v>444000</v>
      </c>
      <c r="T70" s="108">
        <f t="shared" si="33"/>
        <v>0</v>
      </c>
      <c r="U70" s="1108"/>
    </row>
    <row r="71" spans="1:21" s="106" customFormat="1">
      <c r="A71" s="105" t="s">
        <v>1844</v>
      </c>
      <c r="B71" s="271"/>
      <c r="C71" s="271"/>
      <c r="D71" s="271"/>
      <c r="E71" s="271"/>
      <c r="F71" s="271"/>
      <c r="G71" s="271"/>
      <c r="H71" s="271"/>
      <c r="I71" s="271"/>
      <c r="J71" s="271"/>
      <c r="K71" s="271"/>
      <c r="L71" s="271"/>
      <c r="M71" s="271"/>
      <c r="N71" s="271"/>
      <c r="O71" s="271"/>
      <c r="P71" s="271"/>
      <c r="Q71" s="271"/>
      <c r="R71" s="271"/>
      <c r="S71" s="271"/>
      <c r="T71" s="271"/>
      <c r="U71" s="1108"/>
    </row>
    <row r="72" spans="1:21" s="106" customFormat="1">
      <c r="A72" s="212" t="s">
        <v>1845</v>
      </c>
      <c r="B72" s="270">
        <f>SUM(C72+D72)</f>
        <v>0</v>
      </c>
      <c r="C72" s="940"/>
      <c r="D72" s="940"/>
      <c r="E72" s="940">
        <f t="shared" ref="E72:E76" si="34">C72-SUM(F72:Q72)</f>
        <v>0</v>
      </c>
      <c r="F72" s="940"/>
      <c r="G72" s="940"/>
      <c r="H72" s="940"/>
      <c r="I72" s="940"/>
      <c r="J72" s="940"/>
      <c r="K72" s="940"/>
      <c r="L72" s="940"/>
      <c r="M72" s="940"/>
      <c r="N72" s="940"/>
      <c r="O72" s="940"/>
      <c r="P72" s="940"/>
      <c r="Q72" s="940"/>
      <c r="R72" s="449">
        <f>SUM(E72:Q72)</f>
        <v>0</v>
      </c>
      <c r="S72" s="1109"/>
      <c r="T72" s="1109"/>
      <c r="U72" s="1108"/>
    </row>
    <row r="73" spans="1:21" s="106" customFormat="1">
      <c r="A73" s="212" t="s">
        <v>1846</v>
      </c>
      <c r="B73" s="270">
        <f>SUM(C73+D73)</f>
        <v>0</v>
      </c>
      <c r="C73" s="940"/>
      <c r="D73" s="940"/>
      <c r="E73" s="940">
        <f t="shared" si="34"/>
        <v>0</v>
      </c>
      <c r="F73" s="940"/>
      <c r="G73" s="940"/>
      <c r="H73" s="940"/>
      <c r="I73" s="940"/>
      <c r="J73" s="940"/>
      <c r="K73" s="940"/>
      <c r="L73" s="940"/>
      <c r="M73" s="940"/>
      <c r="N73" s="940"/>
      <c r="O73" s="940"/>
      <c r="P73" s="940"/>
      <c r="Q73" s="940"/>
      <c r="R73" s="449">
        <f>SUM(E73:Q73)</f>
        <v>0</v>
      </c>
      <c r="S73" s="1109"/>
      <c r="T73" s="1109"/>
      <c r="U73" s="1108"/>
    </row>
    <row r="74" spans="1:21" s="106" customFormat="1">
      <c r="A74" s="385" t="s">
        <v>1847</v>
      </c>
      <c r="B74" s="270">
        <f>SUM(C74+D74)</f>
        <v>0</v>
      </c>
      <c r="C74" s="940"/>
      <c r="D74" s="940"/>
      <c r="E74" s="940">
        <f t="shared" si="34"/>
        <v>0</v>
      </c>
      <c r="F74" s="940"/>
      <c r="G74" s="940"/>
      <c r="H74" s="940"/>
      <c r="I74" s="940"/>
      <c r="J74" s="940"/>
      <c r="K74" s="940"/>
      <c r="L74" s="940"/>
      <c r="M74" s="940"/>
      <c r="N74" s="940"/>
      <c r="O74" s="940"/>
      <c r="P74" s="940"/>
      <c r="Q74" s="940"/>
      <c r="R74" s="449">
        <f>SUM(E74:Q74)</f>
        <v>0</v>
      </c>
      <c r="S74" s="1109"/>
      <c r="T74" s="1109"/>
      <c r="U74" s="1108"/>
    </row>
    <row r="75" spans="1:21" s="106" customFormat="1">
      <c r="A75" s="212" t="s">
        <v>1848</v>
      </c>
      <c r="B75" s="270">
        <f>SUM(C75+D75)</f>
        <v>452479</v>
      </c>
      <c r="C75" s="940">
        <v>452479</v>
      </c>
      <c r="D75" s="940"/>
      <c r="E75" s="940">
        <f t="shared" si="34"/>
        <v>452479</v>
      </c>
      <c r="F75" s="940"/>
      <c r="G75" s="940"/>
      <c r="H75" s="940"/>
      <c r="I75" s="940"/>
      <c r="J75" s="940"/>
      <c r="K75" s="940"/>
      <c r="L75" s="940"/>
      <c r="M75" s="940"/>
      <c r="N75" s="940"/>
      <c r="O75" s="940"/>
      <c r="P75" s="940"/>
      <c r="Q75" s="940"/>
      <c r="R75" s="449">
        <f>SUM(E75:Q75)</f>
        <v>452479</v>
      </c>
      <c r="S75" s="1109"/>
      <c r="T75" s="1109"/>
      <c r="U75" s="1108"/>
    </row>
    <row r="76" spans="1:21" s="106" customFormat="1">
      <c r="A76" s="1110" t="s">
        <v>1813</v>
      </c>
      <c r="B76" s="270">
        <f>SUM(C76+D76)</f>
        <v>0</v>
      </c>
      <c r="C76" s="940"/>
      <c r="D76" s="940"/>
      <c r="E76" s="940">
        <f t="shared" si="34"/>
        <v>0</v>
      </c>
      <c r="F76" s="940"/>
      <c r="G76" s="940"/>
      <c r="H76" s="940"/>
      <c r="I76" s="940"/>
      <c r="J76" s="940"/>
      <c r="K76" s="940"/>
      <c r="L76" s="940"/>
      <c r="M76" s="940"/>
      <c r="N76" s="940"/>
      <c r="O76" s="940"/>
      <c r="P76" s="940"/>
      <c r="Q76" s="940"/>
      <c r="R76" s="449">
        <f>SUM(E76:Q76)</f>
        <v>0</v>
      </c>
      <c r="S76" s="1109"/>
      <c r="T76" s="1109"/>
      <c r="U76" s="1108"/>
    </row>
    <row r="77" spans="1:21" s="106" customFormat="1">
      <c r="A77" s="107" t="s">
        <v>1849</v>
      </c>
      <c r="B77" s="270">
        <f>SUM(C77:D77)</f>
        <v>452479</v>
      </c>
      <c r="C77" s="270">
        <f>SUM(C72:C76)</f>
        <v>452479</v>
      </c>
      <c r="D77" s="270">
        <f>SUM(D72:D76)</f>
        <v>0</v>
      </c>
      <c r="E77" s="270">
        <f t="shared" ref="E77:Q77" si="35">SUM(E72:E76)</f>
        <v>452479</v>
      </c>
      <c r="F77" s="270">
        <f t="shared" si="35"/>
        <v>0</v>
      </c>
      <c r="G77" s="270">
        <f t="shared" si="35"/>
        <v>0</v>
      </c>
      <c r="H77" s="270">
        <f t="shared" si="35"/>
        <v>0</v>
      </c>
      <c r="I77" s="270">
        <f t="shared" si="35"/>
        <v>0</v>
      </c>
      <c r="J77" s="270">
        <f t="shared" si="35"/>
        <v>0</v>
      </c>
      <c r="K77" s="270">
        <f t="shared" si="35"/>
        <v>0</v>
      </c>
      <c r="L77" s="270">
        <f t="shared" si="35"/>
        <v>0</v>
      </c>
      <c r="M77" s="270">
        <f t="shared" si="35"/>
        <v>0</v>
      </c>
      <c r="N77" s="270">
        <f t="shared" si="35"/>
        <v>0</v>
      </c>
      <c r="O77" s="270">
        <f t="shared" si="35"/>
        <v>0</v>
      </c>
      <c r="P77" s="270">
        <f t="shared" si="35"/>
        <v>0</v>
      </c>
      <c r="Q77" s="270">
        <f t="shared" si="35"/>
        <v>0</v>
      </c>
      <c r="R77" s="270">
        <f>SUM(R72:R76)</f>
        <v>452479</v>
      </c>
      <c r="S77" s="1109"/>
      <c r="T77" s="1109"/>
      <c r="U77" s="1108"/>
    </row>
    <row r="78" spans="1:21" s="106" customFormat="1">
      <c r="A78" s="105" t="s">
        <v>1850</v>
      </c>
      <c r="B78" s="271"/>
      <c r="C78" s="271"/>
      <c r="D78" s="271"/>
      <c r="E78" s="271"/>
      <c r="F78" s="271"/>
      <c r="G78" s="271"/>
      <c r="H78" s="271"/>
      <c r="I78" s="271"/>
      <c r="J78" s="271"/>
      <c r="K78" s="271"/>
      <c r="L78" s="271"/>
      <c r="M78" s="271"/>
      <c r="N78" s="271"/>
      <c r="O78" s="271"/>
      <c r="P78" s="271"/>
      <c r="Q78" s="271"/>
      <c r="R78" s="271"/>
      <c r="S78" s="271"/>
      <c r="T78" s="271"/>
      <c r="U78" s="1108"/>
    </row>
    <row r="79" spans="1:21" s="106" customFormat="1">
      <c r="A79" s="212" t="s">
        <v>1851</v>
      </c>
      <c r="B79" s="270">
        <f>SUM(C79:D79)</f>
        <v>1182930</v>
      </c>
      <c r="C79" s="940">
        <v>1182930</v>
      </c>
      <c r="D79" s="940"/>
      <c r="E79" s="940">
        <f t="shared" ref="E79:E80" si="36">C79-SUM(F79:Q79)</f>
        <v>1182930</v>
      </c>
      <c r="F79" s="940"/>
      <c r="G79" s="940"/>
      <c r="H79" s="940"/>
      <c r="I79" s="940"/>
      <c r="J79" s="940"/>
      <c r="K79" s="940"/>
      <c r="L79" s="940"/>
      <c r="M79" s="940"/>
      <c r="N79" s="940"/>
      <c r="O79" s="940"/>
      <c r="P79" s="940"/>
      <c r="Q79" s="940"/>
      <c r="R79" s="449">
        <f>SUM(E79:Q79)</f>
        <v>1182930</v>
      </c>
      <c r="S79" s="940">
        <f t="shared" ref="S79:S80" si="37">R79</f>
        <v>1182930</v>
      </c>
      <c r="T79" s="940"/>
      <c r="U79" s="1108"/>
    </row>
    <row r="80" spans="1:21" s="106" customFormat="1">
      <c r="A80" s="212" t="s">
        <v>1852</v>
      </c>
      <c r="B80" s="270">
        <f>SUM(C80:D80)</f>
        <v>352365</v>
      </c>
      <c r="C80" s="940">
        <v>352365</v>
      </c>
      <c r="D80" s="940"/>
      <c r="E80" s="940">
        <f t="shared" si="36"/>
        <v>352365</v>
      </c>
      <c r="F80" s="940"/>
      <c r="G80" s="940"/>
      <c r="H80" s="940"/>
      <c r="I80" s="940"/>
      <c r="J80" s="940"/>
      <c r="K80" s="940"/>
      <c r="L80" s="940"/>
      <c r="M80" s="940"/>
      <c r="N80" s="940"/>
      <c r="O80" s="940"/>
      <c r="P80" s="940"/>
      <c r="Q80" s="940"/>
      <c r="R80" s="449">
        <f>SUM(E80:Q80)</f>
        <v>352365</v>
      </c>
      <c r="S80" s="940">
        <f t="shared" si="37"/>
        <v>352365</v>
      </c>
      <c r="T80" s="940"/>
      <c r="U80" s="1108"/>
    </row>
    <row r="81" spans="1:21" s="106" customFormat="1">
      <c r="A81" s="107" t="s">
        <v>1853</v>
      </c>
      <c r="B81" s="270">
        <f>SUM(C81:D81)</f>
        <v>1535295</v>
      </c>
      <c r="C81" s="1116">
        <f>SUM(C79:C80)</f>
        <v>1535295</v>
      </c>
      <c r="D81" s="1116">
        <f t="shared" ref="D81:T81" si="38">SUM(D79:D80)</f>
        <v>0</v>
      </c>
      <c r="E81" s="1116">
        <f t="shared" si="38"/>
        <v>1535295</v>
      </c>
      <c r="F81" s="1116">
        <f t="shared" si="38"/>
        <v>0</v>
      </c>
      <c r="G81" s="1116">
        <f t="shared" si="38"/>
        <v>0</v>
      </c>
      <c r="H81" s="1116">
        <f t="shared" si="38"/>
        <v>0</v>
      </c>
      <c r="I81" s="1116">
        <f t="shared" si="38"/>
        <v>0</v>
      </c>
      <c r="J81" s="1116">
        <f t="shared" si="38"/>
        <v>0</v>
      </c>
      <c r="K81" s="1116">
        <f t="shared" si="38"/>
        <v>0</v>
      </c>
      <c r="L81" s="1116">
        <f t="shared" si="38"/>
        <v>0</v>
      </c>
      <c r="M81" s="1116">
        <f t="shared" si="38"/>
        <v>0</v>
      </c>
      <c r="N81" s="1116">
        <f t="shared" si="38"/>
        <v>0</v>
      </c>
      <c r="O81" s="1116">
        <f t="shared" si="38"/>
        <v>0</v>
      </c>
      <c r="P81" s="1116">
        <f t="shared" si="38"/>
        <v>0</v>
      </c>
      <c r="Q81" s="1116">
        <f t="shared" si="38"/>
        <v>0</v>
      </c>
      <c r="R81" s="1116">
        <f t="shared" si="38"/>
        <v>1535295</v>
      </c>
      <c r="S81" s="1116">
        <f t="shared" si="38"/>
        <v>1535295</v>
      </c>
      <c r="T81" s="1116">
        <f t="shared" si="38"/>
        <v>0</v>
      </c>
      <c r="U81" s="1108"/>
    </row>
    <row r="82" spans="1:21" s="106" customFormat="1">
      <c r="A82" s="105" t="s">
        <v>1854</v>
      </c>
      <c r="B82" s="271"/>
      <c r="C82" s="271"/>
      <c r="D82" s="271"/>
      <c r="E82" s="271"/>
      <c r="F82" s="271"/>
      <c r="G82" s="271"/>
      <c r="H82" s="271"/>
      <c r="I82" s="271"/>
      <c r="J82" s="271"/>
      <c r="K82" s="271"/>
      <c r="L82" s="271"/>
      <c r="M82" s="271"/>
      <c r="N82" s="271"/>
      <c r="O82" s="271"/>
      <c r="P82" s="271"/>
      <c r="Q82" s="271"/>
      <c r="R82" s="271"/>
      <c r="S82" s="271"/>
      <c r="T82" s="271"/>
      <c r="U82" s="1108"/>
    </row>
    <row r="83" spans="1:21" s="106" customFormat="1" ht="13.7" customHeight="1">
      <c r="A83" s="212" t="s">
        <v>1855</v>
      </c>
      <c r="B83" s="270">
        <f t="shared" ref="B83:B95" si="39">SUM(C83+D83)</f>
        <v>142302</v>
      </c>
      <c r="C83" s="940">
        <v>142302</v>
      </c>
      <c r="D83" s="940"/>
      <c r="E83" s="940">
        <f t="shared" ref="E83:E95" si="40">C83-SUM(F83:Q83)</f>
        <v>67302</v>
      </c>
      <c r="F83" s="940">
        <v>75000</v>
      </c>
      <c r="G83" s="940"/>
      <c r="H83" s="940"/>
      <c r="I83" s="940"/>
      <c r="J83" s="940"/>
      <c r="K83" s="940"/>
      <c r="L83" s="940"/>
      <c r="M83" s="940"/>
      <c r="N83" s="940"/>
      <c r="O83" s="940"/>
      <c r="P83" s="940"/>
      <c r="Q83" s="940"/>
      <c r="R83" s="449">
        <f t="shared" ref="R83:R95" si="41">SUM(E83:Q83)</f>
        <v>142302</v>
      </c>
      <c r="S83" s="1109"/>
      <c r="T83" s="1109"/>
      <c r="U83" s="1108"/>
    </row>
    <row r="84" spans="1:21" s="106" customFormat="1">
      <c r="A84" s="212" t="s">
        <v>1856</v>
      </c>
      <c r="B84" s="270">
        <f t="shared" si="39"/>
        <v>20000</v>
      </c>
      <c r="C84" s="940">
        <v>20000</v>
      </c>
      <c r="D84" s="940"/>
      <c r="E84" s="940">
        <f t="shared" si="40"/>
        <v>20000</v>
      </c>
      <c r="F84" s="940"/>
      <c r="G84" s="940"/>
      <c r="H84" s="940"/>
      <c r="I84" s="940"/>
      <c r="J84" s="940"/>
      <c r="K84" s="940"/>
      <c r="L84" s="940"/>
      <c r="M84" s="940"/>
      <c r="N84" s="940"/>
      <c r="O84" s="940"/>
      <c r="P84" s="940"/>
      <c r="Q84" s="940"/>
      <c r="R84" s="449">
        <f t="shared" si="41"/>
        <v>20000</v>
      </c>
      <c r="S84" s="940">
        <f t="shared" ref="S84:S86" si="42">R84</f>
        <v>20000</v>
      </c>
      <c r="T84" s="940"/>
      <c r="U84" s="1108"/>
    </row>
    <row r="85" spans="1:21" s="106" customFormat="1">
      <c r="A85" s="212" t="s">
        <v>1857</v>
      </c>
      <c r="B85" s="270">
        <f t="shared" si="39"/>
        <v>5025667</v>
      </c>
      <c r="C85" s="940">
        <v>5025667</v>
      </c>
      <c r="D85" s="940"/>
      <c r="E85" s="940">
        <f t="shared" si="40"/>
        <v>525667</v>
      </c>
      <c r="F85" s="940">
        <v>4500000</v>
      </c>
      <c r="G85" s="940"/>
      <c r="H85" s="940"/>
      <c r="I85" s="940"/>
      <c r="J85" s="940"/>
      <c r="K85" s="940"/>
      <c r="L85" s="940"/>
      <c r="M85" s="940"/>
      <c r="N85" s="940"/>
      <c r="O85" s="940"/>
      <c r="P85" s="940"/>
      <c r="Q85" s="940"/>
      <c r="R85" s="449">
        <f t="shared" si="41"/>
        <v>5025667</v>
      </c>
      <c r="S85" s="940">
        <f t="shared" si="42"/>
        <v>5025667</v>
      </c>
      <c r="T85" s="940"/>
      <c r="U85" s="1108"/>
    </row>
    <row r="86" spans="1:21" s="106" customFormat="1">
      <c r="A86" s="212" t="s">
        <v>1858</v>
      </c>
      <c r="B86" s="270">
        <f t="shared" si="39"/>
        <v>248851</v>
      </c>
      <c r="C86" s="940">
        <v>248851</v>
      </c>
      <c r="D86" s="940"/>
      <c r="E86" s="940">
        <f t="shared" si="40"/>
        <v>98851</v>
      </c>
      <c r="F86" s="940">
        <v>150000</v>
      </c>
      <c r="G86" s="940"/>
      <c r="H86" s="940"/>
      <c r="I86" s="940"/>
      <c r="J86" s="940"/>
      <c r="K86" s="940"/>
      <c r="L86" s="940"/>
      <c r="M86" s="940"/>
      <c r="N86" s="940"/>
      <c r="O86" s="940"/>
      <c r="P86" s="940"/>
      <c r="Q86" s="940"/>
      <c r="R86" s="449">
        <f t="shared" si="41"/>
        <v>248851</v>
      </c>
      <c r="S86" s="940">
        <f t="shared" si="42"/>
        <v>248851</v>
      </c>
      <c r="T86" s="940"/>
      <c r="U86" s="1108"/>
    </row>
    <row r="87" spans="1:21" s="106" customFormat="1">
      <c r="A87" s="212" t="s">
        <v>1859</v>
      </c>
      <c r="B87" s="270">
        <f t="shared" si="39"/>
        <v>0</v>
      </c>
      <c r="C87" s="940"/>
      <c r="D87" s="940"/>
      <c r="E87" s="940">
        <f t="shared" si="40"/>
        <v>0</v>
      </c>
      <c r="F87" s="940"/>
      <c r="G87" s="940"/>
      <c r="H87" s="940"/>
      <c r="I87" s="940"/>
      <c r="J87" s="940"/>
      <c r="K87" s="940"/>
      <c r="L87" s="940"/>
      <c r="M87" s="940"/>
      <c r="N87" s="940"/>
      <c r="O87" s="940"/>
      <c r="P87" s="940"/>
      <c r="Q87" s="940"/>
      <c r="R87" s="449">
        <f t="shared" si="41"/>
        <v>0</v>
      </c>
      <c r="S87" s="940"/>
      <c r="T87" s="940"/>
      <c r="U87" s="1108"/>
    </row>
    <row r="88" spans="1:21" s="106" customFormat="1">
      <c r="A88" s="212" t="s">
        <v>1860</v>
      </c>
      <c r="B88" s="270">
        <f t="shared" si="39"/>
        <v>150000</v>
      </c>
      <c r="C88" s="940">
        <v>150000</v>
      </c>
      <c r="D88" s="940"/>
      <c r="E88" s="940">
        <f t="shared" si="40"/>
        <v>0</v>
      </c>
      <c r="F88" s="940">
        <v>150000</v>
      </c>
      <c r="G88" s="940"/>
      <c r="H88" s="940"/>
      <c r="I88" s="940"/>
      <c r="J88" s="940"/>
      <c r="K88" s="940"/>
      <c r="L88" s="940"/>
      <c r="M88" s="940"/>
      <c r="N88" s="940"/>
      <c r="O88" s="940"/>
      <c r="P88" s="940"/>
      <c r="Q88" s="940"/>
      <c r="R88" s="449">
        <f t="shared" si="41"/>
        <v>150000</v>
      </c>
      <c r="S88" s="1109"/>
      <c r="T88" s="1109"/>
      <c r="U88" s="1108"/>
    </row>
    <row r="89" spans="1:21" s="106" customFormat="1">
      <c r="A89" s="212" t="s">
        <v>1861</v>
      </c>
      <c r="B89" s="270">
        <f t="shared" si="39"/>
        <v>20000</v>
      </c>
      <c r="C89" s="940">
        <v>20000</v>
      </c>
      <c r="D89" s="940"/>
      <c r="E89" s="940">
        <f t="shared" si="40"/>
        <v>20000</v>
      </c>
      <c r="F89" s="940"/>
      <c r="G89" s="940"/>
      <c r="H89" s="940"/>
      <c r="I89" s="940"/>
      <c r="J89" s="940"/>
      <c r="K89" s="940"/>
      <c r="L89" s="940"/>
      <c r="M89" s="940"/>
      <c r="N89" s="940"/>
      <c r="O89" s="940"/>
      <c r="P89" s="940"/>
      <c r="Q89" s="940"/>
      <c r="R89" s="449">
        <f t="shared" si="41"/>
        <v>20000</v>
      </c>
      <c r="S89" s="940">
        <f t="shared" ref="S89:S92" si="43">R89</f>
        <v>20000</v>
      </c>
      <c r="T89" s="940"/>
      <c r="U89" s="1108"/>
    </row>
    <row r="90" spans="1:21" s="106" customFormat="1">
      <c r="A90" s="212" t="s">
        <v>1862</v>
      </c>
      <c r="B90" s="270">
        <f t="shared" si="39"/>
        <v>10000</v>
      </c>
      <c r="C90" s="940">
        <v>10000</v>
      </c>
      <c r="D90" s="940"/>
      <c r="E90" s="940">
        <f t="shared" si="40"/>
        <v>10000</v>
      </c>
      <c r="F90" s="940"/>
      <c r="G90" s="940"/>
      <c r="H90" s="940"/>
      <c r="I90" s="940"/>
      <c r="J90" s="940"/>
      <c r="K90" s="940"/>
      <c r="L90" s="940"/>
      <c r="M90" s="940"/>
      <c r="N90" s="940"/>
      <c r="O90" s="940"/>
      <c r="P90" s="940"/>
      <c r="Q90" s="940"/>
      <c r="R90" s="449">
        <f t="shared" si="41"/>
        <v>10000</v>
      </c>
      <c r="S90" s="940">
        <v>5000</v>
      </c>
      <c r="T90" s="940"/>
      <c r="U90" s="1108"/>
    </row>
    <row r="91" spans="1:21" s="106" customFormat="1">
      <c r="A91" s="212" t="s">
        <v>1863</v>
      </c>
      <c r="B91" s="270">
        <f t="shared" si="39"/>
        <v>65000</v>
      </c>
      <c r="C91" s="940">
        <v>65000</v>
      </c>
      <c r="D91" s="940"/>
      <c r="E91" s="940">
        <f t="shared" si="40"/>
        <v>0</v>
      </c>
      <c r="F91" s="940">
        <v>65000</v>
      </c>
      <c r="G91" s="940"/>
      <c r="H91" s="940"/>
      <c r="I91" s="940"/>
      <c r="J91" s="940"/>
      <c r="K91" s="940"/>
      <c r="L91" s="940"/>
      <c r="M91" s="940"/>
      <c r="N91" s="940"/>
      <c r="O91" s="940"/>
      <c r="P91" s="940"/>
      <c r="Q91" s="940"/>
      <c r="R91" s="449">
        <f t="shared" si="41"/>
        <v>65000</v>
      </c>
      <c r="S91" s="940"/>
      <c r="T91" s="940"/>
      <c r="U91" s="1108"/>
    </row>
    <row r="92" spans="1:21" s="106" customFormat="1">
      <c r="A92" s="212" t="s">
        <v>1864</v>
      </c>
      <c r="B92" s="270">
        <f t="shared" si="39"/>
        <v>15000</v>
      </c>
      <c r="C92" s="940">
        <v>15000</v>
      </c>
      <c r="D92" s="940"/>
      <c r="E92" s="940">
        <f t="shared" si="40"/>
        <v>15000</v>
      </c>
      <c r="F92" s="940"/>
      <c r="G92" s="940"/>
      <c r="H92" s="940"/>
      <c r="I92" s="940"/>
      <c r="J92" s="940"/>
      <c r="K92" s="940"/>
      <c r="L92" s="940"/>
      <c r="M92" s="940"/>
      <c r="N92" s="940"/>
      <c r="O92" s="940"/>
      <c r="P92" s="940"/>
      <c r="Q92" s="940"/>
      <c r="R92" s="449">
        <f t="shared" si="41"/>
        <v>15000</v>
      </c>
      <c r="S92" s="940">
        <f t="shared" si="43"/>
        <v>15000</v>
      </c>
      <c r="T92" s="940"/>
      <c r="U92" s="1108"/>
    </row>
    <row r="93" spans="1:21" s="106" customFormat="1">
      <c r="A93" s="1110" t="s">
        <v>1865</v>
      </c>
      <c r="B93" s="270">
        <f t="shared" si="39"/>
        <v>30000</v>
      </c>
      <c r="C93" s="940">
        <v>30000</v>
      </c>
      <c r="D93" s="940"/>
      <c r="E93" s="940">
        <f t="shared" si="40"/>
        <v>30000</v>
      </c>
      <c r="F93" s="940"/>
      <c r="G93" s="940"/>
      <c r="H93" s="940"/>
      <c r="I93" s="940"/>
      <c r="J93" s="940"/>
      <c r="K93" s="940"/>
      <c r="L93" s="940"/>
      <c r="M93" s="940"/>
      <c r="N93" s="940"/>
      <c r="O93" s="940"/>
      <c r="P93" s="940"/>
      <c r="Q93" s="940"/>
      <c r="R93" s="449">
        <f t="shared" si="41"/>
        <v>30000</v>
      </c>
      <c r="S93" s="940"/>
      <c r="T93" s="940"/>
      <c r="U93" s="1108"/>
    </row>
    <row r="94" spans="1:21" s="106" customFormat="1">
      <c r="A94" s="1110" t="s">
        <v>1813</v>
      </c>
      <c r="B94" s="270">
        <f t="shared" si="39"/>
        <v>0</v>
      </c>
      <c r="C94" s="940"/>
      <c r="D94" s="940"/>
      <c r="E94" s="940">
        <f t="shared" si="40"/>
        <v>0</v>
      </c>
      <c r="F94" s="940"/>
      <c r="G94" s="940"/>
      <c r="H94" s="940"/>
      <c r="I94" s="940"/>
      <c r="J94" s="940"/>
      <c r="K94" s="940"/>
      <c r="L94" s="940"/>
      <c r="M94" s="940"/>
      <c r="N94" s="940"/>
      <c r="O94" s="940"/>
      <c r="P94" s="940"/>
      <c r="Q94" s="940"/>
      <c r="R94" s="449">
        <f t="shared" si="41"/>
        <v>0</v>
      </c>
      <c r="S94" s="940"/>
      <c r="T94" s="940"/>
      <c r="U94" s="1108"/>
    </row>
    <row r="95" spans="1:21" s="106" customFormat="1">
      <c r="A95" s="1110" t="s">
        <v>1813</v>
      </c>
      <c r="B95" s="270">
        <f t="shared" si="39"/>
        <v>0</v>
      </c>
      <c r="C95" s="940"/>
      <c r="D95" s="940"/>
      <c r="E95" s="940">
        <f t="shared" si="40"/>
        <v>0</v>
      </c>
      <c r="F95" s="940"/>
      <c r="G95" s="940"/>
      <c r="H95" s="940"/>
      <c r="I95" s="940"/>
      <c r="J95" s="940"/>
      <c r="K95" s="940"/>
      <c r="L95" s="940"/>
      <c r="M95" s="940"/>
      <c r="N95" s="940"/>
      <c r="O95" s="940"/>
      <c r="P95" s="940"/>
      <c r="Q95" s="940"/>
      <c r="R95" s="449">
        <f t="shared" si="41"/>
        <v>0</v>
      </c>
      <c r="S95" s="940"/>
      <c r="T95" s="940"/>
      <c r="U95" s="1108"/>
    </row>
    <row r="96" spans="1:21" s="106" customFormat="1">
      <c r="A96" s="107" t="s">
        <v>1866</v>
      </c>
      <c r="B96" s="270">
        <f>SUM(C96:D96)</f>
        <v>5726820</v>
      </c>
      <c r="C96" s="270">
        <f t="shared" ref="C96:R96" si="44">SUM(C83:C95)</f>
        <v>5726820</v>
      </c>
      <c r="D96" s="270">
        <f t="shared" si="44"/>
        <v>0</v>
      </c>
      <c r="E96" s="270">
        <f t="shared" si="44"/>
        <v>786820</v>
      </c>
      <c r="F96" s="270">
        <f t="shared" si="44"/>
        <v>4940000</v>
      </c>
      <c r="G96" s="270">
        <f t="shared" si="44"/>
        <v>0</v>
      </c>
      <c r="H96" s="270">
        <f t="shared" si="44"/>
        <v>0</v>
      </c>
      <c r="I96" s="270">
        <f t="shared" si="44"/>
        <v>0</v>
      </c>
      <c r="J96" s="270">
        <f t="shared" si="44"/>
        <v>0</v>
      </c>
      <c r="K96" s="270">
        <f t="shared" si="44"/>
        <v>0</v>
      </c>
      <c r="L96" s="270">
        <f t="shared" si="44"/>
        <v>0</v>
      </c>
      <c r="M96" s="270">
        <f t="shared" si="44"/>
        <v>0</v>
      </c>
      <c r="N96" s="270">
        <f t="shared" si="44"/>
        <v>0</v>
      </c>
      <c r="O96" s="270">
        <f t="shared" si="44"/>
        <v>0</v>
      </c>
      <c r="P96" s="270">
        <f t="shared" si="44"/>
        <v>0</v>
      </c>
      <c r="Q96" s="270">
        <f t="shared" si="44"/>
        <v>0</v>
      </c>
      <c r="R96" s="270">
        <f t="shared" si="44"/>
        <v>5726820</v>
      </c>
      <c r="S96" s="108">
        <f>SUM(S84:S87,S89:S95)</f>
        <v>5334518</v>
      </c>
      <c r="T96" s="270">
        <f>SUM(T84:T87,T89:T95)</f>
        <v>0</v>
      </c>
      <c r="U96" s="1108"/>
    </row>
    <row r="97" spans="1:21" s="106" customFormat="1">
      <c r="A97" s="107" t="s">
        <v>1867</v>
      </c>
      <c r="B97" s="270">
        <f>SUM(C97:D97)</f>
        <v>42800026</v>
      </c>
      <c r="C97" s="270">
        <f t="shared" ref="C97:R97" si="45">SUM(C63+C70+C77+C81+C96)</f>
        <v>42800026</v>
      </c>
      <c r="D97" s="270">
        <f t="shared" si="45"/>
        <v>0</v>
      </c>
      <c r="E97" s="270">
        <f t="shared" si="45"/>
        <v>17500531</v>
      </c>
      <c r="F97" s="270">
        <f t="shared" si="45"/>
        <v>22934095</v>
      </c>
      <c r="G97" s="270">
        <f t="shared" si="45"/>
        <v>0</v>
      </c>
      <c r="H97" s="270">
        <f t="shared" si="45"/>
        <v>2020000</v>
      </c>
      <c r="I97" s="270">
        <f t="shared" si="45"/>
        <v>234300</v>
      </c>
      <c r="J97" s="270">
        <f t="shared" si="45"/>
        <v>111100</v>
      </c>
      <c r="K97" s="270">
        <f t="shared" si="45"/>
        <v>0</v>
      </c>
      <c r="L97" s="270">
        <f t="shared" si="45"/>
        <v>0</v>
      </c>
      <c r="M97" s="270">
        <f t="shared" si="45"/>
        <v>0</v>
      </c>
      <c r="N97" s="270">
        <f t="shared" si="45"/>
        <v>0</v>
      </c>
      <c r="O97" s="270">
        <f t="shared" si="45"/>
        <v>0</v>
      </c>
      <c r="P97" s="270">
        <f t="shared" si="45"/>
        <v>0</v>
      </c>
      <c r="Q97" s="270">
        <f t="shared" si="45"/>
        <v>0</v>
      </c>
      <c r="R97" s="270">
        <f t="shared" si="45"/>
        <v>42800026</v>
      </c>
      <c r="S97" s="270">
        <f>SUM(S63+S70+S81+S96)</f>
        <v>35451227</v>
      </c>
      <c r="T97" s="270">
        <f>SUM(T63+T70+T81+T96)</f>
        <v>0</v>
      </c>
      <c r="U97" s="1108"/>
    </row>
    <row r="98" spans="1:21" s="106" customFormat="1">
      <c r="A98" s="105" t="s">
        <v>1868</v>
      </c>
      <c r="B98" s="271"/>
      <c r="C98" s="271"/>
      <c r="D98" s="271"/>
      <c r="E98" s="271"/>
      <c r="F98" s="271"/>
      <c r="G98" s="271"/>
      <c r="H98" s="271"/>
      <c r="I98" s="271"/>
      <c r="J98" s="271"/>
      <c r="K98" s="271"/>
      <c r="L98" s="271"/>
      <c r="M98" s="271"/>
      <c r="N98" s="271"/>
      <c r="O98" s="271"/>
      <c r="P98" s="271"/>
      <c r="Q98" s="271"/>
      <c r="R98" s="271"/>
      <c r="S98" s="271"/>
      <c r="T98" s="271"/>
      <c r="U98" s="1108"/>
    </row>
    <row r="99" spans="1:21" s="106" customFormat="1">
      <c r="A99" s="212" t="s">
        <v>1869</v>
      </c>
      <c r="B99" s="270">
        <f>SUM(C99+D99)</f>
        <v>5317684</v>
      </c>
      <c r="C99" s="940">
        <v>5317684</v>
      </c>
      <c r="D99" s="940"/>
      <c r="E99" s="940">
        <f t="shared" ref="E99:E103" si="46">C99-SUM(F99:Q99)</f>
        <v>1158702</v>
      </c>
      <c r="F99" s="940">
        <f>Application!AO637-F97</f>
        <v>0</v>
      </c>
      <c r="G99" s="940">
        <f>Application!AO638</f>
        <v>3329970</v>
      </c>
      <c r="H99" s="940"/>
      <c r="I99" s="940"/>
      <c r="J99" s="940"/>
      <c r="K99" s="940">
        <f>Application!AO642</f>
        <v>829012</v>
      </c>
      <c r="L99" s="940"/>
      <c r="M99" s="940"/>
      <c r="N99" s="940"/>
      <c r="O99" s="940"/>
      <c r="P99" s="940"/>
      <c r="Q99" s="940"/>
      <c r="R99" s="449">
        <f t="shared" ref="R99:R103" si="47">SUM(E99:Q99)</f>
        <v>5317684</v>
      </c>
      <c r="S99" s="940">
        <f>R99</f>
        <v>5317684</v>
      </c>
      <c r="T99" s="940"/>
      <c r="U99" s="1108"/>
    </row>
    <row r="100" spans="1:21" s="106" customFormat="1">
      <c r="A100" s="212" t="s">
        <v>1870</v>
      </c>
      <c r="B100" s="270">
        <f t="shared" ref="B100:B103" si="48">SUM(C100+D100)</f>
        <v>0</v>
      </c>
      <c r="C100" s="940"/>
      <c r="D100" s="940"/>
      <c r="E100" s="940">
        <f t="shared" si="46"/>
        <v>0</v>
      </c>
      <c r="F100" s="940"/>
      <c r="G100" s="940"/>
      <c r="H100" s="940"/>
      <c r="I100" s="940"/>
      <c r="J100" s="940"/>
      <c r="K100" s="940"/>
      <c r="L100" s="940"/>
      <c r="M100" s="940"/>
      <c r="N100" s="940"/>
      <c r="O100" s="940"/>
      <c r="P100" s="940"/>
      <c r="Q100" s="940"/>
      <c r="R100" s="449">
        <f t="shared" si="47"/>
        <v>0</v>
      </c>
      <c r="S100" s="940"/>
      <c r="T100" s="940"/>
      <c r="U100" s="1108"/>
    </row>
    <row r="101" spans="1:21" s="106" customFormat="1" ht="12" customHeight="1">
      <c r="A101" s="212" t="s">
        <v>1871</v>
      </c>
      <c r="B101" s="270">
        <f t="shared" si="48"/>
        <v>0</v>
      </c>
      <c r="C101" s="940"/>
      <c r="D101" s="940"/>
      <c r="E101" s="940">
        <f t="shared" si="46"/>
        <v>0</v>
      </c>
      <c r="F101" s="940"/>
      <c r="G101" s="940"/>
      <c r="H101" s="940"/>
      <c r="I101" s="940"/>
      <c r="J101" s="940"/>
      <c r="K101" s="940"/>
      <c r="L101" s="940"/>
      <c r="M101" s="940"/>
      <c r="N101" s="940"/>
      <c r="O101" s="940"/>
      <c r="P101" s="940"/>
      <c r="Q101" s="940"/>
      <c r="R101" s="449">
        <f t="shared" si="47"/>
        <v>0</v>
      </c>
      <c r="S101" s="940"/>
      <c r="T101" s="940"/>
      <c r="U101" s="1108"/>
    </row>
    <row r="102" spans="1:21" s="106" customFormat="1">
      <c r="A102" s="212" t="s">
        <v>1872</v>
      </c>
      <c r="B102" s="270">
        <f t="shared" si="48"/>
        <v>0</v>
      </c>
      <c r="C102" s="940"/>
      <c r="D102" s="940"/>
      <c r="E102" s="940">
        <f t="shared" si="46"/>
        <v>0</v>
      </c>
      <c r="F102" s="940"/>
      <c r="G102" s="940"/>
      <c r="H102" s="940"/>
      <c r="I102" s="940"/>
      <c r="J102" s="940"/>
      <c r="K102" s="940"/>
      <c r="L102" s="940"/>
      <c r="M102" s="940"/>
      <c r="N102" s="940"/>
      <c r="O102" s="940"/>
      <c r="P102" s="940"/>
      <c r="Q102" s="940"/>
      <c r="R102" s="449">
        <f t="shared" si="47"/>
        <v>0</v>
      </c>
      <c r="S102" s="940"/>
      <c r="T102" s="940"/>
      <c r="U102" s="1108"/>
    </row>
    <row r="103" spans="1:21" s="106" customFormat="1">
      <c r="A103" s="1110" t="s">
        <v>1813</v>
      </c>
      <c r="B103" s="270">
        <f t="shared" si="48"/>
        <v>0</v>
      </c>
      <c r="C103" s="940"/>
      <c r="D103" s="940"/>
      <c r="E103" s="940">
        <f t="shared" si="46"/>
        <v>0</v>
      </c>
      <c r="F103" s="940"/>
      <c r="G103" s="940"/>
      <c r="H103" s="940"/>
      <c r="I103" s="940"/>
      <c r="J103" s="940"/>
      <c r="K103" s="940"/>
      <c r="L103" s="940"/>
      <c r="M103" s="940"/>
      <c r="N103" s="940"/>
      <c r="O103" s="940"/>
      <c r="P103" s="940"/>
      <c r="Q103" s="940"/>
      <c r="R103" s="449">
        <f t="shared" si="47"/>
        <v>0</v>
      </c>
      <c r="S103" s="940"/>
      <c r="T103" s="940"/>
      <c r="U103" s="1108"/>
    </row>
    <row r="104" spans="1:21" s="106" customFormat="1">
      <c r="A104" s="107" t="s">
        <v>1873</v>
      </c>
      <c r="B104" s="270">
        <f>SUM(C104:D104)</f>
        <v>5317684</v>
      </c>
      <c r="C104" s="270">
        <f>SUM(C99:C103)</f>
        <v>5317684</v>
      </c>
      <c r="D104" s="270">
        <f t="shared" ref="D104:T104" si="49">SUM(D99:D103)</f>
        <v>0</v>
      </c>
      <c r="E104" s="270">
        <f t="shared" si="49"/>
        <v>1158702</v>
      </c>
      <c r="F104" s="270">
        <f t="shared" si="49"/>
        <v>0</v>
      </c>
      <c r="G104" s="270">
        <f t="shared" si="49"/>
        <v>3329970</v>
      </c>
      <c r="H104" s="270">
        <f t="shared" si="49"/>
        <v>0</v>
      </c>
      <c r="I104" s="270">
        <f t="shared" si="49"/>
        <v>0</v>
      </c>
      <c r="J104" s="270">
        <f t="shared" si="49"/>
        <v>0</v>
      </c>
      <c r="K104" s="270">
        <f t="shared" si="49"/>
        <v>829012</v>
      </c>
      <c r="L104" s="270">
        <f t="shared" si="49"/>
        <v>0</v>
      </c>
      <c r="M104" s="270">
        <f t="shared" si="49"/>
        <v>0</v>
      </c>
      <c r="N104" s="270">
        <f t="shared" si="49"/>
        <v>0</v>
      </c>
      <c r="O104" s="270">
        <f t="shared" si="49"/>
        <v>0</v>
      </c>
      <c r="P104" s="270">
        <f t="shared" si="49"/>
        <v>0</v>
      </c>
      <c r="Q104" s="270">
        <f t="shared" si="49"/>
        <v>0</v>
      </c>
      <c r="R104" s="270">
        <f t="shared" si="49"/>
        <v>5317684</v>
      </c>
      <c r="S104" s="108">
        <f t="shared" si="49"/>
        <v>5317684</v>
      </c>
      <c r="T104" s="108">
        <f t="shared" si="49"/>
        <v>0</v>
      </c>
      <c r="U104" s="1108"/>
    </row>
    <row r="105" spans="1:21" s="106" customFormat="1">
      <c r="A105" s="107" t="s">
        <v>1874</v>
      </c>
      <c r="B105" s="108">
        <f>SUM(C105:D105)</f>
        <v>48117710</v>
      </c>
      <c r="C105" s="108">
        <f t="shared" ref="C105:R105" si="50">SUM(C97+C104)</f>
        <v>48117710</v>
      </c>
      <c r="D105" s="108">
        <f t="shared" si="50"/>
        <v>0</v>
      </c>
      <c r="E105" s="108">
        <f t="shared" si="50"/>
        <v>18659233</v>
      </c>
      <c r="F105" s="108">
        <f t="shared" si="50"/>
        <v>22934095</v>
      </c>
      <c r="G105" s="108">
        <f t="shared" si="50"/>
        <v>3329970</v>
      </c>
      <c r="H105" s="108">
        <f t="shared" si="50"/>
        <v>2020000</v>
      </c>
      <c r="I105" s="108">
        <f t="shared" si="50"/>
        <v>234300</v>
      </c>
      <c r="J105" s="108">
        <f t="shared" si="50"/>
        <v>111100</v>
      </c>
      <c r="K105" s="108">
        <f t="shared" si="50"/>
        <v>829012</v>
      </c>
      <c r="L105" s="108">
        <f t="shared" si="50"/>
        <v>0</v>
      </c>
      <c r="M105" s="108">
        <f t="shared" si="50"/>
        <v>0</v>
      </c>
      <c r="N105" s="108">
        <f t="shared" si="50"/>
        <v>0</v>
      </c>
      <c r="O105" s="108">
        <f t="shared" si="50"/>
        <v>0</v>
      </c>
      <c r="P105" s="108">
        <f t="shared" si="50"/>
        <v>0</v>
      </c>
      <c r="Q105" s="108">
        <f t="shared" si="50"/>
        <v>0</v>
      </c>
      <c r="R105" s="270">
        <f t="shared" si="50"/>
        <v>48117710</v>
      </c>
      <c r="S105" s="108">
        <f>S97+S104</f>
        <v>40768911</v>
      </c>
      <c r="T105" s="108">
        <f>T97+T104</f>
        <v>0</v>
      </c>
      <c r="U105" s="1108"/>
    </row>
    <row r="106" spans="1:21">
      <c r="A106" s="447" t="s">
        <v>1875</v>
      </c>
      <c r="B106" s="1117"/>
      <c r="C106" s="1117"/>
      <c r="D106" s="1117"/>
      <c r="E106" s="254"/>
      <c r="F106" s="254"/>
      <c r="G106" s="254"/>
      <c r="H106" s="255" t="s">
        <v>1876</v>
      </c>
      <c r="I106" s="255"/>
      <c r="J106" s="255"/>
      <c r="K106" s="254"/>
      <c r="L106" s="254"/>
      <c r="M106" s="254"/>
      <c r="N106" s="254"/>
      <c r="O106" s="254"/>
      <c r="P106" s="254"/>
      <c r="Q106" s="254"/>
      <c r="R106" s="114" t="s">
        <v>1877</v>
      </c>
      <c r="S106" s="940"/>
      <c r="T106" s="940"/>
      <c r="U106" s="256"/>
    </row>
    <row r="107" spans="1:21">
      <c r="A107" s="1117" t="s">
        <v>1878</v>
      </c>
      <c r="B107" s="254"/>
      <c r="C107" s="1117"/>
      <c r="D107" s="1117"/>
      <c r="E107" s="254"/>
      <c r="F107" s="254"/>
      <c r="G107" s="254"/>
      <c r="H107" s="254"/>
      <c r="I107" s="116" t="s">
        <v>1879</v>
      </c>
      <c r="J107" s="116"/>
      <c r="K107" s="254"/>
      <c r="L107" s="254"/>
      <c r="M107" s="254"/>
      <c r="N107" s="254"/>
      <c r="O107" s="254"/>
      <c r="P107" s="254"/>
      <c r="Q107" s="254"/>
      <c r="R107" s="114" t="s">
        <v>1880</v>
      </c>
      <c r="S107" s="108">
        <f>S105+S106</f>
        <v>40768911</v>
      </c>
      <c r="T107" s="108">
        <f>T105+T106</f>
        <v>0</v>
      </c>
      <c r="U107" s="256"/>
    </row>
    <row r="108" spans="1:21" s="136" customFormat="1">
      <c r="A108" s="116" t="s">
        <v>1881</v>
      </c>
      <c r="B108" s="1117"/>
      <c r="C108" s="1117"/>
      <c r="D108" s="1117"/>
      <c r="E108" s="1118">
        <f>Application!AO650</f>
        <v>18659233</v>
      </c>
      <c r="F108" s="1118">
        <f>Application!AO637</f>
        <v>22934095</v>
      </c>
      <c r="G108" s="1118">
        <f>Application!AO638</f>
        <v>3329970</v>
      </c>
      <c r="H108" s="1118">
        <f>Application!AO639</f>
        <v>2020000</v>
      </c>
      <c r="I108" s="1118">
        <f>Application!AO640</f>
        <v>234300</v>
      </c>
      <c r="J108" s="1118">
        <f>Application!AO641</f>
        <v>111100</v>
      </c>
      <c r="K108" s="1118">
        <f>Application!AO642</f>
        <v>829012</v>
      </c>
      <c r="L108" s="1118">
        <f>Application!AO643</f>
        <v>0</v>
      </c>
      <c r="M108" s="1118">
        <f>Application!AO644</f>
        <v>0</v>
      </c>
      <c r="N108" s="1118">
        <f>Application!AO645</f>
        <v>0</v>
      </c>
      <c r="O108" s="1118">
        <f>Application!AO646</f>
        <v>0</v>
      </c>
      <c r="P108" s="1118">
        <f>Application!AO647</f>
        <v>0</v>
      </c>
      <c r="Q108" s="1118">
        <f>Application!AO648</f>
        <v>0</v>
      </c>
      <c r="R108" s="254"/>
      <c r="S108" s="254"/>
      <c r="T108" s="254"/>
      <c r="U108" s="1119"/>
    </row>
    <row r="109" spans="1:21" ht="10.15" customHeight="1">
      <c r="A109" s="1117"/>
      <c r="B109" s="1117"/>
      <c r="C109" s="1117"/>
      <c r="D109" s="1117"/>
      <c r="E109" s="254"/>
      <c r="F109" s="254"/>
      <c r="G109" s="254"/>
      <c r="H109" s="254"/>
      <c r="I109" s="254"/>
      <c r="J109" s="254"/>
      <c r="K109" s="254"/>
      <c r="L109" s="254"/>
      <c r="M109" s="254"/>
      <c r="N109" s="254"/>
      <c r="O109" s="254"/>
      <c r="P109" s="254"/>
      <c r="Q109" s="254"/>
      <c r="R109" s="254"/>
      <c r="S109" s="254"/>
      <c r="T109" s="254"/>
      <c r="U109" s="256"/>
    </row>
    <row r="110" spans="1:21">
      <c r="A110" s="116" t="s">
        <v>1882</v>
      </c>
      <c r="B110" s="1117"/>
      <c r="C110" s="1117"/>
      <c r="D110" s="1117"/>
      <c r="E110" s="254"/>
      <c r="F110" s="254"/>
      <c r="G110" s="254"/>
      <c r="H110" s="254"/>
      <c r="I110" s="254"/>
      <c r="J110" s="254"/>
      <c r="K110" s="254"/>
      <c r="L110" s="254"/>
      <c r="M110" s="254"/>
      <c r="N110" s="254"/>
      <c r="O110" s="254"/>
      <c r="P110" s="254"/>
      <c r="Q110" s="254"/>
      <c r="R110" s="254"/>
      <c r="S110" s="254"/>
      <c r="T110" s="254"/>
      <c r="U110" s="256"/>
    </row>
    <row r="111" spans="1:21">
      <c r="A111" s="112" t="s">
        <v>1883</v>
      </c>
      <c r="B111" s="1117"/>
      <c r="C111" s="1117"/>
      <c r="D111" s="1117"/>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7"/>
      <c r="C112" s="1117"/>
      <c r="D112" s="1117"/>
      <c r="E112" s="254"/>
      <c r="F112" s="254"/>
      <c r="G112" s="254"/>
      <c r="H112" s="254"/>
      <c r="I112" s="254"/>
      <c r="J112" s="254"/>
      <c r="K112" s="254"/>
      <c r="L112" s="254"/>
      <c r="M112" s="254"/>
      <c r="N112" s="254"/>
      <c r="O112" s="254"/>
      <c r="P112" s="254"/>
      <c r="Q112" s="254"/>
      <c r="R112" s="254"/>
      <c r="S112" s="254"/>
      <c r="T112" s="254"/>
      <c r="U112" s="256"/>
    </row>
    <row r="113" spans="1:21">
      <c r="A113" s="112" t="s">
        <v>1884</v>
      </c>
      <c r="B113" s="1117"/>
      <c r="C113" s="1117"/>
      <c r="D113" s="1117"/>
      <c r="E113" s="254"/>
      <c r="F113" s="254"/>
      <c r="G113" s="254"/>
      <c r="H113" s="254"/>
      <c r="I113" s="254"/>
      <c r="J113" s="254"/>
      <c r="K113" s="254"/>
      <c r="L113" s="254"/>
      <c r="M113" s="254"/>
      <c r="N113" s="254"/>
      <c r="O113" s="254"/>
      <c r="P113" s="254"/>
      <c r="Q113" s="254"/>
      <c r="R113" s="254"/>
      <c r="S113" s="254"/>
      <c r="T113" s="254"/>
      <c r="U113" s="256"/>
    </row>
    <row r="114" spans="1:21">
      <c r="A114" s="112" t="s">
        <v>1885</v>
      </c>
      <c r="B114" s="1117"/>
      <c r="C114" s="1117"/>
      <c r="D114" s="1117"/>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7"/>
      <c r="C115" s="1117"/>
      <c r="D115" s="1117"/>
      <c r="E115" s="254"/>
      <c r="F115" s="254"/>
      <c r="G115" s="254"/>
      <c r="H115" s="254"/>
      <c r="I115" s="254"/>
      <c r="J115" s="254"/>
      <c r="K115" s="254"/>
      <c r="L115" s="254"/>
      <c r="M115" s="254"/>
      <c r="N115" s="254"/>
      <c r="O115" s="254"/>
      <c r="P115" s="254"/>
      <c r="Q115" s="254"/>
      <c r="R115" s="254"/>
      <c r="S115" s="254"/>
      <c r="T115" s="254"/>
      <c r="U115" s="256"/>
    </row>
    <row r="116" spans="1:21">
      <c r="A116" s="273" t="s">
        <v>1886</v>
      </c>
      <c r="B116" s="1117"/>
      <c r="C116" s="1117"/>
      <c r="D116" s="1117"/>
      <c r="E116" s="254"/>
      <c r="F116" s="254"/>
      <c r="G116" s="254"/>
      <c r="H116" s="254"/>
      <c r="I116" s="254"/>
      <c r="J116" s="254"/>
      <c r="K116" s="254"/>
      <c r="L116" s="254"/>
      <c r="M116" s="254"/>
      <c r="N116" s="254"/>
      <c r="O116" s="254"/>
      <c r="P116" s="254"/>
      <c r="Q116" s="254"/>
      <c r="R116" s="254"/>
      <c r="S116" s="254"/>
      <c r="T116" s="254"/>
      <c r="U116" s="256"/>
    </row>
    <row r="117" spans="1:21">
      <c r="A117" s="273" t="s">
        <v>1887</v>
      </c>
      <c r="B117" s="1117"/>
      <c r="C117" s="1117"/>
      <c r="D117" s="1117"/>
      <c r="E117" s="254"/>
      <c r="F117" s="254"/>
      <c r="G117" s="254"/>
      <c r="H117" s="254"/>
      <c r="I117" s="254"/>
      <c r="J117" s="254"/>
      <c r="K117" s="254"/>
      <c r="L117" s="254"/>
      <c r="M117" s="254"/>
      <c r="N117" s="254"/>
      <c r="O117" s="254"/>
      <c r="P117" s="254"/>
      <c r="Q117" s="254"/>
      <c r="R117" s="254"/>
      <c r="S117" s="254"/>
      <c r="T117" s="254"/>
      <c r="U117" s="256"/>
    </row>
    <row r="118" spans="1:21">
      <c r="A118" s="273" t="s">
        <v>1888</v>
      </c>
      <c r="B118" s="1117"/>
      <c r="C118" s="1117"/>
      <c r="D118" s="1117"/>
      <c r="E118" s="254"/>
      <c r="F118" s="254"/>
      <c r="G118" s="254"/>
      <c r="H118" s="254"/>
      <c r="I118" s="254"/>
      <c r="J118" s="254"/>
      <c r="K118" s="254"/>
      <c r="L118" s="254"/>
      <c r="M118" s="254"/>
      <c r="N118" s="254"/>
      <c r="O118" s="254"/>
      <c r="P118" s="254"/>
      <c r="Q118" s="254"/>
      <c r="R118" s="254"/>
      <c r="S118" s="254"/>
      <c r="T118" s="254"/>
      <c r="U118" s="256"/>
    </row>
    <row r="119" spans="1:21">
      <c r="A119" s="273" t="s">
        <v>1889</v>
      </c>
      <c r="B119" s="1117"/>
      <c r="C119" s="1117"/>
      <c r="D119" s="1117"/>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7"/>
      <c r="C120" s="1117"/>
      <c r="D120" s="1117"/>
      <c r="E120" s="254"/>
      <c r="F120" s="254"/>
      <c r="G120" s="254"/>
      <c r="H120" s="254"/>
      <c r="I120" s="254"/>
      <c r="J120" s="254"/>
      <c r="K120" s="254"/>
      <c r="L120" s="254"/>
      <c r="M120" s="254"/>
      <c r="N120" s="254"/>
      <c r="O120" s="254"/>
      <c r="P120" s="254"/>
      <c r="Q120" s="254"/>
      <c r="R120" s="254"/>
      <c r="S120" s="254"/>
      <c r="T120" s="254"/>
      <c r="U120" s="256"/>
    </row>
    <row r="121" spans="1:21" ht="15.75">
      <c r="A121" s="266" t="s">
        <v>1890</v>
      </c>
      <c r="B121" s="1117"/>
      <c r="C121" s="1117"/>
      <c r="D121" s="1117"/>
      <c r="E121" s="254"/>
      <c r="F121" s="254"/>
      <c r="G121" s="254"/>
      <c r="H121" s="254"/>
      <c r="I121" s="254"/>
      <c r="J121" s="254"/>
      <c r="K121" s="254"/>
      <c r="L121" s="254"/>
      <c r="M121" s="254"/>
      <c r="N121" s="254"/>
      <c r="O121" s="254"/>
      <c r="P121" s="254"/>
      <c r="Q121" s="254"/>
      <c r="R121" s="254"/>
      <c r="S121" s="254"/>
      <c r="T121" s="254"/>
      <c r="U121" s="256"/>
    </row>
    <row r="122" spans="1:21">
      <c r="A122" s="255" t="s">
        <v>1891</v>
      </c>
      <c r="B122" s="254"/>
      <c r="C122" s="254"/>
      <c r="D122" s="1717" t="s">
        <v>1892</v>
      </c>
      <c r="E122" s="1717"/>
      <c r="F122" s="1717"/>
      <c r="G122" s="254"/>
      <c r="H122" s="254"/>
      <c r="I122" s="254"/>
      <c r="J122" s="254"/>
      <c r="K122" s="254"/>
      <c r="L122" s="254"/>
      <c r="M122" s="254"/>
      <c r="N122" s="254"/>
      <c r="O122" s="254"/>
      <c r="P122" s="254"/>
      <c r="Q122" s="254"/>
      <c r="R122" s="254"/>
      <c r="S122" s="254"/>
      <c r="T122" s="254"/>
      <c r="U122" s="256"/>
    </row>
    <row r="123" spans="1:21">
      <c r="A123" s="254" t="s">
        <v>1893</v>
      </c>
      <c r="B123" s="263"/>
      <c r="C123" s="254"/>
      <c r="D123" s="1708" t="s">
        <v>1894</v>
      </c>
      <c r="E123" s="1709"/>
      <c r="F123" s="1709"/>
      <c r="G123" s="1709"/>
      <c r="H123" s="1709"/>
      <c r="I123" s="1709"/>
      <c r="J123" s="1709"/>
      <c r="K123" s="1709"/>
      <c r="L123" s="1709"/>
      <c r="M123" s="1709"/>
      <c r="N123" s="1709"/>
      <c r="O123" s="1709"/>
      <c r="P123" s="1709"/>
      <c r="Q123" s="1709"/>
      <c r="R123" s="1709"/>
      <c r="S123" s="1709"/>
      <c r="T123" s="254"/>
      <c r="U123" s="256"/>
    </row>
    <row r="124" spans="1:21" ht="12.75">
      <c r="A124" s="390" t="s">
        <v>1895</v>
      </c>
      <c r="B124" s="263"/>
      <c r="C124" s="390"/>
      <c r="D124" s="1709"/>
      <c r="E124" s="1709"/>
      <c r="F124" s="1709"/>
      <c r="G124" s="1709"/>
      <c r="H124" s="1709"/>
      <c r="I124" s="1709"/>
      <c r="J124" s="1709"/>
      <c r="K124" s="1709"/>
      <c r="L124" s="1709"/>
      <c r="M124" s="1709"/>
      <c r="N124" s="1709"/>
      <c r="O124" s="1709"/>
      <c r="P124" s="1709"/>
      <c r="Q124" s="1709"/>
      <c r="R124" s="1709"/>
      <c r="S124" s="1709"/>
      <c r="T124" s="254"/>
      <c r="U124" s="256"/>
    </row>
    <row r="125" spans="1:21" ht="12.75">
      <c r="A125" s="390" t="s">
        <v>1896</v>
      </c>
      <c r="B125" s="263"/>
      <c r="C125" s="390"/>
      <c r="D125" s="1709"/>
      <c r="E125" s="1709"/>
      <c r="F125" s="1709"/>
      <c r="G125" s="1709"/>
      <c r="H125" s="1709"/>
      <c r="I125" s="1709"/>
      <c r="J125" s="1709"/>
      <c r="K125" s="1709"/>
      <c r="L125" s="1709"/>
      <c r="M125" s="1709"/>
      <c r="N125" s="1709"/>
      <c r="O125" s="1709"/>
      <c r="P125" s="1709"/>
      <c r="Q125" s="1709"/>
      <c r="R125" s="1709"/>
      <c r="S125" s="1709"/>
      <c r="T125" s="254"/>
      <c r="U125" s="256"/>
    </row>
    <row r="126" spans="1:21" ht="12.75">
      <c r="A126" s="390" t="s">
        <v>1897</v>
      </c>
      <c r="B126" s="263"/>
      <c r="C126" s="390"/>
      <c r="D126" s="86"/>
      <c r="E126" s="86"/>
      <c r="F126" s="86"/>
      <c r="G126" s="86"/>
      <c r="H126" s="86"/>
      <c r="I126" s="86"/>
      <c r="J126" s="86"/>
      <c r="K126" s="86"/>
      <c r="L126" s="86"/>
      <c r="M126" s="86"/>
      <c r="N126" s="86"/>
      <c r="O126" s="390"/>
      <c r="P126" s="390"/>
      <c r="Q126" s="390"/>
      <c r="R126" s="390"/>
      <c r="S126" s="390"/>
      <c r="T126" s="254"/>
      <c r="U126" s="256"/>
    </row>
    <row r="127" spans="1:21" ht="12.75">
      <c r="A127" s="390" t="s">
        <v>1898</v>
      </c>
      <c r="B127" s="263"/>
      <c r="C127" s="390"/>
      <c r="D127" s="86"/>
      <c r="E127" s="86"/>
      <c r="F127" s="86"/>
      <c r="G127" s="86"/>
      <c r="H127" s="86"/>
      <c r="I127" s="86"/>
      <c r="J127" s="86"/>
      <c r="K127" s="86"/>
      <c r="L127" s="86"/>
      <c r="M127" s="86"/>
      <c r="N127" s="86"/>
      <c r="O127" s="390"/>
      <c r="P127" s="390"/>
      <c r="Q127" s="390"/>
      <c r="R127" s="390"/>
      <c r="S127" s="390"/>
      <c r="T127" s="254"/>
      <c r="U127" s="256"/>
    </row>
    <row r="128" spans="1:21" ht="12.75">
      <c r="A128" s="390" t="s">
        <v>1899</v>
      </c>
      <c r="B128" s="263"/>
      <c r="C128" s="390"/>
      <c r="D128" s="1712"/>
      <c r="E128" s="1712"/>
      <c r="F128" s="1712"/>
      <c r="G128" s="1712"/>
      <c r="H128" s="1712"/>
      <c r="I128" s="390"/>
      <c r="J128" s="1707"/>
      <c r="K128" s="1707"/>
      <c r="L128" s="390"/>
      <c r="M128" s="390"/>
      <c r="N128" s="390"/>
      <c r="O128" s="390"/>
      <c r="P128" s="390"/>
      <c r="Q128" s="390"/>
      <c r="R128" s="390"/>
      <c r="S128" s="390"/>
      <c r="T128" s="254"/>
      <c r="U128" s="256"/>
    </row>
    <row r="129" spans="1:21" ht="12.75">
      <c r="A129" s="390" t="s">
        <v>1127</v>
      </c>
      <c r="B129" s="263"/>
      <c r="C129" s="390"/>
      <c r="D129" s="1716" t="s">
        <v>1900</v>
      </c>
      <c r="E129" s="1716"/>
      <c r="F129" s="1716"/>
      <c r="G129" s="1716"/>
      <c r="H129" s="1716"/>
      <c r="I129" s="390"/>
      <c r="J129" s="390" t="s">
        <v>1901</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2.75">
      <c r="A131" s="265" t="s">
        <v>1902</v>
      </c>
      <c r="B131" s="264">
        <f>SUM(B123:B129)</f>
        <v>0</v>
      </c>
      <c r="C131" s="390"/>
      <c r="D131" s="1278"/>
      <c r="E131" s="1278"/>
      <c r="F131" s="1278"/>
      <c r="G131" s="1278"/>
      <c r="H131" s="1278"/>
      <c r="I131" s="390"/>
      <c r="J131" s="1278"/>
      <c r="K131" s="1278"/>
      <c r="L131" s="1278"/>
      <c r="M131" s="1278"/>
      <c r="N131" s="390"/>
      <c r="O131" s="390"/>
      <c r="P131" s="390"/>
      <c r="Q131" s="390"/>
      <c r="R131" s="390"/>
      <c r="S131" s="390"/>
      <c r="T131" s="254"/>
      <c r="U131" s="256"/>
    </row>
    <row r="132" spans="1:21" ht="12" customHeight="1">
      <c r="A132" s="1120"/>
      <c r="B132" s="390"/>
      <c r="C132" s="390"/>
      <c r="D132" s="1710" t="s">
        <v>1903</v>
      </c>
      <c r="E132" s="1710"/>
      <c r="F132" s="1710"/>
      <c r="G132" s="1710"/>
      <c r="H132" s="1710"/>
      <c r="I132" s="390"/>
      <c r="J132" s="1710" t="s">
        <v>1904</v>
      </c>
      <c r="K132" s="1710"/>
      <c r="L132" s="1710"/>
      <c r="M132" s="1710"/>
      <c r="N132" s="390"/>
      <c r="O132" s="390"/>
      <c r="P132" s="390"/>
      <c r="Q132" s="390"/>
      <c r="R132" s="390"/>
      <c r="S132" s="390"/>
      <c r="T132" s="254"/>
      <c r="U132" s="256"/>
    </row>
    <row r="133" spans="1:21" ht="12" customHeight="1">
      <c r="A133" s="1120"/>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75">
      <c r="A134" s="452" t="s">
        <v>1905</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2.75">
      <c r="A135" s="241" t="s">
        <v>1906</v>
      </c>
      <c r="B135" s="390"/>
      <c r="C135" s="390"/>
      <c r="D135" s="390"/>
      <c r="E135" s="390"/>
      <c r="F135" s="390"/>
      <c r="G135" s="390"/>
      <c r="H135" s="390"/>
      <c r="I135" s="390"/>
      <c r="J135" s="390"/>
      <c r="K135" s="390"/>
      <c r="L135" s="390"/>
      <c r="M135" s="390"/>
      <c r="N135" s="1121"/>
      <c r="O135" s="390"/>
      <c r="P135" s="390"/>
      <c r="Q135" s="390"/>
      <c r="R135" s="390"/>
      <c r="S135" s="390"/>
      <c r="T135" s="254"/>
      <c r="U135" s="256"/>
    </row>
    <row r="136" spans="1:21" ht="12" customHeight="1">
      <c r="A136" s="1120"/>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75">
      <c r="A137" s="1120"/>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11"/>
      <c r="B138" s="1712"/>
      <c r="C138" s="1712"/>
      <c r="D138" s="258"/>
      <c r="E138" s="1707"/>
      <c r="F138" s="1707"/>
      <c r="G138" s="390"/>
      <c r="H138" s="390"/>
      <c r="I138" s="390"/>
      <c r="J138" s="390"/>
      <c r="K138" s="390"/>
      <c r="L138" s="390"/>
      <c r="M138" s="390"/>
      <c r="N138" s="390"/>
      <c r="O138" s="390"/>
      <c r="P138" s="390"/>
      <c r="Q138" s="390"/>
      <c r="R138" s="390"/>
      <c r="S138" s="390"/>
      <c r="T138" s="260"/>
      <c r="U138" s="261"/>
    </row>
    <row r="139" spans="1:21" ht="12.75">
      <c r="A139" s="1706" t="s">
        <v>1907</v>
      </c>
      <c r="B139" s="1706"/>
      <c r="C139" s="1706"/>
      <c r="D139" s="258"/>
      <c r="E139" s="390" t="s">
        <v>1901</v>
      </c>
      <c r="F139" s="390"/>
      <c r="G139" s="390"/>
      <c r="H139" s="390"/>
      <c r="I139" s="390"/>
      <c r="J139" s="390"/>
      <c r="K139" s="390"/>
      <c r="L139" s="390"/>
      <c r="M139" s="390"/>
      <c r="N139" s="390"/>
      <c r="O139" s="390"/>
      <c r="P139" s="390"/>
      <c r="Q139" s="390"/>
      <c r="R139" s="390"/>
      <c r="S139" s="390"/>
      <c r="T139" s="260"/>
      <c r="U139" s="261"/>
    </row>
    <row r="140" spans="1:21" ht="12.75">
      <c r="A140" s="1120"/>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9" priority="257" stopIfTrue="1">
      <formula>T9&gt;C9</formula>
    </cfRule>
  </conditionalFormatting>
  <conditionalFormatting sqref="S10">
    <cfRule type="expression" dxfId="128" priority="256" stopIfTrue="1">
      <formula>(S10+T10)&gt;C10</formula>
    </cfRule>
  </conditionalFormatting>
  <conditionalFormatting sqref="R8">
    <cfRule type="cellIs" dxfId="127" priority="245" stopIfTrue="1" operator="notEqual">
      <formula>$B8</formula>
    </cfRule>
    <cfRule type="cellIs" priority="248" stopIfTrue="1" operator="notEqual">
      <formula>$B8</formula>
    </cfRule>
  </conditionalFormatting>
  <conditionalFormatting sqref="R4:R7 R56:R61 R45:R53 R83:R95 R99:R103">
    <cfRule type="cellIs" dxfId="126" priority="247" stopIfTrue="1" operator="notEqual">
      <formula>$B4</formula>
    </cfRule>
  </conditionalFormatting>
  <conditionalFormatting sqref="R9:R10">
    <cfRule type="cellIs" dxfId="125" priority="246" stopIfTrue="1" operator="notEqual">
      <formula>$B9</formula>
    </cfRule>
  </conditionalFormatting>
  <conditionalFormatting sqref="R11:R12">
    <cfRule type="cellIs" dxfId="124" priority="243" stopIfTrue="1" operator="notEqual">
      <formula>$B11</formula>
    </cfRule>
    <cfRule type="cellIs" priority="244" stopIfTrue="1" operator="notEqual">
      <formula>$B11</formula>
    </cfRule>
  </conditionalFormatting>
  <conditionalFormatting sqref="R13:R15">
    <cfRule type="cellIs" dxfId="123" priority="242" stopIfTrue="1" operator="notEqual">
      <formula>$B13</formula>
    </cfRule>
  </conditionalFormatting>
  <conditionalFormatting sqref="R26">
    <cfRule type="cellIs" dxfId="122" priority="240" stopIfTrue="1" operator="notEqual">
      <formula>$B26</formula>
    </cfRule>
    <cfRule type="cellIs" priority="241" stopIfTrue="1" operator="notEqual">
      <formula>$B26</formula>
    </cfRule>
  </conditionalFormatting>
  <conditionalFormatting sqref="R17:R25">
    <cfRule type="cellIs" dxfId="121" priority="239" stopIfTrue="1" operator="notEqual">
      <formula>$B17</formula>
    </cfRule>
  </conditionalFormatting>
  <conditionalFormatting sqref="R27">
    <cfRule type="cellIs" dxfId="120" priority="238" stopIfTrue="1" operator="notEqual">
      <formula>$B27</formula>
    </cfRule>
  </conditionalFormatting>
  <conditionalFormatting sqref="R38">
    <cfRule type="cellIs" dxfId="119" priority="236" stopIfTrue="1" operator="notEqual">
      <formula>$B38</formula>
    </cfRule>
    <cfRule type="cellIs" priority="237" stopIfTrue="1" operator="notEqual">
      <formula>$B38</formula>
    </cfRule>
  </conditionalFormatting>
  <conditionalFormatting sqref="R29:R37">
    <cfRule type="cellIs" dxfId="118" priority="235" stopIfTrue="1" operator="notEqual">
      <formula>$B29</formula>
    </cfRule>
  </conditionalFormatting>
  <conditionalFormatting sqref="R42">
    <cfRule type="cellIs" dxfId="117" priority="233" stopIfTrue="1" operator="notEqual">
      <formula>$B42</formula>
    </cfRule>
    <cfRule type="cellIs" priority="234" stopIfTrue="1" operator="notEqual">
      <formula>$B42</formula>
    </cfRule>
  </conditionalFormatting>
  <conditionalFormatting sqref="R40:R41">
    <cfRule type="cellIs" dxfId="116" priority="232" stopIfTrue="1" operator="notEqual">
      <formula>$B40</formula>
    </cfRule>
  </conditionalFormatting>
  <conditionalFormatting sqref="R43">
    <cfRule type="cellIs" dxfId="115" priority="231" stopIfTrue="1" operator="notEqual">
      <formula>$B43</formula>
    </cfRule>
  </conditionalFormatting>
  <conditionalFormatting sqref="R54">
    <cfRule type="cellIs" dxfId="114" priority="229" stopIfTrue="1" operator="notEqual">
      <formula>$B54</formula>
    </cfRule>
    <cfRule type="cellIs" priority="230" stopIfTrue="1" operator="notEqual">
      <formula>$B54</formula>
    </cfRule>
  </conditionalFormatting>
  <conditionalFormatting sqref="R62:R63">
    <cfRule type="cellIs" dxfId="113" priority="226" stopIfTrue="1" operator="notEqual">
      <formula>$B62</formula>
    </cfRule>
    <cfRule type="cellIs" priority="227" stopIfTrue="1" operator="notEqual">
      <formula>$B62</formula>
    </cfRule>
  </conditionalFormatting>
  <conditionalFormatting sqref="R70">
    <cfRule type="cellIs" dxfId="112" priority="223" stopIfTrue="1" operator="notEqual">
      <formula>$B70</formula>
    </cfRule>
    <cfRule type="cellIs" priority="224" stopIfTrue="1" operator="notEqual">
      <formula>$B70</formula>
    </cfRule>
  </conditionalFormatting>
  <conditionalFormatting sqref="R65:R69">
    <cfRule type="cellIs" dxfId="111" priority="222" stopIfTrue="1" operator="notEqual">
      <formula>$B65</formula>
    </cfRule>
  </conditionalFormatting>
  <conditionalFormatting sqref="R77">
    <cfRule type="cellIs" dxfId="110" priority="220" stopIfTrue="1" operator="notEqual">
      <formula>$B77</formula>
    </cfRule>
    <cfRule type="cellIs" priority="221" stopIfTrue="1" operator="notEqual">
      <formula>$B77</formula>
    </cfRule>
  </conditionalFormatting>
  <conditionalFormatting sqref="R96">
    <cfRule type="cellIs" dxfId="109" priority="218" stopIfTrue="1" operator="notEqual">
      <formula>$B96</formula>
    </cfRule>
    <cfRule type="cellIs" priority="219" stopIfTrue="1" operator="notEqual">
      <formula>$B96</formula>
    </cfRule>
  </conditionalFormatting>
  <conditionalFormatting sqref="R72:R76">
    <cfRule type="cellIs" dxfId="108" priority="217" stopIfTrue="1" operator="notEqual">
      <formula>$B72</formula>
    </cfRule>
  </conditionalFormatting>
  <conditionalFormatting sqref="R79:R80">
    <cfRule type="cellIs" dxfId="107" priority="216" stopIfTrue="1" operator="notEqual">
      <formula>$B79</formula>
    </cfRule>
  </conditionalFormatting>
  <conditionalFormatting sqref="R104:R105">
    <cfRule type="cellIs" dxfId="106" priority="213" stopIfTrue="1" operator="notEqual">
      <formula>$B104</formula>
    </cfRule>
    <cfRule type="cellIs" priority="214" stopIfTrue="1" operator="notEqual">
      <formula>$B104</formula>
    </cfRule>
  </conditionalFormatting>
  <conditionalFormatting sqref="E105:Q105">
    <cfRule type="cellIs" dxfId="105" priority="211" stopIfTrue="1" operator="notEqual">
      <formula>E$108</formula>
    </cfRule>
  </conditionalFormatting>
  <conditionalFormatting sqref="S13">
    <cfRule type="expression" dxfId="104" priority="208" stopIfTrue="1">
      <formula>(S13+T13)&gt;C13</formula>
    </cfRule>
  </conditionalFormatting>
  <conditionalFormatting sqref="S14">
    <cfRule type="expression" dxfId="103" priority="205" stopIfTrue="1">
      <formula>(S14+T14)&gt;C14</formula>
    </cfRule>
  </conditionalFormatting>
  <conditionalFormatting sqref="S17">
    <cfRule type="expression" dxfId="102" priority="204" stopIfTrue="1">
      <formula>(S17+T17)&gt;C17</formula>
    </cfRule>
  </conditionalFormatting>
  <conditionalFormatting sqref="S18">
    <cfRule type="expression" dxfId="101" priority="196" stopIfTrue="1">
      <formula>(S18+T18)&gt;C18</formula>
    </cfRule>
  </conditionalFormatting>
  <conditionalFormatting sqref="S19">
    <cfRule type="expression" dxfId="100" priority="194" stopIfTrue="1">
      <formula>(S19+T19)&gt;C19</formula>
    </cfRule>
  </conditionalFormatting>
  <conditionalFormatting sqref="S20">
    <cfRule type="expression" dxfId="99" priority="193" stopIfTrue="1">
      <formula>(S20+T20)&gt;C20</formula>
    </cfRule>
  </conditionalFormatting>
  <conditionalFormatting sqref="S21">
    <cfRule type="expression" dxfId="98" priority="192" stopIfTrue="1">
      <formula>(S21+T21)&gt;C21</formula>
    </cfRule>
  </conditionalFormatting>
  <conditionalFormatting sqref="S22">
    <cfRule type="expression" dxfId="97" priority="191" stopIfTrue="1">
      <formula>(S22+T22)&gt;C22</formula>
    </cfRule>
  </conditionalFormatting>
  <conditionalFormatting sqref="S23:S24">
    <cfRule type="expression" dxfId="96" priority="190" stopIfTrue="1">
      <formula>(S23+T23)&gt;C23</formula>
    </cfRule>
  </conditionalFormatting>
  <conditionalFormatting sqref="S25">
    <cfRule type="expression" dxfId="95" priority="189" stopIfTrue="1">
      <formula>(S25+T25)&gt;C25</formula>
    </cfRule>
  </conditionalFormatting>
  <conditionalFormatting sqref="S27">
    <cfRule type="expression" dxfId="94" priority="182" stopIfTrue="1">
      <formula>(S27+T27)&gt;C27</formula>
    </cfRule>
  </conditionalFormatting>
  <conditionalFormatting sqref="S29:S37">
    <cfRule type="expression" dxfId="93" priority="180" stopIfTrue="1">
      <formula>(S29+T29)&gt;C29</formula>
    </cfRule>
  </conditionalFormatting>
  <conditionalFormatting sqref="S41">
    <cfRule type="expression" dxfId="92" priority="163" stopIfTrue="1">
      <formula>(S41+T41)&gt;C41</formula>
    </cfRule>
  </conditionalFormatting>
  <conditionalFormatting sqref="S49">
    <cfRule type="expression" dxfId="91" priority="150" stopIfTrue="1">
      <formula>(S49+T49)&gt;C49</formula>
    </cfRule>
  </conditionalFormatting>
  <conditionalFormatting sqref="S67:S68">
    <cfRule type="expression" dxfId="90" priority="135" stopIfTrue="1">
      <formula>(S67+T67)&gt;C67</formula>
    </cfRule>
  </conditionalFormatting>
  <conditionalFormatting sqref="S69">
    <cfRule type="expression" dxfId="89" priority="134" stopIfTrue="1">
      <formula>(S69+T69)&gt;C69</formula>
    </cfRule>
  </conditionalFormatting>
  <conditionalFormatting sqref="S87">
    <cfRule type="expression" dxfId="88" priority="124" stopIfTrue="1">
      <formula>(S87+T87)&gt;C87</formula>
    </cfRule>
  </conditionalFormatting>
  <conditionalFormatting sqref="S94">
    <cfRule type="expression" dxfId="87" priority="114" stopIfTrue="1">
      <formula>(S94+T94)&gt;C94</formula>
    </cfRule>
  </conditionalFormatting>
  <conditionalFormatting sqref="S95">
    <cfRule type="expression" dxfId="86" priority="113" stopIfTrue="1">
      <formula>(S95+T95)&gt;C95</formula>
    </cfRule>
  </conditionalFormatting>
  <conditionalFormatting sqref="S100">
    <cfRule type="expression" dxfId="85" priority="100" stopIfTrue="1">
      <formula>(S100+T100)&gt;C100</formula>
    </cfRule>
  </conditionalFormatting>
  <conditionalFormatting sqref="S101">
    <cfRule type="expression" dxfId="84" priority="98" stopIfTrue="1">
      <formula>(S101+T101)&gt;C101</formula>
    </cfRule>
  </conditionalFormatting>
  <conditionalFormatting sqref="S102">
    <cfRule type="expression" dxfId="83" priority="97" stopIfTrue="1">
      <formula>(S102+T102)&gt;C102</formula>
    </cfRule>
  </conditionalFormatting>
  <conditionalFormatting sqref="S103">
    <cfRule type="expression" dxfId="82" priority="96" stopIfTrue="1">
      <formula>(S103+T103)&gt;C103</formula>
    </cfRule>
  </conditionalFormatting>
  <conditionalFormatting sqref="C10">
    <cfRule type="expression" dxfId="81" priority="88">
      <formula>"(S10+T10)&gt;C10 "</formula>
    </cfRule>
  </conditionalFormatting>
  <conditionalFormatting sqref="T10">
    <cfRule type="expression" dxfId="80" priority="86" stopIfTrue="1">
      <formula>(S10+T10)&gt;C10</formula>
    </cfRule>
  </conditionalFormatting>
  <conditionalFormatting sqref="T13">
    <cfRule type="expression" dxfId="79" priority="84" stopIfTrue="1">
      <formula>(S13+T13)&gt;C13</formula>
    </cfRule>
  </conditionalFormatting>
  <conditionalFormatting sqref="T14">
    <cfRule type="expression" dxfId="78" priority="83" stopIfTrue="1">
      <formula>(S14+T14)&gt;C14</formula>
    </cfRule>
  </conditionalFormatting>
  <conditionalFormatting sqref="T17">
    <cfRule type="expression" dxfId="77" priority="82" stopIfTrue="1">
      <formula>(S17+T17)&gt;C17</formula>
    </cfRule>
  </conditionalFormatting>
  <conditionalFormatting sqref="T18">
    <cfRule type="expression" dxfId="76" priority="65" stopIfTrue="1">
      <formula>(S18+T18)&gt;C18</formula>
    </cfRule>
  </conditionalFormatting>
  <conditionalFormatting sqref="T19">
    <cfRule type="expression" dxfId="75" priority="64" stopIfTrue="1">
      <formula>(S19+T19)&gt;C19</formula>
    </cfRule>
  </conditionalFormatting>
  <conditionalFormatting sqref="T20">
    <cfRule type="expression" dxfId="74" priority="63" stopIfTrue="1">
      <formula>(S20+T20)&gt;C20</formula>
    </cfRule>
  </conditionalFormatting>
  <conditionalFormatting sqref="T21">
    <cfRule type="expression" dxfId="73" priority="62" stopIfTrue="1">
      <formula>(S21+T21)&gt;C21</formula>
    </cfRule>
  </conditionalFormatting>
  <conditionalFormatting sqref="T22">
    <cfRule type="expression" dxfId="72" priority="61" stopIfTrue="1">
      <formula>(S22+T22)&gt;C22</formula>
    </cfRule>
  </conditionalFormatting>
  <conditionalFormatting sqref="T23:T24">
    <cfRule type="expression" dxfId="71" priority="60" stopIfTrue="1">
      <formula>(S23+T23)&gt;C23</formula>
    </cfRule>
  </conditionalFormatting>
  <conditionalFormatting sqref="T25">
    <cfRule type="expression" dxfId="70" priority="59" stopIfTrue="1">
      <formula>(S25+T25)&gt;C25</formula>
    </cfRule>
  </conditionalFormatting>
  <conditionalFormatting sqref="T27">
    <cfRule type="expression" dxfId="69" priority="57" stopIfTrue="1">
      <formula>(S27+T27)&gt;C27</formula>
    </cfRule>
  </conditionalFormatting>
  <conditionalFormatting sqref="T29">
    <cfRule type="expression" dxfId="68" priority="56" stopIfTrue="1">
      <formula>(S29+T29)&gt;C29</formula>
    </cfRule>
  </conditionalFormatting>
  <conditionalFormatting sqref="T30">
    <cfRule type="expression" dxfId="67" priority="54" stopIfTrue="1">
      <formula>(S30+T30)&gt;C30</formula>
    </cfRule>
  </conditionalFormatting>
  <conditionalFormatting sqref="T31">
    <cfRule type="expression" dxfId="66" priority="53" stopIfTrue="1">
      <formula>(S31+T31)&gt;C31</formula>
    </cfRule>
  </conditionalFormatting>
  <conditionalFormatting sqref="T32">
    <cfRule type="expression" dxfId="65" priority="52" stopIfTrue="1">
      <formula>(S32+T32)&gt;C32</formula>
    </cfRule>
  </conditionalFormatting>
  <conditionalFormatting sqref="T33">
    <cfRule type="expression" dxfId="64" priority="51" stopIfTrue="1">
      <formula>(S33+T33)&gt;C33</formula>
    </cfRule>
  </conditionalFormatting>
  <conditionalFormatting sqref="T34">
    <cfRule type="expression" dxfId="63" priority="50" stopIfTrue="1">
      <formula>(S34+T34)&gt;C34</formula>
    </cfRule>
  </conditionalFormatting>
  <conditionalFormatting sqref="T35:T36">
    <cfRule type="expression" dxfId="62" priority="49" stopIfTrue="1">
      <formula>(S35+T35)&gt;C35</formula>
    </cfRule>
  </conditionalFormatting>
  <conditionalFormatting sqref="T37">
    <cfRule type="expression" dxfId="61" priority="48" stopIfTrue="1">
      <formula>(S37+T37)&gt;C37</formula>
    </cfRule>
  </conditionalFormatting>
  <conditionalFormatting sqref="T40">
    <cfRule type="expression" dxfId="60" priority="47" stopIfTrue="1">
      <formula>(S40+T40)&gt;C40</formula>
    </cfRule>
  </conditionalFormatting>
  <conditionalFormatting sqref="T41">
    <cfRule type="expression" dxfId="59" priority="46" stopIfTrue="1">
      <formula>(S41+T41)&gt;C41</formula>
    </cfRule>
  </conditionalFormatting>
  <conditionalFormatting sqref="T43">
    <cfRule type="expression" dxfId="58" priority="45" stopIfTrue="1">
      <formula>(S43+T43)&gt;C43</formula>
    </cfRule>
  </conditionalFormatting>
  <conditionalFormatting sqref="T45">
    <cfRule type="expression" dxfId="57" priority="44" stopIfTrue="1">
      <formula>(S45+T45)&gt;C45</formula>
    </cfRule>
  </conditionalFormatting>
  <conditionalFormatting sqref="T46">
    <cfRule type="expression" dxfId="56" priority="43" stopIfTrue="1">
      <formula>(S46+T46)&gt;C46</formula>
    </cfRule>
  </conditionalFormatting>
  <conditionalFormatting sqref="T47">
    <cfRule type="expression" dxfId="55" priority="42" stopIfTrue="1">
      <formula>(S47+T47)&gt;C47</formula>
    </cfRule>
  </conditionalFormatting>
  <conditionalFormatting sqref="T48">
    <cfRule type="expression" dxfId="54" priority="41" stopIfTrue="1">
      <formula>(S48+T48)&gt;C48</formula>
    </cfRule>
  </conditionalFormatting>
  <conditionalFormatting sqref="T49">
    <cfRule type="expression" dxfId="53" priority="40" stopIfTrue="1">
      <formula>(S49+T49)&gt;C49</formula>
    </cfRule>
  </conditionalFormatting>
  <conditionalFormatting sqref="T50">
    <cfRule type="expression" dxfId="52" priority="39" stopIfTrue="1">
      <formula>(S50+T50)&gt;C50</formula>
    </cfRule>
  </conditionalFormatting>
  <conditionalFormatting sqref="T51">
    <cfRule type="expression" dxfId="51" priority="38" stopIfTrue="1">
      <formula>(S51+T51)&gt;C51</formula>
    </cfRule>
  </conditionalFormatting>
  <conditionalFormatting sqref="T52">
    <cfRule type="expression" dxfId="50" priority="37" stopIfTrue="1">
      <formula>(S52+T52)&gt;C52</formula>
    </cfRule>
  </conditionalFormatting>
  <conditionalFormatting sqref="T53">
    <cfRule type="expression" dxfId="49" priority="35" stopIfTrue="1">
      <formula>(S53+T53)&gt;C53</formula>
    </cfRule>
  </conditionalFormatting>
  <conditionalFormatting sqref="T65:T68">
    <cfRule type="expression" dxfId="48" priority="34" stopIfTrue="1">
      <formula>(S65+T65)&gt;C65</formula>
    </cfRule>
  </conditionalFormatting>
  <conditionalFormatting sqref="T69">
    <cfRule type="expression" dxfId="47" priority="33" stopIfTrue="1">
      <formula>(S69+T69)&gt;C69</formula>
    </cfRule>
  </conditionalFormatting>
  <conditionalFormatting sqref="T79">
    <cfRule type="expression" dxfId="46" priority="32" stopIfTrue="1">
      <formula>(S79+T79)&gt;C79</formula>
    </cfRule>
  </conditionalFormatting>
  <conditionalFormatting sqref="T80">
    <cfRule type="expression" dxfId="45" priority="31" stopIfTrue="1">
      <formula>(S80+T80)&gt;C80</formula>
    </cfRule>
  </conditionalFormatting>
  <conditionalFormatting sqref="T84">
    <cfRule type="expression" dxfId="44" priority="30" stopIfTrue="1">
      <formula>(S84+T84)&gt;C84</formula>
    </cfRule>
  </conditionalFormatting>
  <conditionalFormatting sqref="T85">
    <cfRule type="expression" dxfId="43" priority="29" stopIfTrue="1">
      <formula>(S85+T85)&gt;C85</formula>
    </cfRule>
  </conditionalFormatting>
  <conditionalFormatting sqref="T86">
    <cfRule type="expression" dxfId="42" priority="28" stopIfTrue="1">
      <formula>(S86+T86)&gt;C86</formula>
    </cfRule>
  </conditionalFormatting>
  <conditionalFormatting sqref="T87">
    <cfRule type="expression" dxfId="41" priority="27" stopIfTrue="1">
      <formula>(S87+T87)&gt;C87</formula>
    </cfRule>
  </conditionalFormatting>
  <conditionalFormatting sqref="T89">
    <cfRule type="expression" dxfId="40" priority="26" stopIfTrue="1">
      <formula>(S89+T89)&gt;C89</formula>
    </cfRule>
  </conditionalFormatting>
  <conditionalFormatting sqref="T90">
    <cfRule type="expression" dxfId="39" priority="25" stopIfTrue="1">
      <formula>(S90+T90)&gt;C90</formula>
    </cfRule>
  </conditionalFormatting>
  <conditionalFormatting sqref="T91">
    <cfRule type="expression" dxfId="38" priority="24" stopIfTrue="1">
      <formula>(S91+T91)&gt;C91</formula>
    </cfRule>
  </conditionalFormatting>
  <conditionalFormatting sqref="T92">
    <cfRule type="expression" dxfId="37" priority="23" stopIfTrue="1">
      <formula>(S92+T92)&gt;C92</formula>
    </cfRule>
  </conditionalFormatting>
  <conditionalFormatting sqref="T93">
    <cfRule type="expression" dxfId="36" priority="22" stopIfTrue="1">
      <formula>(S93+T93)&gt;C93</formula>
    </cfRule>
  </conditionalFormatting>
  <conditionalFormatting sqref="T94">
    <cfRule type="expression" dxfId="35" priority="21" stopIfTrue="1">
      <formula>(S94+T94)&gt;C94</formula>
    </cfRule>
  </conditionalFormatting>
  <conditionalFormatting sqref="T95">
    <cfRule type="expression" dxfId="34" priority="20" stopIfTrue="1">
      <formula>(S95+T95)&gt;C95</formula>
    </cfRule>
  </conditionalFormatting>
  <conditionalFormatting sqref="T99">
    <cfRule type="expression" dxfId="33" priority="17" stopIfTrue="1">
      <formula>(S99+T99)&gt;C99</formula>
    </cfRule>
  </conditionalFormatting>
  <conditionalFormatting sqref="T100">
    <cfRule type="expression" dxfId="32" priority="16" stopIfTrue="1">
      <formula>(S100+T100)&gt;C100</formula>
    </cfRule>
  </conditionalFormatting>
  <conditionalFormatting sqref="T101">
    <cfRule type="expression" dxfId="31" priority="14" stopIfTrue="1">
      <formula>(S101+T101)&gt;C101</formula>
    </cfRule>
  </conditionalFormatting>
  <conditionalFormatting sqref="T102">
    <cfRule type="expression" dxfId="30" priority="13" stopIfTrue="1">
      <formula>(S102+T102)&gt;C102</formula>
    </cfRule>
  </conditionalFormatting>
  <conditionalFormatting sqref="T103">
    <cfRule type="expression" dxfId="29" priority="12" stopIfTrue="1">
      <formula>(S103+T103)&gt;C103</formula>
    </cfRule>
  </conditionalFormatting>
  <conditionalFormatting sqref="S40">
    <cfRule type="expression" dxfId="28" priority="11" stopIfTrue="1">
      <formula>(S40+T40)&gt;C40</formula>
    </cfRule>
  </conditionalFormatting>
  <conditionalFormatting sqref="S43">
    <cfRule type="expression" dxfId="27" priority="10" stopIfTrue="1">
      <formula>(S43+T43)&gt;C43</formula>
    </cfRule>
  </conditionalFormatting>
  <conditionalFormatting sqref="S46:S48">
    <cfRule type="expression" dxfId="26" priority="9" stopIfTrue="1">
      <formula>(S46+T46)&gt;C46</formula>
    </cfRule>
  </conditionalFormatting>
  <conditionalFormatting sqref="S50:S53">
    <cfRule type="expression" dxfId="25" priority="8" stopIfTrue="1">
      <formula>(S50+T50)&gt;C50</formula>
    </cfRule>
  </conditionalFormatting>
  <conditionalFormatting sqref="S79:S80">
    <cfRule type="expression" dxfId="24" priority="7" stopIfTrue="1">
      <formula>(S79+T79)&gt;C79</formula>
    </cfRule>
  </conditionalFormatting>
  <conditionalFormatting sqref="S84:S86">
    <cfRule type="expression" dxfId="23" priority="6" stopIfTrue="1">
      <formula>(S84+T84)&gt;C84</formula>
    </cfRule>
  </conditionalFormatting>
  <conditionalFormatting sqref="S99">
    <cfRule type="expression" dxfId="22" priority="4" stopIfTrue="1">
      <formula>(S99+T99)&gt;C99</formula>
    </cfRule>
  </conditionalFormatting>
  <conditionalFormatting sqref="S45">
    <cfRule type="expression" dxfId="21" priority="3" stopIfTrue="1">
      <formula>(S45+T45)&gt;C45</formula>
    </cfRule>
  </conditionalFormatting>
  <conditionalFormatting sqref="S65:S66">
    <cfRule type="expression" dxfId="20" priority="2" stopIfTrue="1">
      <formula>(S65+T65)&gt;C65</formula>
    </cfRule>
  </conditionalFormatting>
  <conditionalFormatting sqref="S89:S93">
    <cfRule type="expression" dxfId="19"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 zoomScaleNormal="100" zoomScaleSheetLayoutView="100" workbookViewId="0">
      <selection activeCell="D10" sqref="D10"/>
    </sheetView>
  </sheetViews>
  <sheetFormatPr defaultColWidth="0" defaultRowHeight="12" zeroHeight="1"/>
  <cols>
    <col min="1" max="1" width="32.7109375" style="328" customWidth="1"/>
    <col min="2" max="3" width="12.140625" style="324" customWidth="1"/>
    <col min="4" max="6" width="12.85546875" style="324" customWidth="1"/>
    <col min="7" max="9" width="12.140625" style="324" customWidth="1"/>
    <col min="10" max="10" width="12.140625" style="325" customWidth="1"/>
    <col min="11" max="11" width="8.85546875" style="326" hidden="1" customWidth="1"/>
    <col min="12" max="21" width="8.85546875" style="324" hidden="1" customWidth="1"/>
    <col min="22" max="23" width="0" style="324" hidden="1"/>
    <col min="24" max="256" width="8.85546875" style="324" hidden="1"/>
    <col min="257" max="257" width="32.7109375" style="324" hidden="1" customWidth="1"/>
    <col min="258" max="259" width="12.140625" style="324" hidden="1" customWidth="1"/>
    <col min="260" max="260" width="12.85546875" style="324" hidden="1" customWidth="1"/>
    <col min="261" max="266" width="12.140625" style="324" hidden="1" customWidth="1"/>
    <col min="267" max="277" width="8.85546875" style="324" hidden="1" customWidth="1"/>
    <col min="278" max="512" width="8.85546875" style="324" hidden="1"/>
    <col min="513" max="513" width="32.7109375" style="324" hidden="1" customWidth="1"/>
    <col min="514" max="515" width="12.140625" style="324" hidden="1" customWidth="1"/>
    <col min="516" max="516" width="12.85546875" style="324" hidden="1" customWidth="1"/>
    <col min="517" max="522" width="12.140625" style="324" hidden="1" customWidth="1"/>
    <col min="523" max="533" width="8.85546875" style="324" hidden="1" customWidth="1"/>
    <col min="534" max="768" width="8.85546875" style="324" hidden="1"/>
    <col min="769" max="769" width="32.7109375" style="324" hidden="1" customWidth="1"/>
    <col min="770" max="771" width="12.140625" style="324" hidden="1" customWidth="1"/>
    <col min="772" max="772" width="12.85546875" style="324" hidden="1" customWidth="1"/>
    <col min="773" max="778" width="12.140625" style="324" hidden="1" customWidth="1"/>
    <col min="779" max="789" width="8.85546875" style="324" hidden="1" customWidth="1"/>
    <col min="790" max="1024" width="8.85546875" style="324" hidden="1"/>
    <col min="1025" max="1025" width="32.7109375" style="324" hidden="1" customWidth="1"/>
    <col min="1026" max="1027" width="12.140625" style="324" hidden="1" customWidth="1"/>
    <col min="1028" max="1028" width="12.85546875" style="324" hidden="1" customWidth="1"/>
    <col min="1029" max="1034" width="12.140625" style="324" hidden="1" customWidth="1"/>
    <col min="1035" max="1045" width="8.85546875" style="324" hidden="1" customWidth="1"/>
    <col min="1046" max="1280" width="8.85546875" style="324" hidden="1"/>
    <col min="1281" max="1281" width="32.7109375" style="324" hidden="1" customWidth="1"/>
    <col min="1282" max="1283" width="12.140625" style="324" hidden="1" customWidth="1"/>
    <col min="1284" max="1284" width="12.85546875" style="324" hidden="1" customWidth="1"/>
    <col min="1285" max="1290" width="12.140625" style="324" hidden="1" customWidth="1"/>
    <col min="1291" max="1301" width="8.85546875" style="324" hidden="1" customWidth="1"/>
    <col min="1302" max="1536" width="8.85546875" style="324" hidden="1"/>
    <col min="1537" max="1537" width="32.7109375" style="324" hidden="1" customWidth="1"/>
    <col min="1538" max="1539" width="12.140625" style="324" hidden="1" customWidth="1"/>
    <col min="1540" max="1540" width="12.85546875" style="324" hidden="1" customWidth="1"/>
    <col min="1541" max="1546" width="12.140625" style="324" hidden="1" customWidth="1"/>
    <col min="1547" max="1557" width="8.85546875" style="324" hidden="1" customWidth="1"/>
    <col min="1558" max="1792" width="8.85546875" style="324" hidden="1"/>
    <col min="1793" max="1793" width="32.7109375" style="324" hidden="1" customWidth="1"/>
    <col min="1794" max="1795" width="12.140625" style="324" hidden="1" customWidth="1"/>
    <col min="1796" max="1796" width="12.85546875" style="324" hidden="1" customWidth="1"/>
    <col min="1797" max="1802" width="12.140625" style="324" hidden="1" customWidth="1"/>
    <col min="1803" max="1813" width="8.85546875" style="324" hidden="1" customWidth="1"/>
    <col min="1814" max="2048" width="8.85546875" style="324" hidden="1"/>
    <col min="2049" max="2049" width="32.7109375" style="324" hidden="1" customWidth="1"/>
    <col min="2050" max="2051" width="12.140625" style="324" hidden="1" customWidth="1"/>
    <col min="2052" max="2052" width="12.85546875" style="324" hidden="1" customWidth="1"/>
    <col min="2053" max="2058" width="12.140625" style="324" hidden="1" customWidth="1"/>
    <col min="2059" max="2069" width="8.85546875" style="324" hidden="1" customWidth="1"/>
    <col min="2070" max="2304" width="8.85546875" style="324" hidden="1"/>
    <col min="2305" max="2305" width="32.7109375" style="324" hidden="1" customWidth="1"/>
    <col min="2306" max="2307" width="12.140625" style="324" hidden="1" customWidth="1"/>
    <col min="2308" max="2308" width="12.85546875" style="324" hidden="1" customWidth="1"/>
    <col min="2309" max="2314" width="12.140625" style="324" hidden="1" customWidth="1"/>
    <col min="2315" max="2325" width="8.85546875" style="324" hidden="1" customWidth="1"/>
    <col min="2326" max="2560" width="8.85546875" style="324" hidden="1"/>
    <col min="2561" max="2561" width="32.7109375" style="324" hidden="1" customWidth="1"/>
    <col min="2562" max="2563" width="12.140625" style="324" hidden="1" customWidth="1"/>
    <col min="2564" max="2564" width="12.85546875" style="324" hidden="1" customWidth="1"/>
    <col min="2565" max="2570" width="12.140625" style="324" hidden="1" customWidth="1"/>
    <col min="2571" max="2581" width="8.85546875" style="324" hidden="1" customWidth="1"/>
    <col min="2582" max="2816" width="8.85546875" style="324" hidden="1"/>
    <col min="2817" max="2817" width="32.7109375" style="324" hidden="1" customWidth="1"/>
    <col min="2818" max="2819" width="12.140625" style="324" hidden="1" customWidth="1"/>
    <col min="2820" max="2820" width="12.85546875" style="324" hidden="1" customWidth="1"/>
    <col min="2821" max="2826" width="12.140625" style="324" hidden="1" customWidth="1"/>
    <col min="2827" max="2837" width="8.85546875" style="324" hidden="1" customWidth="1"/>
    <col min="2838" max="3072" width="8.85546875" style="324" hidden="1"/>
    <col min="3073" max="3073" width="32.7109375" style="324" hidden="1" customWidth="1"/>
    <col min="3074" max="3075" width="12.140625" style="324" hidden="1" customWidth="1"/>
    <col min="3076" max="3076" width="12.85546875" style="324" hidden="1" customWidth="1"/>
    <col min="3077" max="3082" width="12.140625" style="324" hidden="1" customWidth="1"/>
    <col min="3083" max="3093" width="8.85546875" style="324" hidden="1" customWidth="1"/>
    <col min="3094" max="3328" width="8.85546875" style="324" hidden="1"/>
    <col min="3329" max="3329" width="32.7109375" style="324" hidden="1" customWidth="1"/>
    <col min="3330" max="3331" width="12.140625" style="324" hidden="1" customWidth="1"/>
    <col min="3332" max="3332" width="12.85546875" style="324" hidden="1" customWidth="1"/>
    <col min="3333" max="3338" width="12.140625" style="324" hidden="1" customWidth="1"/>
    <col min="3339" max="3349" width="8.85546875" style="324" hidden="1" customWidth="1"/>
    <col min="3350" max="3584" width="8.85546875" style="324" hidden="1"/>
    <col min="3585" max="3585" width="32.7109375" style="324" hidden="1" customWidth="1"/>
    <col min="3586" max="3587" width="12.140625" style="324" hidden="1" customWidth="1"/>
    <col min="3588" max="3588" width="12.85546875" style="324" hidden="1" customWidth="1"/>
    <col min="3589" max="3594" width="12.140625" style="324" hidden="1" customWidth="1"/>
    <col min="3595" max="3605" width="8.85546875" style="324" hidden="1" customWidth="1"/>
    <col min="3606" max="3840" width="8.85546875" style="324" hidden="1"/>
    <col min="3841" max="3841" width="32.7109375" style="324" hidden="1" customWidth="1"/>
    <col min="3842" max="3843" width="12.140625" style="324" hidden="1" customWidth="1"/>
    <col min="3844" max="3844" width="12.85546875" style="324" hidden="1" customWidth="1"/>
    <col min="3845" max="3850" width="12.140625" style="324" hidden="1" customWidth="1"/>
    <col min="3851" max="3861" width="8.85546875" style="324" hidden="1" customWidth="1"/>
    <col min="3862" max="4096" width="8.85546875" style="324" hidden="1"/>
    <col min="4097" max="4097" width="32.7109375" style="324" hidden="1" customWidth="1"/>
    <col min="4098" max="4099" width="12.140625" style="324" hidden="1" customWidth="1"/>
    <col min="4100" max="4100" width="12.85546875" style="324" hidden="1" customWidth="1"/>
    <col min="4101" max="4106" width="12.140625" style="324" hidden="1" customWidth="1"/>
    <col min="4107" max="4117" width="8.85546875" style="324" hidden="1" customWidth="1"/>
    <col min="4118" max="4352" width="8.85546875" style="324" hidden="1"/>
    <col min="4353" max="4353" width="32.7109375" style="324" hidden="1" customWidth="1"/>
    <col min="4354" max="4355" width="12.140625" style="324" hidden="1" customWidth="1"/>
    <col min="4356" max="4356" width="12.85546875" style="324" hidden="1" customWidth="1"/>
    <col min="4357" max="4362" width="12.140625" style="324" hidden="1" customWidth="1"/>
    <col min="4363" max="4373" width="8.85546875" style="324" hidden="1" customWidth="1"/>
    <col min="4374" max="4608" width="8.85546875" style="324" hidden="1"/>
    <col min="4609" max="4609" width="32.7109375" style="324" hidden="1" customWidth="1"/>
    <col min="4610" max="4611" width="12.140625" style="324" hidden="1" customWidth="1"/>
    <col min="4612" max="4612" width="12.85546875" style="324" hidden="1" customWidth="1"/>
    <col min="4613" max="4618" width="12.140625" style="324" hidden="1" customWidth="1"/>
    <col min="4619" max="4629" width="8.85546875" style="324" hidden="1" customWidth="1"/>
    <col min="4630" max="4864" width="8.85546875" style="324" hidden="1"/>
    <col min="4865" max="4865" width="32.7109375" style="324" hidden="1" customWidth="1"/>
    <col min="4866" max="4867" width="12.140625" style="324" hidden="1" customWidth="1"/>
    <col min="4868" max="4868" width="12.85546875" style="324" hidden="1" customWidth="1"/>
    <col min="4869" max="4874" width="12.140625" style="324" hidden="1" customWidth="1"/>
    <col min="4875" max="4885" width="8.85546875" style="324" hidden="1" customWidth="1"/>
    <col min="4886" max="5120" width="8.85546875" style="324" hidden="1"/>
    <col min="5121" max="5121" width="32.7109375" style="324" hidden="1" customWidth="1"/>
    <col min="5122" max="5123" width="12.140625" style="324" hidden="1" customWidth="1"/>
    <col min="5124" max="5124" width="12.85546875" style="324" hidden="1" customWidth="1"/>
    <col min="5125" max="5130" width="12.140625" style="324" hidden="1" customWidth="1"/>
    <col min="5131" max="5141" width="8.85546875" style="324" hidden="1" customWidth="1"/>
    <col min="5142" max="5376" width="8.85546875" style="324" hidden="1"/>
    <col min="5377" max="5377" width="32.7109375" style="324" hidden="1" customWidth="1"/>
    <col min="5378" max="5379" width="12.140625" style="324" hidden="1" customWidth="1"/>
    <col min="5380" max="5380" width="12.85546875" style="324" hidden="1" customWidth="1"/>
    <col min="5381" max="5386" width="12.140625" style="324" hidden="1" customWidth="1"/>
    <col min="5387" max="5397" width="8.85546875" style="324" hidden="1" customWidth="1"/>
    <col min="5398" max="5632" width="8.85546875" style="324" hidden="1"/>
    <col min="5633" max="5633" width="32.7109375" style="324" hidden="1" customWidth="1"/>
    <col min="5634" max="5635" width="12.140625" style="324" hidden="1" customWidth="1"/>
    <col min="5636" max="5636" width="12.85546875" style="324" hidden="1" customWidth="1"/>
    <col min="5637" max="5642" width="12.140625" style="324" hidden="1" customWidth="1"/>
    <col min="5643" max="5653" width="8.85546875" style="324" hidden="1" customWidth="1"/>
    <col min="5654" max="5888" width="8.85546875" style="324" hidden="1"/>
    <col min="5889" max="5889" width="32.7109375" style="324" hidden="1" customWidth="1"/>
    <col min="5890" max="5891" width="12.140625" style="324" hidden="1" customWidth="1"/>
    <col min="5892" max="5892" width="12.85546875" style="324" hidden="1" customWidth="1"/>
    <col min="5893" max="5898" width="12.140625" style="324" hidden="1" customWidth="1"/>
    <col min="5899" max="5909" width="8.85546875" style="324" hidden="1" customWidth="1"/>
    <col min="5910" max="6144" width="8.85546875" style="324" hidden="1"/>
    <col min="6145" max="6145" width="32.7109375" style="324" hidden="1" customWidth="1"/>
    <col min="6146" max="6147" width="12.140625" style="324" hidden="1" customWidth="1"/>
    <col min="6148" max="6148" width="12.85546875" style="324" hidden="1" customWidth="1"/>
    <col min="6149" max="6154" width="12.140625" style="324" hidden="1" customWidth="1"/>
    <col min="6155" max="6165" width="8.85546875" style="324" hidden="1" customWidth="1"/>
    <col min="6166" max="6400" width="8.85546875" style="324" hidden="1"/>
    <col min="6401" max="6401" width="32.7109375" style="324" hidden="1" customWidth="1"/>
    <col min="6402" max="6403" width="12.140625" style="324" hidden="1" customWidth="1"/>
    <col min="6404" max="6404" width="12.85546875" style="324" hidden="1" customWidth="1"/>
    <col min="6405" max="6410" width="12.140625" style="324" hidden="1" customWidth="1"/>
    <col min="6411" max="6421" width="8.85546875" style="324" hidden="1" customWidth="1"/>
    <col min="6422" max="6656" width="8.85546875" style="324" hidden="1"/>
    <col min="6657" max="6657" width="32.7109375" style="324" hidden="1" customWidth="1"/>
    <col min="6658" max="6659" width="12.140625" style="324" hidden="1" customWidth="1"/>
    <col min="6660" max="6660" width="12.85546875" style="324" hidden="1" customWidth="1"/>
    <col min="6661" max="6666" width="12.140625" style="324" hidden="1" customWidth="1"/>
    <col min="6667" max="6677" width="8.85546875" style="324" hidden="1" customWidth="1"/>
    <col min="6678" max="6912" width="8.85546875" style="324" hidden="1"/>
    <col min="6913" max="6913" width="32.7109375" style="324" hidden="1" customWidth="1"/>
    <col min="6914" max="6915" width="12.140625" style="324" hidden="1" customWidth="1"/>
    <col min="6916" max="6916" width="12.85546875" style="324" hidden="1" customWidth="1"/>
    <col min="6917" max="6922" width="12.140625" style="324" hidden="1" customWidth="1"/>
    <col min="6923" max="6933" width="8.85546875" style="324" hidden="1" customWidth="1"/>
    <col min="6934" max="7168" width="8.85546875" style="324" hidden="1"/>
    <col min="7169" max="7169" width="32.7109375" style="324" hidden="1" customWidth="1"/>
    <col min="7170" max="7171" width="12.140625" style="324" hidden="1" customWidth="1"/>
    <col min="7172" max="7172" width="12.85546875" style="324" hidden="1" customWidth="1"/>
    <col min="7173" max="7178" width="12.140625" style="324" hidden="1" customWidth="1"/>
    <col min="7179" max="7189" width="8.85546875" style="324" hidden="1" customWidth="1"/>
    <col min="7190" max="7424" width="8.85546875" style="324" hidden="1"/>
    <col min="7425" max="7425" width="32.7109375" style="324" hidden="1" customWidth="1"/>
    <col min="7426" max="7427" width="12.140625" style="324" hidden="1" customWidth="1"/>
    <col min="7428" max="7428" width="12.85546875" style="324" hidden="1" customWidth="1"/>
    <col min="7429" max="7434" width="12.140625" style="324" hidden="1" customWidth="1"/>
    <col min="7435" max="7445" width="8.85546875" style="324" hidden="1" customWidth="1"/>
    <col min="7446" max="7680" width="8.85546875" style="324" hidden="1"/>
    <col min="7681" max="7681" width="32.7109375" style="324" hidden="1" customWidth="1"/>
    <col min="7682" max="7683" width="12.140625" style="324" hidden="1" customWidth="1"/>
    <col min="7684" max="7684" width="12.85546875" style="324" hidden="1" customWidth="1"/>
    <col min="7685" max="7690" width="12.140625" style="324" hidden="1" customWidth="1"/>
    <col min="7691" max="7701" width="8.85546875" style="324" hidden="1" customWidth="1"/>
    <col min="7702" max="7936" width="8.85546875" style="324" hidden="1"/>
    <col min="7937" max="7937" width="32.7109375" style="324" hidden="1" customWidth="1"/>
    <col min="7938" max="7939" width="12.140625" style="324" hidden="1" customWidth="1"/>
    <col min="7940" max="7940" width="12.85546875" style="324" hidden="1" customWidth="1"/>
    <col min="7941" max="7946" width="12.140625" style="324" hidden="1" customWidth="1"/>
    <col min="7947" max="7957" width="8.85546875" style="324" hidden="1" customWidth="1"/>
    <col min="7958" max="8192" width="8.85546875" style="324" hidden="1"/>
    <col min="8193" max="8193" width="32.7109375" style="324" hidden="1" customWidth="1"/>
    <col min="8194" max="8195" width="12.140625" style="324" hidden="1" customWidth="1"/>
    <col min="8196" max="8196" width="12.85546875" style="324" hidden="1" customWidth="1"/>
    <col min="8197" max="8202" width="12.140625" style="324" hidden="1" customWidth="1"/>
    <col min="8203" max="8213" width="8.85546875" style="324" hidden="1" customWidth="1"/>
    <col min="8214" max="8448" width="8.85546875" style="324" hidden="1"/>
    <col min="8449" max="8449" width="32.7109375" style="324" hidden="1" customWidth="1"/>
    <col min="8450" max="8451" width="12.140625" style="324" hidden="1" customWidth="1"/>
    <col min="8452" max="8452" width="12.85546875" style="324" hidden="1" customWidth="1"/>
    <col min="8453" max="8458" width="12.140625" style="324" hidden="1" customWidth="1"/>
    <col min="8459" max="8469" width="8.85546875" style="324" hidden="1" customWidth="1"/>
    <col min="8470" max="8704" width="8.85546875" style="324" hidden="1"/>
    <col min="8705" max="8705" width="32.7109375" style="324" hidden="1" customWidth="1"/>
    <col min="8706" max="8707" width="12.140625" style="324" hidden="1" customWidth="1"/>
    <col min="8708" max="8708" width="12.85546875" style="324" hidden="1" customWidth="1"/>
    <col min="8709" max="8714" width="12.140625" style="324" hidden="1" customWidth="1"/>
    <col min="8715" max="8725" width="8.85546875" style="324" hidden="1" customWidth="1"/>
    <col min="8726" max="8960" width="8.85546875" style="324" hidden="1"/>
    <col min="8961" max="8961" width="32.7109375" style="324" hidden="1" customWidth="1"/>
    <col min="8962" max="8963" width="12.140625" style="324" hidden="1" customWidth="1"/>
    <col min="8964" max="8964" width="12.85546875" style="324" hidden="1" customWidth="1"/>
    <col min="8965" max="8970" width="12.140625" style="324" hidden="1" customWidth="1"/>
    <col min="8971" max="8981" width="8.85546875" style="324" hidden="1" customWidth="1"/>
    <col min="8982" max="9216" width="8.85546875" style="324" hidden="1"/>
    <col min="9217" max="9217" width="32.7109375" style="324" hidden="1" customWidth="1"/>
    <col min="9218" max="9219" width="12.140625" style="324" hidden="1" customWidth="1"/>
    <col min="9220" max="9220" width="12.85546875" style="324" hidden="1" customWidth="1"/>
    <col min="9221" max="9226" width="12.140625" style="324" hidden="1" customWidth="1"/>
    <col min="9227" max="9237" width="8.85546875" style="324" hidden="1" customWidth="1"/>
    <col min="9238" max="9472" width="8.85546875" style="324" hidden="1"/>
    <col min="9473" max="9473" width="32.7109375" style="324" hidden="1" customWidth="1"/>
    <col min="9474" max="9475" width="12.140625" style="324" hidden="1" customWidth="1"/>
    <col min="9476" max="9476" width="12.85546875" style="324" hidden="1" customWidth="1"/>
    <col min="9477" max="9482" width="12.140625" style="324" hidden="1" customWidth="1"/>
    <col min="9483" max="9493" width="8.85546875" style="324" hidden="1" customWidth="1"/>
    <col min="9494" max="9728" width="8.85546875" style="324" hidden="1"/>
    <col min="9729" max="9729" width="32.7109375" style="324" hidden="1" customWidth="1"/>
    <col min="9730" max="9731" width="12.140625" style="324" hidden="1" customWidth="1"/>
    <col min="9732" max="9732" width="12.85546875" style="324" hidden="1" customWidth="1"/>
    <col min="9733" max="9738" width="12.140625" style="324" hidden="1" customWidth="1"/>
    <col min="9739" max="9749" width="8.85546875" style="324" hidden="1" customWidth="1"/>
    <col min="9750" max="9984" width="8.85546875" style="324" hidden="1"/>
    <col min="9985" max="9985" width="32.7109375" style="324" hidden="1" customWidth="1"/>
    <col min="9986" max="9987" width="12.140625" style="324" hidden="1" customWidth="1"/>
    <col min="9988" max="9988" width="12.85546875" style="324" hidden="1" customWidth="1"/>
    <col min="9989" max="9994" width="12.140625" style="324" hidden="1" customWidth="1"/>
    <col min="9995" max="10005" width="8.85546875" style="324" hidden="1" customWidth="1"/>
    <col min="10006" max="10240" width="8.85546875" style="324" hidden="1"/>
    <col min="10241" max="10241" width="32.7109375" style="324" hidden="1" customWidth="1"/>
    <col min="10242" max="10243" width="12.140625" style="324" hidden="1" customWidth="1"/>
    <col min="10244" max="10244" width="12.85546875" style="324" hidden="1" customWidth="1"/>
    <col min="10245" max="10250" width="12.140625" style="324" hidden="1" customWidth="1"/>
    <col min="10251" max="10261" width="8.85546875" style="324" hidden="1" customWidth="1"/>
    <col min="10262" max="10496" width="8.85546875" style="324" hidden="1"/>
    <col min="10497" max="10497" width="32.7109375" style="324" hidden="1" customWidth="1"/>
    <col min="10498" max="10499" width="12.140625" style="324" hidden="1" customWidth="1"/>
    <col min="10500" max="10500" width="12.85546875" style="324" hidden="1" customWidth="1"/>
    <col min="10501" max="10506" width="12.140625" style="324" hidden="1" customWidth="1"/>
    <col min="10507" max="10517" width="8.85546875" style="324" hidden="1" customWidth="1"/>
    <col min="10518" max="10752" width="8.85546875" style="324" hidden="1"/>
    <col min="10753" max="10753" width="32.7109375" style="324" hidden="1" customWidth="1"/>
    <col min="10754" max="10755" width="12.140625" style="324" hidden="1" customWidth="1"/>
    <col min="10756" max="10756" width="12.85546875" style="324" hidden="1" customWidth="1"/>
    <col min="10757" max="10762" width="12.140625" style="324" hidden="1" customWidth="1"/>
    <col min="10763" max="10773" width="8.85546875" style="324" hidden="1" customWidth="1"/>
    <col min="10774" max="11008" width="8.85546875" style="324" hidden="1"/>
    <col min="11009" max="11009" width="32.7109375" style="324" hidden="1" customWidth="1"/>
    <col min="11010" max="11011" width="12.140625" style="324" hidden="1" customWidth="1"/>
    <col min="11012" max="11012" width="12.85546875" style="324" hidden="1" customWidth="1"/>
    <col min="11013" max="11018" width="12.140625" style="324" hidden="1" customWidth="1"/>
    <col min="11019" max="11029" width="8.85546875" style="324" hidden="1" customWidth="1"/>
    <col min="11030" max="11264" width="8.85546875" style="324" hidden="1"/>
    <col min="11265" max="11265" width="32.7109375" style="324" hidden="1" customWidth="1"/>
    <col min="11266" max="11267" width="12.140625" style="324" hidden="1" customWidth="1"/>
    <col min="11268" max="11268" width="12.85546875" style="324" hidden="1" customWidth="1"/>
    <col min="11269" max="11274" width="12.140625" style="324" hidden="1" customWidth="1"/>
    <col min="11275" max="11285" width="8.85546875" style="324" hidden="1" customWidth="1"/>
    <col min="11286" max="11520" width="8.85546875" style="324" hidden="1"/>
    <col min="11521" max="11521" width="32.7109375" style="324" hidden="1" customWidth="1"/>
    <col min="11522" max="11523" width="12.140625" style="324" hidden="1" customWidth="1"/>
    <col min="11524" max="11524" width="12.85546875" style="324" hidden="1" customWidth="1"/>
    <col min="11525" max="11530" width="12.140625" style="324" hidden="1" customWidth="1"/>
    <col min="11531" max="11541" width="8.85546875" style="324" hidden="1" customWidth="1"/>
    <col min="11542" max="11776" width="8.85546875" style="324" hidden="1"/>
    <col min="11777" max="11777" width="32.7109375" style="324" hidden="1" customWidth="1"/>
    <col min="11778" max="11779" width="12.140625" style="324" hidden="1" customWidth="1"/>
    <col min="11780" max="11780" width="12.85546875" style="324" hidden="1" customWidth="1"/>
    <col min="11781" max="11786" width="12.140625" style="324" hidden="1" customWidth="1"/>
    <col min="11787" max="11797" width="8.85546875" style="324" hidden="1" customWidth="1"/>
    <col min="11798" max="12032" width="8.85546875" style="324" hidden="1"/>
    <col min="12033" max="12033" width="32.7109375" style="324" hidden="1" customWidth="1"/>
    <col min="12034" max="12035" width="12.140625" style="324" hidden="1" customWidth="1"/>
    <col min="12036" max="12036" width="12.85546875" style="324" hidden="1" customWidth="1"/>
    <col min="12037" max="12042" width="12.140625" style="324" hidden="1" customWidth="1"/>
    <col min="12043" max="12053" width="8.85546875" style="324" hidden="1" customWidth="1"/>
    <col min="12054" max="12288" width="8.85546875" style="324" hidden="1"/>
    <col min="12289" max="12289" width="32.7109375" style="324" hidden="1" customWidth="1"/>
    <col min="12290" max="12291" width="12.140625" style="324" hidden="1" customWidth="1"/>
    <col min="12292" max="12292" width="12.85546875" style="324" hidden="1" customWidth="1"/>
    <col min="12293" max="12298" width="12.140625" style="324" hidden="1" customWidth="1"/>
    <col min="12299" max="12309" width="8.85546875" style="324" hidden="1" customWidth="1"/>
    <col min="12310" max="12544" width="8.85546875" style="324" hidden="1"/>
    <col min="12545" max="12545" width="32.7109375" style="324" hidden="1" customWidth="1"/>
    <col min="12546" max="12547" width="12.140625" style="324" hidden="1" customWidth="1"/>
    <col min="12548" max="12548" width="12.85546875" style="324" hidden="1" customWidth="1"/>
    <col min="12549" max="12554" width="12.140625" style="324" hidden="1" customWidth="1"/>
    <col min="12555" max="12565" width="8.85546875" style="324" hidden="1" customWidth="1"/>
    <col min="12566" max="12800" width="8.85546875" style="324" hidden="1"/>
    <col min="12801" max="12801" width="32.7109375" style="324" hidden="1" customWidth="1"/>
    <col min="12802" max="12803" width="12.140625" style="324" hidden="1" customWidth="1"/>
    <col min="12804" max="12804" width="12.85546875" style="324" hidden="1" customWidth="1"/>
    <col min="12805" max="12810" width="12.140625" style="324" hidden="1" customWidth="1"/>
    <col min="12811" max="12821" width="8.85546875" style="324" hidden="1" customWidth="1"/>
    <col min="12822" max="13056" width="8.85546875" style="324" hidden="1"/>
    <col min="13057" max="13057" width="32.7109375" style="324" hidden="1" customWidth="1"/>
    <col min="13058" max="13059" width="12.140625" style="324" hidden="1" customWidth="1"/>
    <col min="13060" max="13060" width="12.85546875" style="324" hidden="1" customWidth="1"/>
    <col min="13061" max="13066" width="12.140625" style="324" hidden="1" customWidth="1"/>
    <col min="13067" max="13077" width="8.85546875" style="324" hidden="1" customWidth="1"/>
    <col min="13078" max="13312" width="8.85546875" style="324" hidden="1"/>
    <col min="13313" max="13313" width="32.7109375" style="324" hidden="1" customWidth="1"/>
    <col min="13314" max="13315" width="12.140625" style="324" hidden="1" customWidth="1"/>
    <col min="13316" max="13316" width="12.85546875" style="324" hidden="1" customWidth="1"/>
    <col min="13317" max="13322" width="12.140625" style="324" hidden="1" customWidth="1"/>
    <col min="13323" max="13333" width="8.85546875" style="324" hidden="1" customWidth="1"/>
    <col min="13334" max="13568" width="8.85546875" style="324" hidden="1"/>
    <col min="13569" max="13569" width="32.7109375" style="324" hidden="1" customWidth="1"/>
    <col min="13570" max="13571" width="12.140625" style="324" hidden="1" customWidth="1"/>
    <col min="13572" max="13572" width="12.85546875" style="324" hidden="1" customWidth="1"/>
    <col min="13573" max="13578" width="12.140625" style="324" hidden="1" customWidth="1"/>
    <col min="13579" max="13589" width="8.85546875" style="324" hidden="1" customWidth="1"/>
    <col min="13590" max="13824" width="8.85546875" style="324" hidden="1"/>
    <col min="13825" max="13825" width="32.7109375" style="324" hidden="1" customWidth="1"/>
    <col min="13826" max="13827" width="12.140625" style="324" hidden="1" customWidth="1"/>
    <col min="13828" max="13828" width="12.85546875" style="324" hidden="1" customWidth="1"/>
    <col min="13829" max="13834" width="12.140625" style="324" hidden="1" customWidth="1"/>
    <col min="13835" max="13845" width="8.85546875" style="324" hidden="1" customWidth="1"/>
    <col min="13846" max="14080" width="8.85546875" style="324" hidden="1"/>
    <col min="14081" max="14081" width="32.7109375" style="324" hidden="1" customWidth="1"/>
    <col min="14082" max="14083" width="12.140625" style="324" hidden="1" customWidth="1"/>
    <col min="14084" max="14084" width="12.85546875" style="324" hidden="1" customWidth="1"/>
    <col min="14085" max="14090" width="12.140625" style="324" hidden="1" customWidth="1"/>
    <col min="14091" max="14101" width="8.85546875" style="324" hidden="1" customWidth="1"/>
    <col min="14102" max="14336" width="8.85546875" style="324" hidden="1"/>
    <col min="14337" max="14337" width="32.7109375" style="324" hidden="1" customWidth="1"/>
    <col min="14338" max="14339" width="12.140625" style="324" hidden="1" customWidth="1"/>
    <col min="14340" max="14340" width="12.85546875" style="324" hidden="1" customWidth="1"/>
    <col min="14341" max="14346" width="12.140625" style="324" hidden="1" customWidth="1"/>
    <col min="14347" max="14357" width="8.85546875" style="324" hidden="1" customWidth="1"/>
    <col min="14358" max="14592" width="8.85546875" style="324" hidden="1"/>
    <col min="14593" max="14593" width="32.7109375" style="324" hidden="1" customWidth="1"/>
    <col min="14594" max="14595" width="12.140625" style="324" hidden="1" customWidth="1"/>
    <col min="14596" max="14596" width="12.85546875" style="324" hidden="1" customWidth="1"/>
    <col min="14597" max="14602" width="12.140625" style="324" hidden="1" customWidth="1"/>
    <col min="14603" max="14613" width="8.85546875" style="324" hidden="1" customWidth="1"/>
    <col min="14614" max="14848" width="8.85546875" style="324" hidden="1"/>
    <col min="14849" max="14849" width="32.7109375" style="324" hidden="1" customWidth="1"/>
    <col min="14850" max="14851" width="12.140625" style="324" hidden="1" customWidth="1"/>
    <col min="14852" max="14852" width="12.85546875" style="324" hidden="1" customWidth="1"/>
    <col min="14853" max="14858" width="12.140625" style="324" hidden="1" customWidth="1"/>
    <col min="14859" max="14869" width="8.85546875" style="324" hidden="1" customWidth="1"/>
    <col min="14870" max="15104" width="8.85546875" style="324" hidden="1"/>
    <col min="15105" max="15105" width="32.7109375" style="324" hidden="1" customWidth="1"/>
    <col min="15106" max="15107" width="12.140625" style="324" hidden="1" customWidth="1"/>
    <col min="15108" max="15108" width="12.85546875" style="324" hidden="1" customWidth="1"/>
    <col min="15109" max="15114" width="12.140625" style="324" hidden="1" customWidth="1"/>
    <col min="15115" max="15125" width="8.85546875" style="324" hidden="1" customWidth="1"/>
    <col min="15126" max="15360" width="8.85546875" style="324" hidden="1"/>
    <col min="15361" max="15361" width="32.7109375" style="324" hidden="1" customWidth="1"/>
    <col min="15362" max="15363" width="12.140625" style="324" hidden="1" customWidth="1"/>
    <col min="15364" max="15364" width="12.85546875" style="324" hidden="1" customWidth="1"/>
    <col min="15365" max="15370" width="12.140625" style="324" hidden="1" customWidth="1"/>
    <col min="15371" max="15381" width="8.85546875" style="324" hidden="1" customWidth="1"/>
    <col min="15382" max="15616" width="8.85546875" style="324" hidden="1"/>
    <col min="15617" max="15617" width="32.7109375" style="324" hidden="1" customWidth="1"/>
    <col min="15618" max="15619" width="12.140625" style="324" hidden="1" customWidth="1"/>
    <col min="15620" max="15620" width="12.85546875" style="324" hidden="1" customWidth="1"/>
    <col min="15621" max="15626" width="12.140625" style="324" hidden="1" customWidth="1"/>
    <col min="15627" max="15637" width="8.85546875" style="324" hidden="1" customWidth="1"/>
    <col min="15638" max="15872" width="8.85546875" style="324" hidden="1"/>
    <col min="15873" max="15873" width="32.7109375" style="324" hidden="1" customWidth="1"/>
    <col min="15874" max="15875" width="12.140625" style="324" hidden="1" customWidth="1"/>
    <col min="15876" max="15876" width="12.85546875" style="324" hidden="1" customWidth="1"/>
    <col min="15877" max="15882" width="12.140625" style="324" hidden="1" customWidth="1"/>
    <col min="15883" max="15893" width="8.85546875" style="324" hidden="1" customWidth="1"/>
    <col min="15894" max="16128" width="8.85546875" style="324" hidden="1"/>
    <col min="16129" max="16129" width="32.7109375" style="324" hidden="1" customWidth="1"/>
    <col min="16130" max="16131" width="12.140625" style="324" hidden="1" customWidth="1"/>
    <col min="16132" max="16132" width="12.85546875" style="324" hidden="1" customWidth="1"/>
    <col min="16133" max="16138" width="12.140625" style="324" hidden="1" customWidth="1"/>
    <col min="16139" max="16149" width="8.85546875" style="324" hidden="1" customWidth="1"/>
    <col min="16150" max="16384" width="8.85546875" style="324" hidden="1"/>
  </cols>
  <sheetData>
    <row r="1" spans="1:11" s="287" customFormat="1" ht="12.75">
      <c r="A1" s="1720" t="s">
        <v>1908</v>
      </c>
      <c r="B1" s="1721"/>
      <c r="C1" s="1721"/>
      <c r="D1" s="1721"/>
      <c r="E1" s="1721"/>
      <c r="F1" s="1721"/>
      <c r="G1" s="1721"/>
      <c r="H1" s="1721"/>
      <c r="I1" s="1721"/>
      <c r="J1" s="1722"/>
      <c r="K1" s="286"/>
    </row>
    <row r="2" spans="1:11" s="332" customFormat="1" ht="72">
      <c r="A2" s="329"/>
      <c r="B2" s="330" t="s">
        <v>1909</v>
      </c>
      <c r="C2" s="330" t="s">
        <v>1910</v>
      </c>
      <c r="D2" s="330" t="s">
        <v>1911</v>
      </c>
      <c r="E2" s="330" t="s">
        <v>1912</v>
      </c>
      <c r="F2" s="330" t="s">
        <v>1913</v>
      </c>
      <c r="G2" s="330" t="s">
        <v>1914</v>
      </c>
      <c r="H2" s="330" t="s">
        <v>1915</v>
      </c>
      <c r="I2" s="330" t="s">
        <v>1916</v>
      </c>
      <c r="J2" s="330" t="s">
        <v>1917</v>
      </c>
      <c r="K2" s="331"/>
    </row>
    <row r="3" spans="1:11" s="291" customFormat="1">
      <c r="A3" s="288" t="s">
        <v>1791</v>
      </c>
      <c r="B3" s="289"/>
      <c r="C3" s="289"/>
      <c r="D3" s="289"/>
      <c r="E3" s="289"/>
      <c r="F3" s="289"/>
      <c r="G3" s="289"/>
      <c r="H3" s="289"/>
      <c r="I3" s="289"/>
      <c r="J3" s="289"/>
      <c r="K3" s="290"/>
    </row>
    <row r="4" spans="1:11" s="291" customFormat="1">
      <c r="A4" s="295" t="s">
        <v>1792</v>
      </c>
      <c r="B4" s="292">
        <f>'Sources and Uses Budget'!C4</f>
        <v>3500000</v>
      </c>
      <c r="C4" s="293"/>
      <c r="D4" s="293">
        <f>B4</f>
        <v>3500000</v>
      </c>
      <c r="E4" s="294"/>
      <c r="F4" s="294"/>
      <c r="G4" s="294"/>
      <c r="H4" s="294"/>
      <c r="I4" s="294"/>
      <c r="J4" s="294"/>
      <c r="K4" s="290"/>
    </row>
    <row r="5" spans="1:11" s="291" customFormat="1">
      <c r="A5" s="295" t="s">
        <v>1793</v>
      </c>
      <c r="B5" s="292">
        <f>'Sources and Uses Budget'!C5</f>
        <v>0</v>
      </c>
      <c r="C5" s="293"/>
      <c r="D5" s="293">
        <f t="shared" ref="D5:D7" si="0">B5</f>
        <v>0</v>
      </c>
      <c r="E5" s="294"/>
      <c r="F5" s="294"/>
      <c r="G5" s="294"/>
      <c r="H5" s="294"/>
      <c r="I5" s="294"/>
      <c r="J5" s="294"/>
      <c r="K5" s="290"/>
    </row>
    <row r="6" spans="1:11" s="291" customFormat="1">
      <c r="A6" s="295" t="s">
        <v>1794</v>
      </c>
      <c r="B6" s="292">
        <f>'Sources and Uses Budget'!C6</f>
        <v>5000</v>
      </c>
      <c r="C6" s="293"/>
      <c r="D6" s="293">
        <f t="shared" si="0"/>
        <v>5000</v>
      </c>
      <c r="E6" s="294"/>
      <c r="F6" s="294"/>
      <c r="G6" s="294"/>
      <c r="H6" s="294"/>
      <c r="I6" s="294"/>
      <c r="J6" s="294"/>
      <c r="K6" s="290"/>
    </row>
    <row r="7" spans="1:11" s="291" customFormat="1">
      <c r="A7" s="295" t="s">
        <v>1795</v>
      </c>
      <c r="B7" s="292">
        <f>'Sources and Uses Budget'!C7</f>
        <v>0</v>
      </c>
      <c r="C7" s="293"/>
      <c r="D7" s="293">
        <f t="shared" si="0"/>
        <v>0</v>
      </c>
      <c r="E7" s="294"/>
      <c r="F7" s="294"/>
      <c r="G7" s="294"/>
      <c r="H7" s="294"/>
      <c r="I7" s="294"/>
      <c r="J7" s="294"/>
      <c r="K7" s="290"/>
    </row>
    <row r="8" spans="1:11" s="291" customFormat="1">
      <c r="A8" s="296" t="s">
        <v>1796</v>
      </c>
      <c r="B8" s="292">
        <f>'Sources and Uses Budget'!C8</f>
        <v>3505000</v>
      </c>
      <c r="C8" s="292">
        <f>SUM(C4:C7)</f>
        <v>0</v>
      </c>
      <c r="D8" s="292">
        <f>SUM(D4:D7)</f>
        <v>3505000</v>
      </c>
      <c r="E8" s="294"/>
      <c r="F8" s="294"/>
      <c r="G8" s="294"/>
      <c r="H8" s="294"/>
      <c r="I8" s="294"/>
      <c r="J8" s="294"/>
      <c r="K8" s="290"/>
    </row>
    <row r="9" spans="1:11" s="291" customFormat="1">
      <c r="A9" s="295" t="s">
        <v>1797</v>
      </c>
      <c r="B9" s="292">
        <f>'Sources and Uses Budget'!C9</f>
        <v>2020000</v>
      </c>
      <c r="C9" s="293"/>
      <c r="D9" s="293">
        <f>B9</f>
        <v>2020000</v>
      </c>
      <c r="E9" s="294"/>
      <c r="F9" s="294"/>
      <c r="G9" s="294"/>
      <c r="H9" s="292">
        <f>'Sources and Uses Budget'!T9</f>
        <v>0</v>
      </c>
      <c r="I9" s="293"/>
      <c r="J9" s="293"/>
      <c r="K9" s="290"/>
    </row>
    <row r="10" spans="1:11" s="291" customFormat="1">
      <c r="A10" s="295" t="s">
        <v>1798</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1799</v>
      </c>
      <c r="B11" s="292">
        <f>'Sources and Uses Budget'!C11</f>
        <v>2020000</v>
      </c>
      <c r="C11" s="292">
        <f>SUM(C9:C10)</f>
        <v>0</v>
      </c>
      <c r="D11" s="292">
        <f>SUM(D9:D10)</f>
        <v>2020000</v>
      </c>
      <c r="E11" s="294"/>
      <c r="F11" s="294"/>
      <c r="G11" s="294"/>
      <c r="H11" s="292">
        <f>'Sources and Uses Budget'!T11</f>
        <v>0</v>
      </c>
      <c r="I11" s="292">
        <f>SUM(I9:I10)</f>
        <v>0</v>
      </c>
      <c r="J11" s="292">
        <f>SUM(J9:J10)</f>
        <v>0</v>
      </c>
      <c r="K11" s="290"/>
    </row>
    <row r="12" spans="1:11" s="291" customFormat="1">
      <c r="A12" s="296" t="s">
        <v>1800</v>
      </c>
      <c r="B12" s="292">
        <f>'Sources and Uses Budget'!C12</f>
        <v>5525000</v>
      </c>
      <c r="C12" s="292">
        <f>SUM(C8+C11)</f>
        <v>0</v>
      </c>
      <c r="D12" s="292">
        <f>SUM(D8+D11)</f>
        <v>5525000</v>
      </c>
      <c r="E12" s="294"/>
      <c r="F12" s="294"/>
      <c r="G12" s="294"/>
      <c r="H12" s="294"/>
      <c r="I12" s="294"/>
      <c r="J12" s="294"/>
      <c r="K12" s="290"/>
    </row>
    <row r="13" spans="1:11" s="291" customFormat="1">
      <c r="A13" s="297" t="s">
        <v>1801</v>
      </c>
      <c r="B13" s="292">
        <f>'Sources and Uses Budget'!C13</f>
        <v>0</v>
      </c>
      <c r="C13" s="293"/>
      <c r="D13" s="293"/>
      <c r="E13" s="292">
        <f>'Sources and Uses Budget'!S13</f>
        <v>0</v>
      </c>
      <c r="F13" s="293"/>
      <c r="G13" s="293"/>
      <c r="H13" s="292">
        <f>'Sources and Uses Budget'!T13</f>
        <v>0</v>
      </c>
      <c r="I13" s="293"/>
      <c r="J13" s="293"/>
      <c r="K13" s="290"/>
    </row>
    <row r="14" spans="1:11" s="291" customFormat="1" ht="24">
      <c r="A14" s="295" t="s">
        <v>1918</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1803</v>
      </c>
      <c r="B15" s="292">
        <f>'Sources and Uses Budget'!C15</f>
        <v>0</v>
      </c>
      <c r="C15" s="293"/>
      <c r="D15" s="293"/>
      <c r="E15" s="294">
        <f>'Sources and Uses Budget'!S15</f>
        <v>0</v>
      </c>
      <c r="F15" s="294"/>
      <c r="G15" s="294"/>
      <c r="H15" s="294">
        <f>'Sources and Uses Budget'!T15</f>
        <v>0</v>
      </c>
      <c r="I15" s="294"/>
      <c r="J15" s="294"/>
      <c r="K15" s="290"/>
    </row>
    <row r="16" spans="1:11" s="291" customFormat="1">
      <c r="A16" s="288" t="s">
        <v>1804</v>
      </c>
      <c r="B16" s="289"/>
      <c r="C16" s="289"/>
      <c r="D16" s="289"/>
      <c r="E16" s="289"/>
      <c r="F16" s="289"/>
      <c r="G16" s="289"/>
      <c r="H16" s="289"/>
      <c r="I16" s="289"/>
      <c r="J16" s="289"/>
      <c r="K16" s="290"/>
    </row>
    <row r="17" spans="1:11" s="291" customFormat="1">
      <c r="A17" s="295" t="s">
        <v>1805</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1806</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1807</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1808</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1809</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1810</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1811</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1812</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1814</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1815</v>
      </c>
      <c r="B27" s="292">
        <f>'Sources and Uses Budget'!C27</f>
        <v>0</v>
      </c>
      <c r="C27" s="293"/>
      <c r="D27" s="293"/>
      <c r="E27" s="292">
        <f>'Sources and Uses Budget'!S27</f>
        <v>0</v>
      </c>
      <c r="F27" s="293"/>
      <c r="G27" s="293"/>
      <c r="H27" s="292">
        <f>'Sources and Uses Budget'!T27</f>
        <v>0</v>
      </c>
      <c r="I27" s="293"/>
      <c r="J27" s="293"/>
      <c r="K27" s="290"/>
    </row>
    <row r="28" spans="1:11" s="291" customFormat="1">
      <c r="A28" s="288" t="s">
        <v>1816</v>
      </c>
      <c r="B28" s="289"/>
      <c r="C28" s="289"/>
      <c r="D28" s="289"/>
      <c r="E28" s="289"/>
      <c r="F28" s="289"/>
      <c r="G28" s="289"/>
      <c r="H28" s="289"/>
      <c r="I28" s="289"/>
      <c r="J28" s="289"/>
      <c r="K28" s="290"/>
    </row>
    <row r="29" spans="1:11" s="291" customFormat="1">
      <c r="A29" s="212" t="s">
        <v>1805</v>
      </c>
      <c r="B29" s="292">
        <f>'Sources and Uses Budget'!C29</f>
        <v>2996510</v>
      </c>
      <c r="C29" s="293"/>
      <c r="D29" s="293">
        <f t="shared" ref="D29:D37" si="1">B29</f>
        <v>2996510</v>
      </c>
      <c r="E29" s="292">
        <f>'Sources and Uses Budget'!S29</f>
        <v>2996510</v>
      </c>
      <c r="F29" s="293"/>
      <c r="G29" s="293">
        <f t="shared" ref="G29:G37" si="2">E29</f>
        <v>2996510</v>
      </c>
      <c r="H29" s="292">
        <f>'Sources and Uses Budget'!T29</f>
        <v>0</v>
      </c>
      <c r="I29" s="293"/>
      <c r="J29" s="293"/>
      <c r="K29" s="290"/>
    </row>
    <row r="30" spans="1:11" s="291" customFormat="1">
      <c r="A30" s="212" t="s">
        <v>1806</v>
      </c>
      <c r="B30" s="292">
        <f>'Sources and Uses Budget'!C30</f>
        <v>16532711</v>
      </c>
      <c r="C30" s="293"/>
      <c r="D30" s="293">
        <f t="shared" si="1"/>
        <v>16532711</v>
      </c>
      <c r="E30" s="292">
        <f>'Sources and Uses Budget'!S30</f>
        <v>16532711</v>
      </c>
      <c r="F30" s="293"/>
      <c r="G30" s="293">
        <f t="shared" si="2"/>
        <v>16532711</v>
      </c>
      <c r="H30" s="292">
        <f>'Sources and Uses Budget'!T30</f>
        <v>0</v>
      </c>
      <c r="I30" s="293"/>
      <c r="J30" s="293"/>
      <c r="K30" s="290"/>
    </row>
    <row r="31" spans="1:11" s="291" customFormat="1">
      <c r="A31" s="212" t="s">
        <v>1807</v>
      </c>
      <c r="B31" s="292">
        <f>'Sources and Uses Budget'!C31</f>
        <v>1171753</v>
      </c>
      <c r="C31" s="293"/>
      <c r="D31" s="293">
        <f t="shared" si="1"/>
        <v>1171753</v>
      </c>
      <c r="E31" s="292">
        <f>'Sources and Uses Budget'!S31</f>
        <v>1171753</v>
      </c>
      <c r="F31" s="293"/>
      <c r="G31" s="293">
        <f t="shared" si="2"/>
        <v>1171753</v>
      </c>
      <c r="H31" s="292">
        <f>'Sources and Uses Budget'!T31</f>
        <v>0</v>
      </c>
      <c r="I31" s="293"/>
      <c r="J31" s="293"/>
      <c r="K31" s="290"/>
    </row>
    <row r="32" spans="1:11" s="291" customFormat="1">
      <c r="A32" s="212" t="s">
        <v>1808</v>
      </c>
      <c r="B32" s="292">
        <f>'Sources and Uses Budget'!C32</f>
        <v>390584</v>
      </c>
      <c r="C32" s="293"/>
      <c r="D32" s="293">
        <f t="shared" si="1"/>
        <v>390584</v>
      </c>
      <c r="E32" s="292">
        <f>'Sources and Uses Budget'!S32</f>
        <v>390584</v>
      </c>
      <c r="F32" s="293"/>
      <c r="G32" s="293">
        <f t="shared" si="2"/>
        <v>390584</v>
      </c>
      <c r="H32" s="292">
        <f>'Sources and Uses Budget'!T32</f>
        <v>0</v>
      </c>
      <c r="I32" s="293"/>
      <c r="J32" s="293"/>
      <c r="K32" s="290"/>
    </row>
    <row r="33" spans="1:11" s="291" customFormat="1">
      <c r="A33" s="212" t="s">
        <v>1809</v>
      </c>
      <c r="B33" s="292">
        <f>'Sources and Uses Budget'!C33</f>
        <v>1171753</v>
      </c>
      <c r="C33" s="293"/>
      <c r="D33" s="293">
        <f t="shared" si="1"/>
        <v>1171753</v>
      </c>
      <c r="E33" s="292">
        <f>'Sources and Uses Budget'!S33</f>
        <v>1171753</v>
      </c>
      <c r="F33" s="293"/>
      <c r="G33" s="293">
        <f t="shared" si="2"/>
        <v>1171753</v>
      </c>
      <c r="H33" s="292">
        <f>'Sources and Uses Budget'!T33</f>
        <v>0</v>
      </c>
      <c r="I33" s="293"/>
      <c r="J33" s="293"/>
      <c r="K33" s="290"/>
    </row>
    <row r="34" spans="1:11" s="291" customFormat="1">
      <c r="A34" s="212" t="s">
        <v>1810</v>
      </c>
      <c r="B34" s="292">
        <f>'Sources and Uses Budget'!C34</f>
        <v>0</v>
      </c>
      <c r="C34" s="293"/>
      <c r="D34" s="293">
        <f t="shared" si="1"/>
        <v>0</v>
      </c>
      <c r="E34" s="292">
        <f>'Sources and Uses Budget'!S34</f>
        <v>0</v>
      </c>
      <c r="F34" s="293"/>
      <c r="G34" s="293">
        <f t="shared" si="2"/>
        <v>0</v>
      </c>
      <c r="H34" s="292">
        <f>'Sources and Uses Budget'!T34</f>
        <v>0</v>
      </c>
      <c r="I34" s="293"/>
      <c r="J34" s="293"/>
      <c r="K34" s="290"/>
    </row>
    <row r="35" spans="1:11" s="291" customFormat="1">
      <c r="A35" s="212" t="s">
        <v>1811</v>
      </c>
      <c r="B35" s="292">
        <f>'Sources and Uses Budget'!C35</f>
        <v>195292</v>
      </c>
      <c r="C35" s="293"/>
      <c r="D35" s="293">
        <f t="shared" si="1"/>
        <v>195292</v>
      </c>
      <c r="E35" s="292">
        <f>'Sources and Uses Budget'!S35</f>
        <v>195292</v>
      </c>
      <c r="F35" s="293"/>
      <c r="G35" s="293">
        <f t="shared" si="2"/>
        <v>195292</v>
      </c>
      <c r="H35" s="292">
        <f>'Sources and Uses Budget'!T35</f>
        <v>0</v>
      </c>
      <c r="I35" s="293"/>
      <c r="J35" s="293"/>
      <c r="K35" s="290"/>
    </row>
    <row r="36" spans="1:11" s="291" customFormat="1">
      <c r="A36" s="442" t="s">
        <v>1812</v>
      </c>
      <c r="B36" s="292">
        <f>'Sources and Uses Budget'!C36</f>
        <v>0</v>
      </c>
      <c r="C36" s="293"/>
      <c r="D36" s="293">
        <f t="shared" si="1"/>
        <v>0</v>
      </c>
      <c r="E36" s="292">
        <f>'Sources and Uses Budget'!S36</f>
        <v>0</v>
      </c>
      <c r="F36" s="293"/>
      <c r="G36" s="293">
        <f t="shared" si="2"/>
        <v>0</v>
      </c>
      <c r="H36" s="292">
        <f>'Sources and Uses Budget'!T36</f>
        <v>0</v>
      </c>
      <c r="I36" s="293"/>
      <c r="J36" s="293"/>
      <c r="K36" s="290"/>
    </row>
    <row r="37" spans="1:11" s="291" customFormat="1">
      <c r="A37" s="295" t="str">
        <f>'Sources and Uses Budget'!$A37</f>
        <v>Solar</v>
      </c>
      <c r="B37" s="292">
        <f>'Sources and Uses Budget'!C37</f>
        <v>1200000</v>
      </c>
      <c r="C37" s="293"/>
      <c r="D37" s="293">
        <f t="shared" si="1"/>
        <v>1200000</v>
      </c>
      <c r="E37" s="292">
        <f>'Sources and Uses Budget'!S37</f>
        <v>1200000</v>
      </c>
      <c r="F37" s="293"/>
      <c r="G37" s="293">
        <f t="shared" si="2"/>
        <v>1200000</v>
      </c>
      <c r="H37" s="292">
        <f>'Sources and Uses Budget'!T37</f>
        <v>0</v>
      </c>
      <c r="I37" s="293"/>
      <c r="J37" s="293"/>
      <c r="K37" s="290"/>
    </row>
    <row r="38" spans="1:11" s="291" customFormat="1">
      <c r="A38" s="296" t="s">
        <v>1818</v>
      </c>
      <c r="B38" s="292">
        <f>'Sources and Uses Budget'!C38</f>
        <v>23658603</v>
      </c>
      <c r="C38" s="292">
        <f>SUM(C29:C37)</f>
        <v>0</v>
      </c>
      <c r="D38" s="292">
        <f>SUM(D29:D37)</f>
        <v>23658603</v>
      </c>
      <c r="E38" s="292">
        <f>'Sources and Uses Budget'!S38</f>
        <v>23658603</v>
      </c>
      <c r="F38" s="298">
        <f>SUM(F29:F37)</f>
        <v>0</v>
      </c>
      <c r="G38" s="298">
        <f>SUM(G29:G37)</f>
        <v>23658603</v>
      </c>
      <c r="H38" s="292">
        <f>'Sources and Uses Budget'!T38</f>
        <v>0</v>
      </c>
      <c r="I38" s="298">
        <f>SUM(I29:I37)</f>
        <v>0</v>
      </c>
      <c r="J38" s="298">
        <f>SUM(J29:J37)</f>
        <v>0</v>
      </c>
      <c r="K38" s="290"/>
    </row>
    <row r="39" spans="1:11" s="291" customFormat="1">
      <c r="A39" s="288" t="s">
        <v>1819</v>
      </c>
      <c r="B39" s="289"/>
      <c r="C39" s="289"/>
      <c r="D39" s="289"/>
      <c r="E39" s="289"/>
      <c r="F39" s="289"/>
      <c r="G39" s="289"/>
      <c r="H39" s="289"/>
      <c r="I39" s="289"/>
      <c r="J39" s="289"/>
      <c r="K39" s="290"/>
    </row>
    <row r="40" spans="1:11" s="291" customFormat="1">
      <c r="A40" s="295" t="s">
        <v>1820</v>
      </c>
      <c r="B40" s="292">
        <f>'Sources and Uses Budget'!C40</f>
        <v>910980</v>
      </c>
      <c r="C40" s="293"/>
      <c r="D40" s="293">
        <f>B40</f>
        <v>910980</v>
      </c>
      <c r="E40" s="292">
        <f>'Sources and Uses Budget'!S40</f>
        <v>910980</v>
      </c>
      <c r="F40" s="293"/>
      <c r="G40" s="293">
        <f t="shared" ref="G40:G41" si="3">E40</f>
        <v>910980</v>
      </c>
      <c r="H40" s="292">
        <f>'Sources and Uses Budget'!T40</f>
        <v>0</v>
      </c>
      <c r="I40" s="293"/>
      <c r="J40" s="293"/>
      <c r="K40" s="290"/>
    </row>
    <row r="41" spans="1:11" s="291" customFormat="1">
      <c r="A41" s="295" t="s">
        <v>1821</v>
      </c>
      <c r="B41" s="292">
        <f>'Sources and Uses Budget'!C41</f>
        <v>0</v>
      </c>
      <c r="C41" s="293"/>
      <c r="D41" s="293"/>
      <c r="E41" s="292">
        <f>'Sources and Uses Budget'!S41</f>
        <v>0</v>
      </c>
      <c r="F41" s="293"/>
      <c r="G41" s="293">
        <f t="shared" si="3"/>
        <v>0</v>
      </c>
      <c r="H41" s="292">
        <f>'Sources and Uses Budget'!T41</f>
        <v>0</v>
      </c>
      <c r="I41" s="293"/>
      <c r="J41" s="293"/>
      <c r="K41" s="290"/>
    </row>
    <row r="42" spans="1:11" s="291" customFormat="1">
      <c r="A42" s="296" t="s">
        <v>1822</v>
      </c>
      <c r="B42" s="292">
        <f>'Sources and Uses Budget'!C42</f>
        <v>910980</v>
      </c>
      <c r="C42" s="292">
        <f>SUM(C39:C41)</f>
        <v>0</v>
      </c>
      <c r="D42" s="292">
        <f>SUM(D39:D41)</f>
        <v>910980</v>
      </c>
      <c r="E42" s="292">
        <f>'Sources and Uses Budget'!S42</f>
        <v>910980</v>
      </c>
      <c r="F42" s="298">
        <f>SUM(F40:F41)</f>
        <v>0</v>
      </c>
      <c r="G42" s="298">
        <f>SUM(G40:G41)</f>
        <v>910980</v>
      </c>
      <c r="H42" s="292">
        <f>'Sources and Uses Budget'!T42</f>
        <v>0</v>
      </c>
      <c r="I42" s="298">
        <f>SUM(I40:I41)</f>
        <v>0</v>
      </c>
      <c r="J42" s="298">
        <f>SUM(J40:J41)</f>
        <v>0</v>
      </c>
      <c r="K42" s="290"/>
    </row>
    <row r="43" spans="1:11" s="291" customFormat="1">
      <c r="A43" s="296" t="s">
        <v>1823</v>
      </c>
      <c r="B43" s="292">
        <f>'Sources and Uses Budget'!C43</f>
        <v>910000</v>
      </c>
      <c r="C43" s="293"/>
      <c r="D43" s="293">
        <f>B43</f>
        <v>910000</v>
      </c>
      <c r="E43" s="292">
        <f>'Sources and Uses Budget'!S43</f>
        <v>910000</v>
      </c>
      <c r="F43" s="293"/>
      <c r="G43" s="293">
        <f>E43</f>
        <v>910000</v>
      </c>
      <c r="H43" s="292">
        <f>'Sources and Uses Budget'!T43</f>
        <v>0</v>
      </c>
      <c r="I43" s="293"/>
      <c r="J43" s="293"/>
      <c r="K43" s="290"/>
    </row>
    <row r="44" spans="1:11" s="291" customFormat="1">
      <c r="A44" s="288" t="s">
        <v>1824</v>
      </c>
      <c r="B44" s="289"/>
      <c r="C44" s="289"/>
      <c r="D44" s="289"/>
      <c r="E44" s="289"/>
      <c r="F44" s="289"/>
      <c r="G44" s="289"/>
      <c r="H44" s="289"/>
      <c r="I44" s="289"/>
      <c r="J44" s="289"/>
      <c r="K44" s="290"/>
    </row>
    <row r="45" spans="1:11" s="291" customFormat="1">
      <c r="A45" s="295" t="s">
        <v>1825</v>
      </c>
      <c r="B45" s="292">
        <f>'Sources and Uses Budget'!C45</f>
        <v>1832642</v>
      </c>
      <c r="C45" s="293"/>
      <c r="D45" s="293">
        <f t="shared" ref="D45:D53" si="4">B45</f>
        <v>1832642</v>
      </c>
      <c r="E45" s="292">
        <f>'Sources and Uses Budget'!S45</f>
        <v>1294562</v>
      </c>
      <c r="F45" s="293"/>
      <c r="G45" s="293">
        <f t="shared" ref="G45:G46" si="5">E45</f>
        <v>1294562</v>
      </c>
      <c r="H45" s="292">
        <f>'Sources and Uses Budget'!T45</f>
        <v>0</v>
      </c>
      <c r="I45" s="293"/>
      <c r="J45" s="293"/>
      <c r="K45" s="290"/>
    </row>
    <row r="46" spans="1:11" s="291" customFormat="1">
      <c r="A46" s="295" t="s">
        <v>1826</v>
      </c>
      <c r="B46" s="292">
        <f>'Sources and Uses Budget'!C46</f>
        <v>254071</v>
      </c>
      <c r="C46" s="293"/>
      <c r="D46" s="293">
        <f t="shared" si="4"/>
        <v>254071</v>
      </c>
      <c r="E46" s="292">
        <f>'Sources and Uses Budget'!S46</f>
        <v>254071</v>
      </c>
      <c r="F46" s="293"/>
      <c r="G46" s="293">
        <f t="shared" si="5"/>
        <v>254071</v>
      </c>
      <c r="H46" s="292">
        <f>'Sources and Uses Budget'!T46</f>
        <v>0</v>
      </c>
      <c r="I46" s="293"/>
      <c r="J46" s="293"/>
      <c r="K46" s="290"/>
    </row>
    <row r="47" spans="1:11" s="291" customFormat="1" ht="12" customHeight="1">
      <c r="A47" s="295" t="s">
        <v>1827</v>
      </c>
      <c r="B47" s="292">
        <f>'Sources and Uses Budget'!C47</f>
        <v>0</v>
      </c>
      <c r="C47" s="293"/>
      <c r="D47" s="293">
        <f t="shared" si="4"/>
        <v>0</v>
      </c>
      <c r="E47" s="292">
        <f>'Sources and Uses Budget'!S47</f>
        <v>0</v>
      </c>
      <c r="F47" s="293"/>
      <c r="G47" s="293"/>
      <c r="H47" s="292">
        <f>'Sources and Uses Budget'!T47</f>
        <v>0</v>
      </c>
      <c r="I47" s="293"/>
      <c r="J47" s="293"/>
      <c r="K47" s="290"/>
    </row>
    <row r="48" spans="1:11" s="291" customFormat="1">
      <c r="A48" s="295" t="s">
        <v>1828</v>
      </c>
      <c r="B48" s="292">
        <f>'Sources and Uses Budget'!C48</f>
        <v>0</v>
      </c>
      <c r="C48" s="293"/>
      <c r="D48" s="293">
        <f t="shared" si="4"/>
        <v>0</v>
      </c>
      <c r="E48" s="292">
        <f>'Sources and Uses Budget'!S48</f>
        <v>0</v>
      </c>
      <c r="F48" s="293"/>
      <c r="G48" s="293"/>
      <c r="H48" s="292">
        <f>'Sources and Uses Budget'!T48</f>
        <v>0</v>
      </c>
      <c r="I48" s="293"/>
      <c r="J48" s="293"/>
      <c r="K48" s="290"/>
    </row>
    <row r="49" spans="1:11" s="291" customFormat="1">
      <c r="A49" s="212" t="s">
        <v>1829</v>
      </c>
      <c r="B49" s="292">
        <f>'Sources and Uses Budget'!C49</f>
        <v>48438</v>
      </c>
      <c r="C49" s="293"/>
      <c r="D49" s="293">
        <f t="shared" si="4"/>
        <v>48438</v>
      </c>
      <c r="E49" s="292">
        <f>'Sources and Uses Budget'!S49</f>
        <v>0</v>
      </c>
      <c r="F49" s="293"/>
      <c r="G49" s="293"/>
      <c r="H49" s="292">
        <f>'Sources and Uses Budget'!T49</f>
        <v>0</v>
      </c>
      <c r="I49" s="293"/>
      <c r="J49" s="293"/>
      <c r="K49" s="290"/>
    </row>
    <row r="50" spans="1:11" s="291" customFormat="1">
      <c r="A50" s="295" t="s">
        <v>1830</v>
      </c>
      <c r="B50" s="292">
        <f>'Sources and Uses Budget'!C50</f>
        <v>50000</v>
      </c>
      <c r="C50" s="293"/>
      <c r="D50" s="293">
        <f t="shared" si="4"/>
        <v>50000</v>
      </c>
      <c r="E50" s="292">
        <f>'Sources and Uses Budget'!S50</f>
        <v>50000</v>
      </c>
      <c r="F50" s="293"/>
      <c r="G50" s="293">
        <f t="shared" ref="G50:G53" si="6">E50</f>
        <v>50000</v>
      </c>
      <c r="H50" s="292">
        <f>'Sources and Uses Budget'!T50</f>
        <v>0</v>
      </c>
      <c r="I50" s="293"/>
      <c r="J50" s="293"/>
      <c r="K50" s="290"/>
    </row>
    <row r="51" spans="1:11" s="291" customFormat="1">
      <c r="A51" s="295" t="s">
        <v>1831</v>
      </c>
      <c r="B51" s="292">
        <f>'Sources and Uses Budget'!C51</f>
        <v>179490</v>
      </c>
      <c r="C51" s="293"/>
      <c r="D51" s="293">
        <f t="shared" si="4"/>
        <v>179490</v>
      </c>
      <c r="E51" s="292">
        <f>'Sources and Uses Budget'!S51</f>
        <v>179490</v>
      </c>
      <c r="F51" s="293"/>
      <c r="G51" s="293">
        <f t="shared" si="6"/>
        <v>179490</v>
      </c>
      <c r="H51" s="292">
        <f>'Sources and Uses Budget'!T51</f>
        <v>0</v>
      </c>
      <c r="I51" s="293"/>
      <c r="J51" s="293"/>
      <c r="K51" s="290"/>
    </row>
    <row r="52" spans="1:11" s="291" customFormat="1">
      <c r="A52" s="295" t="s">
        <v>1832</v>
      </c>
      <c r="B52" s="292">
        <f>'Sources and Uses Budget'!C52</f>
        <v>454708</v>
      </c>
      <c r="C52" s="293"/>
      <c r="D52" s="293">
        <f t="shared" si="4"/>
        <v>454708</v>
      </c>
      <c r="E52" s="292">
        <f>'Sources and Uses Budget'!S52</f>
        <v>454708</v>
      </c>
      <c r="F52" s="293"/>
      <c r="G52" s="293">
        <f t="shared" si="6"/>
        <v>454708</v>
      </c>
      <c r="H52" s="292">
        <f>'Sources and Uses Budget'!T52</f>
        <v>0</v>
      </c>
      <c r="I52" s="293"/>
      <c r="J52" s="293"/>
      <c r="K52" s="290"/>
    </row>
    <row r="53" spans="1:11" s="291" customFormat="1" ht="24">
      <c r="A53" s="295" t="str">
        <f>'Sources and Uses Budget'!$A53</f>
        <v>Lender Inspection Fee, Construction Management and Monitoring</v>
      </c>
      <c r="B53" s="292">
        <f>'Sources and Uses Budget'!C53</f>
        <v>425000</v>
      </c>
      <c r="C53" s="293"/>
      <c r="D53" s="293">
        <f t="shared" si="4"/>
        <v>425000</v>
      </c>
      <c r="E53" s="292">
        <f>'Sources and Uses Budget'!S53</f>
        <v>425000</v>
      </c>
      <c r="F53" s="293"/>
      <c r="G53" s="293">
        <f t="shared" si="6"/>
        <v>425000</v>
      </c>
      <c r="H53" s="292">
        <f>'Sources and Uses Budget'!T53</f>
        <v>0</v>
      </c>
      <c r="I53" s="293"/>
      <c r="J53" s="293"/>
      <c r="K53" s="290"/>
    </row>
    <row r="54" spans="1:11" s="300" customFormat="1">
      <c r="A54" s="296" t="s">
        <v>1834</v>
      </c>
      <c r="B54" s="292">
        <f>'Sources and Uses Budget'!C54</f>
        <v>3244349</v>
      </c>
      <c r="C54" s="298">
        <f>SUM(C45:C53)</f>
        <v>0</v>
      </c>
      <c r="D54" s="298">
        <f>SUM(D45:D53)</f>
        <v>3244349</v>
      </c>
      <c r="E54" s="292">
        <f>'Sources and Uses Budget'!S54</f>
        <v>2657831</v>
      </c>
      <c r="F54" s="298">
        <f>SUM(F45:F53)</f>
        <v>0</v>
      </c>
      <c r="G54" s="298">
        <f>SUM(G45:G53)</f>
        <v>2657831</v>
      </c>
      <c r="H54" s="292">
        <f>'Sources and Uses Budget'!T54</f>
        <v>0</v>
      </c>
      <c r="I54" s="298">
        <f>SUM(I45:I53)</f>
        <v>0</v>
      </c>
      <c r="J54" s="298">
        <f>SUM(J45:J53)</f>
        <v>0</v>
      </c>
      <c r="K54" s="299"/>
    </row>
    <row r="55" spans="1:11" s="291" customFormat="1">
      <c r="A55" s="288" t="s">
        <v>1435</v>
      </c>
      <c r="B55" s="289"/>
      <c r="C55" s="289"/>
      <c r="D55" s="289"/>
      <c r="E55" s="289"/>
      <c r="F55" s="289"/>
      <c r="G55" s="289"/>
      <c r="H55" s="289"/>
      <c r="I55" s="289"/>
      <c r="J55" s="289"/>
      <c r="K55" s="290"/>
    </row>
    <row r="56" spans="1:11" s="291" customFormat="1">
      <c r="A56" s="295" t="s">
        <v>1835</v>
      </c>
      <c r="B56" s="292">
        <f>'Sources and Uses Budget'!C56</f>
        <v>150000</v>
      </c>
      <c r="C56" s="293"/>
      <c r="D56" s="293">
        <f t="shared" ref="D56:D58" si="7">B56</f>
        <v>150000</v>
      </c>
      <c r="E56" s="294"/>
      <c r="F56" s="294"/>
      <c r="G56" s="294"/>
      <c r="H56" s="294"/>
      <c r="I56" s="294"/>
      <c r="J56" s="294"/>
      <c r="K56" s="290"/>
    </row>
    <row r="57" spans="1:11" s="291" customFormat="1" ht="12" customHeight="1">
      <c r="A57" s="295" t="s">
        <v>1827</v>
      </c>
      <c r="B57" s="292">
        <f>'Sources and Uses Budget'!C57</f>
        <v>0</v>
      </c>
      <c r="C57" s="293"/>
      <c r="D57" s="293">
        <f t="shared" si="7"/>
        <v>0</v>
      </c>
      <c r="E57" s="294"/>
      <c r="F57" s="294"/>
      <c r="G57" s="294"/>
      <c r="H57" s="294"/>
      <c r="I57" s="294"/>
      <c r="J57" s="294"/>
      <c r="K57" s="290"/>
    </row>
    <row r="58" spans="1:11" s="291" customFormat="1">
      <c r="A58" s="295" t="s">
        <v>1830</v>
      </c>
      <c r="B58" s="292">
        <f>'Sources and Uses Budget'!C58</f>
        <v>12500</v>
      </c>
      <c r="C58" s="293"/>
      <c r="D58" s="293">
        <f t="shared" si="7"/>
        <v>12500</v>
      </c>
      <c r="E58" s="294"/>
      <c r="F58" s="294"/>
      <c r="G58" s="294"/>
      <c r="H58" s="294"/>
      <c r="I58" s="294"/>
      <c r="J58" s="294"/>
      <c r="K58" s="290"/>
    </row>
    <row r="59" spans="1:11" s="291" customFormat="1">
      <c r="A59" s="295" t="s">
        <v>1831</v>
      </c>
      <c r="B59" s="292">
        <f>'Sources and Uses Budget'!C59</f>
        <v>0</v>
      </c>
      <c r="C59" s="293"/>
      <c r="D59" s="293"/>
      <c r="E59" s="294"/>
      <c r="F59" s="294"/>
      <c r="G59" s="294"/>
      <c r="H59" s="294"/>
      <c r="I59" s="294"/>
      <c r="J59" s="294"/>
      <c r="K59" s="290"/>
    </row>
    <row r="60" spans="1:11" s="291" customFormat="1">
      <c r="A60" s="295" t="s">
        <v>1832</v>
      </c>
      <c r="B60" s="292">
        <f>'Sources and Uses Budget'!C60</f>
        <v>0</v>
      </c>
      <c r="C60" s="293"/>
      <c r="D60" s="293"/>
      <c r="E60" s="294"/>
      <c r="F60" s="294"/>
      <c r="G60" s="294"/>
      <c r="H60" s="294"/>
      <c r="I60" s="294"/>
      <c r="J60" s="294"/>
      <c r="K60" s="290"/>
    </row>
    <row r="61" spans="1:11" s="291" customFormat="1">
      <c r="A61" s="295" t="str">
        <f>'Sources and Uses Budget'!$A61</f>
        <v>Other: (Specify)</v>
      </c>
      <c r="B61" s="292">
        <f>'Sources and Uses Budget'!C61</f>
        <v>0</v>
      </c>
      <c r="C61" s="293"/>
      <c r="D61" s="293"/>
      <c r="E61" s="294"/>
      <c r="F61" s="294"/>
      <c r="G61" s="294"/>
      <c r="H61" s="294"/>
      <c r="I61" s="294"/>
      <c r="J61" s="294"/>
      <c r="K61" s="290"/>
    </row>
    <row r="62" spans="1:11" s="291" customFormat="1" ht="13.7" customHeight="1">
      <c r="A62" s="296" t="s">
        <v>1836</v>
      </c>
      <c r="B62" s="292">
        <f>'Sources and Uses Budget'!C62</f>
        <v>162500</v>
      </c>
      <c r="C62" s="292">
        <f>SUM(C56:C61)</f>
        <v>0</v>
      </c>
      <c r="D62" s="292">
        <f>SUM(D56:D61)</f>
        <v>162500</v>
      </c>
      <c r="E62" s="294"/>
      <c r="F62" s="294"/>
      <c r="G62" s="294"/>
      <c r="H62" s="294"/>
      <c r="I62" s="294"/>
      <c r="J62" s="294"/>
      <c r="K62" s="290"/>
    </row>
    <row r="63" spans="1:11" s="291" customFormat="1">
      <c r="A63" s="301" t="s">
        <v>1837</v>
      </c>
      <c r="B63" s="292">
        <f>'Sources and Uses Budget'!C63</f>
        <v>34411432</v>
      </c>
      <c r="C63" s="292">
        <f>SUM(C8+C11+C13+C14+C15+C26+C27+C38+C42+C43+C54+C62)</f>
        <v>0</v>
      </c>
      <c r="D63" s="292">
        <f>SUM(D8+D11+D13+D14+D15+D26+D27+D38+D42+D43+D54+D62)</f>
        <v>34411432</v>
      </c>
      <c r="E63" s="292">
        <f>'Sources and Uses Budget'!S63</f>
        <v>28137414</v>
      </c>
      <c r="F63" s="292">
        <f>SUM(F10+F13+F14+F15+F26+F27+F38+F42+F43+F54)</f>
        <v>0</v>
      </c>
      <c r="G63" s="292">
        <f>SUM(G10+G13+G14+G15+G26+G27+G38+G42+G43+G54)</f>
        <v>28137414</v>
      </c>
      <c r="H63" s="292">
        <f>'Sources and Uses Budget'!T63</f>
        <v>0</v>
      </c>
      <c r="I63" s="292">
        <f>SUM(I11+I13+I14+I15+I26+I27+I38+I42+I43+I54)</f>
        <v>0</v>
      </c>
      <c r="J63" s="292">
        <f>SUM(J11+J13+J14+J15+J26+J27+J38+J42+J43+J54)</f>
        <v>0</v>
      </c>
      <c r="K63" s="290"/>
    </row>
    <row r="64" spans="1:11" s="291" customFormat="1" ht="24">
      <c r="A64" s="105" t="s">
        <v>1838</v>
      </c>
      <c r="B64" s="289"/>
      <c r="C64" s="289"/>
      <c r="D64" s="289"/>
      <c r="E64" s="289"/>
      <c r="F64" s="289"/>
      <c r="G64" s="289"/>
      <c r="H64" s="289"/>
      <c r="I64" s="289"/>
      <c r="J64" s="289"/>
      <c r="K64" s="290"/>
    </row>
    <row r="65" spans="1:11" s="291" customFormat="1">
      <c r="A65" s="212" t="s">
        <v>1839</v>
      </c>
      <c r="B65" s="292">
        <f>'Sources and Uses Budget'!C65</f>
        <v>374000</v>
      </c>
      <c r="C65" s="293"/>
      <c r="D65" s="293">
        <f t="shared" ref="D65:D66" si="8">B65</f>
        <v>374000</v>
      </c>
      <c r="E65" s="292">
        <f>'Sources and Uses Budget'!S65</f>
        <v>144000</v>
      </c>
      <c r="F65" s="293"/>
      <c r="G65" s="293">
        <f t="shared" ref="G65:G66" si="9">E65</f>
        <v>144000</v>
      </c>
      <c r="H65" s="292">
        <f>'Sources and Uses Budget'!T65</f>
        <v>0</v>
      </c>
      <c r="I65" s="293"/>
      <c r="J65" s="293"/>
      <c r="K65" s="290"/>
    </row>
    <row r="66" spans="1:11" s="291" customFormat="1" ht="24">
      <c r="A66" s="212" t="s">
        <v>1840</v>
      </c>
      <c r="B66" s="292">
        <f>'Sources and Uses Budget'!C66</f>
        <v>300000</v>
      </c>
      <c r="C66" s="293"/>
      <c r="D66" s="293">
        <f t="shared" si="8"/>
        <v>300000</v>
      </c>
      <c r="E66" s="292">
        <f>'Sources and Uses Budget'!S66</f>
        <v>300000</v>
      </c>
      <c r="F66" s="293"/>
      <c r="G66" s="293">
        <f t="shared" si="9"/>
        <v>300000</v>
      </c>
      <c r="H66" s="292">
        <f>'Sources and Uses Budget'!T66</f>
        <v>0</v>
      </c>
      <c r="I66" s="293"/>
      <c r="J66" s="293"/>
      <c r="K66" s="290"/>
    </row>
    <row r="67" spans="1:11" s="291" customFormat="1" ht="24">
      <c r="A67" s="212" t="s">
        <v>1841</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1842</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1919</v>
      </c>
      <c r="B70" s="292">
        <f>'Sources and Uses Budget'!C70</f>
        <v>674000</v>
      </c>
      <c r="C70" s="292">
        <f>SUM(C64:C69)</f>
        <v>0</v>
      </c>
      <c r="D70" s="292">
        <f>SUM(D64:D69)</f>
        <v>674000</v>
      </c>
      <c r="E70" s="292">
        <f>'Sources and Uses Budget'!S70</f>
        <v>444000</v>
      </c>
      <c r="F70" s="298">
        <f>SUM(F65:F69)</f>
        <v>0</v>
      </c>
      <c r="G70" s="298">
        <f>SUM(G65:G69)</f>
        <v>444000</v>
      </c>
      <c r="H70" s="292">
        <f>'Sources and Uses Budget'!T70</f>
        <v>0</v>
      </c>
      <c r="I70" s="298">
        <f>SUM(I65:I69)</f>
        <v>0</v>
      </c>
      <c r="J70" s="298">
        <f>SUM(J65:J69)</f>
        <v>0</v>
      </c>
      <c r="K70" s="290"/>
    </row>
    <row r="71" spans="1:11" s="291" customFormat="1">
      <c r="A71" s="288" t="s">
        <v>1844</v>
      </c>
      <c r="B71" s="289"/>
      <c r="C71" s="289"/>
      <c r="D71" s="289"/>
      <c r="E71" s="289"/>
      <c r="F71" s="289"/>
      <c r="G71" s="289"/>
      <c r="H71" s="289"/>
      <c r="I71" s="289"/>
      <c r="J71" s="289"/>
      <c r="K71" s="290"/>
    </row>
    <row r="72" spans="1:11" s="291" customFormat="1">
      <c r="A72" s="295" t="s">
        <v>1845</v>
      </c>
      <c r="B72" s="292">
        <f>'Sources and Uses Budget'!C72</f>
        <v>0</v>
      </c>
      <c r="C72" s="293"/>
      <c r="D72" s="293"/>
      <c r="E72" s="294"/>
      <c r="F72" s="294"/>
      <c r="G72" s="294"/>
      <c r="H72" s="294"/>
      <c r="I72" s="294"/>
      <c r="J72" s="294"/>
      <c r="K72" s="290"/>
    </row>
    <row r="73" spans="1:11" s="291" customFormat="1">
      <c r="A73" s="295" t="s">
        <v>1846</v>
      </c>
      <c r="B73" s="292">
        <f>'Sources and Uses Budget'!C73</f>
        <v>0</v>
      </c>
      <c r="C73" s="293"/>
      <c r="D73" s="293"/>
      <c r="E73" s="294"/>
      <c r="F73" s="294"/>
      <c r="G73" s="294"/>
      <c r="H73" s="294"/>
      <c r="I73" s="294"/>
      <c r="J73" s="294"/>
      <c r="K73" s="290"/>
    </row>
    <row r="74" spans="1:11" s="291" customFormat="1">
      <c r="A74" s="297" t="s">
        <v>1847</v>
      </c>
      <c r="B74" s="292">
        <f>'Sources and Uses Budget'!C74</f>
        <v>0</v>
      </c>
      <c r="C74" s="293"/>
      <c r="D74" s="293"/>
      <c r="E74" s="294"/>
      <c r="F74" s="294"/>
      <c r="G74" s="294"/>
      <c r="H74" s="294"/>
      <c r="I74" s="294"/>
      <c r="J74" s="294"/>
      <c r="K74" s="290"/>
    </row>
    <row r="75" spans="1:11" s="291" customFormat="1">
      <c r="A75" s="295" t="s">
        <v>1848</v>
      </c>
      <c r="B75" s="292">
        <f>'Sources and Uses Budget'!C75</f>
        <v>452479</v>
      </c>
      <c r="C75" s="293"/>
      <c r="D75" s="293">
        <f>B75</f>
        <v>452479</v>
      </c>
      <c r="E75" s="294"/>
      <c r="F75" s="294"/>
      <c r="G75" s="294"/>
      <c r="H75" s="294"/>
      <c r="I75" s="294"/>
      <c r="J75" s="294"/>
      <c r="K75" s="290"/>
    </row>
    <row r="76" spans="1:11" s="291" customFormat="1">
      <c r="A76" s="295" t="str">
        <f>'Sources and Uses Budget'!$A76</f>
        <v>Other: (Specify)</v>
      </c>
      <c r="B76" s="292">
        <f>'Sources and Uses Budget'!C76</f>
        <v>0</v>
      </c>
      <c r="C76" s="293"/>
      <c r="D76" s="293"/>
      <c r="E76" s="294"/>
      <c r="F76" s="294"/>
      <c r="G76" s="294"/>
      <c r="H76" s="294"/>
      <c r="I76" s="294"/>
      <c r="J76" s="294"/>
      <c r="K76" s="290"/>
    </row>
    <row r="77" spans="1:11" s="291" customFormat="1">
      <c r="A77" s="296" t="s">
        <v>1849</v>
      </c>
      <c r="B77" s="292">
        <f>'Sources and Uses Budget'!C77</f>
        <v>452479</v>
      </c>
      <c r="C77" s="292">
        <f>SUM(C72:C76)</f>
        <v>0</v>
      </c>
      <c r="D77" s="292">
        <f>SUM(D72:D76)</f>
        <v>452479</v>
      </c>
      <c r="E77" s="294"/>
      <c r="F77" s="294"/>
      <c r="G77" s="294"/>
      <c r="H77" s="294"/>
      <c r="I77" s="294"/>
      <c r="J77" s="294"/>
      <c r="K77" s="290"/>
    </row>
    <row r="78" spans="1:11" s="291" customFormat="1">
      <c r="A78" s="288" t="s">
        <v>1850</v>
      </c>
      <c r="B78" s="289"/>
      <c r="C78" s="289"/>
      <c r="D78" s="289"/>
      <c r="E78" s="289"/>
      <c r="F78" s="289"/>
      <c r="G78" s="289"/>
      <c r="H78" s="289"/>
      <c r="I78" s="289"/>
      <c r="J78" s="289"/>
      <c r="K78" s="290"/>
    </row>
    <row r="79" spans="1:11" s="291" customFormat="1">
      <c r="A79" s="295" t="s">
        <v>1851</v>
      </c>
      <c r="B79" s="292">
        <f>'Sources and Uses Budget'!C79</f>
        <v>1182930</v>
      </c>
      <c r="C79" s="293"/>
      <c r="D79" s="293">
        <f t="shared" ref="D79:D80" si="10">B79</f>
        <v>1182930</v>
      </c>
      <c r="E79" s="292">
        <f>'Sources and Uses Budget'!S79</f>
        <v>1182930</v>
      </c>
      <c r="F79" s="293"/>
      <c r="G79" s="293">
        <f t="shared" ref="G79:G80" si="11">E79</f>
        <v>1182930</v>
      </c>
      <c r="H79" s="292">
        <f>'Sources and Uses Budget'!T79</f>
        <v>0</v>
      </c>
      <c r="I79" s="293"/>
      <c r="J79" s="293"/>
      <c r="K79" s="290"/>
    </row>
    <row r="80" spans="1:11" s="291" customFormat="1">
      <c r="A80" s="295" t="s">
        <v>1852</v>
      </c>
      <c r="B80" s="292">
        <f>'Sources and Uses Budget'!C80</f>
        <v>352365</v>
      </c>
      <c r="C80" s="293"/>
      <c r="D80" s="293">
        <f t="shared" si="10"/>
        <v>352365</v>
      </c>
      <c r="E80" s="292">
        <f>'Sources and Uses Budget'!S80</f>
        <v>352365</v>
      </c>
      <c r="F80" s="293"/>
      <c r="G80" s="293">
        <f t="shared" si="11"/>
        <v>352365</v>
      </c>
      <c r="H80" s="292">
        <f>'Sources and Uses Budget'!T80</f>
        <v>0</v>
      </c>
      <c r="I80" s="293"/>
      <c r="J80" s="293"/>
      <c r="K80" s="290"/>
    </row>
    <row r="81" spans="1:11" s="291" customFormat="1">
      <c r="A81" s="296" t="s">
        <v>1853</v>
      </c>
      <c r="B81" s="292">
        <f>'Sources and Uses Budget'!C81</f>
        <v>1535295</v>
      </c>
      <c r="C81" s="292">
        <f>SUM(C79:C80)</f>
        <v>0</v>
      </c>
      <c r="D81" s="292">
        <f>SUM(D79:D80)</f>
        <v>1535295</v>
      </c>
      <c r="E81" s="292">
        <f>'Sources and Uses Budget'!S81</f>
        <v>1535295</v>
      </c>
      <c r="F81" s="292">
        <f>SUM(F79:F80)</f>
        <v>0</v>
      </c>
      <c r="G81" s="292">
        <f>SUM(G79:G80)</f>
        <v>1535295</v>
      </c>
      <c r="H81" s="292">
        <f>'Sources and Uses Budget'!T81</f>
        <v>0</v>
      </c>
      <c r="I81" s="292">
        <f>SUM(I79:I80)</f>
        <v>0</v>
      </c>
      <c r="J81" s="292">
        <f>SUM(J79:J80)</f>
        <v>0</v>
      </c>
      <c r="K81" s="290"/>
    </row>
    <row r="82" spans="1:11" s="291" customFormat="1">
      <c r="A82" s="288" t="s">
        <v>1854</v>
      </c>
      <c r="B82" s="289"/>
      <c r="C82" s="289"/>
      <c r="D82" s="289"/>
      <c r="E82" s="289"/>
      <c r="F82" s="289"/>
      <c r="G82" s="289"/>
      <c r="H82" s="289"/>
      <c r="I82" s="289"/>
      <c r="J82" s="289"/>
      <c r="K82" s="290"/>
    </row>
    <row r="83" spans="1:11" s="291" customFormat="1" ht="13.7" customHeight="1">
      <c r="A83" s="212" t="s">
        <v>1855</v>
      </c>
      <c r="B83" s="292">
        <f>'Sources and Uses Budget'!C83</f>
        <v>142302</v>
      </c>
      <c r="C83" s="293"/>
      <c r="D83" s="293">
        <f t="shared" ref="D83:D95" si="12">B83</f>
        <v>142302</v>
      </c>
      <c r="E83" s="294"/>
      <c r="F83" s="294"/>
      <c r="G83" s="294"/>
      <c r="H83" s="294"/>
      <c r="I83" s="294"/>
      <c r="J83" s="294"/>
      <c r="K83" s="290"/>
    </row>
    <row r="84" spans="1:11" s="291" customFormat="1">
      <c r="A84" s="212" t="s">
        <v>1856</v>
      </c>
      <c r="B84" s="292">
        <f>'Sources and Uses Budget'!C84</f>
        <v>20000</v>
      </c>
      <c r="C84" s="293"/>
      <c r="D84" s="293">
        <f t="shared" si="12"/>
        <v>20000</v>
      </c>
      <c r="E84" s="292">
        <f>'Sources and Uses Budget'!S84</f>
        <v>20000</v>
      </c>
      <c r="F84" s="293"/>
      <c r="G84" s="293">
        <f t="shared" ref="G84:G86" si="13">E84</f>
        <v>20000</v>
      </c>
      <c r="H84" s="292">
        <f>'Sources and Uses Budget'!T84</f>
        <v>0</v>
      </c>
      <c r="I84" s="293"/>
      <c r="J84" s="293"/>
      <c r="K84" s="290"/>
    </row>
    <row r="85" spans="1:11" s="291" customFormat="1">
      <c r="A85" s="212" t="s">
        <v>1857</v>
      </c>
      <c r="B85" s="292">
        <f>'Sources and Uses Budget'!C85</f>
        <v>5025667</v>
      </c>
      <c r="C85" s="293"/>
      <c r="D85" s="293">
        <f t="shared" si="12"/>
        <v>5025667</v>
      </c>
      <c r="E85" s="292">
        <f>'Sources and Uses Budget'!S85</f>
        <v>5025667</v>
      </c>
      <c r="F85" s="293"/>
      <c r="G85" s="293">
        <f t="shared" si="13"/>
        <v>5025667</v>
      </c>
      <c r="H85" s="292">
        <f>'Sources and Uses Budget'!T85</f>
        <v>0</v>
      </c>
      <c r="I85" s="293"/>
      <c r="J85" s="293"/>
      <c r="K85" s="290"/>
    </row>
    <row r="86" spans="1:11" s="291" customFormat="1">
      <c r="A86" s="212" t="s">
        <v>1858</v>
      </c>
      <c r="B86" s="292">
        <f>'Sources and Uses Budget'!C86</f>
        <v>248851</v>
      </c>
      <c r="C86" s="293"/>
      <c r="D86" s="293">
        <f t="shared" si="12"/>
        <v>248851</v>
      </c>
      <c r="E86" s="292">
        <f>'Sources and Uses Budget'!S86</f>
        <v>248851</v>
      </c>
      <c r="F86" s="293"/>
      <c r="G86" s="293">
        <f t="shared" si="13"/>
        <v>248851</v>
      </c>
      <c r="H86" s="292">
        <f>'Sources and Uses Budget'!T86</f>
        <v>0</v>
      </c>
      <c r="I86" s="293"/>
      <c r="J86" s="293"/>
      <c r="K86" s="290"/>
    </row>
    <row r="87" spans="1:11" s="291" customFormat="1">
      <c r="A87" s="212" t="s">
        <v>1859</v>
      </c>
      <c r="B87" s="292">
        <f>'Sources and Uses Budget'!C87</f>
        <v>0</v>
      </c>
      <c r="C87" s="293"/>
      <c r="D87" s="293">
        <f t="shared" si="12"/>
        <v>0</v>
      </c>
      <c r="E87" s="292">
        <f>'Sources and Uses Budget'!S87</f>
        <v>0</v>
      </c>
      <c r="F87" s="293"/>
      <c r="G87" s="293"/>
      <c r="H87" s="292">
        <f>'Sources and Uses Budget'!T87</f>
        <v>0</v>
      </c>
      <c r="I87" s="293"/>
      <c r="J87" s="293"/>
      <c r="K87" s="290"/>
    </row>
    <row r="88" spans="1:11" s="291" customFormat="1">
      <c r="A88" s="212" t="s">
        <v>1860</v>
      </c>
      <c r="B88" s="292">
        <f>'Sources and Uses Budget'!C88</f>
        <v>150000</v>
      </c>
      <c r="C88" s="293"/>
      <c r="D88" s="293">
        <f t="shared" si="12"/>
        <v>150000</v>
      </c>
      <c r="E88" s="294"/>
      <c r="F88" s="294"/>
      <c r="G88" s="294"/>
      <c r="H88" s="294"/>
      <c r="I88" s="294"/>
      <c r="J88" s="294"/>
      <c r="K88" s="290"/>
    </row>
    <row r="89" spans="1:11" s="291" customFormat="1">
      <c r="A89" s="212" t="s">
        <v>1861</v>
      </c>
      <c r="B89" s="292">
        <f>'Sources and Uses Budget'!C89</f>
        <v>20000</v>
      </c>
      <c r="C89" s="293"/>
      <c r="D89" s="293">
        <f t="shared" si="12"/>
        <v>20000</v>
      </c>
      <c r="E89" s="292">
        <f>'Sources and Uses Budget'!S89</f>
        <v>20000</v>
      </c>
      <c r="F89" s="293"/>
      <c r="G89" s="293">
        <f t="shared" ref="G89:G91" si="14">E89</f>
        <v>20000</v>
      </c>
      <c r="H89" s="292">
        <f>'Sources and Uses Budget'!T89</f>
        <v>0</v>
      </c>
      <c r="I89" s="293"/>
      <c r="J89" s="293"/>
      <c r="K89" s="290"/>
    </row>
    <row r="90" spans="1:11" s="291" customFormat="1">
      <c r="A90" s="212" t="s">
        <v>1862</v>
      </c>
      <c r="B90" s="292">
        <f>'Sources and Uses Budget'!C90</f>
        <v>10000</v>
      </c>
      <c r="C90" s="293"/>
      <c r="D90" s="293">
        <f t="shared" si="12"/>
        <v>10000</v>
      </c>
      <c r="E90" s="292">
        <f>'Sources and Uses Budget'!S90</f>
        <v>5000</v>
      </c>
      <c r="F90" s="293"/>
      <c r="G90" s="293">
        <f t="shared" si="14"/>
        <v>5000</v>
      </c>
      <c r="H90" s="292">
        <f>'Sources and Uses Budget'!T90</f>
        <v>0</v>
      </c>
      <c r="I90" s="293"/>
      <c r="J90" s="293"/>
      <c r="K90" s="290"/>
    </row>
    <row r="91" spans="1:11" s="291" customFormat="1">
      <c r="A91" s="442" t="s">
        <v>1863</v>
      </c>
      <c r="B91" s="292">
        <f>'Sources and Uses Budget'!C91</f>
        <v>65000</v>
      </c>
      <c r="C91" s="293"/>
      <c r="D91" s="293">
        <f t="shared" si="12"/>
        <v>65000</v>
      </c>
      <c r="E91" s="292">
        <f>'Sources and Uses Budget'!S91</f>
        <v>0</v>
      </c>
      <c r="F91" s="293"/>
      <c r="G91" s="293">
        <f t="shared" si="14"/>
        <v>0</v>
      </c>
      <c r="H91" s="292">
        <f>'Sources and Uses Budget'!T91</f>
        <v>0</v>
      </c>
      <c r="I91" s="293"/>
      <c r="J91" s="293"/>
      <c r="K91" s="290"/>
    </row>
    <row r="92" spans="1:11" s="291" customFormat="1">
      <c r="A92" s="442" t="s">
        <v>1864</v>
      </c>
      <c r="B92" s="292">
        <f>'Sources and Uses Budget'!C92</f>
        <v>15000</v>
      </c>
      <c r="C92" s="293"/>
      <c r="D92" s="293">
        <f t="shared" si="12"/>
        <v>15000</v>
      </c>
      <c r="E92" s="292">
        <f>'Sources and Uses Budget'!S92</f>
        <v>15000</v>
      </c>
      <c r="F92" s="293"/>
      <c r="G92" s="293">
        <f>E92</f>
        <v>15000</v>
      </c>
      <c r="H92" s="292">
        <f>'Sources and Uses Budget'!T92</f>
        <v>0</v>
      </c>
      <c r="I92" s="293"/>
      <c r="J92" s="293"/>
      <c r="K92" s="290"/>
    </row>
    <row r="93" spans="1:11" s="291" customFormat="1">
      <c r="A93" s="295" t="str">
        <f>'Sources and Uses Budget'!$A93</f>
        <v>MGP Services Fee</v>
      </c>
      <c r="B93" s="292">
        <f>'Sources and Uses Budget'!C93</f>
        <v>30000</v>
      </c>
      <c r="C93" s="293"/>
      <c r="D93" s="293">
        <f t="shared" si="12"/>
        <v>30000</v>
      </c>
      <c r="E93" s="292">
        <f>'Sources and Uses Budget'!S93</f>
        <v>0</v>
      </c>
      <c r="F93" s="293"/>
      <c r="G93" s="293"/>
      <c r="H93" s="292">
        <f>'Sources and Uses Budget'!T93</f>
        <v>0</v>
      </c>
      <c r="I93" s="293"/>
      <c r="J93" s="293"/>
      <c r="K93" s="290"/>
    </row>
    <row r="94" spans="1:11" s="291" customFormat="1">
      <c r="A94" s="295" t="str">
        <f>'Sources and Uses Budget'!$A94</f>
        <v>Other: (Specify)</v>
      </c>
      <c r="B94" s="292">
        <f>'Sources and Uses Budget'!C94</f>
        <v>0</v>
      </c>
      <c r="C94" s="293"/>
      <c r="D94" s="293">
        <f t="shared" si="12"/>
        <v>0</v>
      </c>
      <c r="E94" s="292">
        <f>'Sources and Uses Budget'!S94</f>
        <v>0</v>
      </c>
      <c r="F94" s="293"/>
      <c r="G94" s="293"/>
      <c r="H94" s="292">
        <f>'Sources and Uses Budget'!T94</f>
        <v>0</v>
      </c>
      <c r="I94" s="293"/>
      <c r="J94" s="293"/>
      <c r="K94" s="290"/>
    </row>
    <row r="95" spans="1:11" s="291" customFormat="1">
      <c r="A95" s="295" t="str">
        <f>'Sources and Uses Budget'!$A95</f>
        <v>Other: (Specify)</v>
      </c>
      <c r="B95" s="292">
        <f>'Sources and Uses Budget'!C95</f>
        <v>0</v>
      </c>
      <c r="C95" s="293"/>
      <c r="D95" s="293">
        <f t="shared" si="12"/>
        <v>0</v>
      </c>
      <c r="E95" s="292">
        <f>'Sources and Uses Budget'!S95</f>
        <v>0</v>
      </c>
      <c r="F95" s="293"/>
      <c r="G95" s="293"/>
      <c r="H95" s="292">
        <f>'Sources and Uses Budget'!T95</f>
        <v>0</v>
      </c>
      <c r="I95" s="293"/>
      <c r="J95" s="293"/>
      <c r="K95" s="290"/>
    </row>
    <row r="96" spans="1:11" s="291" customFormat="1">
      <c r="A96" s="296" t="s">
        <v>1866</v>
      </c>
      <c r="B96" s="292">
        <f>'Sources and Uses Budget'!C96</f>
        <v>5726820</v>
      </c>
      <c r="C96" s="292">
        <f>SUM(C83:C95)</f>
        <v>0</v>
      </c>
      <c r="D96" s="292">
        <f>SUM(D83:D95)</f>
        <v>5726820</v>
      </c>
      <c r="E96" s="292">
        <f>'Sources and Uses Budget'!S96</f>
        <v>5334518</v>
      </c>
      <c r="F96" s="298">
        <f>SUM(F84:F87,F89:F95)</f>
        <v>0</v>
      </c>
      <c r="G96" s="298">
        <f>SUM(G84:G87,G89:G95)</f>
        <v>5334518</v>
      </c>
      <c r="H96" s="292">
        <f>'Sources and Uses Budget'!T96</f>
        <v>0</v>
      </c>
      <c r="I96" s="292">
        <f>SUM(I84:I87,I89:I95)</f>
        <v>0</v>
      </c>
      <c r="J96" s="292">
        <f>SUM(J84:J87,J89:J95)</f>
        <v>0</v>
      </c>
      <c r="K96" s="290"/>
    </row>
    <row r="97" spans="1:11" s="291" customFormat="1">
      <c r="A97" s="296" t="s">
        <v>1920</v>
      </c>
      <c r="B97" s="292">
        <f>'Sources and Uses Budget'!C97</f>
        <v>42800026</v>
      </c>
      <c r="C97" s="292">
        <f>SUM(C63+C70+C77+C81+C96)</f>
        <v>0</v>
      </c>
      <c r="D97" s="292">
        <f>SUM(D63+D70+D77+D81+D96)</f>
        <v>42800026</v>
      </c>
      <c r="E97" s="292">
        <f>'Sources and Uses Budget'!S97</f>
        <v>35451227</v>
      </c>
      <c r="F97" s="298">
        <f>SUM(+F63+F70+F81+F96)</f>
        <v>0</v>
      </c>
      <c r="G97" s="298">
        <f>SUM(+G63+G70+G81+G96)</f>
        <v>35451227</v>
      </c>
      <c r="H97" s="292">
        <f>'Sources and Uses Budget'!T97</f>
        <v>0</v>
      </c>
      <c r="I97" s="298">
        <f>SUM(I63+I70+I81+I96)</f>
        <v>0</v>
      </c>
      <c r="J97" s="298">
        <f>SUM(J63+J70+J81+J96)</f>
        <v>0</v>
      </c>
      <c r="K97" s="290"/>
    </row>
    <row r="98" spans="1:11" s="291" customFormat="1">
      <c r="A98" s="288" t="s">
        <v>1868</v>
      </c>
      <c r="B98" s="289"/>
      <c r="C98" s="289"/>
      <c r="D98" s="289"/>
      <c r="E98" s="289"/>
      <c r="F98" s="289"/>
      <c r="G98" s="289"/>
      <c r="H98" s="289"/>
      <c r="I98" s="289"/>
      <c r="J98" s="289"/>
      <c r="K98" s="290"/>
    </row>
    <row r="99" spans="1:11" s="291" customFormat="1">
      <c r="A99" s="212" t="s">
        <v>1869</v>
      </c>
      <c r="B99" s="292">
        <f>'Sources and Uses Budget'!C99</f>
        <v>5317684</v>
      </c>
      <c r="C99" s="293"/>
      <c r="D99" s="293">
        <f>B99</f>
        <v>5317684</v>
      </c>
      <c r="E99" s="292">
        <f>'Sources and Uses Budget'!S99</f>
        <v>5317684</v>
      </c>
      <c r="F99" s="293"/>
      <c r="G99" s="293">
        <f>E99</f>
        <v>5317684</v>
      </c>
      <c r="H99" s="292">
        <f>'Sources and Uses Budget'!T99</f>
        <v>0</v>
      </c>
      <c r="I99" s="293"/>
      <c r="J99" s="293"/>
      <c r="K99" s="290"/>
    </row>
    <row r="100" spans="1:11" s="291" customFormat="1">
      <c r="A100" s="212" t="s">
        <v>1870</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1871</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1872</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1873</v>
      </c>
      <c r="B104" s="292">
        <f>'Sources and Uses Budget'!C104</f>
        <v>5317684</v>
      </c>
      <c r="C104" s="292">
        <f>SUM(C99:C103)</f>
        <v>0</v>
      </c>
      <c r="D104" s="292">
        <f>SUM(D99:D103)</f>
        <v>5317684</v>
      </c>
      <c r="E104" s="292">
        <f>'Sources and Uses Budget'!S104</f>
        <v>5317684</v>
      </c>
      <c r="F104" s="298">
        <f>SUM(F99:F103)</f>
        <v>0</v>
      </c>
      <c r="G104" s="298">
        <f>SUM(G99:G103)</f>
        <v>5317684</v>
      </c>
      <c r="H104" s="292">
        <f>'Sources and Uses Budget'!T104</f>
        <v>0</v>
      </c>
      <c r="I104" s="298">
        <f>SUM(I99:I103)</f>
        <v>0</v>
      </c>
      <c r="J104" s="298">
        <f>SUM(J99:J103)</f>
        <v>0</v>
      </c>
      <c r="K104" s="290"/>
    </row>
    <row r="105" spans="1:11" s="291" customFormat="1">
      <c r="A105" s="296" t="s">
        <v>1921</v>
      </c>
      <c r="B105" s="292">
        <f>'Sources and Uses Budget'!C105</f>
        <v>48117710</v>
      </c>
      <c r="C105" s="298">
        <f>SUM(C97+C104)</f>
        <v>0</v>
      </c>
      <c r="D105" s="298">
        <f>SUM(D97+D104)</f>
        <v>48117710</v>
      </c>
      <c r="E105" s="292">
        <f>'Sources and Uses Budget'!S105</f>
        <v>40768911</v>
      </c>
      <c r="F105" s="298">
        <f>F97+F104</f>
        <v>0</v>
      </c>
      <c r="G105" s="298">
        <f>G97+G104</f>
        <v>40768911</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1922</v>
      </c>
      <c r="E107" s="292">
        <f>'Sources and Uses Budget'!S107</f>
        <v>40768911</v>
      </c>
      <c r="F107" s="298">
        <f>F105+F106</f>
        <v>0</v>
      </c>
      <c r="G107" s="298">
        <f>G105+G106</f>
        <v>40768911</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2.75">
      <c r="A111" s="308"/>
      <c r="B111" s="306"/>
      <c r="C111" s="306"/>
      <c r="D111" s="306"/>
      <c r="J111" s="307"/>
      <c r="K111" s="290"/>
    </row>
    <row r="112" spans="1:11" s="291" customFormat="1" ht="12.75">
      <c r="A112" s="308"/>
      <c r="B112" s="306"/>
      <c r="C112" s="306"/>
      <c r="D112" s="306"/>
      <c r="J112" s="307"/>
      <c r="K112" s="290"/>
    </row>
    <row r="113" spans="1:11" s="291" customFormat="1" ht="14.25">
      <c r="A113" s="309"/>
      <c r="B113" s="306"/>
      <c r="C113" s="306"/>
      <c r="D113" s="306"/>
      <c r="J113" s="307"/>
      <c r="K113" s="290"/>
    </row>
    <row r="114" spans="1:11" s="291" customFormat="1" ht="12.75">
      <c r="A114" s="308"/>
      <c r="J114" s="307"/>
      <c r="K114" s="290"/>
    </row>
    <row r="115" spans="1:11" s="291" customFormat="1" ht="14.25">
      <c r="A115" s="309"/>
      <c r="J115" s="307"/>
      <c r="K115" s="290"/>
    </row>
    <row r="116" spans="1:11" s="291" customFormat="1" ht="14.2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4.25">
      <c r="A121" s="309"/>
      <c r="J121" s="307"/>
      <c r="K121" s="290"/>
    </row>
    <row r="122" spans="1:11" s="311" customFormat="1" ht="15.75">
      <c r="A122" s="310"/>
      <c r="J122" s="312"/>
      <c r="K122" s="313"/>
    </row>
    <row r="123" spans="1:11" s="291" customFormat="1">
      <c r="A123" s="314"/>
      <c r="J123" s="307"/>
      <c r="K123" s="290"/>
    </row>
    <row r="124" spans="1:11" s="291" customFormat="1">
      <c r="B124" s="315"/>
      <c r="D124" s="1718"/>
      <c r="E124" s="1200"/>
      <c r="F124" s="1200"/>
      <c r="G124" s="1200"/>
      <c r="H124" s="1200"/>
      <c r="I124" s="1200"/>
      <c r="J124" s="307"/>
      <c r="K124" s="290"/>
    </row>
    <row r="125" spans="1:11" s="291" customFormat="1" ht="12.75">
      <c r="A125" s="316"/>
      <c r="B125" s="315"/>
      <c r="C125" s="316"/>
      <c r="D125" s="1200"/>
      <c r="E125" s="1200"/>
      <c r="F125" s="1200"/>
      <c r="G125" s="1200"/>
      <c r="H125" s="1200"/>
      <c r="I125" s="1200"/>
      <c r="J125" s="307"/>
      <c r="K125" s="290"/>
    </row>
    <row r="126" spans="1:11" s="291" customFormat="1" ht="12.75">
      <c r="A126" s="316"/>
      <c r="B126" s="315"/>
      <c r="C126" s="316"/>
      <c r="D126" s="1200"/>
      <c r="E126" s="1200"/>
      <c r="F126" s="1200"/>
      <c r="G126" s="1200"/>
      <c r="H126" s="1200"/>
      <c r="I126" s="1200"/>
      <c r="J126" s="307"/>
      <c r="K126" s="290"/>
    </row>
    <row r="127" spans="1:11" s="291" customFormat="1" ht="12.75">
      <c r="A127" s="316"/>
      <c r="B127" s="315"/>
      <c r="C127" s="316"/>
      <c r="D127" s="317"/>
      <c r="E127" s="316"/>
      <c r="F127" s="316"/>
      <c r="G127" s="316"/>
      <c r="J127" s="307"/>
      <c r="K127" s="290"/>
    </row>
    <row r="128" spans="1:11" s="291" customFormat="1" ht="12.75">
      <c r="A128" s="316"/>
      <c r="B128" s="315"/>
      <c r="C128" s="316"/>
      <c r="D128" s="317"/>
      <c r="E128" s="316"/>
      <c r="F128" s="316"/>
      <c r="G128" s="316"/>
      <c r="J128" s="307"/>
      <c r="K128" s="290"/>
    </row>
    <row r="129" spans="1:11" s="291" customFormat="1" ht="12.75">
      <c r="A129" s="316"/>
      <c r="B129" s="315"/>
      <c r="C129" s="316"/>
      <c r="D129" s="316"/>
      <c r="E129" s="316"/>
      <c r="F129" s="316"/>
      <c r="G129" s="316"/>
      <c r="J129" s="307"/>
      <c r="K129" s="290"/>
    </row>
    <row r="130" spans="1:11" s="291" customFormat="1" ht="12.75">
      <c r="A130" s="316"/>
      <c r="B130" s="315"/>
      <c r="C130" s="316"/>
      <c r="D130" s="316"/>
      <c r="E130" s="316"/>
      <c r="F130" s="316"/>
      <c r="G130" s="316"/>
      <c r="J130" s="307"/>
      <c r="K130" s="290"/>
    </row>
    <row r="131" spans="1:11" s="291" customFormat="1" ht="12.75">
      <c r="A131" s="316"/>
      <c r="B131" s="318"/>
      <c r="C131" s="316"/>
      <c r="D131" s="316"/>
      <c r="E131" s="316"/>
      <c r="F131" s="316"/>
      <c r="G131" s="316"/>
      <c r="J131" s="307"/>
      <c r="K131" s="290"/>
    </row>
    <row r="132" spans="1:11" s="291" customFormat="1" ht="12.75">
      <c r="A132" s="319"/>
      <c r="B132" s="320"/>
      <c r="C132" s="316"/>
      <c r="D132" s="321"/>
      <c r="E132" s="316"/>
      <c r="F132" s="316"/>
      <c r="G132" s="316"/>
      <c r="J132" s="307"/>
      <c r="K132" s="290"/>
    </row>
    <row r="133" spans="1:11" s="291" customFormat="1" ht="12.75">
      <c r="A133" s="322"/>
      <c r="B133" s="316"/>
      <c r="C133" s="316"/>
      <c r="D133" s="316"/>
      <c r="E133" s="316"/>
      <c r="F133" s="316"/>
      <c r="G133" s="316"/>
      <c r="J133" s="307"/>
      <c r="K133" s="290"/>
    </row>
    <row r="134" spans="1:11" s="291" customFormat="1" ht="12.75">
      <c r="A134" s="322"/>
      <c r="B134" s="316"/>
      <c r="C134" s="316"/>
      <c r="D134" s="316"/>
      <c r="E134" s="316"/>
      <c r="F134" s="316"/>
      <c r="G134" s="316"/>
      <c r="J134" s="307"/>
      <c r="K134" s="290"/>
    </row>
    <row r="135" spans="1:11" s="291" customFormat="1" ht="12.75">
      <c r="A135" s="323"/>
      <c r="B135" s="316"/>
      <c r="C135" s="316"/>
      <c r="D135" s="316"/>
      <c r="E135" s="316"/>
      <c r="F135" s="316"/>
      <c r="G135" s="316"/>
      <c r="J135" s="307"/>
      <c r="K135" s="290"/>
    </row>
    <row r="136" spans="1:11" s="291" customFormat="1" ht="12.75">
      <c r="A136" s="308"/>
      <c r="B136" s="316"/>
      <c r="C136" s="316"/>
      <c r="D136" s="316"/>
      <c r="E136" s="316"/>
      <c r="F136" s="316"/>
      <c r="G136" s="316"/>
      <c r="J136" s="307"/>
      <c r="K136" s="290"/>
    </row>
    <row r="137" spans="1:11" ht="12.75">
      <c r="A137" s="322"/>
      <c r="B137" s="316"/>
      <c r="C137" s="316"/>
      <c r="D137" s="316"/>
      <c r="E137" s="316"/>
      <c r="F137" s="316"/>
      <c r="G137" s="316"/>
    </row>
    <row r="138" spans="1:11" ht="12" customHeight="1">
      <c r="A138" s="322"/>
      <c r="B138" s="316"/>
      <c r="C138" s="316"/>
      <c r="D138" s="316"/>
      <c r="E138" s="316"/>
      <c r="F138" s="316"/>
      <c r="G138" s="316"/>
    </row>
    <row r="139" spans="1:11" ht="12" customHeight="1">
      <c r="A139" s="1719"/>
      <c r="B139" s="1200"/>
      <c r="C139" s="1200"/>
      <c r="D139" s="287"/>
      <c r="E139" s="316"/>
      <c r="F139" s="316"/>
      <c r="G139" s="316"/>
    </row>
    <row r="140" spans="1:11" ht="12" customHeight="1">
      <c r="A140" s="1139"/>
      <c r="B140" s="1139"/>
      <c r="C140" s="1139"/>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002"/>
    <col min="38" max="38" width="3" style="1002" customWidth="1"/>
    <col min="39" max="64" width="2.7109375" style="1002"/>
    <col min="65" max="65" width="6.140625" style="1002" bestFit="1" customWidth="1"/>
    <col min="66" max="70" width="5.5703125" style="1002" bestFit="1" customWidth="1"/>
    <col min="71" max="71" width="6.140625" style="1002" bestFit="1" customWidth="1"/>
    <col min="72" max="76" width="5.5703125" style="1002" bestFit="1" customWidth="1"/>
    <col min="77" max="77" width="6.140625" style="1002" bestFit="1" customWidth="1"/>
    <col min="78" max="78" width="5.5703125" style="1002" bestFit="1" customWidth="1"/>
    <col min="79" max="16384" width="2.7109375" style="1002"/>
  </cols>
  <sheetData>
    <row r="1" spans="1:65" ht="15.75" customHeight="1">
      <c r="A1" s="1723" t="s">
        <v>1923</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c r="AC1" s="1724"/>
      <c r="AD1" s="1724"/>
      <c r="AE1" s="1724"/>
      <c r="AF1" s="1724"/>
      <c r="AG1" s="1724"/>
      <c r="AH1" s="1724"/>
      <c r="AI1" s="1724"/>
      <c r="AJ1" s="1724"/>
      <c r="AK1" s="1724"/>
      <c r="AL1" s="1724"/>
      <c r="AM1" s="1724"/>
      <c r="AN1" s="1724"/>
      <c r="AO1" s="1724"/>
      <c r="AP1" s="1724"/>
      <c r="AQ1" s="1724"/>
      <c r="AR1" s="1724"/>
      <c r="AS1" s="1724"/>
      <c r="AT1" s="1724"/>
      <c r="AU1" s="1724"/>
      <c r="AV1" s="1724"/>
      <c r="AW1" s="1724"/>
      <c r="AX1" s="1724"/>
      <c r="AY1" s="1724"/>
      <c r="AZ1" s="1724"/>
      <c r="BA1" s="1724"/>
      <c r="BB1" s="1724"/>
      <c r="BC1" s="1724"/>
      <c r="BD1" s="1724"/>
      <c r="BE1" s="1725"/>
    </row>
    <row r="2" spans="1:65" ht="15.75" customHeight="1">
      <c r="A2" s="1726" t="s">
        <v>1924</v>
      </c>
      <c r="B2" s="1727"/>
      <c r="C2" s="1727"/>
      <c r="D2" s="1727"/>
      <c r="E2" s="1727"/>
      <c r="F2" s="1727"/>
      <c r="G2" s="1727"/>
      <c r="H2" s="1727"/>
      <c r="I2" s="1727"/>
      <c r="J2" s="1727"/>
      <c r="K2" s="1727"/>
      <c r="L2" s="1727"/>
      <c r="M2" s="1727"/>
      <c r="N2" s="1727"/>
      <c r="O2" s="1727"/>
      <c r="P2" s="1727"/>
      <c r="Q2" s="1727"/>
      <c r="R2" s="1727"/>
      <c r="S2" s="1727"/>
      <c r="T2" s="1727"/>
      <c r="U2" s="1727"/>
      <c r="V2" s="1727"/>
      <c r="W2" s="1727"/>
      <c r="X2" s="1727"/>
      <c r="Y2" s="1727"/>
      <c r="Z2" s="1727"/>
      <c r="AA2" s="1727"/>
      <c r="AB2" s="1727"/>
      <c r="AC2" s="1727"/>
      <c r="AD2" s="1727"/>
      <c r="AE2" s="1727"/>
      <c r="AF2" s="1727"/>
      <c r="AG2" s="1727"/>
      <c r="AH2" s="1727"/>
      <c r="AI2" s="1727"/>
      <c r="AJ2" s="1727"/>
      <c r="AK2" s="1727"/>
      <c r="AL2" s="1727"/>
      <c r="AM2" s="1727"/>
      <c r="AN2" s="1727"/>
      <c r="AO2" s="1727"/>
      <c r="AP2" s="1727"/>
      <c r="AQ2" s="1727"/>
      <c r="AR2" s="1727"/>
      <c r="AS2" s="1727"/>
      <c r="AT2" s="1727"/>
      <c r="AU2" s="1727"/>
      <c r="AV2" s="1727"/>
      <c r="AW2" s="1727"/>
      <c r="AX2" s="1727"/>
      <c r="AY2" s="1727"/>
      <c r="AZ2" s="1727"/>
      <c r="BA2" s="1727"/>
      <c r="BB2" s="1727"/>
      <c r="BC2" s="1727"/>
      <c r="BD2" s="1727"/>
      <c r="BE2" s="1728"/>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1729" t="str">
        <f>IF(Application!H18="","",Application!H18)</f>
        <v xml:space="preserve">Epoca Neighborhood L Apartments </v>
      </c>
      <c r="M4" s="1730"/>
      <c r="N4" s="1730"/>
      <c r="O4" s="1730"/>
      <c r="P4" s="1730"/>
      <c r="Q4" s="1730"/>
      <c r="R4" s="1730"/>
      <c r="S4" s="1730"/>
      <c r="T4" s="1730"/>
      <c r="U4" s="1730"/>
      <c r="V4" s="1730"/>
      <c r="W4" s="1730"/>
      <c r="X4" s="1730"/>
      <c r="Y4" s="1730"/>
      <c r="Z4" s="1730"/>
      <c r="AA4" s="1730"/>
      <c r="AB4" s="1730"/>
      <c r="AC4" s="1731"/>
      <c r="AD4" s="1005"/>
      <c r="AE4" s="1005"/>
      <c r="AF4" s="1732" t="s">
        <v>1925</v>
      </c>
      <c r="AG4" s="1733"/>
      <c r="AH4" s="1733"/>
      <c r="AI4" s="1733"/>
      <c r="AJ4" s="1733"/>
      <c r="AK4" s="1733"/>
      <c r="AL4" s="1733"/>
      <c r="AM4" s="1733"/>
      <c r="AN4" s="1733"/>
      <c r="AO4" s="1733"/>
      <c r="AP4" s="1734">
        <v>44562</v>
      </c>
      <c r="AQ4" s="1735"/>
      <c r="AR4" s="1735"/>
      <c r="AS4" s="1735"/>
      <c r="AT4" s="1735"/>
      <c r="AU4" s="1736"/>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737" t="s">
        <v>1926</v>
      </c>
      <c r="AG5" s="1738"/>
      <c r="AH5" s="1738"/>
      <c r="AI5" s="1738"/>
      <c r="AJ5" s="1738"/>
      <c r="AK5" s="1738"/>
      <c r="AL5" s="1738"/>
      <c r="AM5" s="1738"/>
      <c r="AN5" s="1738"/>
      <c r="AO5" s="1738"/>
      <c r="AP5" s="1734">
        <v>44562</v>
      </c>
      <c r="AQ5" s="1735"/>
      <c r="AR5" s="1735"/>
      <c r="AS5" s="1735"/>
      <c r="AT5" s="1735"/>
      <c r="AU5" s="1736"/>
      <c r="AV5" s="1005"/>
      <c r="AW5" s="1005"/>
      <c r="AX5" s="1005"/>
      <c r="AY5" s="1005"/>
      <c r="AZ5" s="1005"/>
      <c r="BA5" s="1005"/>
      <c r="BB5" s="1005"/>
      <c r="BC5" s="1005"/>
      <c r="BD5" s="1005"/>
      <c r="BE5" s="1006"/>
    </row>
    <row r="6" spans="1:65" ht="15.75" customHeight="1" thickBot="1">
      <c r="A6" s="1004"/>
      <c r="B6" s="1007" t="s">
        <v>1927</v>
      </c>
      <c r="C6" s="1005"/>
      <c r="D6" s="1005"/>
      <c r="E6" s="1005"/>
      <c r="F6" s="1005"/>
      <c r="G6" s="1005"/>
      <c r="H6" s="1005"/>
      <c r="I6" s="1005"/>
      <c r="J6" s="1005"/>
      <c r="K6" s="1005"/>
      <c r="L6" s="1753" t="str">
        <f>IF(Application!H16="","",Application!H16)</f>
        <v>CR Epoca L Communities LP</v>
      </c>
      <c r="M6" s="1754"/>
      <c r="N6" s="1754"/>
      <c r="O6" s="1754"/>
      <c r="P6" s="1754"/>
      <c r="Q6" s="1754"/>
      <c r="R6" s="1754"/>
      <c r="S6" s="1754"/>
      <c r="T6" s="1754"/>
      <c r="U6" s="1754"/>
      <c r="V6" s="1754"/>
      <c r="W6" s="1754"/>
      <c r="X6" s="1754"/>
      <c r="Y6" s="1754"/>
      <c r="Z6" s="1754"/>
      <c r="AA6" s="1754"/>
      <c r="AB6" s="1754"/>
      <c r="AC6" s="175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thickBot="1">
      <c r="A8" s="1004"/>
      <c r="B8" s="1007" t="s">
        <v>1928</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756" t="str">
        <f>Application!T196</f>
        <v>No</v>
      </c>
      <c r="AC8" s="1746"/>
      <c r="AD8" s="1747"/>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thickBot="1">
      <c r="A10" s="1004"/>
      <c r="B10" s="1007" t="s">
        <v>1929</v>
      </c>
      <c r="C10" s="1007"/>
      <c r="D10" s="1007"/>
      <c r="E10" s="1007"/>
      <c r="F10" s="1007"/>
      <c r="G10" s="1007"/>
      <c r="H10" s="1007"/>
      <c r="I10" s="1007"/>
      <c r="J10" s="1007"/>
      <c r="K10" s="1007"/>
      <c r="L10" s="1007"/>
      <c r="M10" s="1005"/>
      <c r="N10" s="1757">
        <f>Application!AO637</f>
        <v>22934095</v>
      </c>
      <c r="O10" s="1758"/>
      <c r="P10" s="1758"/>
      <c r="Q10" s="1758"/>
      <c r="R10" s="1758"/>
      <c r="S10" s="1758"/>
      <c r="T10" s="1759"/>
      <c r="U10" s="1005"/>
      <c r="V10" s="1005"/>
      <c r="W10" s="1005"/>
      <c r="X10" s="1739" t="s">
        <v>1930</v>
      </c>
      <c r="Y10" s="1740"/>
      <c r="Z10" s="1740"/>
      <c r="AA10" s="1740"/>
      <c r="AB10" s="1740"/>
      <c r="AC10" s="1740"/>
      <c r="AD10" s="1740"/>
      <c r="AE10" s="1740"/>
      <c r="AF10" s="1740"/>
      <c r="AG10" s="1740"/>
      <c r="AH10" s="1740"/>
      <c r="AI10" s="1740"/>
      <c r="AJ10" s="1740"/>
      <c r="AK10" s="1741"/>
      <c r="AL10" s="1745">
        <f>Application!W471</f>
        <v>0</v>
      </c>
      <c r="AM10" s="1746"/>
      <c r="AN10" s="1746"/>
      <c r="AO10" s="1746"/>
      <c r="AP10" s="1747"/>
      <c r="AQ10" s="1008"/>
      <c r="AR10" s="1008"/>
      <c r="AS10" s="1008"/>
      <c r="AT10" s="1008"/>
      <c r="AU10" s="1008"/>
      <c r="AV10" s="1008"/>
      <c r="AW10" s="1008"/>
      <c r="AX10" s="1005"/>
      <c r="AY10" s="1005"/>
      <c r="AZ10" s="1005"/>
      <c r="BA10" s="1005"/>
      <c r="BB10" s="1005"/>
      <c r="BC10" s="1005"/>
      <c r="BD10" s="1005"/>
      <c r="BE10" s="1006"/>
    </row>
    <row r="11" spans="1:65" thickBot="1">
      <c r="A11" s="1004"/>
      <c r="B11" s="1007" t="s">
        <v>1931</v>
      </c>
      <c r="C11" s="1007"/>
      <c r="D11" s="1007"/>
      <c r="E11" s="1007"/>
      <c r="F11" s="1007"/>
      <c r="G11" s="1007"/>
      <c r="H11" s="1007"/>
      <c r="I11" s="1007"/>
      <c r="J11" s="1007"/>
      <c r="K11" s="1007"/>
      <c r="L11" s="1007"/>
      <c r="M11" s="1005"/>
      <c r="N11" s="1760">
        <f>Application!AA925</f>
        <v>0</v>
      </c>
      <c r="O11" s="1761"/>
      <c r="P11" s="1761"/>
      <c r="Q11" s="1761"/>
      <c r="R11" s="1761"/>
      <c r="S11" s="1761"/>
      <c r="T11" s="1762"/>
      <c r="U11" s="1005"/>
      <c r="V11" s="1005"/>
      <c r="W11" s="1005"/>
      <c r="X11" s="1763" t="s">
        <v>1932</v>
      </c>
      <c r="Y11" s="1764"/>
      <c r="Z11" s="1764"/>
      <c r="AA11" s="1764"/>
      <c r="AB11" s="1764"/>
      <c r="AC11" s="1764"/>
      <c r="AD11" s="1764"/>
      <c r="AE11" s="1764"/>
      <c r="AF11" s="1764"/>
      <c r="AG11" s="1764"/>
      <c r="AH11" s="1764"/>
      <c r="AI11" s="1764"/>
      <c r="AJ11" s="1764"/>
      <c r="AK11" s="1765"/>
      <c r="AL11" s="1742">
        <v>44562</v>
      </c>
      <c r="AM11" s="1743"/>
      <c r="AN11" s="1743"/>
      <c r="AO11" s="1743"/>
      <c r="AP11" s="1744"/>
      <c r="AQ11" s="1009"/>
      <c r="AR11" s="1010"/>
      <c r="AS11" s="1008"/>
      <c r="AT11" s="1008"/>
      <c r="AU11" s="1008"/>
      <c r="AV11" s="1008"/>
      <c r="AW11" s="1008"/>
      <c r="AX11" s="1005"/>
      <c r="AY11" s="1005"/>
      <c r="AZ11" s="1005"/>
      <c r="BA11" s="1005"/>
      <c r="BB11" s="1005"/>
      <c r="BC11" s="1005"/>
      <c r="BD11" s="1005"/>
      <c r="BE11" s="1006"/>
    </row>
    <row r="12" spans="1:6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739" t="s">
        <v>1933</v>
      </c>
      <c r="Y12" s="1740"/>
      <c r="Z12" s="1740"/>
      <c r="AA12" s="1740"/>
      <c r="AB12" s="1740"/>
      <c r="AC12" s="1740"/>
      <c r="AD12" s="1740"/>
      <c r="AE12" s="1740"/>
      <c r="AF12" s="1740"/>
      <c r="AG12" s="1740"/>
      <c r="AH12" s="1740"/>
      <c r="AI12" s="1740"/>
      <c r="AJ12" s="1740"/>
      <c r="AK12" s="1741"/>
      <c r="AL12" s="1742">
        <v>44562</v>
      </c>
      <c r="AM12" s="1743"/>
      <c r="AN12" s="1743"/>
      <c r="AO12" s="1743"/>
      <c r="AP12" s="1744"/>
      <c r="AQ12" s="1008"/>
      <c r="AR12" s="1008"/>
      <c r="AS12" s="1008"/>
      <c r="AT12" s="1008"/>
      <c r="AU12" s="1008"/>
      <c r="AV12" s="1005"/>
      <c r="AW12" s="1005"/>
      <c r="AX12" s="1005"/>
      <c r="AY12" s="1005"/>
      <c r="AZ12" s="1005"/>
      <c r="BA12" s="1005"/>
      <c r="BB12" s="1005"/>
      <c r="BC12" s="1005"/>
      <c r="BD12" s="1005"/>
      <c r="BE12" s="1011"/>
    </row>
    <row r="13" spans="1:65" thickBot="1">
      <c r="A13" s="1005"/>
      <c r="B13" s="1739" t="s">
        <v>1934</v>
      </c>
      <c r="C13" s="1740"/>
      <c r="D13" s="1740"/>
      <c r="E13" s="1740"/>
      <c r="F13" s="1740"/>
      <c r="G13" s="1740"/>
      <c r="H13" s="1740"/>
      <c r="I13" s="1740"/>
      <c r="J13" s="1740"/>
      <c r="K13" s="1740"/>
      <c r="L13" s="1740"/>
      <c r="M13" s="1740"/>
      <c r="N13" s="1740"/>
      <c r="O13" s="1740"/>
      <c r="P13" s="1741"/>
      <c r="Q13" s="1748" t="s">
        <v>1935</v>
      </c>
      <c r="R13" s="1735"/>
      <c r="S13" s="1735"/>
      <c r="T13" s="1736"/>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5">
      <c r="A15" s="1005"/>
      <c r="B15" s="1749" t="s">
        <v>1936</v>
      </c>
      <c r="C15" s="1749"/>
      <c r="D15" s="1749"/>
      <c r="E15" s="1749"/>
      <c r="F15" s="1749"/>
      <c r="G15" s="1749"/>
      <c r="H15" s="1749"/>
      <c r="I15" s="1749"/>
      <c r="J15" s="1749"/>
      <c r="K15" s="1749"/>
      <c r="L15" s="1750"/>
      <c r="M15" s="1732" t="s">
        <v>1937</v>
      </c>
      <c r="N15" s="1733"/>
      <c r="O15" s="1733"/>
      <c r="P15" s="1733"/>
      <c r="Q15" s="1733"/>
      <c r="R15" s="1733"/>
      <c r="S15" s="1751" t="str">
        <f>IF(Application!AB214="","",Application!AB214)</f>
        <v/>
      </c>
      <c r="T15" s="1751"/>
      <c r="U15" s="1751"/>
      <c r="V15" s="1751"/>
      <c r="W15" s="1752"/>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5">
      <c r="A17" s="1005"/>
      <c r="B17" s="1766" t="s">
        <v>1938</v>
      </c>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V17" s="1767"/>
      <c r="AW17" s="1767"/>
      <c r="AX17" s="1767"/>
      <c r="AY17" s="1768"/>
      <c r="AZ17" s="1005"/>
      <c r="BA17" s="1005"/>
      <c r="BB17" s="1005"/>
      <c r="BC17" s="1005"/>
      <c r="BD17" s="1005"/>
      <c r="BE17" s="1011"/>
      <c r="BF17" s="1003"/>
    </row>
    <row r="18" spans="1:58" ht="15.75" customHeight="1">
      <c r="A18" s="1005"/>
      <c r="B18" s="1769" t="s">
        <v>1939</v>
      </c>
      <c r="C18" s="1770"/>
      <c r="D18" s="1770"/>
      <c r="E18" s="1770"/>
      <c r="F18" s="1770"/>
      <c r="G18" s="1770"/>
      <c r="H18" s="1770"/>
      <c r="I18" s="1771"/>
      <c r="J18" s="1772" t="s">
        <v>1940</v>
      </c>
      <c r="K18" s="1773"/>
      <c r="L18" s="1773"/>
      <c r="M18" s="1773"/>
      <c r="N18" s="1773"/>
      <c r="O18" s="1774"/>
      <c r="P18" s="1772" t="s">
        <v>1490</v>
      </c>
      <c r="Q18" s="1773"/>
      <c r="R18" s="1773"/>
      <c r="S18" s="1773"/>
      <c r="T18" s="1773"/>
      <c r="U18" s="1774"/>
      <c r="V18" s="1772" t="s">
        <v>1494</v>
      </c>
      <c r="W18" s="1773"/>
      <c r="X18" s="1773"/>
      <c r="Y18" s="1773"/>
      <c r="Z18" s="1773"/>
      <c r="AA18" s="1774"/>
      <c r="AB18" s="1772" t="s">
        <v>1495</v>
      </c>
      <c r="AC18" s="1773"/>
      <c r="AD18" s="1773"/>
      <c r="AE18" s="1773"/>
      <c r="AF18" s="1773"/>
      <c r="AG18" s="1774"/>
      <c r="AH18" s="1772" t="s">
        <v>1496</v>
      </c>
      <c r="AI18" s="1773"/>
      <c r="AJ18" s="1773"/>
      <c r="AK18" s="1773"/>
      <c r="AL18" s="1773"/>
      <c r="AM18" s="1774"/>
      <c r="AN18" s="1772" t="s">
        <v>1499</v>
      </c>
      <c r="AO18" s="1773"/>
      <c r="AP18" s="1773"/>
      <c r="AQ18" s="1773"/>
      <c r="AR18" s="1773"/>
      <c r="AS18" s="1774"/>
      <c r="AT18" s="1772" t="s">
        <v>1941</v>
      </c>
      <c r="AU18" s="1773"/>
      <c r="AV18" s="1773"/>
      <c r="AW18" s="1773"/>
      <c r="AX18" s="1773"/>
      <c r="AY18" s="1775"/>
      <c r="AZ18" s="1005"/>
      <c r="BA18" s="1005"/>
      <c r="BB18" s="1005"/>
      <c r="BC18" s="1005"/>
      <c r="BD18" s="1005"/>
      <c r="BE18" s="1011"/>
    </row>
    <row r="19" spans="1:58" ht="15">
      <c r="A19" s="1005"/>
      <c r="B19" s="1782">
        <v>0.2</v>
      </c>
      <c r="C19" s="1783"/>
      <c r="D19" s="1783"/>
      <c r="E19" s="1783"/>
      <c r="F19" s="1783"/>
      <c r="G19" s="1783"/>
      <c r="H19" s="1783"/>
      <c r="I19" s="1783"/>
      <c r="J19" s="1776">
        <f>SUM(P19:AS19)</f>
        <v>0</v>
      </c>
      <c r="K19" s="1777"/>
      <c r="L19" s="1777"/>
      <c r="M19" s="1777"/>
      <c r="N19" s="1777"/>
      <c r="O19" s="1778"/>
      <c r="P19" s="1776" cm="1">
        <f t="array" ref="P19">SUMPRODUCT((Application!$B$728:$B$752 = 'CalHFA Addendum'!P$18)*(Application!$AH$728:$AH$752 = 'CalHFA Addendum'!$B19),Application!$G$728:$G$752)</f>
        <v>0</v>
      </c>
      <c r="Q19" s="1777"/>
      <c r="R19" s="1777"/>
      <c r="S19" s="1777"/>
      <c r="T19" s="1777"/>
      <c r="U19" s="1778"/>
      <c r="V19" s="1776" cm="1">
        <f t="array" ref="V19">SUMPRODUCT((Application!$B$728:$B$752 = 'CalHFA Addendum'!V$18)*(Application!$AH$728:$AH$752 = 'CalHFA Addendum'!$B19),Application!$G$728:$G$752)</f>
        <v>0</v>
      </c>
      <c r="W19" s="1777"/>
      <c r="X19" s="1777"/>
      <c r="Y19" s="1777"/>
      <c r="Z19" s="1777"/>
      <c r="AA19" s="1778"/>
      <c r="AB19" s="1776" cm="1">
        <f t="array" ref="AB19">SUMPRODUCT((Application!$B$728:$B$752 = 'CalHFA Addendum'!AB$18)*(Application!$AH$728:$AH$752 = 'CalHFA Addendum'!$B19),Application!$G$728:$G$752)</f>
        <v>0</v>
      </c>
      <c r="AC19" s="1777"/>
      <c r="AD19" s="1777"/>
      <c r="AE19" s="1777"/>
      <c r="AF19" s="1777"/>
      <c r="AG19" s="1778"/>
      <c r="AH19" s="1776" cm="1">
        <f t="array" ref="AH19">SUMPRODUCT((Application!$B$728:$B$752 = 'CalHFA Addendum'!AH$18)*(Application!$AH$728:$AH$752 = 'CalHFA Addendum'!$B19),Application!$G$728:$G$752)</f>
        <v>0</v>
      </c>
      <c r="AI19" s="1777"/>
      <c r="AJ19" s="1777"/>
      <c r="AK19" s="1777"/>
      <c r="AL19" s="1777"/>
      <c r="AM19" s="1778"/>
      <c r="AN19" s="1776" cm="1">
        <f t="array" ref="AN19">SUMPRODUCT((Application!$B$728:$B$752 = 'CalHFA Addendum'!AN$18)*(Application!$AH$728:$AH$752 = 'CalHFA Addendum'!$B19),Application!$G$728:$G$752)</f>
        <v>0</v>
      </c>
      <c r="AO19" s="1777"/>
      <c r="AP19" s="1777"/>
      <c r="AQ19" s="1777"/>
      <c r="AR19" s="1777"/>
      <c r="AS19" s="1778"/>
      <c r="AT19" s="1779">
        <f t="shared" ref="AT19:AT28" si="0">J19/$J$29</f>
        <v>0</v>
      </c>
      <c r="AU19" s="1780"/>
      <c r="AV19" s="1780"/>
      <c r="AW19" s="1780"/>
      <c r="AX19" s="1780"/>
      <c r="AY19" s="1781"/>
      <c r="AZ19" s="1012"/>
      <c r="BA19" s="1005"/>
      <c r="BB19" s="1005"/>
      <c r="BC19" s="1005"/>
      <c r="BD19" s="1005"/>
      <c r="BE19" s="1011"/>
    </row>
    <row r="20" spans="1:58" ht="15" customHeight="1">
      <c r="A20" s="1005"/>
      <c r="B20" s="1782">
        <v>0.3</v>
      </c>
      <c r="C20" s="1783"/>
      <c r="D20" s="1783"/>
      <c r="E20" s="1783"/>
      <c r="F20" s="1783"/>
      <c r="G20" s="1783"/>
      <c r="H20" s="1783"/>
      <c r="I20" s="1783"/>
      <c r="J20" s="1776">
        <f t="shared" ref="J20:J28" si="1">SUM(P20:AS20)</f>
        <v>14</v>
      </c>
      <c r="K20" s="1777"/>
      <c r="L20" s="1777"/>
      <c r="M20" s="1777"/>
      <c r="N20" s="1777"/>
      <c r="O20" s="1778"/>
      <c r="P20" s="1776" cm="1">
        <f t="array" ref="P20">SUMPRODUCT((Application!$B$728:$B$752 = 'CalHFA Addendum'!P$18)*(Application!$AH$728:$AH$752 = 'CalHFA Addendum'!$B20),Application!$G$728:$G$752)</f>
        <v>0</v>
      </c>
      <c r="Q20" s="1777"/>
      <c r="R20" s="1777"/>
      <c r="S20" s="1777"/>
      <c r="T20" s="1777"/>
      <c r="U20" s="1778"/>
      <c r="V20" s="1776" cm="1">
        <f t="array" ref="V20">SUMPRODUCT((Application!$B$728:$B$752 = 'CalHFA Addendum'!V$18)*(Application!$AH$728:$AH$752 = 'CalHFA Addendum'!$B20),Application!$G$728:$G$752)</f>
        <v>6</v>
      </c>
      <c r="W20" s="1777"/>
      <c r="X20" s="1777"/>
      <c r="Y20" s="1777"/>
      <c r="Z20" s="1777"/>
      <c r="AA20" s="1778"/>
      <c r="AB20" s="1776" cm="1">
        <f t="array" ref="AB20">SUMPRODUCT((Application!$B$728:$B$752 = 'CalHFA Addendum'!AB$18)*(Application!$AH$728:$AH$752 = 'CalHFA Addendum'!$B20),Application!$G$728:$G$752)</f>
        <v>4</v>
      </c>
      <c r="AC20" s="1777"/>
      <c r="AD20" s="1777"/>
      <c r="AE20" s="1777"/>
      <c r="AF20" s="1777"/>
      <c r="AG20" s="1778"/>
      <c r="AH20" s="1776" cm="1">
        <f t="array" ref="AH20">SUMPRODUCT((Application!$B$728:$B$752 = 'CalHFA Addendum'!AH$18)*(Application!$AH$728:$AH$752 = 'CalHFA Addendum'!$B20),Application!$G$728:$G$752)</f>
        <v>4</v>
      </c>
      <c r="AI20" s="1777"/>
      <c r="AJ20" s="1777"/>
      <c r="AK20" s="1777"/>
      <c r="AL20" s="1777"/>
      <c r="AM20" s="1778"/>
      <c r="AN20" s="1776" cm="1">
        <f t="array" ref="AN20">SUMPRODUCT((Application!$B$728:$B$752 = 'CalHFA Addendum'!AN$18)*(Application!$AH$728:$AH$752 = 'CalHFA Addendum'!$B20),Application!$G$728:$G$752)</f>
        <v>0</v>
      </c>
      <c r="AO20" s="1777"/>
      <c r="AP20" s="1777"/>
      <c r="AQ20" s="1777"/>
      <c r="AR20" s="1777"/>
      <c r="AS20" s="1778"/>
      <c r="AT20" s="1779">
        <f t="shared" si="0"/>
        <v>0.11666666666666667</v>
      </c>
      <c r="AU20" s="1780"/>
      <c r="AV20" s="1780"/>
      <c r="AW20" s="1780"/>
      <c r="AX20" s="1780"/>
      <c r="AY20" s="1781"/>
      <c r="AZ20" s="1005"/>
      <c r="BA20" s="1005"/>
      <c r="BB20" s="1005"/>
      <c r="BC20" s="1005"/>
      <c r="BD20" s="1005"/>
      <c r="BE20" s="1011"/>
    </row>
    <row r="21" spans="1:58" ht="15">
      <c r="A21" s="1005"/>
      <c r="B21" s="1782">
        <v>0.4</v>
      </c>
      <c r="C21" s="1783"/>
      <c r="D21" s="1783"/>
      <c r="E21" s="1783"/>
      <c r="F21" s="1783"/>
      <c r="G21" s="1783"/>
      <c r="H21" s="1783"/>
      <c r="I21" s="1783"/>
      <c r="J21" s="1776">
        <f t="shared" si="1"/>
        <v>0</v>
      </c>
      <c r="K21" s="1777"/>
      <c r="L21" s="1777"/>
      <c r="M21" s="1777"/>
      <c r="N21" s="1777"/>
      <c r="O21" s="1778"/>
      <c r="P21" s="1776" cm="1">
        <f t="array" ref="P21">SUMPRODUCT((Application!$B$728:$B$752 = 'CalHFA Addendum'!P$18)*(Application!$AH$728:$AH$752 = 'CalHFA Addendum'!$B21),Application!$G$728:$G$752)</f>
        <v>0</v>
      </c>
      <c r="Q21" s="1777"/>
      <c r="R21" s="1777"/>
      <c r="S21" s="1777"/>
      <c r="T21" s="1777"/>
      <c r="U21" s="1778"/>
      <c r="V21" s="1776" cm="1">
        <f t="array" ref="V21">SUMPRODUCT((Application!$B$728:$B$752 = 'CalHFA Addendum'!V$18)*(Application!$AH$728:$AH$752 = 'CalHFA Addendum'!$B21),Application!$G$728:$G$752)</f>
        <v>0</v>
      </c>
      <c r="W21" s="1777"/>
      <c r="X21" s="1777"/>
      <c r="Y21" s="1777"/>
      <c r="Z21" s="1777"/>
      <c r="AA21" s="1778"/>
      <c r="AB21" s="1776" cm="1">
        <f t="array" ref="AB21">SUMPRODUCT((Application!$B$728:$B$752 = 'CalHFA Addendum'!AB$18)*(Application!$AH$728:$AH$752 = 'CalHFA Addendum'!$B21),Application!$G$728:$G$752)</f>
        <v>0</v>
      </c>
      <c r="AC21" s="1777"/>
      <c r="AD21" s="1777"/>
      <c r="AE21" s="1777"/>
      <c r="AF21" s="1777"/>
      <c r="AG21" s="1778"/>
      <c r="AH21" s="1776" cm="1">
        <f t="array" ref="AH21">SUMPRODUCT((Application!$B$728:$B$752 = 'CalHFA Addendum'!AH$18)*(Application!$AH$728:$AH$752 = 'CalHFA Addendum'!$B21),Application!$G$728:$G$752)</f>
        <v>0</v>
      </c>
      <c r="AI21" s="1777"/>
      <c r="AJ21" s="1777"/>
      <c r="AK21" s="1777"/>
      <c r="AL21" s="1777"/>
      <c r="AM21" s="1778"/>
      <c r="AN21" s="1776" cm="1">
        <f t="array" ref="AN21">SUMPRODUCT((Application!$B$728:$B$752 = 'CalHFA Addendum'!AN$18)*(Application!$AH$728:$AH$752 = 'CalHFA Addendum'!$B21),Application!$G$728:$G$752)</f>
        <v>0</v>
      </c>
      <c r="AO21" s="1777"/>
      <c r="AP21" s="1777"/>
      <c r="AQ21" s="1777"/>
      <c r="AR21" s="1777"/>
      <c r="AS21" s="1778"/>
      <c r="AT21" s="1779">
        <f t="shared" si="0"/>
        <v>0</v>
      </c>
      <c r="AU21" s="1780"/>
      <c r="AV21" s="1780"/>
      <c r="AW21" s="1780"/>
      <c r="AX21" s="1780"/>
      <c r="AY21" s="1781"/>
      <c r="AZ21" s="1005"/>
      <c r="BA21" s="1005"/>
      <c r="BB21" s="1005"/>
      <c r="BC21" s="1005"/>
      <c r="BD21" s="1005"/>
      <c r="BE21" s="1011"/>
    </row>
    <row r="22" spans="1:58" ht="15">
      <c r="A22" s="1005"/>
      <c r="B22" s="1782">
        <v>0.5</v>
      </c>
      <c r="C22" s="1783"/>
      <c r="D22" s="1783"/>
      <c r="E22" s="1783"/>
      <c r="F22" s="1783"/>
      <c r="G22" s="1783"/>
      <c r="H22" s="1783"/>
      <c r="I22" s="1783"/>
      <c r="J22" s="1776">
        <f t="shared" si="1"/>
        <v>14</v>
      </c>
      <c r="K22" s="1777"/>
      <c r="L22" s="1777"/>
      <c r="M22" s="1777"/>
      <c r="N22" s="1777"/>
      <c r="O22" s="1778"/>
      <c r="P22" s="1776" cm="1">
        <f t="array" ref="P22">SUMPRODUCT((Application!$B$728:$B$752 = 'CalHFA Addendum'!P$18)*(Application!$AH$728:$AH$752 = 'CalHFA Addendum'!$B22),Application!$G$728:$G$752)</f>
        <v>0</v>
      </c>
      <c r="Q22" s="1777"/>
      <c r="R22" s="1777"/>
      <c r="S22" s="1777"/>
      <c r="T22" s="1777"/>
      <c r="U22" s="1778"/>
      <c r="V22" s="1776" cm="1">
        <f t="array" ref="V22">SUMPRODUCT((Application!$B$728:$B$752 = 'CalHFA Addendum'!V$18)*(Application!$AH$728:$AH$752 = 'CalHFA Addendum'!$B22),Application!$G$728:$G$752)</f>
        <v>6</v>
      </c>
      <c r="W22" s="1777"/>
      <c r="X22" s="1777"/>
      <c r="Y22" s="1777"/>
      <c r="Z22" s="1777"/>
      <c r="AA22" s="1778"/>
      <c r="AB22" s="1776" cm="1">
        <f t="array" ref="AB22">SUMPRODUCT((Application!$B$728:$B$752 = 'CalHFA Addendum'!AB$18)*(Application!$AH$728:$AH$752 = 'CalHFA Addendum'!$B22),Application!$G$728:$G$752)</f>
        <v>4</v>
      </c>
      <c r="AC22" s="1777"/>
      <c r="AD22" s="1777"/>
      <c r="AE22" s="1777"/>
      <c r="AF22" s="1777"/>
      <c r="AG22" s="1778"/>
      <c r="AH22" s="1776" cm="1">
        <f t="array" ref="AH22">SUMPRODUCT((Application!$B$728:$B$752 = 'CalHFA Addendum'!AH$18)*(Application!$AH$728:$AH$752 = 'CalHFA Addendum'!$B22),Application!$G$728:$G$752)</f>
        <v>4</v>
      </c>
      <c r="AI22" s="1777"/>
      <c r="AJ22" s="1777"/>
      <c r="AK22" s="1777"/>
      <c r="AL22" s="1777"/>
      <c r="AM22" s="1778"/>
      <c r="AN22" s="1776" cm="1">
        <f t="array" ref="AN22">SUMPRODUCT((Application!$B$728:$B$752 = 'CalHFA Addendum'!AN$18)*(Application!$AH$728:$AH$752 = 'CalHFA Addendum'!$B22),Application!$G$728:$G$752)</f>
        <v>0</v>
      </c>
      <c r="AO22" s="1777"/>
      <c r="AP22" s="1777"/>
      <c r="AQ22" s="1777"/>
      <c r="AR22" s="1777"/>
      <c r="AS22" s="1778"/>
      <c r="AT22" s="1779">
        <f t="shared" si="0"/>
        <v>0.11666666666666667</v>
      </c>
      <c r="AU22" s="1780"/>
      <c r="AV22" s="1780"/>
      <c r="AW22" s="1780"/>
      <c r="AX22" s="1780"/>
      <c r="AY22" s="1781"/>
      <c r="AZ22" s="1005"/>
      <c r="BA22" s="1005"/>
      <c r="BB22" s="1005"/>
      <c r="BC22" s="1005"/>
      <c r="BD22" s="1005"/>
      <c r="BE22" s="1011"/>
    </row>
    <row r="23" spans="1:58" ht="15">
      <c r="A23" s="1005"/>
      <c r="B23" s="1782">
        <v>0.6</v>
      </c>
      <c r="C23" s="1783"/>
      <c r="D23" s="1783"/>
      <c r="E23" s="1783"/>
      <c r="F23" s="1783"/>
      <c r="G23" s="1783"/>
      <c r="H23" s="1783"/>
      <c r="I23" s="1783"/>
      <c r="J23" s="1776">
        <f t="shared" si="1"/>
        <v>91</v>
      </c>
      <c r="K23" s="1777"/>
      <c r="L23" s="1777"/>
      <c r="M23" s="1777"/>
      <c r="N23" s="1777"/>
      <c r="O23" s="1778"/>
      <c r="P23" s="1776" cm="1">
        <f t="array" ref="P23">SUMPRODUCT((Application!$B$728:$B$752 = 'CalHFA Addendum'!P$18)*(Application!$AH$728:$AH$752 = 'CalHFA Addendum'!$B23),Application!$G$728:$G$752)</f>
        <v>0</v>
      </c>
      <c r="Q23" s="1777"/>
      <c r="R23" s="1777"/>
      <c r="S23" s="1777"/>
      <c r="T23" s="1777"/>
      <c r="U23" s="1778"/>
      <c r="V23" s="1776" cm="1">
        <f t="array" ref="V23">SUMPRODUCT((Application!$B$728:$B$752 = 'CalHFA Addendum'!V$18)*(Application!$AH$728:$AH$752 = 'CalHFA Addendum'!$B23),Application!$G$728:$G$752)</f>
        <v>44</v>
      </c>
      <c r="W23" s="1777"/>
      <c r="X23" s="1777"/>
      <c r="Y23" s="1777"/>
      <c r="Z23" s="1777"/>
      <c r="AA23" s="1778"/>
      <c r="AB23" s="1776" cm="1">
        <f t="array" ref="AB23">SUMPRODUCT((Application!$B$728:$B$752 = 'CalHFA Addendum'!AB$18)*(Application!$AH$728:$AH$752 = 'CalHFA Addendum'!$B23),Application!$G$728:$G$752)</f>
        <v>23</v>
      </c>
      <c r="AC23" s="1777"/>
      <c r="AD23" s="1777"/>
      <c r="AE23" s="1777"/>
      <c r="AF23" s="1777"/>
      <c r="AG23" s="1778"/>
      <c r="AH23" s="1776" cm="1">
        <f t="array" ref="AH23">SUMPRODUCT((Application!$B$728:$B$752 = 'CalHFA Addendum'!AH$18)*(Application!$AH$728:$AH$752 = 'CalHFA Addendum'!$B23),Application!$G$728:$G$752)</f>
        <v>24</v>
      </c>
      <c r="AI23" s="1777"/>
      <c r="AJ23" s="1777"/>
      <c r="AK23" s="1777"/>
      <c r="AL23" s="1777"/>
      <c r="AM23" s="1778"/>
      <c r="AN23" s="1776" cm="1">
        <f t="array" ref="AN23">SUMPRODUCT((Application!$B$728:$B$752 = 'CalHFA Addendum'!AN$18)*(Application!$AH$728:$AH$752 = 'CalHFA Addendum'!$B23),Application!$G$728:$G$752)</f>
        <v>0</v>
      </c>
      <c r="AO23" s="1777"/>
      <c r="AP23" s="1777"/>
      <c r="AQ23" s="1777"/>
      <c r="AR23" s="1777"/>
      <c r="AS23" s="1778"/>
      <c r="AT23" s="1779">
        <f t="shared" si="0"/>
        <v>0.7583333333333333</v>
      </c>
      <c r="AU23" s="1780"/>
      <c r="AV23" s="1780"/>
      <c r="AW23" s="1780"/>
      <c r="AX23" s="1780"/>
      <c r="AY23" s="1781"/>
      <c r="AZ23" s="1005"/>
      <c r="BA23" s="1005"/>
      <c r="BB23" s="1005"/>
      <c r="BC23" s="1005"/>
      <c r="BD23" s="1005"/>
      <c r="BE23" s="1011"/>
    </row>
    <row r="24" spans="1:58" ht="15">
      <c r="A24" s="1005"/>
      <c r="B24" s="1782">
        <v>0.7</v>
      </c>
      <c r="C24" s="1783"/>
      <c r="D24" s="1783"/>
      <c r="E24" s="1783"/>
      <c r="F24" s="1783"/>
      <c r="G24" s="1783"/>
      <c r="H24" s="1783"/>
      <c r="I24" s="1783"/>
      <c r="J24" s="1776">
        <f t="shared" si="1"/>
        <v>0</v>
      </c>
      <c r="K24" s="1777"/>
      <c r="L24" s="1777"/>
      <c r="M24" s="1777"/>
      <c r="N24" s="1777"/>
      <c r="O24" s="1778"/>
      <c r="P24" s="1776" cm="1">
        <f t="array" ref="P24">SUMPRODUCT((Application!$B$728:$B$752 = 'CalHFA Addendum'!P$18)*(Application!$AH$728:$AH$752 = 'CalHFA Addendum'!$B24),Application!$G$728:$G$752)</f>
        <v>0</v>
      </c>
      <c r="Q24" s="1777"/>
      <c r="R24" s="1777"/>
      <c r="S24" s="1777"/>
      <c r="T24" s="1777"/>
      <c r="U24" s="1778"/>
      <c r="V24" s="1776" cm="1">
        <f t="array" ref="V24">SUMPRODUCT((Application!$B$728:$B$752 = 'CalHFA Addendum'!V$18)*(Application!$AH$728:$AH$752 = 'CalHFA Addendum'!$B24),Application!$G$728:$G$752)</f>
        <v>0</v>
      </c>
      <c r="W24" s="1777"/>
      <c r="X24" s="1777"/>
      <c r="Y24" s="1777"/>
      <c r="Z24" s="1777"/>
      <c r="AA24" s="1778"/>
      <c r="AB24" s="1776" cm="1">
        <f t="array" ref="AB24">SUMPRODUCT((Application!$B$728:$B$752 = 'CalHFA Addendum'!AB$18)*(Application!$AH$728:$AH$752 = 'CalHFA Addendum'!$B24),Application!$G$728:$G$752)</f>
        <v>0</v>
      </c>
      <c r="AC24" s="1777"/>
      <c r="AD24" s="1777"/>
      <c r="AE24" s="1777"/>
      <c r="AF24" s="1777"/>
      <c r="AG24" s="1778"/>
      <c r="AH24" s="1776" cm="1">
        <f t="array" ref="AH24">SUMPRODUCT((Application!$B$728:$B$752 = 'CalHFA Addendum'!AH$18)*(Application!$AH$728:$AH$752 = 'CalHFA Addendum'!$B24),Application!$G$728:$G$752)</f>
        <v>0</v>
      </c>
      <c r="AI24" s="1777"/>
      <c r="AJ24" s="1777"/>
      <c r="AK24" s="1777"/>
      <c r="AL24" s="1777"/>
      <c r="AM24" s="1778"/>
      <c r="AN24" s="1776" cm="1">
        <f t="array" ref="AN24">SUMPRODUCT((Application!$B$728:$B$752 = 'CalHFA Addendum'!AN$18)*(Application!$AH$728:$AH$752 = 'CalHFA Addendum'!$B24),Application!$G$728:$G$752)</f>
        <v>0</v>
      </c>
      <c r="AO24" s="1777"/>
      <c r="AP24" s="1777"/>
      <c r="AQ24" s="1777"/>
      <c r="AR24" s="1777"/>
      <c r="AS24" s="1778"/>
      <c r="AT24" s="1779">
        <f t="shared" si="0"/>
        <v>0</v>
      </c>
      <c r="AU24" s="1780"/>
      <c r="AV24" s="1780"/>
      <c r="AW24" s="1780"/>
      <c r="AX24" s="1780"/>
      <c r="AY24" s="1781"/>
      <c r="AZ24" s="1005"/>
      <c r="BA24" s="1005"/>
      <c r="BB24" s="1005"/>
      <c r="BC24" s="1005"/>
      <c r="BD24" s="1005"/>
      <c r="BE24" s="1011"/>
    </row>
    <row r="25" spans="1:58" ht="15">
      <c r="A25" s="1005"/>
      <c r="B25" s="1782">
        <v>0.8</v>
      </c>
      <c r="C25" s="1783"/>
      <c r="D25" s="1783"/>
      <c r="E25" s="1783"/>
      <c r="F25" s="1783"/>
      <c r="G25" s="1783"/>
      <c r="H25" s="1783"/>
      <c r="I25" s="1783"/>
      <c r="J25" s="1776">
        <f t="shared" si="1"/>
        <v>0</v>
      </c>
      <c r="K25" s="1777"/>
      <c r="L25" s="1777"/>
      <c r="M25" s="1777"/>
      <c r="N25" s="1777"/>
      <c r="O25" s="1778"/>
      <c r="P25" s="1776" cm="1">
        <f t="array" ref="P25">SUMPRODUCT((Application!$B$728:$B$752 = 'CalHFA Addendum'!P$18)*(Application!$AH$728:$AH$752 = 'CalHFA Addendum'!$B25),Application!$G$728:$G$752)</f>
        <v>0</v>
      </c>
      <c r="Q25" s="1777"/>
      <c r="R25" s="1777"/>
      <c r="S25" s="1777"/>
      <c r="T25" s="1777"/>
      <c r="U25" s="1778"/>
      <c r="V25" s="1776" cm="1">
        <f t="array" ref="V25">SUMPRODUCT((Application!$B$728:$B$752 = 'CalHFA Addendum'!V$18)*(Application!$AH$728:$AH$752 = 'CalHFA Addendum'!$B25),Application!$G$728:$G$752)</f>
        <v>0</v>
      </c>
      <c r="W25" s="1777"/>
      <c r="X25" s="1777"/>
      <c r="Y25" s="1777"/>
      <c r="Z25" s="1777"/>
      <c r="AA25" s="1778"/>
      <c r="AB25" s="1776" cm="1">
        <f t="array" ref="AB25">SUMPRODUCT((Application!$B$728:$B$752 = 'CalHFA Addendum'!AB$18)*(Application!$AH$728:$AH$752 = 'CalHFA Addendum'!$B25),Application!$G$728:$G$752)</f>
        <v>0</v>
      </c>
      <c r="AC25" s="1777"/>
      <c r="AD25" s="1777"/>
      <c r="AE25" s="1777"/>
      <c r="AF25" s="1777"/>
      <c r="AG25" s="1778"/>
      <c r="AH25" s="1776" cm="1">
        <f t="array" ref="AH25">SUMPRODUCT((Application!$B$728:$B$752 = 'CalHFA Addendum'!AH$18)*(Application!$AH$728:$AH$752 = 'CalHFA Addendum'!$B25),Application!$G$728:$G$752)</f>
        <v>0</v>
      </c>
      <c r="AI25" s="1777"/>
      <c r="AJ25" s="1777"/>
      <c r="AK25" s="1777"/>
      <c r="AL25" s="1777"/>
      <c r="AM25" s="1778"/>
      <c r="AN25" s="1776" cm="1">
        <f t="array" ref="AN25">SUMPRODUCT((Application!$B$728:$B$752 = 'CalHFA Addendum'!AN$18)*(Application!$AH$728:$AH$752 = 'CalHFA Addendum'!$B25),Application!$G$728:$G$752)</f>
        <v>0</v>
      </c>
      <c r="AO25" s="1777"/>
      <c r="AP25" s="1777"/>
      <c r="AQ25" s="1777"/>
      <c r="AR25" s="1777"/>
      <c r="AS25" s="1778"/>
      <c r="AT25" s="1779">
        <f t="shared" si="0"/>
        <v>0</v>
      </c>
      <c r="AU25" s="1780"/>
      <c r="AV25" s="1780"/>
      <c r="AW25" s="1780"/>
      <c r="AX25" s="1780"/>
      <c r="AY25" s="1781"/>
      <c r="AZ25" s="1005"/>
      <c r="BA25" s="1005"/>
      <c r="BB25" s="1005"/>
      <c r="BC25" s="1005"/>
      <c r="BD25" s="1005"/>
      <c r="BE25" s="1011"/>
    </row>
    <row r="26" spans="1:58" ht="15">
      <c r="A26" s="1005"/>
      <c r="B26" s="1782">
        <v>0.9</v>
      </c>
      <c r="C26" s="1783"/>
      <c r="D26" s="1783"/>
      <c r="E26" s="1783"/>
      <c r="F26" s="1783"/>
      <c r="G26" s="1783"/>
      <c r="H26" s="1783"/>
      <c r="I26" s="1783"/>
      <c r="J26" s="1776">
        <f t="shared" si="1"/>
        <v>0</v>
      </c>
      <c r="K26" s="1777"/>
      <c r="L26" s="1777"/>
      <c r="M26" s="1777"/>
      <c r="N26" s="1777"/>
      <c r="O26" s="1778"/>
      <c r="P26" s="1776" cm="1">
        <f t="array" ref="P26">SUMPRODUCT((Application!$B$728:$B$752 = 'CalHFA Addendum'!P$18)*(Application!$AH$728:$AH$752 = 'CalHFA Addendum'!$B26),Application!$G$728:$G$752)</f>
        <v>0</v>
      </c>
      <c r="Q26" s="1777"/>
      <c r="R26" s="1777"/>
      <c r="S26" s="1777"/>
      <c r="T26" s="1777"/>
      <c r="U26" s="1778"/>
      <c r="V26" s="1776" cm="1">
        <f t="array" ref="V26">SUMPRODUCT((Application!$B$728:$B$752 = 'CalHFA Addendum'!V$18)*(Application!$AH$728:$AH$752 = 'CalHFA Addendum'!$B26),Application!$G$728:$G$752)</f>
        <v>0</v>
      </c>
      <c r="W26" s="1777"/>
      <c r="X26" s="1777"/>
      <c r="Y26" s="1777"/>
      <c r="Z26" s="1777"/>
      <c r="AA26" s="1778"/>
      <c r="AB26" s="1776" cm="1">
        <f t="array" ref="AB26">SUMPRODUCT((Application!$B$728:$B$752 = 'CalHFA Addendum'!AB$18)*(Application!$AH$728:$AH$752 = 'CalHFA Addendum'!$B26),Application!$G$728:$G$752)</f>
        <v>0</v>
      </c>
      <c r="AC26" s="1777"/>
      <c r="AD26" s="1777"/>
      <c r="AE26" s="1777"/>
      <c r="AF26" s="1777"/>
      <c r="AG26" s="1778"/>
      <c r="AH26" s="1776" cm="1">
        <f t="array" ref="AH26">SUMPRODUCT((Application!$B$728:$B$752 = 'CalHFA Addendum'!AH$18)*(Application!$AH$728:$AH$752 = 'CalHFA Addendum'!$B26),Application!$G$728:$G$752)</f>
        <v>0</v>
      </c>
      <c r="AI26" s="1777"/>
      <c r="AJ26" s="1777"/>
      <c r="AK26" s="1777"/>
      <c r="AL26" s="1777"/>
      <c r="AM26" s="1778"/>
      <c r="AN26" s="1776" cm="1">
        <f t="array" ref="AN26">SUMPRODUCT((Application!$B$728:$B$752 = 'CalHFA Addendum'!AN$18)*(Application!$AH$728:$AH$752 = 'CalHFA Addendum'!$B26),Application!$G$728:$G$752)</f>
        <v>0</v>
      </c>
      <c r="AO26" s="1777"/>
      <c r="AP26" s="1777"/>
      <c r="AQ26" s="1777"/>
      <c r="AR26" s="1777"/>
      <c r="AS26" s="1778"/>
      <c r="AT26" s="1779">
        <f t="shared" si="0"/>
        <v>0</v>
      </c>
      <c r="AU26" s="1780"/>
      <c r="AV26" s="1780"/>
      <c r="AW26" s="1780"/>
      <c r="AX26" s="1780"/>
      <c r="AY26" s="1781"/>
      <c r="AZ26" s="1005"/>
      <c r="BA26" s="1005"/>
      <c r="BB26" s="1005"/>
      <c r="BC26" s="1005"/>
      <c r="BD26" s="1005"/>
      <c r="BE26" s="1011"/>
    </row>
    <row r="27" spans="1:58" ht="15">
      <c r="A27" s="1005"/>
      <c r="B27" s="1782">
        <v>1</v>
      </c>
      <c r="C27" s="1783"/>
      <c r="D27" s="1783"/>
      <c r="E27" s="1783"/>
      <c r="F27" s="1783"/>
      <c r="G27" s="1783"/>
      <c r="H27" s="1783"/>
      <c r="I27" s="1783"/>
      <c r="J27" s="1776">
        <f t="shared" si="1"/>
        <v>0</v>
      </c>
      <c r="K27" s="1777"/>
      <c r="L27" s="1777"/>
      <c r="M27" s="1777"/>
      <c r="N27" s="1777"/>
      <c r="O27" s="1778"/>
      <c r="P27" s="1776" cm="1">
        <f t="array" ref="P27">SUMPRODUCT((Application!$B$728:$B$752 = 'CalHFA Addendum'!P$18)*(Application!$AH$728:$AH$752 = 'CalHFA Addendum'!$B27),Application!$G$728:$G$752)</f>
        <v>0</v>
      </c>
      <c r="Q27" s="1777"/>
      <c r="R27" s="1777"/>
      <c r="S27" s="1777"/>
      <c r="T27" s="1777"/>
      <c r="U27" s="1778"/>
      <c r="V27" s="1776" cm="1">
        <f t="array" ref="V27">SUMPRODUCT((Application!$B$728:$B$752 = 'CalHFA Addendum'!V$18)*(Application!$AH$728:$AH$752 = 'CalHFA Addendum'!$B27),Application!$G$728:$G$752)</f>
        <v>0</v>
      </c>
      <c r="W27" s="1777"/>
      <c r="X27" s="1777"/>
      <c r="Y27" s="1777"/>
      <c r="Z27" s="1777"/>
      <c r="AA27" s="1778"/>
      <c r="AB27" s="1776" cm="1">
        <f t="array" ref="AB27">SUMPRODUCT((Application!$B$728:$B$752 = 'CalHFA Addendum'!AB$18)*(Application!$AH$728:$AH$752 = 'CalHFA Addendum'!$B27),Application!$G$728:$G$752)</f>
        <v>0</v>
      </c>
      <c r="AC27" s="1777"/>
      <c r="AD27" s="1777"/>
      <c r="AE27" s="1777"/>
      <c r="AF27" s="1777"/>
      <c r="AG27" s="1778"/>
      <c r="AH27" s="1776" cm="1">
        <f t="array" ref="AH27">SUMPRODUCT((Application!$B$728:$B$752 = 'CalHFA Addendum'!AH$18)*(Application!$AH$728:$AH$752 = 'CalHFA Addendum'!$B27),Application!$G$728:$G$752)</f>
        <v>0</v>
      </c>
      <c r="AI27" s="1777"/>
      <c r="AJ27" s="1777"/>
      <c r="AK27" s="1777"/>
      <c r="AL27" s="1777"/>
      <c r="AM27" s="1778"/>
      <c r="AN27" s="1776" cm="1">
        <f t="array" ref="AN27">SUMPRODUCT((Application!$B$728:$B$752 = 'CalHFA Addendum'!AN$18)*(Application!$AH$728:$AH$752 = 'CalHFA Addendum'!$B27),Application!$G$728:$G$752)</f>
        <v>0</v>
      </c>
      <c r="AO27" s="1777"/>
      <c r="AP27" s="1777"/>
      <c r="AQ27" s="1777"/>
      <c r="AR27" s="1777"/>
      <c r="AS27" s="1778"/>
      <c r="AT27" s="1779">
        <f t="shared" si="0"/>
        <v>0</v>
      </c>
      <c r="AU27" s="1780"/>
      <c r="AV27" s="1780"/>
      <c r="AW27" s="1780"/>
      <c r="AX27" s="1780"/>
      <c r="AY27" s="1781"/>
      <c r="AZ27" s="1005"/>
      <c r="BA27" s="1005"/>
      <c r="BB27" s="1005"/>
      <c r="BC27" s="1005"/>
      <c r="BD27" s="1005"/>
      <c r="BE27" s="1011"/>
    </row>
    <row r="28" spans="1:58" thickBot="1">
      <c r="A28" s="1005"/>
      <c r="B28" s="1784" t="s">
        <v>1942</v>
      </c>
      <c r="C28" s="1785"/>
      <c r="D28" s="1785"/>
      <c r="E28" s="1785"/>
      <c r="F28" s="1785"/>
      <c r="G28" s="1785"/>
      <c r="H28" s="1785"/>
      <c r="I28" s="1786"/>
      <c r="J28" s="1776">
        <f t="shared" si="1"/>
        <v>1</v>
      </c>
      <c r="K28" s="1777"/>
      <c r="L28" s="1777"/>
      <c r="M28" s="1777"/>
      <c r="N28" s="1777"/>
      <c r="O28" s="1778"/>
      <c r="P28" s="1776">
        <f>_xlfn.IFNA(VLOOKUP(P$18,Application!$J$772:$S$775,6,FALSE), 0)</f>
        <v>0</v>
      </c>
      <c r="Q28" s="1777"/>
      <c r="R28" s="1777"/>
      <c r="S28" s="1777"/>
      <c r="T28" s="1777"/>
      <c r="U28" s="1778"/>
      <c r="V28" s="1776">
        <f>_xlfn.IFNA(VLOOKUP(V$18,Application!$J$772:$S$775,6,FALSE), 0)</f>
        <v>0</v>
      </c>
      <c r="W28" s="1777"/>
      <c r="X28" s="1777"/>
      <c r="Y28" s="1777"/>
      <c r="Z28" s="1777"/>
      <c r="AA28" s="1778"/>
      <c r="AB28" s="1776">
        <f>_xlfn.IFNA(VLOOKUP(AB$18,Application!$J$772:$S$775,6,FALSE), 0)</f>
        <v>1</v>
      </c>
      <c r="AC28" s="1777"/>
      <c r="AD28" s="1777"/>
      <c r="AE28" s="1777"/>
      <c r="AF28" s="1777"/>
      <c r="AG28" s="1778"/>
      <c r="AH28" s="1776">
        <f>_xlfn.IFNA(VLOOKUP(AH$18,Application!$J$772:$S$775,6,FALSE), 0)</f>
        <v>0</v>
      </c>
      <c r="AI28" s="1777"/>
      <c r="AJ28" s="1777"/>
      <c r="AK28" s="1777"/>
      <c r="AL28" s="1777"/>
      <c r="AM28" s="1778"/>
      <c r="AN28" s="1776">
        <f>_xlfn.IFNA(VLOOKUP(AN$18,Application!$J$772:$S$775,6,FALSE), 0)</f>
        <v>0</v>
      </c>
      <c r="AO28" s="1777"/>
      <c r="AP28" s="1777"/>
      <c r="AQ28" s="1777"/>
      <c r="AR28" s="1777"/>
      <c r="AS28" s="1778"/>
      <c r="AT28" s="1779">
        <f t="shared" si="0"/>
        <v>8.3333333333333332E-3</v>
      </c>
      <c r="AU28" s="1780"/>
      <c r="AV28" s="1780"/>
      <c r="AW28" s="1780"/>
      <c r="AX28" s="1780"/>
      <c r="AY28" s="1781"/>
      <c r="AZ28" s="1005"/>
      <c r="BA28" s="1005"/>
      <c r="BB28" s="1005"/>
      <c r="BC28" s="1005"/>
      <c r="BD28" s="1005"/>
      <c r="BE28" s="1011"/>
    </row>
    <row r="29" spans="1:58" thickBot="1">
      <c r="A29" s="1005"/>
      <c r="B29" s="1816" t="s">
        <v>1940</v>
      </c>
      <c r="C29" s="1791"/>
      <c r="D29" s="1791"/>
      <c r="E29" s="1791"/>
      <c r="F29" s="1791"/>
      <c r="G29" s="1791"/>
      <c r="H29" s="1791"/>
      <c r="I29" s="1792"/>
      <c r="J29" s="1790">
        <f>SUM(J19:O28)</f>
        <v>120</v>
      </c>
      <c r="K29" s="1791"/>
      <c r="L29" s="1791"/>
      <c r="M29" s="1791"/>
      <c r="N29" s="1791"/>
      <c r="O29" s="1792"/>
      <c r="P29" s="1790">
        <f>SUM(P19:U28)</f>
        <v>0</v>
      </c>
      <c r="Q29" s="1791"/>
      <c r="R29" s="1791"/>
      <c r="S29" s="1791"/>
      <c r="T29" s="1791"/>
      <c r="U29" s="1792"/>
      <c r="V29" s="1790">
        <f>SUM(V19:AA28)</f>
        <v>56</v>
      </c>
      <c r="W29" s="1791"/>
      <c r="X29" s="1791"/>
      <c r="Y29" s="1791"/>
      <c r="Z29" s="1791"/>
      <c r="AA29" s="1792"/>
      <c r="AB29" s="1790">
        <f>SUM(AB19:AG28)</f>
        <v>32</v>
      </c>
      <c r="AC29" s="1791"/>
      <c r="AD29" s="1791"/>
      <c r="AE29" s="1791"/>
      <c r="AF29" s="1791"/>
      <c r="AG29" s="1792"/>
      <c r="AH29" s="1790">
        <f>SUM(AH19:AM28)</f>
        <v>32</v>
      </c>
      <c r="AI29" s="1791"/>
      <c r="AJ29" s="1791"/>
      <c r="AK29" s="1791"/>
      <c r="AL29" s="1791"/>
      <c r="AM29" s="1792"/>
      <c r="AN29" s="1790">
        <f>SUM(AN19:AS28)</f>
        <v>0</v>
      </c>
      <c r="AO29" s="1791"/>
      <c r="AP29" s="1791"/>
      <c r="AQ29" s="1791"/>
      <c r="AR29" s="1791"/>
      <c r="AS29" s="1792"/>
      <c r="AT29" s="1793">
        <f>J29/$J$29</f>
        <v>1</v>
      </c>
      <c r="AU29" s="1794"/>
      <c r="AV29" s="1794"/>
      <c r="AW29" s="1794"/>
      <c r="AX29" s="1794"/>
      <c r="AY29" s="1795"/>
      <c r="AZ29" s="1005"/>
      <c r="BA29" s="1005"/>
      <c r="BB29" s="1005"/>
      <c r="BC29" s="1005"/>
      <c r="BD29" s="1005"/>
      <c r="BE29" s="1011"/>
    </row>
    <row r="30" spans="1:58"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thickBot="1">
      <c r="A31" s="1005"/>
      <c r="B31" s="1796" t="s">
        <v>1943</v>
      </c>
      <c r="C31" s="1797"/>
      <c r="D31" s="1797"/>
      <c r="E31" s="1797"/>
      <c r="F31" s="1797"/>
      <c r="G31" s="1797"/>
      <c r="H31" s="1797"/>
      <c r="I31" s="1797"/>
      <c r="J31" s="1797"/>
      <c r="K31" s="1797"/>
      <c r="L31" s="1797"/>
      <c r="M31" s="1797"/>
      <c r="N31" s="1797"/>
      <c r="O31" s="1797"/>
      <c r="P31" s="1797"/>
      <c r="Q31" s="1797"/>
      <c r="R31" s="1797"/>
      <c r="S31" s="1797"/>
      <c r="T31" s="1797"/>
      <c r="U31" s="1797"/>
      <c r="V31" s="1797"/>
      <c r="W31" s="1797"/>
      <c r="X31" s="1797"/>
      <c r="Y31" s="1797"/>
      <c r="Z31" s="1797"/>
      <c r="AA31" s="1797"/>
      <c r="AB31" s="1797"/>
      <c r="AC31" s="1797"/>
      <c r="AD31" s="1797"/>
      <c r="AE31" s="1797"/>
      <c r="AF31" s="1797"/>
      <c r="AG31" s="1797"/>
      <c r="AH31" s="1797"/>
      <c r="AI31" s="1797"/>
      <c r="AJ31" s="1797"/>
      <c r="AK31" s="1797"/>
      <c r="AL31" s="1797"/>
      <c r="AM31" s="1797"/>
      <c r="AN31" s="1797"/>
      <c r="AO31" s="1797"/>
      <c r="AP31" s="1797"/>
      <c r="AQ31" s="1797"/>
      <c r="AR31" s="1797"/>
      <c r="AS31" s="1797"/>
      <c r="AT31" s="1797"/>
      <c r="AU31" s="1797"/>
      <c r="AV31" s="1797"/>
      <c r="AW31" s="1797"/>
      <c r="AX31" s="1797"/>
      <c r="AY31" s="1797"/>
      <c r="AZ31" s="1798"/>
      <c r="BA31" s="1005"/>
      <c r="BB31" s="1005"/>
      <c r="BC31" s="1005"/>
      <c r="BD31" s="1005"/>
      <c r="BE31" s="1011"/>
    </row>
    <row r="32" spans="1:58" thickBot="1">
      <c r="A32" s="1005"/>
      <c r="B32" s="1799" t="s">
        <v>1944</v>
      </c>
      <c r="C32" s="1800"/>
      <c r="D32" s="1800"/>
      <c r="E32" s="1800"/>
      <c r="F32" s="1800"/>
      <c r="G32" s="1800"/>
      <c r="H32" s="1800"/>
      <c r="I32" s="1801"/>
      <c r="J32" s="1803" t="s">
        <v>1945</v>
      </c>
      <c r="K32" s="1804"/>
      <c r="L32" s="1804"/>
      <c r="M32" s="1805"/>
      <c r="N32" s="1803" t="s">
        <v>1946</v>
      </c>
      <c r="O32" s="1804"/>
      <c r="P32" s="1804"/>
      <c r="Q32" s="1804"/>
      <c r="R32" s="1807" t="s">
        <v>1947</v>
      </c>
      <c r="S32" s="1808"/>
      <c r="T32" s="1808"/>
      <c r="U32" s="1808"/>
      <c r="V32" s="1808"/>
      <c r="W32" s="1808"/>
      <c r="X32" s="1808"/>
      <c r="Y32" s="1808"/>
      <c r="Z32" s="1808"/>
      <c r="AA32" s="1808"/>
      <c r="AB32" s="1808"/>
      <c r="AC32" s="1808"/>
      <c r="AD32" s="1808"/>
      <c r="AE32" s="1808"/>
      <c r="AF32" s="1808"/>
      <c r="AG32" s="1808"/>
      <c r="AH32" s="1808"/>
      <c r="AI32" s="1808"/>
      <c r="AJ32" s="1808"/>
      <c r="AK32" s="1808"/>
      <c r="AL32" s="1808"/>
      <c r="AM32" s="1808"/>
      <c r="AN32" s="1808"/>
      <c r="AO32" s="1808"/>
      <c r="AP32" s="1808"/>
      <c r="AQ32" s="1808"/>
      <c r="AR32" s="1808"/>
      <c r="AS32" s="1808"/>
      <c r="AT32" s="1808"/>
      <c r="AU32" s="1808"/>
      <c r="AV32" s="1808"/>
      <c r="AW32" s="1808"/>
      <c r="AX32" s="1808"/>
      <c r="AY32" s="1808"/>
      <c r="AZ32" s="1809"/>
      <c r="BA32" s="1005"/>
      <c r="BB32" s="1005"/>
      <c r="BC32" s="1005"/>
      <c r="BD32" s="1005"/>
      <c r="BE32" s="1011"/>
    </row>
    <row r="33" spans="1:58" ht="15" customHeight="1">
      <c r="A33" s="1005"/>
      <c r="B33" s="1802"/>
      <c r="C33" s="1800"/>
      <c r="D33" s="1800"/>
      <c r="E33" s="1800"/>
      <c r="F33" s="1800"/>
      <c r="G33" s="1800"/>
      <c r="H33" s="1800"/>
      <c r="I33" s="1801"/>
      <c r="J33" s="1806"/>
      <c r="K33" s="1804"/>
      <c r="L33" s="1804"/>
      <c r="M33" s="1805"/>
      <c r="N33" s="1806"/>
      <c r="O33" s="1804"/>
      <c r="P33" s="1804"/>
      <c r="Q33" s="1804"/>
      <c r="R33" s="1810" t="s">
        <v>1948</v>
      </c>
      <c r="S33" s="1811"/>
      <c r="T33" s="1811"/>
      <c r="U33" s="1811"/>
      <c r="V33" s="1811"/>
      <c r="W33" s="1811"/>
      <c r="X33" s="1811"/>
      <c r="Y33" s="1811"/>
      <c r="Z33" s="1811"/>
      <c r="AA33" s="1811"/>
      <c r="AB33" s="1811"/>
      <c r="AC33" s="1811"/>
      <c r="AD33" s="1811"/>
      <c r="AE33" s="1811"/>
      <c r="AF33" s="1811"/>
      <c r="AG33" s="1811"/>
      <c r="AH33" s="1811"/>
      <c r="AI33" s="1811"/>
      <c r="AJ33" s="1811"/>
      <c r="AK33" s="1811"/>
      <c r="AL33" s="1811"/>
      <c r="AM33" s="1811"/>
      <c r="AN33" s="1811"/>
      <c r="AO33" s="1811"/>
      <c r="AP33" s="1811"/>
      <c r="AQ33" s="1811"/>
      <c r="AR33" s="1811"/>
      <c r="AS33" s="1811"/>
      <c r="AT33" s="1811"/>
      <c r="AU33" s="1811"/>
      <c r="AV33" s="1811"/>
      <c r="AW33" s="1811"/>
      <c r="AX33" s="1811"/>
      <c r="AY33" s="1811"/>
      <c r="AZ33" s="1812"/>
      <c r="BA33" s="1012"/>
      <c r="BB33" s="1005"/>
      <c r="BC33" s="1005"/>
      <c r="BD33" s="1005"/>
      <c r="BE33" s="1011"/>
    </row>
    <row r="34" spans="1:58" ht="15.75" customHeight="1" thickBot="1">
      <c r="A34" s="1005"/>
      <c r="B34" s="1802"/>
      <c r="C34" s="1800"/>
      <c r="D34" s="1800"/>
      <c r="E34" s="1800"/>
      <c r="F34" s="1800"/>
      <c r="G34" s="1800"/>
      <c r="H34" s="1800"/>
      <c r="I34" s="1801"/>
      <c r="J34" s="1806"/>
      <c r="K34" s="1804"/>
      <c r="L34" s="1804"/>
      <c r="M34" s="1805"/>
      <c r="N34" s="1806"/>
      <c r="O34" s="1804"/>
      <c r="P34" s="1804"/>
      <c r="Q34" s="1804"/>
      <c r="R34" s="1813"/>
      <c r="S34" s="1814"/>
      <c r="T34" s="1814"/>
      <c r="U34" s="1814"/>
      <c r="V34" s="1814"/>
      <c r="W34" s="1814"/>
      <c r="X34" s="1814"/>
      <c r="Y34" s="1814"/>
      <c r="Z34" s="1814"/>
      <c r="AA34" s="1814"/>
      <c r="AB34" s="1814"/>
      <c r="AC34" s="1814"/>
      <c r="AD34" s="1814"/>
      <c r="AE34" s="1814"/>
      <c r="AF34" s="1814"/>
      <c r="AG34" s="1814"/>
      <c r="AH34" s="1814"/>
      <c r="AI34" s="1814"/>
      <c r="AJ34" s="1814"/>
      <c r="AK34" s="1814"/>
      <c r="AL34" s="1814"/>
      <c r="AM34" s="1814"/>
      <c r="AN34" s="1814"/>
      <c r="AO34" s="1814"/>
      <c r="AP34" s="1814"/>
      <c r="AQ34" s="1814"/>
      <c r="AR34" s="1814"/>
      <c r="AS34" s="1814"/>
      <c r="AT34" s="1814"/>
      <c r="AU34" s="1814"/>
      <c r="AV34" s="1814"/>
      <c r="AW34" s="1814"/>
      <c r="AX34" s="1814"/>
      <c r="AY34" s="1814"/>
      <c r="AZ34" s="1815"/>
      <c r="BA34" s="1012"/>
      <c r="BB34" s="1005"/>
      <c r="BC34" s="1005"/>
      <c r="BD34" s="1005"/>
      <c r="BE34" s="1011"/>
    </row>
    <row r="35" spans="1:58" ht="15.75" customHeight="1" thickBot="1">
      <c r="A35" s="1005"/>
      <c r="B35" s="1802"/>
      <c r="C35" s="1800"/>
      <c r="D35" s="1800"/>
      <c r="E35" s="1800"/>
      <c r="F35" s="1800"/>
      <c r="G35" s="1800"/>
      <c r="H35" s="1800"/>
      <c r="I35" s="1801"/>
      <c r="J35" s="1806"/>
      <c r="K35" s="1804"/>
      <c r="L35" s="1804"/>
      <c r="M35" s="1805"/>
      <c r="N35" s="1806"/>
      <c r="O35" s="1804"/>
      <c r="P35" s="1804"/>
      <c r="Q35" s="1804"/>
      <c r="R35" s="1787">
        <v>0.3</v>
      </c>
      <c r="S35" s="1788"/>
      <c r="T35" s="1788"/>
      <c r="U35" s="1789"/>
      <c r="V35" s="1787">
        <v>0.4</v>
      </c>
      <c r="W35" s="1788"/>
      <c r="X35" s="1788"/>
      <c r="Y35" s="1789"/>
      <c r="Z35" s="1787">
        <v>0.5</v>
      </c>
      <c r="AA35" s="1788"/>
      <c r="AB35" s="1788"/>
      <c r="AC35" s="1789"/>
      <c r="AD35" s="1787">
        <v>0.6</v>
      </c>
      <c r="AE35" s="1788"/>
      <c r="AF35" s="1788"/>
      <c r="AG35" s="1789"/>
      <c r="AH35" s="1787">
        <v>0.8</v>
      </c>
      <c r="AI35" s="1788"/>
      <c r="AJ35" s="1788"/>
      <c r="AK35" s="1789"/>
      <c r="AL35" s="1787" t="s">
        <v>1949</v>
      </c>
      <c r="AM35" s="1788"/>
      <c r="AN35" s="1789"/>
      <c r="AO35" s="1729" t="s">
        <v>1950</v>
      </c>
      <c r="AP35" s="1730"/>
      <c r="AQ35" s="1730"/>
      <c r="AR35" s="1730"/>
      <c r="AS35" s="1730"/>
      <c r="AT35" s="1731"/>
      <c r="AU35" s="1729" t="s">
        <v>1951</v>
      </c>
      <c r="AV35" s="1730"/>
      <c r="AW35" s="1730"/>
      <c r="AX35" s="1730"/>
      <c r="AY35" s="1730"/>
      <c r="AZ35" s="1731"/>
      <c r="BA35" s="1012"/>
      <c r="BB35" s="1005"/>
      <c r="BC35" s="1005"/>
      <c r="BD35" s="1005"/>
      <c r="BE35" s="1011"/>
      <c r="BF35" s="1003"/>
    </row>
    <row r="36" spans="1:58" ht="15.75" customHeight="1">
      <c r="A36" s="1005"/>
      <c r="B36" s="1826" t="s">
        <v>1952</v>
      </c>
      <c r="C36" s="1827"/>
      <c r="D36" s="1827"/>
      <c r="E36" s="1827"/>
      <c r="F36" s="1827"/>
      <c r="G36" s="1827"/>
      <c r="H36" s="1827"/>
      <c r="I36" s="1828"/>
      <c r="J36" s="1829" t="s">
        <v>1953</v>
      </c>
      <c r="K36" s="1830"/>
      <c r="L36" s="1830"/>
      <c r="M36" s="1831"/>
      <c r="N36" s="1832">
        <v>55</v>
      </c>
      <c r="O36" s="1833"/>
      <c r="P36" s="1833"/>
      <c r="Q36" s="1834"/>
      <c r="R36" s="1835">
        <v>10</v>
      </c>
      <c r="S36" s="1835"/>
      <c r="T36" s="1835"/>
      <c r="U36" s="1835"/>
      <c r="V36" s="1835">
        <v>30</v>
      </c>
      <c r="W36" s="1835"/>
      <c r="X36" s="1835"/>
      <c r="Y36" s="1835"/>
      <c r="Z36" s="1835"/>
      <c r="AA36" s="1835"/>
      <c r="AB36" s="1835"/>
      <c r="AC36" s="1835"/>
      <c r="AD36" s="1835"/>
      <c r="AE36" s="1835"/>
      <c r="AF36" s="1835"/>
      <c r="AG36" s="1835"/>
      <c r="AH36" s="1838"/>
      <c r="AI36" s="1838"/>
      <c r="AJ36" s="1838"/>
      <c r="AK36" s="1838"/>
      <c r="AL36" s="1838"/>
      <c r="AM36" s="1838"/>
      <c r="AN36" s="1838"/>
      <c r="AO36" s="1836">
        <f>SUM(R36:AN36)</f>
        <v>40</v>
      </c>
      <c r="AP36" s="1836"/>
      <c r="AQ36" s="1836"/>
      <c r="AR36" s="1836"/>
      <c r="AS36" s="1836"/>
      <c r="AT36" s="1836"/>
      <c r="AU36" s="1837">
        <f>AO36/$J$29</f>
        <v>0.33333333333333331</v>
      </c>
      <c r="AV36" s="1837"/>
      <c r="AW36" s="1837"/>
      <c r="AX36" s="1837"/>
      <c r="AY36" s="1837"/>
      <c r="AZ36" s="1837"/>
      <c r="BA36" s="1005"/>
      <c r="BB36" s="1005"/>
      <c r="BC36" s="1005"/>
      <c r="BD36" s="1005"/>
      <c r="BE36" s="1011"/>
      <c r="BF36" s="1003"/>
    </row>
    <row r="37" spans="1:58" ht="15.75" customHeight="1">
      <c r="A37" s="1005"/>
      <c r="B37" s="1817" t="s">
        <v>1954</v>
      </c>
      <c r="C37" s="1818"/>
      <c r="D37" s="1818"/>
      <c r="E37" s="1818"/>
      <c r="F37" s="1818"/>
      <c r="G37" s="1818"/>
      <c r="H37" s="1818"/>
      <c r="I37" s="1819"/>
      <c r="J37" s="1820" t="s">
        <v>1955</v>
      </c>
      <c r="K37" s="1821"/>
      <c r="L37" s="1821"/>
      <c r="M37" s="1822"/>
      <c r="N37" s="1823">
        <v>55</v>
      </c>
      <c r="O37" s="1821"/>
      <c r="P37" s="1821"/>
      <c r="Q37" s="1824"/>
      <c r="R37" s="1825"/>
      <c r="S37" s="1825"/>
      <c r="T37" s="1825"/>
      <c r="U37" s="1825"/>
      <c r="V37" s="1825"/>
      <c r="W37" s="1825"/>
      <c r="X37" s="1825"/>
      <c r="Y37" s="1825"/>
      <c r="Z37" s="1825"/>
      <c r="AA37" s="1825"/>
      <c r="AB37" s="1825"/>
      <c r="AC37" s="1825"/>
      <c r="AD37" s="1825"/>
      <c r="AE37" s="1825"/>
      <c r="AF37" s="1825"/>
      <c r="AG37" s="1825"/>
      <c r="AH37" s="1825"/>
      <c r="AI37" s="1825"/>
      <c r="AJ37" s="1825"/>
      <c r="AK37" s="1825"/>
      <c r="AL37" s="1825"/>
      <c r="AM37" s="1825"/>
      <c r="AN37" s="1825"/>
      <c r="AO37" s="1836">
        <f t="shared" ref="AO37:AO47" si="2">SUM(R37:AN37)</f>
        <v>0</v>
      </c>
      <c r="AP37" s="1836"/>
      <c r="AQ37" s="1836"/>
      <c r="AR37" s="1836"/>
      <c r="AS37" s="1836"/>
      <c r="AT37" s="1836"/>
      <c r="AU37" s="1837">
        <f t="shared" ref="AU37:AU47" si="3">AO37/$J$29</f>
        <v>0</v>
      </c>
      <c r="AV37" s="1837"/>
      <c r="AW37" s="1837"/>
      <c r="AX37" s="1837"/>
      <c r="AY37" s="1837"/>
      <c r="AZ37" s="1837"/>
      <c r="BA37" s="1005"/>
      <c r="BB37" s="1005"/>
      <c r="BC37" s="1005"/>
      <c r="BD37" s="1005"/>
      <c r="BE37" s="1011"/>
      <c r="BF37" s="1003"/>
    </row>
    <row r="38" spans="1:58" ht="15.75" customHeight="1">
      <c r="A38" s="1005"/>
      <c r="B38" s="1817" t="s">
        <v>1956</v>
      </c>
      <c r="C38" s="1818"/>
      <c r="D38" s="1818"/>
      <c r="E38" s="1818"/>
      <c r="F38" s="1818"/>
      <c r="G38" s="1818"/>
      <c r="H38" s="1818"/>
      <c r="I38" s="1819"/>
      <c r="J38" s="1820" t="s">
        <v>1957</v>
      </c>
      <c r="K38" s="1821"/>
      <c r="L38" s="1821"/>
      <c r="M38" s="1822"/>
      <c r="N38" s="1823">
        <v>55</v>
      </c>
      <c r="O38" s="1821"/>
      <c r="P38" s="1821"/>
      <c r="Q38" s="1824"/>
      <c r="R38" s="1825"/>
      <c r="S38" s="1825"/>
      <c r="T38" s="1825"/>
      <c r="U38" s="1825"/>
      <c r="V38" s="1825"/>
      <c r="W38" s="1825"/>
      <c r="X38" s="1825"/>
      <c r="Y38" s="1825"/>
      <c r="Z38" s="1825"/>
      <c r="AA38" s="1825"/>
      <c r="AB38" s="1825"/>
      <c r="AC38" s="1825"/>
      <c r="AD38" s="1825"/>
      <c r="AE38" s="1825"/>
      <c r="AF38" s="1825"/>
      <c r="AG38" s="1825"/>
      <c r="AH38" s="1825"/>
      <c r="AI38" s="1825"/>
      <c r="AJ38" s="1825"/>
      <c r="AK38" s="1825"/>
      <c r="AL38" s="1825"/>
      <c r="AM38" s="1825"/>
      <c r="AN38" s="1825"/>
      <c r="AO38" s="1836">
        <f t="shared" si="2"/>
        <v>0</v>
      </c>
      <c r="AP38" s="1836"/>
      <c r="AQ38" s="1836"/>
      <c r="AR38" s="1836"/>
      <c r="AS38" s="1836"/>
      <c r="AT38" s="1836"/>
      <c r="AU38" s="1837">
        <f t="shared" si="3"/>
        <v>0</v>
      </c>
      <c r="AV38" s="1837"/>
      <c r="AW38" s="1837"/>
      <c r="AX38" s="1837"/>
      <c r="AY38" s="1837"/>
      <c r="AZ38" s="1837"/>
      <c r="BA38" s="1005"/>
      <c r="BB38" s="1005"/>
      <c r="BC38" s="1005"/>
      <c r="BD38" s="1005"/>
      <c r="BE38" s="1011"/>
      <c r="BF38" s="1003"/>
    </row>
    <row r="39" spans="1:58" ht="15.75" customHeight="1">
      <c r="A39" s="1005"/>
      <c r="B39" s="1817" t="s">
        <v>1958</v>
      </c>
      <c r="C39" s="1818"/>
      <c r="D39" s="1818"/>
      <c r="E39" s="1818"/>
      <c r="F39" s="1818"/>
      <c r="G39" s="1818"/>
      <c r="H39" s="1818"/>
      <c r="I39" s="1819"/>
      <c r="J39" s="1839"/>
      <c r="K39" s="1840"/>
      <c r="L39" s="1840"/>
      <c r="M39" s="1841"/>
      <c r="N39" s="1842"/>
      <c r="O39" s="1840"/>
      <c r="P39" s="1840"/>
      <c r="Q39" s="1843"/>
      <c r="R39" s="1825"/>
      <c r="S39" s="1825"/>
      <c r="T39" s="1825"/>
      <c r="U39" s="1825"/>
      <c r="V39" s="1825"/>
      <c r="W39" s="1825"/>
      <c r="X39" s="1825"/>
      <c r="Y39" s="1825"/>
      <c r="Z39" s="1825"/>
      <c r="AA39" s="1825"/>
      <c r="AB39" s="1825"/>
      <c r="AC39" s="1825"/>
      <c r="AD39" s="1825"/>
      <c r="AE39" s="1825"/>
      <c r="AF39" s="1825"/>
      <c r="AG39" s="1825"/>
      <c r="AH39" s="1825"/>
      <c r="AI39" s="1825"/>
      <c r="AJ39" s="1825"/>
      <c r="AK39" s="1825"/>
      <c r="AL39" s="1825"/>
      <c r="AM39" s="1825"/>
      <c r="AN39" s="1825"/>
      <c r="AO39" s="1836">
        <f t="shared" si="2"/>
        <v>0</v>
      </c>
      <c r="AP39" s="1836"/>
      <c r="AQ39" s="1836"/>
      <c r="AR39" s="1836"/>
      <c r="AS39" s="1836"/>
      <c r="AT39" s="1836"/>
      <c r="AU39" s="1837">
        <f t="shared" si="3"/>
        <v>0</v>
      </c>
      <c r="AV39" s="1837"/>
      <c r="AW39" s="1837"/>
      <c r="AX39" s="1837"/>
      <c r="AY39" s="1837"/>
      <c r="AZ39" s="1837"/>
      <c r="BA39" s="1005"/>
      <c r="BB39" s="1005"/>
      <c r="BC39" s="1005"/>
      <c r="BD39" s="1005"/>
      <c r="BE39" s="1011"/>
    </row>
    <row r="40" spans="1:58" ht="15.75" customHeight="1">
      <c r="A40" s="1005"/>
      <c r="B40" s="1817" t="s">
        <v>1958</v>
      </c>
      <c r="C40" s="1818"/>
      <c r="D40" s="1818"/>
      <c r="E40" s="1818"/>
      <c r="F40" s="1818"/>
      <c r="G40" s="1818"/>
      <c r="H40" s="1818"/>
      <c r="I40" s="1819"/>
      <c r="J40" s="1839"/>
      <c r="K40" s="1840"/>
      <c r="L40" s="1840"/>
      <c r="M40" s="1841"/>
      <c r="N40" s="1842"/>
      <c r="O40" s="1840"/>
      <c r="P40" s="1840"/>
      <c r="Q40" s="1843"/>
      <c r="R40" s="1825"/>
      <c r="S40" s="1825"/>
      <c r="T40" s="1825"/>
      <c r="U40" s="1825"/>
      <c r="V40" s="1825"/>
      <c r="W40" s="1825"/>
      <c r="X40" s="1825"/>
      <c r="Y40" s="1825"/>
      <c r="Z40" s="1825"/>
      <c r="AA40" s="1825"/>
      <c r="AB40" s="1825"/>
      <c r="AC40" s="1825"/>
      <c r="AD40" s="1825"/>
      <c r="AE40" s="1825"/>
      <c r="AF40" s="1825"/>
      <c r="AG40" s="1825"/>
      <c r="AH40" s="1825"/>
      <c r="AI40" s="1825"/>
      <c r="AJ40" s="1825"/>
      <c r="AK40" s="1825"/>
      <c r="AL40" s="1825"/>
      <c r="AM40" s="1825"/>
      <c r="AN40" s="1825"/>
      <c r="AO40" s="1836">
        <f t="shared" si="2"/>
        <v>0</v>
      </c>
      <c r="AP40" s="1836"/>
      <c r="AQ40" s="1836"/>
      <c r="AR40" s="1836"/>
      <c r="AS40" s="1836"/>
      <c r="AT40" s="1836"/>
      <c r="AU40" s="1837">
        <f t="shared" si="3"/>
        <v>0</v>
      </c>
      <c r="AV40" s="1837"/>
      <c r="AW40" s="1837"/>
      <c r="AX40" s="1837"/>
      <c r="AY40" s="1837"/>
      <c r="AZ40" s="1837"/>
      <c r="BA40" s="1005"/>
      <c r="BB40" s="1005"/>
      <c r="BC40" s="1005"/>
      <c r="BD40" s="1005"/>
      <c r="BE40" s="1011"/>
    </row>
    <row r="41" spans="1:58" ht="15.75" customHeight="1">
      <c r="A41" s="1005"/>
      <c r="B41" s="1844" t="s">
        <v>1959</v>
      </c>
      <c r="C41" s="1845"/>
      <c r="D41" s="1845"/>
      <c r="E41" s="1845"/>
      <c r="F41" s="1845"/>
      <c r="G41" s="1845"/>
      <c r="H41" s="1845"/>
      <c r="I41" s="1846"/>
      <c r="J41" s="1839"/>
      <c r="K41" s="1840"/>
      <c r="L41" s="1840"/>
      <c r="M41" s="1841"/>
      <c r="N41" s="1842"/>
      <c r="O41" s="1840"/>
      <c r="P41" s="1840"/>
      <c r="Q41" s="1843"/>
      <c r="R41" s="1825"/>
      <c r="S41" s="1825"/>
      <c r="T41" s="1825"/>
      <c r="U41" s="1825"/>
      <c r="V41" s="1825"/>
      <c r="W41" s="1825"/>
      <c r="X41" s="1825"/>
      <c r="Y41" s="1825"/>
      <c r="Z41" s="1825"/>
      <c r="AA41" s="1825"/>
      <c r="AB41" s="1825"/>
      <c r="AC41" s="1825"/>
      <c r="AD41" s="1825"/>
      <c r="AE41" s="1825"/>
      <c r="AF41" s="1825"/>
      <c r="AG41" s="1825"/>
      <c r="AH41" s="1825"/>
      <c r="AI41" s="1825"/>
      <c r="AJ41" s="1825"/>
      <c r="AK41" s="1825"/>
      <c r="AL41" s="1825"/>
      <c r="AM41" s="1825"/>
      <c r="AN41" s="1825"/>
      <c r="AO41" s="1836">
        <f t="shared" si="2"/>
        <v>0</v>
      </c>
      <c r="AP41" s="1836"/>
      <c r="AQ41" s="1836"/>
      <c r="AR41" s="1836"/>
      <c r="AS41" s="1836"/>
      <c r="AT41" s="1836"/>
      <c r="AU41" s="1837">
        <f t="shared" si="3"/>
        <v>0</v>
      </c>
      <c r="AV41" s="1837"/>
      <c r="AW41" s="1837"/>
      <c r="AX41" s="1837"/>
      <c r="AY41" s="1837"/>
      <c r="AZ41" s="1837"/>
      <c r="BA41" s="1005"/>
      <c r="BB41" s="1005"/>
      <c r="BC41" s="1005"/>
      <c r="BD41" s="1005"/>
      <c r="BE41" s="1011"/>
    </row>
    <row r="42" spans="1:58" ht="15.75" customHeight="1">
      <c r="A42" s="1005"/>
      <c r="B42" s="1844" t="s">
        <v>1959</v>
      </c>
      <c r="C42" s="1845"/>
      <c r="D42" s="1845"/>
      <c r="E42" s="1845"/>
      <c r="F42" s="1845"/>
      <c r="G42" s="1845"/>
      <c r="H42" s="1845"/>
      <c r="I42" s="1846"/>
      <c r="J42" s="1839"/>
      <c r="K42" s="1840"/>
      <c r="L42" s="1840"/>
      <c r="M42" s="1841"/>
      <c r="N42" s="1842"/>
      <c r="O42" s="1840"/>
      <c r="P42" s="1840"/>
      <c r="Q42" s="1843"/>
      <c r="R42" s="1825"/>
      <c r="S42" s="1825"/>
      <c r="T42" s="1825"/>
      <c r="U42" s="1825"/>
      <c r="V42" s="1825"/>
      <c r="W42" s="1825"/>
      <c r="X42" s="1825"/>
      <c r="Y42" s="1825"/>
      <c r="Z42" s="1825"/>
      <c r="AA42" s="1825"/>
      <c r="AB42" s="1825"/>
      <c r="AC42" s="1825"/>
      <c r="AD42" s="1825"/>
      <c r="AE42" s="1825"/>
      <c r="AF42" s="1825"/>
      <c r="AG42" s="1825"/>
      <c r="AH42" s="1825"/>
      <c r="AI42" s="1825"/>
      <c r="AJ42" s="1825"/>
      <c r="AK42" s="1825"/>
      <c r="AL42" s="1825"/>
      <c r="AM42" s="1825"/>
      <c r="AN42" s="1825"/>
      <c r="AO42" s="1836">
        <f t="shared" si="2"/>
        <v>0</v>
      </c>
      <c r="AP42" s="1836"/>
      <c r="AQ42" s="1836"/>
      <c r="AR42" s="1836"/>
      <c r="AS42" s="1836"/>
      <c r="AT42" s="1836"/>
      <c r="AU42" s="1837">
        <f t="shared" si="3"/>
        <v>0</v>
      </c>
      <c r="AV42" s="1837"/>
      <c r="AW42" s="1837"/>
      <c r="AX42" s="1837"/>
      <c r="AY42" s="1837"/>
      <c r="AZ42" s="1837"/>
      <c r="BA42" s="1005"/>
      <c r="BB42" s="1005"/>
      <c r="BC42" s="1005"/>
      <c r="BD42" s="1005"/>
      <c r="BE42" s="1011"/>
    </row>
    <row r="43" spans="1:58" ht="15.75" customHeight="1">
      <c r="A43" s="1005"/>
      <c r="B43" s="1847" t="s">
        <v>1960</v>
      </c>
      <c r="C43" s="1848"/>
      <c r="D43" s="1848"/>
      <c r="E43" s="1848"/>
      <c r="F43" s="1848"/>
      <c r="G43" s="1848"/>
      <c r="H43" s="1848"/>
      <c r="I43" s="1849"/>
      <c r="J43" s="1839"/>
      <c r="K43" s="1840"/>
      <c r="L43" s="1840"/>
      <c r="M43" s="1841"/>
      <c r="N43" s="1842"/>
      <c r="O43" s="1840"/>
      <c r="P43" s="1840"/>
      <c r="Q43" s="1843"/>
      <c r="R43" s="1825"/>
      <c r="S43" s="1825"/>
      <c r="T43" s="1825"/>
      <c r="U43" s="1825"/>
      <c r="V43" s="1825"/>
      <c r="W43" s="1825"/>
      <c r="X43" s="1825"/>
      <c r="Y43" s="1825"/>
      <c r="Z43" s="1825"/>
      <c r="AA43" s="1825"/>
      <c r="AB43" s="1825"/>
      <c r="AC43" s="1825"/>
      <c r="AD43" s="1825"/>
      <c r="AE43" s="1825"/>
      <c r="AF43" s="1825"/>
      <c r="AG43" s="1825"/>
      <c r="AH43" s="1825"/>
      <c r="AI43" s="1825"/>
      <c r="AJ43" s="1825"/>
      <c r="AK43" s="1825"/>
      <c r="AL43" s="1825"/>
      <c r="AM43" s="1825"/>
      <c r="AN43" s="1825"/>
      <c r="AO43" s="1836">
        <f t="shared" si="2"/>
        <v>0</v>
      </c>
      <c r="AP43" s="1836"/>
      <c r="AQ43" s="1836"/>
      <c r="AR43" s="1836"/>
      <c r="AS43" s="1836"/>
      <c r="AT43" s="1836"/>
      <c r="AU43" s="1837">
        <f t="shared" si="3"/>
        <v>0</v>
      </c>
      <c r="AV43" s="1837"/>
      <c r="AW43" s="1837"/>
      <c r="AX43" s="1837"/>
      <c r="AY43" s="1837"/>
      <c r="AZ43" s="1837"/>
      <c r="BA43" s="1005"/>
      <c r="BB43" s="1005"/>
      <c r="BC43" s="1005"/>
      <c r="BD43" s="1005"/>
      <c r="BE43" s="1011"/>
    </row>
    <row r="44" spans="1:58" ht="15.75" customHeight="1">
      <c r="A44" s="1005"/>
      <c r="B44" s="1847" t="s">
        <v>1961</v>
      </c>
      <c r="C44" s="1848"/>
      <c r="D44" s="1848"/>
      <c r="E44" s="1848"/>
      <c r="F44" s="1848"/>
      <c r="G44" s="1848"/>
      <c r="H44" s="1848"/>
      <c r="I44" s="1849"/>
      <c r="J44" s="1839"/>
      <c r="K44" s="1840"/>
      <c r="L44" s="1840"/>
      <c r="M44" s="1841"/>
      <c r="N44" s="1842"/>
      <c r="O44" s="1840"/>
      <c r="P44" s="1840"/>
      <c r="Q44" s="1843"/>
      <c r="R44" s="1825"/>
      <c r="S44" s="1825"/>
      <c r="T44" s="1825"/>
      <c r="U44" s="1825"/>
      <c r="V44" s="1825"/>
      <c r="W44" s="1825"/>
      <c r="X44" s="1825"/>
      <c r="Y44" s="1825"/>
      <c r="Z44" s="1825"/>
      <c r="AA44" s="1825"/>
      <c r="AB44" s="1825"/>
      <c r="AC44" s="1825"/>
      <c r="AD44" s="1825"/>
      <c r="AE44" s="1825"/>
      <c r="AF44" s="1825"/>
      <c r="AG44" s="1825"/>
      <c r="AH44" s="1825"/>
      <c r="AI44" s="1825"/>
      <c r="AJ44" s="1825"/>
      <c r="AK44" s="1825"/>
      <c r="AL44" s="1825"/>
      <c r="AM44" s="1825"/>
      <c r="AN44" s="1825"/>
      <c r="AO44" s="1836">
        <f t="shared" si="2"/>
        <v>0</v>
      </c>
      <c r="AP44" s="1836"/>
      <c r="AQ44" s="1836"/>
      <c r="AR44" s="1836"/>
      <c r="AS44" s="1836"/>
      <c r="AT44" s="1836"/>
      <c r="AU44" s="1837">
        <f t="shared" si="3"/>
        <v>0</v>
      </c>
      <c r="AV44" s="1837"/>
      <c r="AW44" s="1837"/>
      <c r="AX44" s="1837"/>
      <c r="AY44" s="1837"/>
      <c r="AZ44" s="1837"/>
      <c r="BA44" s="1005"/>
      <c r="BB44" s="1005"/>
      <c r="BC44" s="1005"/>
      <c r="BD44" s="1005"/>
      <c r="BE44" s="1011"/>
    </row>
    <row r="45" spans="1:58" ht="15.75" customHeight="1">
      <c r="A45" s="1005"/>
      <c r="B45" s="1850" t="s">
        <v>1962</v>
      </c>
      <c r="C45" s="1851"/>
      <c r="D45" s="1851"/>
      <c r="E45" s="1851"/>
      <c r="F45" s="1851"/>
      <c r="G45" s="1851"/>
      <c r="H45" s="1851"/>
      <c r="I45" s="1852"/>
      <c r="J45" s="1839"/>
      <c r="K45" s="1840"/>
      <c r="L45" s="1840"/>
      <c r="M45" s="1841"/>
      <c r="N45" s="1842"/>
      <c r="O45" s="1840"/>
      <c r="P45" s="1840"/>
      <c r="Q45" s="1843"/>
      <c r="R45" s="1825"/>
      <c r="S45" s="1825"/>
      <c r="T45" s="1825"/>
      <c r="U45" s="1825"/>
      <c r="V45" s="1825"/>
      <c r="W45" s="1825"/>
      <c r="X45" s="1825"/>
      <c r="Y45" s="1825"/>
      <c r="Z45" s="1825"/>
      <c r="AA45" s="1825"/>
      <c r="AB45" s="1825"/>
      <c r="AC45" s="1825"/>
      <c r="AD45" s="1825"/>
      <c r="AE45" s="1825"/>
      <c r="AF45" s="1825"/>
      <c r="AG45" s="1825"/>
      <c r="AH45" s="1825"/>
      <c r="AI45" s="1825"/>
      <c r="AJ45" s="1825"/>
      <c r="AK45" s="1825"/>
      <c r="AL45" s="1825"/>
      <c r="AM45" s="1825"/>
      <c r="AN45" s="1825"/>
      <c r="AO45" s="1836">
        <f t="shared" si="2"/>
        <v>0</v>
      </c>
      <c r="AP45" s="1836"/>
      <c r="AQ45" s="1836"/>
      <c r="AR45" s="1836"/>
      <c r="AS45" s="1836"/>
      <c r="AT45" s="1836"/>
      <c r="AU45" s="1837">
        <f t="shared" si="3"/>
        <v>0</v>
      </c>
      <c r="AV45" s="1837"/>
      <c r="AW45" s="1837"/>
      <c r="AX45" s="1837"/>
      <c r="AY45" s="1837"/>
      <c r="AZ45" s="1837"/>
      <c r="BA45" s="1005"/>
      <c r="BB45" s="1005"/>
      <c r="BC45" s="1005"/>
      <c r="BD45" s="1005"/>
      <c r="BE45" s="1011"/>
    </row>
    <row r="46" spans="1:58" ht="15.75" customHeight="1">
      <c r="A46" s="1005"/>
      <c r="B46" s="1850" t="s">
        <v>1963</v>
      </c>
      <c r="C46" s="1851"/>
      <c r="D46" s="1851"/>
      <c r="E46" s="1851"/>
      <c r="F46" s="1851"/>
      <c r="G46" s="1851"/>
      <c r="H46" s="1851"/>
      <c r="I46" s="1852"/>
      <c r="J46" s="1839"/>
      <c r="K46" s="1840"/>
      <c r="L46" s="1840"/>
      <c r="M46" s="1841"/>
      <c r="N46" s="1823">
        <v>99</v>
      </c>
      <c r="O46" s="1821"/>
      <c r="P46" s="1821"/>
      <c r="Q46" s="1824"/>
      <c r="R46" s="1825"/>
      <c r="S46" s="1825"/>
      <c r="T46" s="1825"/>
      <c r="U46" s="1825"/>
      <c r="V46" s="1825"/>
      <c r="W46" s="1825"/>
      <c r="X46" s="1825"/>
      <c r="Y46" s="1825"/>
      <c r="Z46" s="1825"/>
      <c r="AA46" s="1825"/>
      <c r="AB46" s="1825"/>
      <c r="AC46" s="1825"/>
      <c r="AD46" s="1825"/>
      <c r="AE46" s="1825"/>
      <c r="AF46" s="1825"/>
      <c r="AG46" s="1825"/>
      <c r="AH46" s="1825"/>
      <c r="AI46" s="1825"/>
      <c r="AJ46" s="1825"/>
      <c r="AK46" s="1825"/>
      <c r="AL46" s="1825"/>
      <c r="AM46" s="1825"/>
      <c r="AN46" s="1825"/>
      <c r="AO46" s="1836">
        <f t="shared" si="2"/>
        <v>0</v>
      </c>
      <c r="AP46" s="1836"/>
      <c r="AQ46" s="1836"/>
      <c r="AR46" s="1836"/>
      <c r="AS46" s="1836"/>
      <c r="AT46" s="1836"/>
      <c r="AU46" s="1837">
        <f t="shared" si="3"/>
        <v>0</v>
      </c>
      <c r="AV46" s="1837"/>
      <c r="AW46" s="1837"/>
      <c r="AX46" s="1837"/>
      <c r="AY46" s="1837"/>
      <c r="AZ46" s="1837"/>
      <c r="BA46" s="1005"/>
      <c r="BB46" s="1005"/>
      <c r="BC46" s="1005"/>
      <c r="BD46" s="1005"/>
      <c r="BE46" s="1011"/>
    </row>
    <row r="47" spans="1:58" ht="15.75" customHeight="1" thickBot="1">
      <c r="A47" s="1005"/>
      <c r="B47" s="1853" t="s">
        <v>1127</v>
      </c>
      <c r="C47" s="1854"/>
      <c r="D47" s="1854"/>
      <c r="E47" s="1854"/>
      <c r="F47" s="1854"/>
      <c r="G47" s="1854"/>
      <c r="H47" s="1854"/>
      <c r="I47" s="1855"/>
      <c r="J47" s="1856"/>
      <c r="K47" s="1857"/>
      <c r="L47" s="1857"/>
      <c r="M47" s="1858"/>
      <c r="N47" s="1859"/>
      <c r="O47" s="1857"/>
      <c r="P47" s="1857"/>
      <c r="Q47" s="1860"/>
      <c r="R47" s="1825"/>
      <c r="S47" s="1825"/>
      <c r="T47" s="1825"/>
      <c r="U47" s="1825"/>
      <c r="V47" s="1825"/>
      <c r="W47" s="1825"/>
      <c r="X47" s="1825"/>
      <c r="Y47" s="1825"/>
      <c r="Z47" s="1825"/>
      <c r="AA47" s="1825"/>
      <c r="AB47" s="1825"/>
      <c r="AC47" s="1825"/>
      <c r="AD47" s="1825"/>
      <c r="AE47" s="1825"/>
      <c r="AF47" s="1825"/>
      <c r="AG47" s="1825"/>
      <c r="AH47" s="1825"/>
      <c r="AI47" s="1825"/>
      <c r="AJ47" s="1825"/>
      <c r="AK47" s="1825"/>
      <c r="AL47" s="1825"/>
      <c r="AM47" s="1825"/>
      <c r="AN47" s="1825"/>
      <c r="AO47" s="1836">
        <f t="shared" si="2"/>
        <v>0</v>
      </c>
      <c r="AP47" s="1836"/>
      <c r="AQ47" s="1836"/>
      <c r="AR47" s="1836"/>
      <c r="AS47" s="1836"/>
      <c r="AT47" s="1836"/>
      <c r="AU47" s="1837">
        <f t="shared" si="3"/>
        <v>0</v>
      </c>
      <c r="AV47" s="1837"/>
      <c r="AW47" s="1837"/>
      <c r="AX47" s="1837"/>
      <c r="AY47" s="1837"/>
      <c r="AZ47" s="1837"/>
      <c r="BA47" s="1005"/>
      <c r="BB47" s="1005"/>
      <c r="BC47" s="1005"/>
      <c r="BD47" s="1005"/>
      <c r="BE47" s="1011"/>
    </row>
    <row r="48" spans="1:58" ht="15.75" customHeight="1">
      <c r="A48" s="1005"/>
      <c r="B48" s="1013" t="s">
        <v>1964</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1965</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61" t="s">
        <v>1966</v>
      </c>
      <c r="C50" s="1862"/>
      <c r="D50" s="1862"/>
      <c r="E50" s="1862"/>
      <c r="F50" s="1862"/>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c r="AL50" s="1862"/>
      <c r="AM50" s="1862"/>
      <c r="AN50" s="1862"/>
      <c r="AO50" s="1863"/>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1864" t="s">
        <v>1967</v>
      </c>
      <c r="C51" s="1865"/>
      <c r="D51" s="1865"/>
      <c r="E51" s="1865"/>
      <c r="F51" s="1865"/>
      <c r="G51" s="1865"/>
      <c r="H51" s="1865"/>
      <c r="I51" s="1866"/>
      <c r="J51" s="1864" t="s">
        <v>1968</v>
      </c>
      <c r="K51" s="1865"/>
      <c r="L51" s="1865"/>
      <c r="M51" s="1865"/>
      <c r="N51" s="1865"/>
      <c r="O51" s="1865"/>
      <c r="P51" s="1865"/>
      <c r="Q51" s="1866"/>
      <c r="R51" s="1810" t="s">
        <v>1969</v>
      </c>
      <c r="S51" s="1867"/>
      <c r="T51" s="1867"/>
      <c r="U51" s="1867"/>
      <c r="V51" s="1867"/>
      <c r="W51" s="1867"/>
      <c r="X51" s="1867"/>
      <c r="Y51" s="1868"/>
      <c r="Z51" s="1869" t="s">
        <v>1970</v>
      </c>
      <c r="AA51" s="1870"/>
      <c r="AB51" s="1870"/>
      <c r="AC51" s="1870"/>
      <c r="AD51" s="1870"/>
      <c r="AE51" s="1870"/>
      <c r="AF51" s="1870"/>
      <c r="AG51" s="1871"/>
      <c r="AH51" s="1869" t="s">
        <v>1971</v>
      </c>
      <c r="AI51" s="1870"/>
      <c r="AJ51" s="1870"/>
      <c r="AK51" s="1870"/>
      <c r="AL51" s="1870"/>
      <c r="AM51" s="1870"/>
      <c r="AN51" s="1870"/>
      <c r="AO51" s="1871"/>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872" t="s">
        <v>1972</v>
      </c>
      <c r="C52" s="1873"/>
      <c r="D52" s="1873"/>
      <c r="E52" s="1873"/>
      <c r="F52" s="1873"/>
      <c r="G52" s="1873"/>
      <c r="H52" s="1873"/>
      <c r="I52" s="1873"/>
      <c r="J52" s="1873">
        <v>0</v>
      </c>
      <c r="K52" s="1873"/>
      <c r="L52" s="1873"/>
      <c r="M52" s="1873"/>
      <c r="N52" s="1873"/>
      <c r="O52" s="1873"/>
      <c r="P52" s="1873"/>
      <c r="Q52" s="1873"/>
      <c r="R52" s="1874">
        <v>0</v>
      </c>
      <c r="S52" s="1874"/>
      <c r="T52" s="1874"/>
      <c r="U52" s="1874"/>
      <c r="V52" s="1874"/>
      <c r="W52" s="1874"/>
      <c r="X52" s="1874"/>
      <c r="Y52" s="1874"/>
      <c r="Z52" s="1875"/>
      <c r="AA52" s="1875"/>
      <c r="AB52" s="1875"/>
      <c r="AC52" s="1875"/>
      <c r="AD52" s="1875"/>
      <c r="AE52" s="1875"/>
      <c r="AF52" s="1875"/>
      <c r="AG52" s="1875"/>
      <c r="AH52" s="1876">
        <v>0</v>
      </c>
      <c r="AI52" s="1876"/>
      <c r="AJ52" s="1876"/>
      <c r="AK52" s="1876"/>
      <c r="AL52" s="1876"/>
      <c r="AM52" s="1876"/>
      <c r="AN52" s="1876"/>
      <c r="AO52" s="1877"/>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872" t="s">
        <v>1973</v>
      </c>
      <c r="C53" s="1873"/>
      <c r="D53" s="1873"/>
      <c r="E53" s="1873"/>
      <c r="F53" s="1873"/>
      <c r="G53" s="1873"/>
      <c r="H53" s="1873"/>
      <c r="I53" s="1873"/>
      <c r="J53" s="1873"/>
      <c r="K53" s="1873"/>
      <c r="L53" s="1873"/>
      <c r="M53" s="1873"/>
      <c r="N53" s="1873"/>
      <c r="O53" s="1873"/>
      <c r="P53" s="1873"/>
      <c r="Q53" s="1873"/>
      <c r="R53" s="1874">
        <v>0</v>
      </c>
      <c r="S53" s="1874"/>
      <c r="T53" s="1874"/>
      <c r="U53" s="1874"/>
      <c r="V53" s="1874"/>
      <c r="W53" s="1874"/>
      <c r="X53" s="1874"/>
      <c r="Y53" s="1874"/>
      <c r="Z53" s="1875"/>
      <c r="AA53" s="1875"/>
      <c r="AB53" s="1875"/>
      <c r="AC53" s="1875"/>
      <c r="AD53" s="1875"/>
      <c r="AE53" s="1875"/>
      <c r="AF53" s="1875"/>
      <c r="AG53" s="1875"/>
      <c r="AH53" s="1876">
        <v>0</v>
      </c>
      <c r="AI53" s="1876"/>
      <c r="AJ53" s="1876"/>
      <c r="AK53" s="1876"/>
      <c r="AL53" s="1876"/>
      <c r="AM53" s="1876"/>
      <c r="AN53" s="1876"/>
      <c r="AO53" s="1877"/>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872"/>
      <c r="C54" s="1873"/>
      <c r="D54" s="1873"/>
      <c r="E54" s="1873"/>
      <c r="F54" s="1873"/>
      <c r="G54" s="1873"/>
      <c r="H54" s="1873"/>
      <c r="I54" s="1873"/>
      <c r="J54" s="1873"/>
      <c r="K54" s="1873"/>
      <c r="L54" s="1873"/>
      <c r="M54" s="1873"/>
      <c r="N54" s="1873"/>
      <c r="O54" s="1873"/>
      <c r="P54" s="1873"/>
      <c r="Q54" s="1873"/>
      <c r="R54" s="1874">
        <v>0</v>
      </c>
      <c r="S54" s="1874"/>
      <c r="T54" s="1874"/>
      <c r="U54" s="1874"/>
      <c r="V54" s="1874"/>
      <c r="W54" s="1874"/>
      <c r="X54" s="1874"/>
      <c r="Y54" s="1874"/>
      <c r="Z54" s="1875"/>
      <c r="AA54" s="1875"/>
      <c r="AB54" s="1875"/>
      <c r="AC54" s="1875"/>
      <c r="AD54" s="1875"/>
      <c r="AE54" s="1875"/>
      <c r="AF54" s="1875"/>
      <c r="AG54" s="1875"/>
      <c r="AH54" s="1876">
        <v>0</v>
      </c>
      <c r="AI54" s="1876"/>
      <c r="AJ54" s="1876"/>
      <c r="AK54" s="1876"/>
      <c r="AL54" s="1876"/>
      <c r="AM54" s="1876"/>
      <c r="AN54" s="1876"/>
      <c r="AO54" s="1877"/>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872"/>
      <c r="C55" s="1873"/>
      <c r="D55" s="1873"/>
      <c r="E55" s="1873"/>
      <c r="F55" s="1873"/>
      <c r="G55" s="1873"/>
      <c r="H55" s="1873"/>
      <c r="I55" s="1873"/>
      <c r="J55" s="1873"/>
      <c r="K55" s="1873"/>
      <c r="L55" s="1873"/>
      <c r="M55" s="1873"/>
      <c r="N55" s="1873"/>
      <c r="O55" s="1873"/>
      <c r="P55" s="1873"/>
      <c r="Q55" s="1873"/>
      <c r="R55" s="1874">
        <v>0</v>
      </c>
      <c r="S55" s="1874"/>
      <c r="T55" s="1874"/>
      <c r="U55" s="1874"/>
      <c r="V55" s="1874"/>
      <c r="W55" s="1874"/>
      <c r="X55" s="1874"/>
      <c r="Y55" s="1874"/>
      <c r="Z55" s="1875"/>
      <c r="AA55" s="1875"/>
      <c r="AB55" s="1875"/>
      <c r="AC55" s="1875"/>
      <c r="AD55" s="1875"/>
      <c r="AE55" s="1875"/>
      <c r="AF55" s="1875"/>
      <c r="AG55" s="1875"/>
      <c r="AH55" s="1876">
        <v>0</v>
      </c>
      <c r="AI55" s="1876"/>
      <c r="AJ55" s="1876"/>
      <c r="AK55" s="1876"/>
      <c r="AL55" s="1876"/>
      <c r="AM55" s="1876"/>
      <c r="AN55" s="1876"/>
      <c r="AO55" s="1877"/>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885"/>
      <c r="C56" s="1886"/>
      <c r="D56" s="1886"/>
      <c r="E56" s="1886"/>
      <c r="F56" s="1886"/>
      <c r="G56" s="1886"/>
      <c r="H56" s="1886"/>
      <c r="I56" s="1886"/>
      <c r="J56" s="1886"/>
      <c r="K56" s="1886"/>
      <c r="L56" s="1886"/>
      <c r="M56" s="1886"/>
      <c r="N56" s="1886"/>
      <c r="O56" s="1886"/>
      <c r="P56" s="1886"/>
      <c r="Q56" s="1886"/>
      <c r="R56" s="1887">
        <v>0</v>
      </c>
      <c r="S56" s="1887"/>
      <c r="T56" s="1887"/>
      <c r="U56" s="1887"/>
      <c r="V56" s="1887"/>
      <c r="W56" s="1887"/>
      <c r="X56" s="1887"/>
      <c r="Y56" s="1887"/>
      <c r="Z56" s="1888"/>
      <c r="AA56" s="1888"/>
      <c r="AB56" s="1888"/>
      <c r="AC56" s="1888"/>
      <c r="AD56" s="1888"/>
      <c r="AE56" s="1888"/>
      <c r="AF56" s="1888"/>
      <c r="AG56" s="1888"/>
      <c r="AH56" s="1889"/>
      <c r="AI56" s="1889"/>
      <c r="AJ56" s="1889"/>
      <c r="AK56" s="1889"/>
      <c r="AL56" s="1889"/>
      <c r="AM56" s="1889"/>
      <c r="AN56" s="1889"/>
      <c r="AO56" s="1890"/>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1891" t="s">
        <v>1940</v>
      </c>
      <c r="C57" s="1892"/>
      <c r="D57" s="1892"/>
      <c r="E57" s="1892"/>
      <c r="F57" s="1892"/>
      <c r="G57" s="1892"/>
      <c r="H57" s="1892"/>
      <c r="I57" s="1892"/>
      <c r="J57" s="1892"/>
      <c r="K57" s="1892"/>
      <c r="L57" s="1892"/>
      <c r="M57" s="1892"/>
      <c r="N57" s="1892"/>
      <c r="O57" s="1892"/>
      <c r="P57" s="1892"/>
      <c r="Q57" s="1892"/>
      <c r="R57" s="1893">
        <f>SUM(R52:Y56)</f>
        <v>0</v>
      </c>
      <c r="S57" s="1893"/>
      <c r="T57" s="1893"/>
      <c r="U57" s="1893"/>
      <c r="V57" s="1893"/>
      <c r="W57" s="1893"/>
      <c r="X57" s="1893"/>
      <c r="Y57" s="1893"/>
      <c r="Z57" s="1894">
        <f t="shared" ref="Z57" si="4">SUM(Z52:AG56)</f>
        <v>0</v>
      </c>
      <c r="AA57" s="1894"/>
      <c r="AB57" s="1894"/>
      <c r="AC57" s="1894"/>
      <c r="AD57" s="1894"/>
      <c r="AE57" s="1894"/>
      <c r="AF57" s="1894"/>
      <c r="AG57" s="1894"/>
      <c r="AH57" s="1895">
        <f>SUM(AH52:AO56)</f>
        <v>0</v>
      </c>
      <c r="AI57" s="1895"/>
      <c r="AJ57" s="1895"/>
      <c r="AK57" s="1895"/>
      <c r="AL57" s="1895"/>
      <c r="AM57" s="1895"/>
      <c r="AN57" s="1895"/>
      <c r="AO57" s="1895"/>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878" t="s">
        <v>1967</v>
      </c>
      <c r="C59" s="1879"/>
      <c r="D59" s="1879"/>
      <c r="E59" s="1879"/>
      <c r="F59" s="1879"/>
      <c r="G59" s="1879"/>
      <c r="H59" s="1879"/>
      <c r="I59" s="1880"/>
      <c r="J59" s="1881" t="s">
        <v>1974</v>
      </c>
      <c r="K59" s="1881"/>
      <c r="L59" s="1881"/>
      <c r="M59" s="1881"/>
      <c r="N59" s="1881"/>
      <c r="O59" s="1881"/>
      <c r="P59" s="1881"/>
      <c r="Q59" s="1881"/>
      <c r="R59" s="1881"/>
      <c r="S59" s="1881"/>
      <c r="T59" s="1881"/>
      <c r="U59" s="1881"/>
      <c r="V59" s="1881"/>
      <c r="W59" s="1881"/>
      <c r="X59" s="1881"/>
      <c r="Y59" s="1881"/>
      <c r="Z59" s="1881"/>
      <c r="AA59" s="1881"/>
      <c r="AB59" s="1881"/>
      <c r="AC59" s="1881"/>
      <c r="AD59" s="1881"/>
      <c r="AE59" s="1881"/>
      <c r="AF59" s="1881"/>
      <c r="AG59" s="1881"/>
      <c r="AH59" s="1881"/>
      <c r="AI59" s="1881"/>
      <c r="AJ59" s="1881"/>
      <c r="AK59" s="1881"/>
      <c r="AL59" s="1881"/>
      <c r="AM59" s="1881"/>
      <c r="AN59" s="1881"/>
      <c r="AO59" s="1881"/>
      <c r="AP59" s="1881"/>
      <c r="AQ59" s="1881"/>
      <c r="AR59" s="1881"/>
      <c r="AS59" s="1881"/>
      <c r="AT59" s="1881"/>
      <c r="AU59" s="1881"/>
      <c r="AV59" s="1881"/>
      <c r="AW59" s="1882"/>
      <c r="AX59" s="1005"/>
      <c r="AY59" s="1005"/>
      <c r="AZ59" s="1005"/>
      <c r="BA59" s="1005"/>
      <c r="BB59" s="1005"/>
      <c r="BC59" s="1005"/>
      <c r="BD59" s="1005"/>
      <c r="BE59" s="1011"/>
    </row>
    <row r="60" spans="1:58" ht="15.75" customHeight="1">
      <c r="A60" s="1005"/>
      <c r="B60" s="1872" t="str">
        <f>IF(B52="", "", B52)</f>
        <v>Services Company 1</v>
      </c>
      <c r="C60" s="1873"/>
      <c r="D60" s="1873"/>
      <c r="E60" s="1873"/>
      <c r="F60" s="1873"/>
      <c r="G60" s="1873"/>
      <c r="H60" s="1873"/>
      <c r="I60" s="1883"/>
      <c r="J60" s="1884"/>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c r="AM60" s="1873"/>
      <c r="AN60" s="1873"/>
      <c r="AO60" s="1873"/>
      <c r="AP60" s="1873"/>
      <c r="AQ60" s="1873"/>
      <c r="AR60" s="1873"/>
      <c r="AS60" s="1873"/>
      <c r="AT60" s="1873"/>
      <c r="AU60" s="1873"/>
      <c r="AV60" s="1873"/>
      <c r="AW60" s="1883"/>
      <c r="AX60" s="1005"/>
      <c r="AY60" s="1005"/>
      <c r="AZ60" s="1005"/>
      <c r="BA60" s="1005"/>
      <c r="BB60" s="1005"/>
      <c r="BC60" s="1005"/>
      <c r="BD60" s="1005"/>
      <c r="BE60" s="1011"/>
    </row>
    <row r="61" spans="1:58" ht="15.75" customHeight="1">
      <c r="A61" s="1005"/>
      <c r="B61" s="1872" t="str">
        <f t="shared" ref="B61:B64" si="5">IF(B53="", "", B53)</f>
        <v>Services Company 2</v>
      </c>
      <c r="C61" s="1873"/>
      <c r="D61" s="1873"/>
      <c r="E61" s="1873"/>
      <c r="F61" s="1873"/>
      <c r="G61" s="1873"/>
      <c r="H61" s="1873"/>
      <c r="I61" s="1883"/>
      <c r="J61" s="1884"/>
      <c r="K61" s="1873"/>
      <c r="L61" s="1873"/>
      <c r="M61" s="1873"/>
      <c r="N61" s="1873"/>
      <c r="O61" s="1873"/>
      <c r="P61" s="1873"/>
      <c r="Q61" s="1873"/>
      <c r="R61" s="1873"/>
      <c r="S61" s="1873"/>
      <c r="T61" s="1873"/>
      <c r="U61" s="1873"/>
      <c r="V61" s="1873"/>
      <c r="W61" s="1873"/>
      <c r="X61" s="1873"/>
      <c r="Y61" s="1873"/>
      <c r="Z61" s="1873"/>
      <c r="AA61" s="1873"/>
      <c r="AB61" s="1873"/>
      <c r="AC61" s="1873"/>
      <c r="AD61" s="1873"/>
      <c r="AE61" s="1873"/>
      <c r="AF61" s="1873"/>
      <c r="AG61" s="1873"/>
      <c r="AH61" s="1873"/>
      <c r="AI61" s="1873"/>
      <c r="AJ61" s="1873"/>
      <c r="AK61" s="1873"/>
      <c r="AL61" s="1873"/>
      <c r="AM61" s="1873"/>
      <c r="AN61" s="1873"/>
      <c r="AO61" s="1873"/>
      <c r="AP61" s="1873"/>
      <c r="AQ61" s="1873"/>
      <c r="AR61" s="1873"/>
      <c r="AS61" s="1873"/>
      <c r="AT61" s="1873"/>
      <c r="AU61" s="1873"/>
      <c r="AV61" s="1873"/>
      <c r="AW61" s="1883"/>
      <c r="AX61" s="1005"/>
      <c r="AY61" s="1005"/>
      <c r="AZ61" s="1005"/>
      <c r="BA61" s="1005"/>
      <c r="BB61" s="1005"/>
      <c r="BC61" s="1005"/>
      <c r="BD61" s="1005"/>
      <c r="BE61" s="1011"/>
    </row>
    <row r="62" spans="1:58" ht="15.75" customHeight="1">
      <c r="A62" s="1005"/>
      <c r="B62" s="1872" t="str">
        <f t="shared" si="5"/>
        <v/>
      </c>
      <c r="C62" s="1873"/>
      <c r="D62" s="1873"/>
      <c r="E62" s="1873"/>
      <c r="F62" s="1873"/>
      <c r="G62" s="1873"/>
      <c r="H62" s="1873"/>
      <c r="I62" s="1883"/>
      <c r="J62" s="1884"/>
      <c r="K62" s="1873"/>
      <c r="L62" s="1873"/>
      <c r="M62" s="1873"/>
      <c r="N62" s="1873"/>
      <c r="O62" s="1873"/>
      <c r="P62" s="1873"/>
      <c r="Q62" s="1873"/>
      <c r="R62" s="1873"/>
      <c r="S62" s="1873"/>
      <c r="T62" s="1873"/>
      <c r="U62" s="1873"/>
      <c r="V62" s="1873"/>
      <c r="W62" s="1873"/>
      <c r="X62" s="1873"/>
      <c r="Y62" s="1873"/>
      <c r="Z62" s="1873"/>
      <c r="AA62" s="1873"/>
      <c r="AB62" s="1873"/>
      <c r="AC62" s="1873"/>
      <c r="AD62" s="1873"/>
      <c r="AE62" s="1873"/>
      <c r="AF62" s="1873"/>
      <c r="AG62" s="1873"/>
      <c r="AH62" s="1873"/>
      <c r="AI62" s="1873"/>
      <c r="AJ62" s="1873"/>
      <c r="AK62" s="1873"/>
      <c r="AL62" s="1873"/>
      <c r="AM62" s="1873"/>
      <c r="AN62" s="1873"/>
      <c r="AO62" s="1873"/>
      <c r="AP62" s="1873"/>
      <c r="AQ62" s="1873"/>
      <c r="AR62" s="1873"/>
      <c r="AS62" s="1873"/>
      <c r="AT62" s="1873"/>
      <c r="AU62" s="1873"/>
      <c r="AV62" s="1873"/>
      <c r="AW62" s="1883"/>
      <c r="AX62" s="1005"/>
      <c r="AY62" s="1005"/>
      <c r="AZ62" s="1005"/>
      <c r="BA62" s="1005"/>
      <c r="BB62" s="1005"/>
      <c r="BC62" s="1005"/>
      <c r="BD62" s="1005"/>
      <c r="BE62" s="1011"/>
    </row>
    <row r="63" spans="1:58" ht="15.75" customHeight="1">
      <c r="A63" s="1005"/>
      <c r="B63" s="1872" t="str">
        <f t="shared" si="5"/>
        <v/>
      </c>
      <c r="C63" s="1873"/>
      <c r="D63" s="1873"/>
      <c r="E63" s="1873"/>
      <c r="F63" s="1873"/>
      <c r="G63" s="1873"/>
      <c r="H63" s="1873"/>
      <c r="I63" s="1883"/>
      <c r="J63" s="1884"/>
      <c r="K63" s="1873"/>
      <c r="L63" s="1873"/>
      <c r="M63" s="1873"/>
      <c r="N63" s="1873"/>
      <c r="O63" s="1873"/>
      <c r="P63" s="1873"/>
      <c r="Q63" s="1873"/>
      <c r="R63" s="1873"/>
      <c r="S63" s="1873"/>
      <c r="T63" s="1873"/>
      <c r="U63" s="1873"/>
      <c r="V63" s="1873"/>
      <c r="W63" s="1873"/>
      <c r="X63" s="1873"/>
      <c r="Y63" s="1873"/>
      <c r="Z63" s="1873"/>
      <c r="AA63" s="1873"/>
      <c r="AB63" s="1873"/>
      <c r="AC63" s="1873"/>
      <c r="AD63" s="1873"/>
      <c r="AE63" s="1873"/>
      <c r="AF63" s="1873"/>
      <c r="AG63" s="1873"/>
      <c r="AH63" s="1873"/>
      <c r="AI63" s="1873"/>
      <c r="AJ63" s="1873"/>
      <c r="AK63" s="1873"/>
      <c r="AL63" s="1873"/>
      <c r="AM63" s="1873"/>
      <c r="AN63" s="1873"/>
      <c r="AO63" s="1873"/>
      <c r="AP63" s="1873"/>
      <c r="AQ63" s="1873"/>
      <c r="AR63" s="1873"/>
      <c r="AS63" s="1873"/>
      <c r="AT63" s="1873"/>
      <c r="AU63" s="1873"/>
      <c r="AV63" s="1873"/>
      <c r="AW63" s="1883"/>
      <c r="AX63" s="1005"/>
      <c r="AY63" s="1005"/>
      <c r="AZ63" s="1005"/>
      <c r="BA63" s="1005"/>
      <c r="BB63" s="1005"/>
      <c r="BC63" s="1005"/>
      <c r="BD63" s="1005"/>
      <c r="BE63" s="1011"/>
    </row>
    <row r="64" spans="1:58" ht="15.75" customHeight="1" thickBot="1">
      <c r="A64" s="1005"/>
      <c r="B64" s="1885" t="str">
        <f t="shared" si="5"/>
        <v/>
      </c>
      <c r="C64" s="1886"/>
      <c r="D64" s="1886"/>
      <c r="E64" s="1886"/>
      <c r="F64" s="1886"/>
      <c r="G64" s="1886"/>
      <c r="H64" s="1886"/>
      <c r="I64" s="1908"/>
      <c r="J64" s="1909"/>
      <c r="K64" s="1886"/>
      <c r="L64" s="1886"/>
      <c r="M64" s="1886"/>
      <c r="N64" s="1886"/>
      <c r="O64" s="1886"/>
      <c r="P64" s="1886"/>
      <c r="Q64" s="1886"/>
      <c r="R64" s="1886"/>
      <c r="S64" s="1886"/>
      <c r="T64" s="1886"/>
      <c r="U64" s="1886"/>
      <c r="V64" s="1886"/>
      <c r="W64" s="1886"/>
      <c r="X64" s="1886"/>
      <c r="Y64" s="1886"/>
      <c r="Z64" s="1886"/>
      <c r="AA64" s="1886"/>
      <c r="AB64" s="1886"/>
      <c r="AC64" s="1886"/>
      <c r="AD64" s="1886"/>
      <c r="AE64" s="1886"/>
      <c r="AF64" s="1886"/>
      <c r="AG64" s="1886"/>
      <c r="AH64" s="1886"/>
      <c r="AI64" s="1886"/>
      <c r="AJ64" s="1886"/>
      <c r="AK64" s="1886"/>
      <c r="AL64" s="1886"/>
      <c r="AM64" s="1886"/>
      <c r="AN64" s="1886"/>
      <c r="AO64" s="1886"/>
      <c r="AP64" s="1886"/>
      <c r="AQ64" s="1886"/>
      <c r="AR64" s="1886"/>
      <c r="AS64" s="1886"/>
      <c r="AT64" s="1886"/>
      <c r="AU64" s="1886"/>
      <c r="AV64" s="1886"/>
      <c r="AW64" s="1908"/>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1975</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766" t="s">
        <v>1976</v>
      </c>
      <c r="C68" s="1767"/>
      <c r="D68" s="1767"/>
      <c r="E68" s="1767"/>
      <c r="F68" s="1767"/>
      <c r="G68" s="1767"/>
      <c r="H68" s="1767"/>
      <c r="I68" s="1767"/>
      <c r="J68" s="1767"/>
      <c r="K68" s="1767"/>
      <c r="L68" s="1767"/>
      <c r="M68" s="1767"/>
      <c r="N68" s="1767"/>
      <c r="O68" s="1767"/>
      <c r="P68" s="1767"/>
      <c r="Q68" s="1767"/>
      <c r="R68" s="1767"/>
      <c r="S68" s="1767"/>
      <c r="T68" s="1767"/>
      <c r="U68" s="1767"/>
      <c r="V68" s="1767"/>
      <c r="W68" s="1767"/>
      <c r="X68" s="1767"/>
      <c r="Y68" s="1767"/>
      <c r="Z68" s="1767"/>
      <c r="AA68" s="1768"/>
      <c r="AB68" s="1005"/>
      <c r="AC68" s="1920" t="s">
        <v>1977</v>
      </c>
      <c r="AD68" s="1921"/>
      <c r="AE68" s="1921"/>
      <c r="AF68" s="1921"/>
      <c r="AG68" s="1921"/>
      <c r="AH68" s="1921"/>
      <c r="AI68" s="1921"/>
      <c r="AJ68" s="1921"/>
      <c r="AK68" s="1921"/>
      <c r="AL68" s="1921"/>
      <c r="AM68" s="1921"/>
      <c r="AN68" s="1921"/>
      <c r="AO68" s="1921"/>
      <c r="AP68" s="1921"/>
      <c r="AQ68" s="1921"/>
      <c r="AR68" s="1921"/>
      <c r="AS68" s="1921"/>
      <c r="AT68" s="1921"/>
      <c r="AU68" s="1921"/>
      <c r="AV68" s="1896" t="s">
        <v>1935</v>
      </c>
      <c r="AW68" s="1896"/>
      <c r="AX68" s="1896"/>
      <c r="AY68" s="1896"/>
      <c r="AZ68" s="1896"/>
      <c r="BA68" s="1896"/>
      <c r="BB68" s="1896"/>
      <c r="BC68" s="1897"/>
      <c r="BD68" s="1005"/>
      <c r="BE68" s="1011"/>
    </row>
    <row r="69" spans="1:57" ht="15.75" customHeight="1" thickBot="1">
      <c r="A69" s="1005"/>
      <c r="B69" s="1898" t="s">
        <v>1978</v>
      </c>
      <c r="C69" s="1899"/>
      <c r="D69" s="1899"/>
      <c r="E69" s="1899"/>
      <c r="F69" s="1899"/>
      <c r="G69" s="1899"/>
      <c r="H69" s="1899"/>
      <c r="I69" s="1899"/>
      <c r="J69" s="1899"/>
      <c r="K69" s="1899"/>
      <c r="L69" s="1899"/>
      <c r="M69" s="1899"/>
      <c r="N69" s="1899"/>
      <c r="O69" s="1900" t="s">
        <v>1979</v>
      </c>
      <c r="P69" s="1901"/>
      <c r="Q69" s="1901"/>
      <c r="R69" s="1901"/>
      <c r="S69" s="1901"/>
      <c r="T69" s="1901"/>
      <c r="U69" s="1901"/>
      <c r="V69" s="1901"/>
      <c r="W69" s="1901"/>
      <c r="X69" s="1901"/>
      <c r="Y69" s="1901"/>
      <c r="Z69" s="1901"/>
      <c r="AA69" s="1902"/>
      <c r="AB69" s="1005"/>
      <c r="AC69" s="1903" t="s">
        <v>1980</v>
      </c>
      <c r="AD69" s="1904"/>
      <c r="AE69" s="1904"/>
      <c r="AF69" s="1904"/>
      <c r="AG69" s="1904"/>
      <c r="AH69" s="1904"/>
      <c r="AI69" s="1904"/>
      <c r="AJ69" s="1904"/>
      <c r="AK69" s="1904"/>
      <c r="AL69" s="1904"/>
      <c r="AM69" s="1904"/>
      <c r="AN69" s="1904"/>
      <c r="AO69" s="1904"/>
      <c r="AP69" s="1904"/>
      <c r="AQ69" s="1904"/>
      <c r="AR69" s="1904"/>
      <c r="AS69" s="1904"/>
      <c r="AT69" s="1904"/>
      <c r="AU69" s="1904"/>
      <c r="AV69" s="1905">
        <v>44563</v>
      </c>
      <c r="AW69" s="1906"/>
      <c r="AX69" s="1906"/>
      <c r="AY69" s="1906"/>
      <c r="AZ69" s="1906"/>
      <c r="BA69" s="1906"/>
      <c r="BB69" s="1906"/>
      <c r="BC69" s="1907"/>
      <c r="BD69" s="1005"/>
      <c r="BE69" s="1011"/>
    </row>
    <row r="70" spans="1:57" ht="15.75" customHeight="1">
      <c r="A70" s="1005"/>
      <c r="B70" s="1910"/>
      <c r="C70" s="1911"/>
      <c r="D70" s="1911"/>
      <c r="E70" s="1911"/>
      <c r="F70" s="1911"/>
      <c r="G70" s="1911"/>
      <c r="H70" s="1911"/>
      <c r="I70" s="1911"/>
      <c r="J70" s="1911"/>
      <c r="K70" s="1911"/>
      <c r="L70" s="1911"/>
      <c r="M70" s="1911"/>
      <c r="N70" s="1911"/>
      <c r="O70" s="1912">
        <v>1</v>
      </c>
      <c r="P70" s="1912"/>
      <c r="Q70" s="1912"/>
      <c r="R70" s="1912"/>
      <c r="S70" s="1912"/>
      <c r="T70" s="1912"/>
      <c r="U70" s="1912"/>
      <c r="V70" s="1912"/>
      <c r="W70" s="1912"/>
      <c r="X70" s="1912"/>
      <c r="Y70" s="1912"/>
      <c r="Z70" s="1912"/>
      <c r="AA70" s="1913"/>
      <c r="AB70" s="1005"/>
      <c r="AC70" s="1914" t="s">
        <v>1981</v>
      </c>
      <c r="AD70" s="1915"/>
      <c r="AE70" s="1915"/>
      <c r="AF70" s="1916"/>
      <c r="AG70" s="1916"/>
      <c r="AH70" s="1916"/>
      <c r="AI70" s="1916"/>
      <c r="AJ70" s="1916"/>
      <c r="AK70" s="1916"/>
      <c r="AL70" s="1916"/>
      <c r="AM70" s="1916"/>
      <c r="AN70" s="1916"/>
      <c r="AO70" s="1916"/>
      <c r="AP70" s="1916"/>
      <c r="AQ70" s="1916"/>
      <c r="AR70" s="1916"/>
      <c r="AS70" s="1916"/>
      <c r="AT70" s="1916"/>
      <c r="AU70" s="1917"/>
      <c r="AV70" s="1005"/>
      <c r="AW70" s="1005"/>
      <c r="AX70" s="1005"/>
      <c r="AY70" s="1005"/>
      <c r="AZ70" s="1005"/>
      <c r="BA70" s="1005"/>
      <c r="BB70" s="1005"/>
      <c r="BC70" s="1005"/>
      <c r="BD70" s="1005"/>
      <c r="BE70" s="1011"/>
    </row>
    <row r="71" spans="1:57" ht="15.75" customHeight="1" thickBot="1">
      <c r="A71" s="1005"/>
      <c r="B71" s="1842"/>
      <c r="C71" s="1840"/>
      <c r="D71" s="1840"/>
      <c r="E71" s="1840"/>
      <c r="F71" s="1840"/>
      <c r="G71" s="1840"/>
      <c r="H71" s="1840"/>
      <c r="I71" s="1840"/>
      <c r="J71" s="1840"/>
      <c r="K71" s="1840"/>
      <c r="L71" s="1840"/>
      <c r="M71" s="1840"/>
      <c r="N71" s="1840"/>
      <c r="O71" s="1912"/>
      <c r="P71" s="1912"/>
      <c r="Q71" s="1912"/>
      <c r="R71" s="1912"/>
      <c r="S71" s="1912"/>
      <c r="T71" s="1912"/>
      <c r="U71" s="1912"/>
      <c r="V71" s="1912"/>
      <c r="W71" s="1912"/>
      <c r="X71" s="1912"/>
      <c r="Y71" s="1912"/>
      <c r="Z71" s="1912"/>
      <c r="AA71" s="1913"/>
      <c r="AB71" s="1005"/>
      <c r="AC71" s="1918" t="s">
        <v>1982</v>
      </c>
      <c r="AD71" s="1919"/>
      <c r="AE71" s="1919"/>
      <c r="AF71" s="1857"/>
      <c r="AG71" s="1857"/>
      <c r="AH71" s="1857"/>
      <c r="AI71" s="1857"/>
      <c r="AJ71" s="1857"/>
      <c r="AK71" s="1857"/>
      <c r="AL71" s="1857"/>
      <c r="AM71" s="1857"/>
      <c r="AN71" s="1857"/>
      <c r="AO71" s="1857"/>
      <c r="AP71" s="1857"/>
      <c r="AQ71" s="1857"/>
      <c r="AR71" s="1857"/>
      <c r="AS71" s="1857"/>
      <c r="AT71" s="1857"/>
      <c r="AU71" s="1858"/>
      <c r="AV71" s="1005"/>
      <c r="AW71" s="1005"/>
      <c r="AX71" s="1005"/>
      <c r="AY71" s="1005"/>
      <c r="AZ71" s="1005"/>
      <c r="BA71" s="1005"/>
      <c r="BB71" s="1005"/>
      <c r="BC71" s="1005"/>
      <c r="BD71" s="1005"/>
      <c r="BE71" s="1011"/>
    </row>
    <row r="72" spans="1:57" ht="15.75" customHeight="1">
      <c r="A72" s="1005"/>
      <c r="B72" s="1842"/>
      <c r="C72" s="1840"/>
      <c r="D72" s="1840"/>
      <c r="E72" s="1840"/>
      <c r="F72" s="1840"/>
      <c r="G72" s="1840"/>
      <c r="H72" s="1840"/>
      <c r="I72" s="1840"/>
      <c r="J72" s="1840"/>
      <c r="K72" s="1840"/>
      <c r="L72" s="1840"/>
      <c r="M72" s="1840"/>
      <c r="N72" s="1840"/>
      <c r="O72" s="1912"/>
      <c r="P72" s="1912"/>
      <c r="Q72" s="1912"/>
      <c r="R72" s="1912"/>
      <c r="S72" s="1912"/>
      <c r="T72" s="1912"/>
      <c r="U72" s="1912"/>
      <c r="V72" s="1912"/>
      <c r="W72" s="1912"/>
      <c r="X72" s="1912"/>
      <c r="Y72" s="1912"/>
      <c r="Z72" s="1912"/>
      <c r="AA72" s="1913"/>
      <c r="AB72" s="1005"/>
      <c r="AC72" s="1922" t="s">
        <v>1983</v>
      </c>
      <c r="AD72" s="1923"/>
      <c r="AE72" s="1923"/>
      <c r="AF72" s="1923"/>
      <c r="AG72" s="1923"/>
      <c r="AH72" s="1923"/>
      <c r="AI72" s="1923"/>
      <c r="AJ72" s="1923"/>
      <c r="AK72" s="1923"/>
      <c r="AL72" s="1923"/>
      <c r="AM72" s="1923"/>
      <c r="AN72" s="1923"/>
      <c r="AO72" s="1923"/>
      <c r="AP72" s="1923"/>
      <c r="AQ72" s="1923"/>
      <c r="AR72" s="1923"/>
      <c r="AS72" s="1923"/>
      <c r="AT72" s="1923"/>
      <c r="AU72" s="1923"/>
      <c r="AV72" s="1923"/>
      <c r="AW72" s="1923"/>
      <c r="AX72" s="1923"/>
      <c r="AY72" s="1923"/>
      <c r="AZ72" s="1923"/>
      <c r="BA72" s="1923"/>
      <c r="BB72" s="1923"/>
      <c r="BC72" s="1924"/>
      <c r="BD72" s="1005"/>
      <c r="BE72" s="1011"/>
    </row>
    <row r="73" spans="1:57" ht="15.75" customHeight="1">
      <c r="A73" s="1005"/>
      <c r="B73" s="1842"/>
      <c r="C73" s="1840"/>
      <c r="D73" s="1840"/>
      <c r="E73" s="1840"/>
      <c r="F73" s="1840"/>
      <c r="G73" s="1840"/>
      <c r="H73" s="1840"/>
      <c r="I73" s="1840"/>
      <c r="J73" s="1840"/>
      <c r="K73" s="1840"/>
      <c r="L73" s="1840"/>
      <c r="M73" s="1840"/>
      <c r="N73" s="1840"/>
      <c r="O73" s="1912"/>
      <c r="P73" s="1912"/>
      <c r="Q73" s="1912"/>
      <c r="R73" s="1912"/>
      <c r="S73" s="1912"/>
      <c r="T73" s="1912"/>
      <c r="U73" s="1912"/>
      <c r="V73" s="1912"/>
      <c r="W73" s="1912"/>
      <c r="X73" s="1912"/>
      <c r="Y73" s="1912"/>
      <c r="Z73" s="1912"/>
      <c r="AA73" s="1913"/>
      <c r="AB73" s="1005"/>
      <c r="AC73" s="1925" t="s">
        <v>1984</v>
      </c>
      <c r="AD73" s="1926"/>
      <c r="AE73" s="1926"/>
      <c r="AF73" s="1926"/>
      <c r="AG73" s="1926"/>
      <c r="AH73" s="1926"/>
      <c r="AI73" s="1926"/>
      <c r="AJ73" s="1926"/>
      <c r="AK73" s="1926"/>
      <c r="AL73" s="1926"/>
      <c r="AM73" s="1926"/>
      <c r="AN73" s="1926"/>
      <c r="AO73" s="1926"/>
      <c r="AP73" s="1926"/>
      <c r="AQ73" s="1926"/>
      <c r="AR73" s="1926"/>
      <c r="AS73" s="1926"/>
      <c r="AT73" s="1926"/>
      <c r="AU73" s="1926"/>
      <c r="AV73" s="1926"/>
      <c r="AW73" s="1926"/>
      <c r="AX73" s="1926"/>
      <c r="AY73" s="1926"/>
      <c r="AZ73" s="1926"/>
      <c r="BA73" s="1926"/>
      <c r="BB73" s="1926"/>
      <c r="BC73" s="1927"/>
      <c r="BD73" s="1005"/>
      <c r="BE73" s="1011"/>
    </row>
    <row r="74" spans="1:57" ht="15.75" customHeight="1" thickBot="1">
      <c r="A74" s="1005"/>
      <c r="B74" s="1842"/>
      <c r="C74" s="1840"/>
      <c r="D74" s="1840"/>
      <c r="E74" s="1840"/>
      <c r="F74" s="1840"/>
      <c r="G74" s="1840"/>
      <c r="H74" s="1840"/>
      <c r="I74" s="1840"/>
      <c r="J74" s="1840"/>
      <c r="K74" s="1840"/>
      <c r="L74" s="1840"/>
      <c r="M74" s="1840"/>
      <c r="N74" s="1840"/>
      <c r="O74" s="1931"/>
      <c r="P74" s="1931"/>
      <c r="Q74" s="1931"/>
      <c r="R74" s="1931"/>
      <c r="S74" s="1931"/>
      <c r="T74" s="1931"/>
      <c r="U74" s="1931"/>
      <c r="V74" s="1931"/>
      <c r="W74" s="1931"/>
      <c r="X74" s="1931"/>
      <c r="Y74" s="1931"/>
      <c r="Z74" s="1931"/>
      <c r="AA74" s="1932"/>
      <c r="AB74" s="1005"/>
      <c r="AC74" s="1925"/>
      <c r="AD74" s="1926"/>
      <c r="AE74" s="1926"/>
      <c r="AF74" s="1926"/>
      <c r="AG74" s="1926"/>
      <c r="AH74" s="1926"/>
      <c r="AI74" s="1926"/>
      <c r="AJ74" s="1926"/>
      <c r="AK74" s="1926"/>
      <c r="AL74" s="1926"/>
      <c r="AM74" s="1926"/>
      <c r="AN74" s="1926"/>
      <c r="AO74" s="1926"/>
      <c r="AP74" s="1926"/>
      <c r="AQ74" s="1926"/>
      <c r="AR74" s="1926"/>
      <c r="AS74" s="1926"/>
      <c r="AT74" s="1926"/>
      <c r="AU74" s="1926"/>
      <c r="AV74" s="1926"/>
      <c r="AW74" s="1926"/>
      <c r="AX74" s="1926"/>
      <c r="AY74" s="1926"/>
      <c r="AZ74" s="1926"/>
      <c r="BA74" s="1926"/>
      <c r="BB74" s="1926"/>
      <c r="BC74" s="1927"/>
      <c r="BD74" s="1005"/>
      <c r="BE74" s="1011"/>
    </row>
    <row r="75" spans="1:57" ht="15.75" customHeight="1" thickTop="1" thickBot="1">
      <c r="A75" s="1005"/>
      <c r="B75" s="1933" t="s">
        <v>1557</v>
      </c>
      <c r="C75" s="1934"/>
      <c r="D75" s="1934"/>
      <c r="E75" s="1934"/>
      <c r="F75" s="1934"/>
      <c r="G75" s="1934"/>
      <c r="H75" s="1934"/>
      <c r="I75" s="1934"/>
      <c r="J75" s="1934"/>
      <c r="K75" s="1934"/>
      <c r="L75" s="1934"/>
      <c r="M75" s="1934"/>
      <c r="N75" s="1934"/>
      <c r="O75" s="1935">
        <f>SUM(O70:AA74)</f>
        <v>1</v>
      </c>
      <c r="P75" s="1936"/>
      <c r="Q75" s="1936"/>
      <c r="R75" s="1936"/>
      <c r="S75" s="1936"/>
      <c r="T75" s="1936"/>
      <c r="U75" s="1936"/>
      <c r="V75" s="1936"/>
      <c r="W75" s="1936"/>
      <c r="X75" s="1936"/>
      <c r="Y75" s="1936"/>
      <c r="Z75" s="1936"/>
      <c r="AA75" s="1937"/>
      <c r="AB75" s="1005"/>
      <c r="AC75" s="1925"/>
      <c r="AD75" s="1926"/>
      <c r="AE75" s="1926"/>
      <c r="AF75" s="1926"/>
      <c r="AG75" s="1926"/>
      <c r="AH75" s="1926"/>
      <c r="AI75" s="1926"/>
      <c r="AJ75" s="1926"/>
      <c r="AK75" s="1926"/>
      <c r="AL75" s="1926"/>
      <c r="AM75" s="1926"/>
      <c r="AN75" s="1926"/>
      <c r="AO75" s="1926"/>
      <c r="AP75" s="1926"/>
      <c r="AQ75" s="1926"/>
      <c r="AR75" s="1926"/>
      <c r="AS75" s="1926"/>
      <c r="AT75" s="1926"/>
      <c r="AU75" s="1926"/>
      <c r="AV75" s="1926"/>
      <c r="AW75" s="1926"/>
      <c r="AX75" s="1926"/>
      <c r="AY75" s="1926"/>
      <c r="AZ75" s="1926"/>
      <c r="BA75" s="1926"/>
      <c r="BB75" s="1926"/>
      <c r="BC75" s="1927"/>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5"/>
      <c r="AD76" s="1926"/>
      <c r="AE76" s="1926"/>
      <c r="AF76" s="1926"/>
      <c r="AG76" s="1926"/>
      <c r="AH76" s="1926"/>
      <c r="AI76" s="1926"/>
      <c r="AJ76" s="1926"/>
      <c r="AK76" s="1926"/>
      <c r="AL76" s="1926"/>
      <c r="AM76" s="1926"/>
      <c r="AN76" s="1926"/>
      <c r="AO76" s="1926"/>
      <c r="AP76" s="1926"/>
      <c r="AQ76" s="1926"/>
      <c r="AR76" s="1926"/>
      <c r="AS76" s="1926"/>
      <c r="AT76" s="1926"/>
      <c r="AU76" s="1926"/>
      <c r="AV76" s="1926"/>
      <c r="AW76" s="1926"/>
      <c r="AX76" s="1926"/>
      <c r="AY76" s="1926"/>
      <c r="AZ76" s="1926"/>
      <c r="BA76" s="1926"/>
      <c r="BB76" s="1926"/>
      <c r="BC76" s="1927"/>
      <c r="BD76" s="1005"/>
      <c r="BE76" s="1011"/>
    </row>
    <row r="77" spans="1:57" ht="15.75" customHeight="1" thickBot="1">
      <c r="A77" s="1005"/>
      <c r="B77" s="1016" t="s">
        <v>1985</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28"/>
      <c r="AD77" s="1929"/>
      <c r="AE77" s="1929"/>
      <c r="AF77" s="1929"/>
      <c r="AG77" s="1929"/>
      <c r="AH77" s="1929"/>
      <c r="AI77" s="1929"/>
      <c r="AJ77" s="1929"/>
      <c r="AK77" s="1929"/>
      <c r="AL77" s="1929"/>
      <c r="AM77" s="1929"/>
      <c r="AN77" s="1929"/>
      <c r="AO77" s="1929"/>
      <c r="AP77" s="1929"/>
      <c r="AQ77" s="1929"/>
      <c r="AR77" s="1929"/>
      <c r="AS77" s="1929"/>
      <c r="AT77" s="1929"/>
      <c r="AU77" s="1929"/>
      <c r="AV77" s="1929"/>
      <c r="AW77" s="1929"/>
      <c r="AX77" s="1929"/>
      <c r="AY77" s="1929"/>
      <c r="AZ77" s="1929"/>
      <c r="BA77" s="1929"/>
      <c r="BB77" s="1929"/>
      <c r="BC77" s="1930"/>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38" t="s">
        <v>1986</v>
      </c>
      <c r="C79" s="1939"/>
      <c r="D79" s="1939"/>
      <c r="E79" s="1939"/>
      <c r="F79" s="1939"/>
      <c r="G79" s="1939"/>
      <c r="H79" s="1939"/>
      <c r="I79" s="1939"/>
      <c r="J79" s="1939"/>
      <c r="K79" s="1939"/>
      <c r="L79" s="1939"/>
      <c r="M79" s="1939"/>
      <c r="N79" s="1939"/>
      <c r="O79" s="1939"/>
      <c r="P79" s="1939"/>
      <c r="Q79" s="1939"/>
      <c r="R79" s="1939"/>
      <c r="S79" s="1939"/>
      <c r="T79" s="1939"/>
      <c r="U79" s="1939"/>
      <c r="V79" s="1939"/>
      <c r="W79" s="1939"/>
      <c r="X79" s="1939"/>
      <c r="Y79" s="1939"/>
      <c r="Z79" s="1939"/>
      <c r="AA79" s="1939"/>
      <c r="AB79" s="1939"/>
      <c r="AC79" s="1939"/>
      <c r="AD79" s="1939"/>
      <c r="AE79" s="1939"/>
      <c r="AF79" s="1939"/>
      <c r="AG79" s="1939"/>
      <c r="AH79" s="1940"/>
      <c r="AI79" s="1005"/>
      <c r="AJ79" s="1941" t="s">
        <v>1987</v>
      </c>
      <c r="AK79" s="1942"/>
      <c r="AL79" s="1942"/>
      <c r="AM79" s="1942"/>
      <c r="AN79" s="1942"/>
      <c r="AO79" s="1942"/>
      <c r="AP79" s="1942"/>
      <c r="AQ79" s="1942"/>
      <c r="AR79" s="1942"/>
      <c r="AS79" s="1942"/>
      <c r="AT79" s="1942"/>
      <c r="AU79" s="1942"/>
      <c r="AV79" s="1942"/>
      <c r="AW79" s="1942"/>
      <c r="AX79" s="1942"/>
      <c r="AY79" s="1947" t="s">
        <v>1935</v>
      </c>
      <c r="AZ79" s="1947"/>
      <c r="BA79" s="1947"/>
      <c r="BB79" s="1948"/>
      <c r="BC79" s="1005"/>
      <c r="BD79" s="1005"/>
      <c r="BE79" s="1011"/>
    </row>
    <row r="80" spans="1:57" ht="15.75" customHeight="1">
      <c r="A80" s="1005"/>
      <c r="B80" s="1953"/>
      <c r="C80" s="1954"/>
      <c r="D80" s="1954"/>
      <c r="E80" s="1954"/>
      <c r="F80" s="1954"/>
      <c r="G80" s="1954"/>
      <c r="H80" s="1955"/>
      <c r="I80" s="1920" t="s">
        <v>1988</v>
      </c>
      <c r="J80" s="1921"/>
      <c r="K80" s="1921"/>
      <c r="L80" s="1921"/>
      <c r="M80" s="1921"/>
      <c r="N80" s="1921"/>
      <c r="O80" s="1921" t="s">
        <v>1989</v>
      </c>
      <c r="P80" s="1921"/>
      <c r="Q80" s="1921"/>
      <c r="R80" s="1921"/>
      <c r="S80" s="1921"/>
      <c r="T80" s="1921"/>
      <c r="U80" s="1921"/>
      <c r="V80" s="1961" t="s">
        <v>1990</v>
      </c>
      <c r="W80" s="1961"/>
      <c r="X80" s="1961"/>
      <c r="Y80" s="1961"/>
      <c r="Z80" s="1961"/>
      <c r="AA80" s="1961"/>
      <c r="AB80" s="1923" t="s">
        <v>1991</v>
      </c>
      <c r="AC80" s="1923"/>
      <c r="AD80" s="1923"/>
      <c r="AE80" s="1923"/>
      <c r="AF80" s="1923"/>
      <c r="AG80" s="1923"/>
      <c r="AH80" s="1924"/>
      <c r="AI80" s="1005"/>
      <c r="AJ80" s="1943"/>
      <c r="AK80" s="1944"/>
      <c r="AL80" s="1944"/>
      <c r="AM80" s="1944"/>
      <c r="AN80" s="1944"/>
      <c r="AO80" s="1944"/>
      <c r="AP80" s="1944"/>
      <c r="AQ80" s="1944"/>
      <c r="AR80" s="1944"/>
      <c r="AS80" s="1944"/>
      <c r="AT80" s="1944"/>
      <c r="AU80" s="1944"/>
      <c r="AV80" s="1944"/>
      <c r="AW80" s="1944"/>
      <c r="AX80" s="1944"/>
      <c r="AY80" s="1949"/>
      <c r="AZ80" s="1949"/>
      <c r="BA80" s="1949"/>
      <c r="BB80" s="1950"/>
      <c r="BC80" s="1005"/>
      <c r="BD80" s="1005"/>
      <c r="BE80" s="1011"/>
    </row>
    <row r="81" spans="1:57" ht="15.75" customHeight="1" thickBot="1">
      <c r="A81" s="1005"/>
      <c r="B81" s="1956"/>
      <c r="C81" s="1957"/>
      <c r="D81" s="1957"/>
      <c r="E81" s="1957"/>
      <c r="F81" s="1957"/>
      <c r="G81" s="1957"/>
      <c r="H81" s="1958"/>
      <c r="I81" s="1959"/>
      <c r="J81" s="1960"/>
      <c r="K81" s="1960"/>
      <c r="L81" s="1960"/>
      <c r="M81" s="1960"/>
      <c r="N81" s="1960"/>
      <c r="O81" s="1960"/>
      <c r="P81" s="1960"/>
      <c r="Q81" s="1960"/>
      <c r="R81" s="1960"/>
      <c r="S81" s="1960"/>
      <c r="T81" s="1960"/>
      <c r="U81" s="1960"/>
      <c r="V81" s="1962"/>
      <c r="W81" s="1962"/>
      <c r="X81" s="1962"/>
      <c r="Y81" s="1962"/>
      <c r="Z81" s="1962"/>
      <c r="AA81" s="1962"/>
      <c r="AB81" s="1899"/>
      <c r="AC81" s="1899"/>
      <c r="AD81" s="1899"/>
      <c r="AE81" s="1899"/>
      <c r="AF81" s="1899"/>
      <c r="AG81" s="1899"/>
      <c r="AH81" s="1963"/>
      <c r="AI81" s="1005"/>
      <c r="AJ81" s="1943"/>
      <c r="AK81" s="1944"/>
      <c r="AL81" s="1944"/>
      <c r="AM81" s="1944"/>
      <c r="AN81" s="1944"/>
      <c r="AO81" s="1944"/>
      <c r="AP81" s="1944"/>
      <c r="AQ81" s="1944"/>
      <c r="AR81" s="1944"/>
      <c r="AS81" s="1944"/>
      <c r="AT81" s="1944"/>
      <c r="AU81" s="1944"/>
      <c r="AV81" s="1944"/>
      <c r="AW81" s="1944"/>
      <c r="AX81" s="1944"/>
      <c r="AY81" s="1949"/>
      <c r="AZ81" s="1949"/>
      <c r="BA81" s="1949"/>
      <c r="BB81" s="1950"/>
      <c r="BC81" s="1005"/>
      <c r="BD81" s="1005"/>
      <c r="BE81" s="1011"/>
    </row>
    <row r="82" spans="1:57" ht="15.75" customHeight="1" thickBot="1">
      <c r="A82" s="1005"/>
      <c r="B82" s="1739" t="s">
        <v>1992</v>
      </c>
      <c r="C82" s="1740"/>
      <c r="D82" s="1740"/>
      <c r="E82" s="1740"/>
      <c r="F82" s="1740"/>
      <c r="G82" s="1740"/>
      <c r="H82" s="1741"/>
      <c r="I82" s="1964"/>
      <c r="J82" s="1965"/>
      <c r="K82" s="1965"/>
      <c r="L82" s="1965"/>
      <c r="M82" s="1965"/>
      <c r="N82" s="1965"/>
      <c r="O82" s="1965"/>
      <c r="P82" s="1965"/>
      <c r="Q82" s="1965"/>
      <c r="R82" s="1965"/>
      <c r="S82" s="1965"/>
      <c r="T82" s="1965"/>
      <c r="U82" s="1965"/>
      <c r="V82" s="1965"/>
      <c r="W82" s="1965"/>
      <c r="X82" s="1965"/>
      <c r="Y82" s="1965"/>
      <c r="Z82" s="1965"/>
      <c r="AA82" s="1979"/>
      <c r="AB82" s="1980"/>
      <c r="AC82" s="1980"/>
      <c r="AD82" s="1980"/>
      <c r="AE82" s="1980"/>
      <c r="AF82" s="1980"/>
      <c r="AG82" s="1980"/>
      <c r="AH82" s="1981"/>
      <c r="AI82" s="1005"/>
      <c r="AJ82" s="1945"/>
      <c r="AK82" s="1946"/>
      <c r="AL82" s="1946"/>
      <c r="AM82" s="1946"/>
      <c r="AN82" s="1946"/>
      <c r="AO82" s="1946"/>
      <c r="AP82" s="1946"/>
      <c r="AQ82" s="1946"/>
      <c r="AR82" s="1946"/>
      <c r="AS82" s="1946"/>
      <c r="AT82" s="1946"/>
      <c r="AU82" s="1946"/>
      <c r="AV82" s="1946"/>
      <c r="AW82" s="1946"/>
      <c r="AX82" s="1946"/>
      <c r="AY82" s="1951"/>
      <c r="AZ82" s="1951"/>
      <c r="BA82" s="1951"/>
      <c r="BB82" s="1952"/>
      <c r="BC82" s="1005"/>
      <c r="BD82" s="1005"/>
      <c r="BE82" s="1011"/>
    </row>
    <row r="83" spans="1:57" ht="15.75" customHeight="1" thickBot="1">
      <c r="A83" s="1005"/>
      <c r="B83" s="1739" t="s">
        <v>1993</v>
      </c>
      <c r="C83" s="1740"/>
      <c r="D83" s="1740"/>
      <c r="E83" s="1740"/>
      <c r="F83" s="1740"/>
      <c r="G83" s="1740"/>
      <c r="H83" s="1741"/>
      <c r="I83" s="1964"/>
      <c r="J83" s="1965"/>
      <c r="K83" s="1965"/>
      <c r="L83" s="1965"/>
      <c r="M83" s="1965"/>
      <c r="N83" s="1965"/>
      <c r="O83" s="1965"/>
      <c r="P83" s="1965"/>
      <c r="Q83" s="1965"/>
      <c r="R83" s="1965"/>
      <c r="S83" s="1965"/>
      <c r="T83" s="1965"/>
      <c r="U83" s="1965"/>
      <c r="V83" s="1965"/>
      <c r="W83" s="1965"/>
      <c r="X83" s="1965"/>
      <c r="Y83" s="1965"/>
      <c r="Z83" s="1965"/>
      <c r="AA83" s="1979"/>
      <c r="AB83" s="1980"/>
      <c r="AC83" s="1980"/>
      <c r="AD83" s="1980"/>
      <c r="AE83" s="1980"/>
      <c r="AF83" s="1980"/>
      <c r="AG83" s="1980"/>
      <c r="AH83" s="1981"/>
      <c r="AI83" s="1005"/>
      <c r="AJ83" s="1966" t="s">
        <v>1994</v>
      </c>
      <c r="AK83" s="1967"/>
      <c r="AL83" s="1967"/>
      <c r="AM83" s="1967"/>
      <c r="AN83" s="1967"/>
      <c r="AO83" s="1967"/>
      <c r="AP83" s="1967"/>
      <c r="AQ83" s="1967"/>
      <c r="AR83" s="1967"/>
      <c r="AS83" s="1967"/>
      <c r="AT83" s="1967"/>
      <c r="AU83" s="1967"/>
      <c r="AV83" s="1967"/>
      <c r="AW83" s="1967"/>
      <c r="AX83" s="1967"/>
      <c r="AY83" s="1967"/>
      <c r="AZ83" s="1967"/>
      <c r="BA83" s="1967"/>
      <c r="BB83" s="1968"/>
      <c r="BC83" s="1005"/>
      <c r="BD83" s="1005"/>
      <c r="BE83" s="1011"/>
    </row>
    <row r="84" spans="1:57" ht="15.75" customHeight="1" thickBot="1">
      <c r="A84" s="1005"/>
      <c r="B84" s="1972" t="s">
        <v>1995</v>
      </c>
      <c r="C84" s="1973"/>
      <c r="D84" s="1973"/>
      <c r="E84" s="1973"/>
      <c r="F84" s="1973"/>
      <c r="G84" s="1973"/>
      <c r="H84" s="1974"/>
      <c r="I84" s="1975"/>
      <c r="J84" s="1976"/>
      <c r="K84" s="1976"/>
      <c r="L84" s="1976"/>
      <c r="M84" s="1976"/>
      <c r="N84" s="1976"/>
      <c r="O84" s="1976"/>
      <c r="P84" s="1976"/>
      <c r="Q84" s="1976"/>
      <c r="R84" s="1976"/>
      <c r="S84" s="1976"/>
      <c r="T84" s="1976"/>
      <c r="U84" s="1976"/>
      <c r="V84" s="1976"/>
      <c r="W84" s="1976"/>
      <c r="X84" s="1976"/>
      <c r="Y84" s="1976"/>
      <c r="Z84" s="1976"/>
      <c r="AA84" s="1977"/>
      <c r="AB84" s="1976"/>
      <c r="AC84" s="1976"/>
      <c r="AD84" s="1976"/>
      <c r="AE84" s="1976"/>
      <c r="AF84" s="1976"/>
      <c r="AG84" s="1976"/>
      <c r="AH84" s="1978"/>
      <c r="AI84" s="1005"/>
      <c r="AJ84" s="1969"/>
      <c r="AK84" s="1970"/>
      <c r="AL84" s="1970"/>
      <c r="AM84" s="1970"/>
      <c r="AN84" s="1970"/>
      <c r="AO84" s="1970"/>
      <c r="AP84" s="1970"/>
      <c r="AQ84" s="1970"/>
      <c r="AR84" s="1970"/>
      <c r="AS84" s="1970"/>
      <c r="AT84" s="1970"/>
      <c r="AU84" s="1970"/>
      <c r="AV84" s="1970"/>
      <c r="AW84" s="1970"/>
      <c r="AX84" s="1970"/>
      <c r="AY84" s="1970"/>
      <c r="AZ84" s="1970"/>
      <c r="BA84" s="1970"/>
      <c r="BB84" s="1971"/>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1996</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953" t="s">
        <v>1997</v>
      </c>
      <c r="C88" s="1954"/>
      <c r="D88" s="1954"/>
      <c r="E88" s="1954"/>
      <c r="F88" s="1954"/>
      <c r="G88" s="1954"/>
      <c r="H88" s="1954"/>
      <c r="I88" s="1954"/>
      <c r="J88" s="1954"/>
      <c r="K88" s="1954"/>
      <c r="L88" s="1954"/>
      <c r="M88" s="1954"/>
      <c r="N88" s="1954"/>
      <c r="O88" s="1954"/>
      <c r="P88" s="1954"/>
      <c r="Q88" s="1954"/>
      <c r="R88" s="1954"/>
      <c r="S88" s="1954"/>
      <c r="T88" s="1954"/>
      <c r="U88" s="1954"/>
      <c r="V88" s="1954"/>
      <c r="W88" s="1954"/>
      <c r="X88" s="1954"/>
      <c r="Y88" s="1954"/>
      <c r="Z88" s="1954"/>
      <c r="AA88" s="1954"/>
      <c r="AB88" s="1954"/>
      <c r="AC88" s="1954"/>
      <c r="AD88" s="1954"/>
      <c r="AE88" s="1954"/>
      <c r="AF88" s="1954"/>
      <c r="AG88" s="1954"/>
      <c r="AH88" s="1955"/>
      <c r="AI88" s="1005"/>
      <c r="AJ88" s="1941" t="s">
        <v>1998</v>
      </c>
      <c r="AK88" s="1942"/>
      <c r="AL88" s="1942"/>
      <c r="AM88" s="1942"/>
      <c r="AN88" s="1942"/>
      <c r="AO88" s="1942"/>
      <c r="AP88" s="1942"/>
      <c r="AQ88" s="1942"/>
      <c r="AR88" s="1942"/>
      <c r="AS88" s="1942"/>
      <c r="AT88" s="1942"/>
      <c r="AU88" s="1942"/>
      <c r="AV88" s="1942"/>
      <c r="AW88" s="1942"/>
      <c r="AX88" s="1942"/>
      <c r="AY88" s="1947" t="s">
        <v>1935</v>
      </c>
      <c r="AZ88" s="1947"/>
      <c r="BA88" s="1947"/>
      <c r="BB88" s="1948"/>
      <c r="BC88" s="1005"/>
      <c r="BD88" s="1005"/>
      <c r="BE88" s="1011"/>
    </row>
    <row r="89" spans="1:57" ht="16.5" customHeight="1">
      <c r="A89" s="1005"/>
      <c r="B89" s="1953"/>
      <c r="C89" s="1954"/>
      <c r="D89" s="1954"/>
      <c r="E89" s="1954"/>
      <c r="F89" s="1954"/>
      <c r="G89" s="1954"/>
      <c r="H89" s="1954"/>
      <c r="I89" s="1920" t="s">
        <v>1988</v>
      </c>
      <c r="J89" s="1921"/>
      <c r="K89" s="1921"/>
      <c r="L89" s="1921"/>
      <c r="M89" s="1921"/>
      <c r="N89" s="1921"/>
      <c r="O89" s="1921" t="s">
        <v>1989</v>
      </c>
      <c r="P89" s="1921"/>
      <c r="Q89" s="1921"/>
      <c r="R89" s="1921"/>
      <c r="S89" s="1921"/>
      <c r="T89" s="1921"/>
      <c r="U89" s="1921"/>
      <c r="V89" s="1961" t="s">
        <v>1990</v>
      </c>
      <c r="W89" s="1961"/>
      <c r="X89" s="1961"/>
      <c r="Y89" s="1961"/>
      <c r="Z89" s="1961"/>
      <c r="AA89" s="1961"/>
      <c r="AB89" s="1923" t="s">
        <v>1991</v>
      </c>
      <c r="AC89" s="1923"/>
      <c r="AD89" s="1923"/>
      <c r="AE89" s="1923"/>
      <c r="AF89" s="1923"/>
      <c r="AG89" s="1923"/>
      <c r="AH89" s="1924"/>
      <c r="AI89" s="1005"/>
      <c r="AJ89" s="1943"/>
      <c r="AK89" s="1944"/>
      <c r="AL89" s="1944"/>
      <c r="AM89" s="1944"/>
      <c r="AN89" s="1944"/>
      <c r="AO89" s="1944"/>
      <c r="AP89" s="1944"/>
      <c r="AQ89" s="1944"/>
      <c r="AR89" s="1944"/>
      <c r="AS89" s="1944"/>
      <c r="AT89" s="1944"/>
      <c r="AU89" s="1944"/>
      <c r="AV89" s="1944"/>
      <c r="AW89" s="1944"/>
      <c r="AX89" s="1944"/>
      <c r="AY89" s="1949"/>
      <c r="AZ89" s="1949"/>
      <c r="BA89" s="1949"/>
      <c r="BB89" s="1950"/>
      <c r="BC89" s="1005"/>
      <c r="BD89" s="1005"/>
      <c r="BE89" s="1011"/>
    </row>
    <row r="90" spans="1:57" ht="16.5" customHeight="1" thickBot="1">
      <c r="A90" s="1005"/>
      <c r="B90" s="1956"/>
      <c r="C90" s="1957"/>
      <c r="D90" s="1957"/>
      <c r="E90" s="1957"/>
      <c r="F90" s="1957"/>
      <c r="G90" s="1957"/>
      <c r="H90" s="1957"/>
      <c r="I90" s="1959"/>
      <c r="J90" s="1960"/>
      <c r="K90" s="1960"/>
      <c r="L90" s="1960"/>
      <c r="M90" s="1960"/>
      <c r="N90" s="1960"/>
      <c r="O90" s="1960"/>
      <c r="P90" s="1960"/>
      <c r="Q90" s="1960"/>
      <c r="R90" s="1960"/>
      <c r="S90" s="1960"/>
      <c r="T90" s="1960"/>
      <c r="U90" s="1960"/>
      <c r="V90" s="1962"/>
      <c r="W90" s="1962"/>
      <c r="X90" s="1962"/>
      <c r="Y90" s="1962"/>
      <c r="Z90" s="1962"/>
      <c r="AA90" s="1962"/>
      <c r="AB90" s="1899"/>
      <c r="AC90" s="1899"/>
      <c r="AD90" s="1899"/>
      <c r="AE90" s="1899"/>
      <c r="AF90" s="1899"/>
      <c r="AG90" s="1899"/>
      <c r="AH90" s="1963"/>
      <c r="AI90" s="1005"/>
      <c r="AJ90" s="1943"/>
      <c r="AK90" s="1944"/>
      <c r="AL90" s="1944"/>
      <c r="AM90" s="1944"/>
      <c r="AN90" s="1944"/>
      <c r="AO90" s="1944"/>
      <c r="AP90" s="1944"/>
      <c r="AQ90" s="1944"/>
      <c r="AR90" s="1944"/>
      <c r="AS90" s="1944"/>
      <c r="AT90" s="1944"/>
      <c r="AU90" s="1944"/>
      <c r="AV90" s="1944"/>
      <c r="AW90" s="1944"/>
      <c r="AX90" s="1944"/>
      <c r="AY90" s="1949"/>
      <c r="AZ90" s="1949"/>
      <c r="BA90" s="1949"/>
      <c r="BB90" s="1950"/>
      <c r="BC90" s="1005"/>
      <c r="BD90" s="1005"/>
      <c r="BE90" s="1011"/>
    </row>
    <row r="91" spans="1:57" ht="15.75" customHeight="1" thickBot="1">
      <c r="A91" s="1005"/>
      <c r="B91" s="1739" t="s">
        <v>1992</v>
      </c>
      <c r="C91" s="1740"/>
      <c r="D91" s="1740"/>
      <c r="E91" s="1740"/>
      <c r="F91" s="1740"/>
      <c r="G91" s="1740"/>
      <c r="H91" s="1740"/>
      <c r="I91" s="1964"/>
      <c r="J91" s="1965"/>
      <c r="K91" s="1965"/>
      <c r="L91" s="1965"/>
      <c r="M91" s="1965"/>
      <c r="N91" s="1965"/>
      <c r="O91" s="1965"/>
      <c r="P91" s="1965"/>
      <c r="Q91" s="1965"/>
      <c r="R91" s="1965"/>
      <c r="S91" s="1965"/>
      <c r="T91" s="1965"/>
      <c r="U91" s="1965"/>
      <c r="V91" s="1965"/>
      <c r="W91" s="1965"/>
      <c r="X91" s="1965"/>
      <c r="Y91" s="1965"/>
      <c r="Z91" s="1965"/>
      <c r="AA91" s="1979"/>
      <c r="AB91" s="1916"/>
      <c r="AC91" s="1916"/>
      <c r="AD91" s="1916"/>
      <c r="AE91" s="1916"/>
      <c r="AF91" s="1916"/>
      <c r="AG91" s="1916"/>
      <c r="AH91" s="1917"/>
      <c r="AI91" s="1005"/>
      <c r="AJ91" s="1945"/>
      <c r="AK91" s="1946"/>
      <c r="AL91" s="1946"/>
      <c r="AM91" s="1946"/>
      <c r="AN91" s="1946"/>
      <c r="AO91" s="1946"/>
      <c r="AP91" s="1946"/>
      <c r="AQ91" s="1946"/>
      <c r="AR91" s="1946"/>
      <c r="AS91" s="1946"/>
      <c r="AT91" s="1946"/>
      <c r="AU91" s="1946"/>
      <c r="AV91" s="1946"/>
      <c r="AW91" s="1946"/>
      <c r="AX91" s="1946"/>
      <c r="AY91" s="1951"/>
      <c r="AZ91" s="1951"/>
      <c r="BA91" s="1951"/>
      <c r="BB91" s="1952"/>
      <c r="BC91" s="1005"/>
      <c r="BD91" s="1005"/>
      <c r="BE91" s="1011"/>
    </row>
    <row r="92" spans="1:57" ht="15.75" customHeight="1" thickBot="1">
      <c r="A92" s="1005"/>
      <c r="B92" s="1739" t="s">
        <v>1993</v>
      </c>
      <c r="C92" s="1740"/>
      <c r="D92" s="1740"/>
      <c r="E92" s="1740"/>
      <c r="F92" s="1740"/>
      <c r="G92" s="1740"/>
      <c r="H92" s="1740"/>
      <c r="I92" s="1964"/>
      <c r="J92" s="1965"/>
      <c r="K92" s="1965"/>
      <c r="L92" s="1965"/>
      <c r="M92" s="1965"/>
      <c r="N92" s="1965"/>
      <c r="O92" s="1965"/>
      <c r="P92" s="1965"/>
      <c r="Q92" s="1965"/>
      <c r="R92" s="1965"/>
      <c r="S92" s="1965"/>
      <c r="T92" s="1965"/>
      <c r="U92" s="1965"/>
      <c r="V92" s="1965"/>
      <c r="W92" s="1965"/>
      <c r="X92" s="1965"/>
      <c r="Y92" s="1965"/>
      <c r="Z92" s="1965"/>
      <c r="AA92" s="1979"/>
      <c r="AB92" s="1916"/>
      <c r="AC92" s="1916"/>
      <c r="AD92" s="1916"/>
      <c r="AE92" s="1916"/>
      <c r="AF92" s="1916"/>
      <c r="AG92" s="1916"/>
      <c r="AH92" s="1917"/>
      <c r="AI92" s="1005"/>
      <c r="AJ92" s="1966" t="s">
        <v>1994</v>
      </c>
      <c r="AK92" s="1967"/>
      <c r="AL92" s="1967"/>
      <c r="AM92" s="1967"/>
      <c r="AN92" s="1967"/>
      <c r="AO92" s="1967"/>
      <c r="AP92" s="1967"/>
      <c r="AQ92" s="1967"/>
      <c r="AR92" s="1967"/>
      <c r="AS92" s="1967"/>
      <c r="AT92" s="1967"/>
      <c r="AU92" s="1967"/>
      <c r="AV92" s="1967"/>
      <c r="AW92" s="1967"/>
      <c r="AX92" s="1967"/>
      <c r="AY92" s="1967"/>
      <c r="AZ92" s="1967"/>
      <c r="BA92" s="1967"/>
      <c r="BB92" s="1968"/>
      <c r="BC92" s="1005"/>
      <c r="BD92" s="1005"/>
      <c r="BE92" s="1011"/>
    </row>
    <row r="93" spans="1:57" ht="15.75" customHeight="1" thickBot="1">
      <c r="A93" s="1005"/>
      <c r="B93" s="1972" t="s">
        <v>1995</v>
      </c>
      <c r="C93" s="1973"/>
      <c r="D93" s="1973"/>
      <c r="E93" s="1973"/>
      <c r="F93" s="1973"/>
      <c r="G93" s="1973"/>
      <c r="H93" s="1982"/>
      <c r="I93" s="1975"/>
      <c r="J93" s="1976"/>
      <c r="K93" s="1976"/>
      <c r="L93" s="1976"/>
      <c r="M93" s="1976"/>
      <c r="N93" s="1976"/>
      <c r="O93" s="1976"/>
      <c r="P93" s="1976"/>
      <c r="Q93" s="1976"/>
      <c r="R93" s="1976"/>
      <c r="S93" s="1976"/>
      <c r="T93" s="1976"/>
      <c r="U93" s="1976"/>
      <c r="V93" s="1976"/>
      <c r="W93" s="1976"/>
      <c r="X93" s="1976"/>
      <c r="Y93" s="1976"/>
      <c r="Z93" s="1976"/>
      <c r="AA93" s="1977"/>
      <c r="AB93" s="1857"/>
      <c r="AC93" s="1857"/>
      <c r="AD93" s="1857"/>
      <c r="AE93" s="1857"/>
      <c r="AF93" s="1857"/>
      <c r="AG93" s="1857"/>
      <c r="AH93" s="1858"/>
      <c r="AI93" s="1005"/>
      <c r="AJ93" s="1969"/>
      <c r="AK93" s="1970"/>
      <c r="AL93" s="1970"/>
      <c r="AM93" s="1970"/>
      <c r="AN93" s="1970"/>
      <c r="AO93" s="1970"/>
      <c r="AP93" s="1970"/>
      <c r="AQ93" s="1970"/>
      <c r="AR93" s="1970"/>
      <c r="AS93" s="1970"/>
      <c r="AT93" s="1970"/>
      <c r="AU93" s="1970"/>
      <c r="AV93" s="1970"/>
      <c r="AW93" s="1970"/>
      <c r="AX93" s="1970"/>
      <c r="AY93" s="1970"/>
      <c r="AZ93" s="1970"/>
      <c r="BA93" s="1970"/>
      <c r="BB93" s="1971"/>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1999</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2003" t="s">
        <v>2000</v>
      </c>
      <c r="Y96" s="2004"/>
      <c r="Z96" s="2004"/>
      <c r="AA96" s="2004"/>
      <c r="AB96" s="2004"/>
      <c r="AC96" s="2004"/>
      <c r="AD96" s="2004"/>
      <c r="AE96" s="2004"/>
      <c r="AF96" s="2004"/>
      <c r="AG96" s="2004"/>
      <c r="AH96" s="2004"/>
      <c r="AI96" s="2004"/>
      <c r="AJ96" s="2004"/>
      <c r="AK96" s="2004"/>
      <c r="AL96" s="2004"/>
      <c r="AM96" s="2004"/>
      <c r="AN96" s="2004"/>
      <c r="AO96" s="2004"/>
      <c r="AP96" s="2004"/>
      <c r="AQ96" s="2004"/>
      <c r="AR96" s="2004"/>
      <c r="AS96" s="2004"/>
      <c r="AT96" s="2004"/>
      <c r="AU96" s="2004"/>
      <c r="AV96" s="2004"/>
      <c r="AW96" s="2004"/>
      <c r="AX96" s="2004"/>
      <c r="AY96" s="2004"/>
      <c r="AZ96" s="2004"/>
      <c r="BA96" s="2004"/>
      <c r="BB96" s="2004"/>
      <c r="BC96" s="2004"/>
      <c r="BD96" s="2005"/>
      <c r="BE96" s="1011"/>
    </row>
    <row r="97" spans="1:57" ht="15.75" customHeight="1" thickBot="1">
      <c r="A97" s="1005"/>
      <c r="B97" s="1739" t="s">
        <v>2001</v>
      </c>
      <c r="C97" s="1740"/>
      <c r="D97" s="1740"/>
      <c r="E97" s="1740"/>
      <c r="F97" s="1740"/>
      <c r="G97" s="1740"/>
      <c r="H97" s="1740"/>
      <c r="I97" s="1740"/>
      <c r="J97" s="1740"/>
      <c r="K97" s="1740"/>
      <c r="L97" s="1740"/>
      <c r="M97" s="1740"/>
      <c r="N97" s="1740"/>
      <c r="O97" s="1740"/>
      <c r="P97" s="1740"/>
      <c r="Q97" s="1740"/>
      <c r="R97" s="1740"/>
      <c r="S97" s="1740"/>
      <c r="T97" s="1740"/>
      <c r="U97" s="1741"/>
      <c r="V97" s="1005"/>
      <c r="W97" s="1005"/>
      <c r="X97" s="2006"/>
      <c r="Y97" s="2007"/>
      <c r="Z97" s="2007"/>
      <c r="AA97" s="2007"/>
      <c r="AB97" s="2007"/>
      <c r="AC97" s="2007"/>
      <c r="AD97" s="2007"/>
      <c r="AE97" s="2007"/>
      <c r="AF97" s="2007"/>
      <c r="AG97" s="2007"/>
      <c r="AH97" s="2007"/>
      <c r="AI97" s="2007"/>
      <c r="AJ97" s="2007"/>
      <c r="AK97" s="2007"/>
      <c r="AL97" s="2007"/>
      <c r="AM97" s="2007"/>
      <c r="AN97" s="2007"/>
      <c r="AO97" s="2007"/>
      <c r="AP97" s="2007"/>
      <c r="AQ97" s="2007"/>
      <c r="AR97" s="2007"/>
      <c r="AS97" s="2007"/>
      <c r="AT97" s="2007"/>
      <c r="AU97" s="2007"/>
      <c r="AV97" s="2007"/>
      <c r="AW97" s="2007"/>
      <c r="AX97" s="2007"/>
      <c r="AY97" s="2007"/>
      <c r="AZ97" s="2007"/>
      <c r="BA97" s="2007"/>
      <c r="BB97" s="2007"/>
      <c r="BC97" s="2007"/>
      <c r="BD97" s="2008"/>
      <c r="BE97" s="1011"/>
    </row>
    <row r="98" spans="1:57" ht="15.75" customHeight="1" thickBot="1">
      <c r="A98" s="1005"/>
      <c r="B98" s="1739"/>
      <c r="C98" s="1740"/>
      <c r="D98" s="1740"/>
      <c r="E98" s="1740"/>
      <c r="F98" s="1740"/>
      <c r="G98" s="1740"/>
      <c r="H98" s="1741"/>
      <c r="I98" s="1739" t="s">
        <v>2002</v>
      </c>
      <c r="J98" s="1740"/>
      <c r="K98" s="1740"/>
      <c r="L98" s="1740"/>
      <c r="M98" s="1740"/>
      <c r="N98" s="1741"/>
      <c r="O98" s="2009" t="s">
        <v>2003</v>
      </c>
      <c r="P98" s="2010"/>
      <c r="Q98" s="2010"/>
      <c r="R98" s="2010"/>
      <c r="S98" s="2010"/>
      <c r="T98" s="2010"/>
      <c r="U98" s="2011"/>
      <c r="V98" s="1005"/>
      <c r="W98" s="1005"/>
      <c r="X98" s="1925" t="s">
        <v>1984</v>
      </c>
      <c r="Y98" s="1926"/>
      <c r="Z98" s="1926"/>
      <c r="AA98" s="1926"/>
      <c r="AB98" s="1926"/>
      <c r="AC98" s="1926"/>
      <c r="AD98" s="1926"/>
      <c r="AE98" s="1926"/>
      <c r="AF98" s="1926"/>
      <c r="AG98" s="1926"/>
      <c r="AH98" s="1926"/>
      <c r="AI98" s="1926"/>
      <c r="AJ98" s="1926"/>
      <c r="AK98" s="1926"/>
      <c r="AL98" s="1926"/>
      <c r="AM98" s="1926"/>
      <c r="AN98" s="1926"/>
      <c r="AO98" s="1926"/>
      <c r="AP98" s="1926"/>
      <c r="AQ98" s="1926"/>
      <c r="AR98" s="1926"/>
      <c r="AS98" s="1926"/>
      <c r="AT98" s="1926"/>
      <c r="AU98" s="1926"/>
      <c r="AV98" s="1926"/>
      <c r="AW98" s="1926"/>
      <c r="AX98" s="1926"/>
      <c r="AY98" s="1926"/>
      <c r="AZ98" s="1926"/>
      <c r="BA98" s="1926"/>
      <c r="BB98" s="1926"/>
      <c r="BC98" s="1926"/>
      <c r="BD98" s="1927"/>
      <c r="BE98" s="1011"/>
    </row>
    <row r="99" spans="1:57" ht="15.75" customHeight="1" thickBot="1">
      <c r="A99" s="1005"/>
      <c r="B99" s="2012" t="s">
        <v>2004</v>
      </c>
      <c r="C99" s="2013"/>
      <c r="D99" s="2013"/>
      <c r="E99" s="2013"/>
      <c r="F99" s="2013"/>
      <c r="G99" s="2013"/>
      <c r="H99" s="2014"/>
      <c r="I99" s="2015"/>
      <c r="J99" s="1965"/>
      <c r="K99" s="1965"/>
      <c r="L99" s="1965"/>
      <c r="M99" s="1965"/>
      <c r="N99" s="1965"/>
      <c r="O99" s="1965"/>
      <c r="P99" s="1965"/>
      <c r="Q99" s="1965"/>
      <c r="R99" s="1965"/>
      <c r="S99" s="1965"/>
      <c r="T99" s="1965"/>
      <c r="U99" s="2016"/>
      <c r="V99" s="1005"/>
      <c r="W99" s="1005"/>
      <c r="X99" s="1925"/>
      <c r="Y99" s="1926"/>
      <c r="Z99" s="1926"/>
      <c r="AA99" s="1926"/>
      <c r="AB99" s="1926"/>
      <c r="AC99" s="1926"/>
      <c r="AD99" s="1926"/>
      <c r="AE99" s="1926"/>
      <c r="AF99" s="1926"/>
      <c r="AG99" s="1926"/>
      <c r="AH99" s="1926"/>
      <c r="AI99" s="1926"/>
      <c r="AJ99" s="1926"/>
      <c r="AK99" s="1926"/>
      <c r="AL99" s="1926"/>
      <c r="AM99" s="1926"/>
      <c r="AN99" s="1926"/>
      <c r="AO99" s="1926"/>
      <c r="AP99" s="1926"/>
      <c r="AQ99" s="1926"/>
      <c r="AR99" s="1926"/>
      <c r="AS99" s="1926"/>
      <c r="AT99" s="1926"/>
      <c r="AU99" s="1926"/>
      <c r="AV99" s="1926"/>
      <c r="AW99" s="1926"/>
      <c r="AX99" s="1926"/>
      <c r="AY99" s="1926"/>
      <c r="AZ99" s="1926"/>
      <c r="BA99" s="1926"/>
      <c r="BB99" s="1926"/>
      <c r="BC99" s="1926"/>
      <c r="BD99" s="1927"/>
      <c r="BE99" s="1011"/>
    </row>
    <row r="100" spans="1:57" ht="15.75" customHeight="1" thickBot="1">
      <c r="A100" s="1005"/>
      <c r="B100" s="2012" t="s">
        <v>2005</v>
      </c>
      <c r="C100" s="2013"/>
      <c r="D100" s="2013"/>
      <c r="E100" s="2013"/>
      <c r="F100" s="2013"/>
      <c r="G100" s="2013"/>
      <c r="H100" s="2014"/>
      <c r="I100" s="1983"/>
      <c r="J100" s="1976"/>
      <c r="K100" s="1976"/>
      <c r="L100" s="1976"/>
      <c r="M100" s="1976"/>
      <c r="N100" s="1976"/>
      <c r="O100" s="1984"/>
      <c r="P100" s="1984"/>
      <c r="Q100" s="1984"/>
      <c r="R100" s="1984"/>
      <c r="S100" s="1984"/>
      <c r="T100" s="1984"/>
      <c r="U100" s="1985"/>
      <c r="V100" s="1005"/>
      <c r="W100" s="1005"/>
      <c r="X100" s="1925"/>
      <c r="Y100" s="1926"/>
      <c r="Z100" s="1926"/>
      <c r="AA100" s="1926"/>
      <c r="AB100" s="1926"/>
      <c r="AC100" s="1926"/>
      <c r="AD100" s="1926"/>
      <c r="AE100" s="1926"/>
      <c r="AF100" s="1926"/>
      <c r="AG100" s="1926"/>
      <c r="AH100" s="1926"/>
      <c r="AI100" s="1926"/>
      <c r="AJ100" s="1926"/>
      <c r="AK100" s="1926"/>
      <c r="AL100" s="1926"/>
      <c r="AM100" s="1926"/>
      <c r="AN100" s="1926"/>
      <c r="AO100" s="1926"/>
      <c r="AP100" s="1926"/>
      <c r="AQ100" s="1926"/>
      <c r="AR100" s="1926"/>
      <c r="AS100" s="1926"/>
      <c r="AT100" s="1926"/>
      <c r="AU100" s="1926"/>
      <c r="AV100" s="1926"/>
      <c r="AW100" s="1926"/>
      <c r="AX100" s="1926"/>
      <c r="AY100" s="1926"/>
      <c r="AZ100" s="1926"/>
      <c r="BA100" s="1926"/>
      <c r="BB100" s="1926"/>
      <c r="BC100" s="1926"/>
      <c r="BD100" s="1927"/>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5"/>
      <c r="Y101" s="1926"/>
      <c r="Z101" s="1926"/>
      <c r="AA101" s="1926"/>
      <c r="AB101" s="1926"/>
      <c r="AC101" s="1926"/>
      <c r="AD101" s="1926"/>
      <c r="AE101" s="1926"/>
      <c r="AF101" s="1926"/>
      <c r="AG101" s="1926"/>
      <c r="AH101" s="1926"/>
      <c r="AI101" s="1926"/>
      <c r="AJ101" s="1926"/>
      <c r="AK101" s="1926"/>
      <c r="AL101" s="1926"/>
      <c r="AM101" s="1926"/>
      <c r="AN101" s="1926"/>
      <c r="AO101" s="1926"/>
      <c r="AP101" s="1926"/>
      <c r="AQ101" s="1926"/>
      <c r="AR101" s="1926"/>
      <c r="AS101" s="1926"/>
      <c r="AT101" s="1926"/>
      <c r="AU101" s="1926"/>
      <c r="AV101" s="1926"/>
      <c r="AW101" s="1926"/>
      <c r="AX101" s="1926"/>
      <c r="AY101" s="1926"/>
      <c r="AZ101" s="1926"/>
      <c r="BA101" s="1926"/>
      <c r="BB101" s="1926"/>
      <c r="BC101" s="1926"/>
      <c r="BD101" s="1927"/>
      <c r="BE101" s="1011"/>
    </row>
    <row r="102" spans="1:57" ht="15.75" customHeight="1">
      <c r="A102" s="1005"/>
      <c r="B102" s="1016" t="s">
        <v>2006</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5"/>
      <c r="Y102" s="1926"/>
      <c r="Z102" s="1926"/>
      <c r="AA102" s="1926"/>
      <c r="AB102" s="1926"/>
      <c r="AC102" s="1926"/>
      <c r="AD102" s="1926"/>
      <c r="AE102" s="1926"/>
      <c r="AF102" s="1926"/>
      <c r="AG102" s="1926"/>
      <c r="AH102" s="1926"/>
      <c r="AI102" s="1926"/>
      <c r="AJ102" s="1926"/>
      <c r="AK102" s="1926"/>
      <c r="AL102" s="1926"/>
      <c r="AM102" s="1926"/>
      <c r="AN102" s="1926"/>
      <c r="AO102" s="1926"/>
      <c r="AP102" s="1926"/>
      <c r="AQ102" s="1926"/>
      <c r="AR102" s="1926"/>
      <c r="AS102" s="1926"/>
      <c r="AT102" s="1926"/>
      <c r="AU102" s="1926"/>
      <c r="AV102" s="1926"/>
      <c r="AW102" s="1926"/>
      <c r="AX102" s="1926"/>
      <c r="AY102" s="1926"/>
      <c r="AZ102" s="1926"/>
      <c r="BA102" s="1926"/>
      <c r="BB102" s="1926"/>
      <c r="BC102" s="1926"/>
      <c r="BD102" s="1927"/>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5"/>
      <c r="Y103" s="1926"/>
      <c r="Z103" s="1926"/>
      <c r="AA103" s="1926"/>
      <c r="AB103" s="1926"/>
      <c r="AC103" s="1926"/>
      <c r="AD103" s="1926"/>
      <c r="AE103" s="1926"/>
      <c r="AF103" s="1926"/>
      <c r="AG103" s="1926"/>
      <c r="AH103" s="1926"/>
      <c r="AI103" s="1926"/>
      <c r="AJ103" s="1926"/>
      <c r="AK103" s="1926"/>
      <c r="AL103" s="1926"/>
      <c r="AM103" s="1926"/>
      <c r="AN103" s="1926"/>
      <c r="AO103" s="1926"/>
      <c r="AP103" s="1926"/>
      <c r="AQ103" s="1926"/>
      <c r="AR103" s="1926"/>
      <c r="AS103" s="1926"/>
      <c r="AT103" s="1926"/>
      <c r="AU103" s="1926"/>
      <c r="AV103" s="1926"/>
      <c r="AW103" s="1926"/>
      <c r="AX103" s="1926"/>
      <c r="AY103" s="1926"/>
      <c r="AZ103" s="1926"/>
      <c r="BA103" s="1926"/>
      <c r="BB103" s="1926"/>
      <c r="BC103" s="1926"/>
      <c r="BD103" s="1927"/>
      <c r="BE103" s="1011"/>
    </row>
    <row r="104" spans="1:57" ht="15.75" customHeight="1">
      <c r="A104" s="1005"/>
      <c r="B104" s="1766" t="s">
        <v>2007</v>
      </c>
      <c r="C104" s="1767"/>
      <c r="D104" s="1767"/>
      <c r="E104" s="1767"/>
      <c r="F104" s="1767"/>
      <c r="G104" s="1767"/>
      <c r="H104" s="1767"/>
      <c r="I104" s="1767"/>
      <c r="J104" s="1767"/>
      <c r="K104" s="1767"/>
      <c r="L104" s="1767"/>
      <c r="M104" s="1767"/>
      <c r="N104" s="1767"/>
      <c r="O104" s="1767"/>
      <c r="P104" s="1767"/>
      <c r="Q104" s="1767"/>
      <c r="R104" s="1767"/>
      <c r="S104" s="1767"/>
      <c r="T104" s="1767"/>
      <c r="U104" s="1986"/>
      <c r="V104" s="1005"/>
      <c r="W104" s="1005"/>
      <c r="X104" s="1925"/>
      <c r="Y104" s="1926"/>
      <c r="Z104" s="1926"/>
      <c r="AA104" s="1926"/>
      <c r="AB104" s="1926"/>
      <c r="AC104" s="1926"/>
      <c r="AD104" s="1926"/>
      <c r="AE104" s="1926"/>
      <c r="AF104" s="1926"/>
      <c r="AG104" s="1926"/>
      <c r="AH104" s="1926"/>
      <c r="AI104" s="1926"/>
      <c r="AJ104" s="1926"/>
      <c r="AK104" s="1926"/>
      <c r="AL104" s="1926"/>
      <c r="AM104" s="1926"/>
      <c r="AN104" s="1926"/>
      <c r="AO104" s="1926"/>
      <c r="AP104" s="1926"/>
      <c r="AQ104" s="1926"/>
      <c r="AR104" s="1926"/>
      <c r="AS104" s="1926"/>
      <c r="AT104" s="1926"/>
      <c r="AU104" s="1926"/>
      <c r="AV104" s="1926"/>
      <c r="AW104" s="1926"/>
      <c r="AX104" s="1926"/>
      <c r="AY104" s="1926"/>
      <c r="AZ104" s="1926"/>
      <c r="BA104" s="1926"/>
      <c r="BB104" s="1926"/>
      <c r="BC104" s="1926"/>
      <c r="BD104" s="1927"/>
      <c r="BE104" s="1011"/>
    </row>
    <row r="105" spans="1:57" ht="15.75" customHeight="1">
      <c r="A105" s="1005"/>
      <c r="B105" s="1987"/>
      <c r="C105" s="1988"/>
      <c r="D105" s="1988"/>
      <c r="E105" s="1988"/>
      <c r="F105" s="1988"/>
      <c r="G105" s="1988"/>
      <c r="H105" s="1989"/>
      <c r="I105" s="1991" t="s">
        <v>1989</v>
      </c>
      <c r="J105" s="1992"/>
      <c r="K105" s="1992"/>
      <c r="L105" s="1992"/>
      <c r="M105" s="1992"/>
      <c r="N105" s="1992"/>
      <c r="O105" s="1993"/>
      <c r="P105" s="1997" t="s">
        <v>1990</v>
      </c>
      <c r="Q105" s="1998"/>
      <c r="R105" s="1998"/>
      <c r="S105" s="1998"/>
      <c r="T105" s="1998"/>
      <c r="U105" s="1999"/>
      <c r="V105" s="1005"/>
      <c r="W105" s="1005"/>
      <c r="X105" s="1925"/>
      <c r="Y105" s="1926"/>
      <c r="Z105" s="1926"/>
      <c r="AA105" s="1926"/>
      <c r="AB105" s="1926"/>
      <c r="AC105" s="1926"/>
      <c r="AD105" s="1926"/>
      <c r="AE105" s="1926"/>
      <c r="AF105" s="1926"/>
      <c r="AG105" s="1926"/>
      <c r="AH105" s="1926"/>
      <c r="AI105" s="1926"/>
      <c r="AJ105" s="1926"/>
      <c r="AK105" s="1926"/>
      <c r="AL105" s="1926"/>
      <c r="AM105" s="1926"/>
      <c r="AN105" s="1926"/>
      <c r="AO105" s="1926"/>
      <c r="AP105" s="1926"/>
      <c r="AQ105" s="1926"/>
      <c r="AR105" s="1926"/>
      <c r="AS105" s="1926"/>
      <c r="AT105" s="1926"/>
      <c r="AU105" s="1926"/>
      <c r="AV105" s="1926"/>
      <c r="AW105" s="1926"/>
      <c r="AX105" s="1926"/>
      <c r="AY105" s="1926"/>
      <c r="AZ105" s="1926"/>
      <c r="BA105" s="1926"/>
      <c r="BB105" s="1926"/>
      <c r="BC105" s="1926"/>
      <c r="BD105" s="1927"/>
      <c r="BE105" s="1011"/>
    </row>
    <row r="106" spans="1:57" ht="15.75" customHeight="1" thickBot="1">
      <c r="A106" s="1005"/>
      <c r="B106" s="1956"/>
      <c r="C106" s="1957"/>
      <c r="D106" s="1957"/>
      <c r="E106" s="1957"/>
      <c r="F106" s="1957"/>
      <c r="G106" s="1957"/>
      <c r="H106" s="1990"/>
      <c r="I106" s="1994"/>
      <c r="J106" s="1995"/>
      <c r="K106" s="1995"/>
      <c r="L106" s="1995"/>
      <c r="M106" s="1995"/>
      <c r="N106" s="1995"/>
      <c r="O106" s="1996"/>
      <c r="P106" s="2000"/>
      <c r="Q106" s="2001"/>
      <c r="R106" s="2001"/>
      <c r="S106" s="2001"/>
      <c r="T106" s="2001"/>
      <c r="U106" s="2002"/>
      <c r="V106" s="1005"/>
      <c r="W106" s="1005"/>
      <c r="X106" s="1925"/>
      <c r="Y106" s="1926"/>
      <c r="Z106" s="1926"/>
      <c r="AA106" s="1926"/>
      <c r="AB106" s="1926"/>
      <c r="AC106" s="1926"/>
      <c r="AD106" s="1926"/>
      <c r="AE106" s="1926"/>
      <c r="AF106" s="1926"/>
      <c r="AG106" s="1926"/>
      <c r="AH106" s="1926"/>
      <c r="AI106" s="1926"/>
      <c r="AJ106" s="1926"/>
      <c r="AK106" s="1926"/>
      <c r="AL106" s="1926"/>
      <c r="AM106" s="1926"/>
      <c r="AN106" s="1926"/>
      <c r="AO106" s="1926"/>
      <c r="AP106" s="1926"/>
      <c r="AQ106" s="1926"/>
      <c r="AR106" s="1926"/>
      <c r="AS106" s="1926"/>
      <c r="AT106" s="1926"/>
      <c r="AU106" s="1926"/>
      <c r="AV106" s="1926"/>
      <c r="AW106" s="1926"/>
      <c r="AX106" s="1926"/>
      <c r="AY106" s="1926"/>
      <c r="AZ106" s="1926"/>
      <c r="BA106" s="1926"/>
      <c r="BB106" s="1926"/>
      <c r="BC106" s="1926"/>
      <c r="BD106" s="1927"/>
      <c r="BE106" s="1011"/>
    </row>
    <row r="107" spans="1:57" ht="15.75" customHeight="1" thickBot="1">
      <c r="A107" s="1005"/>
      <c r="B107" s="2012" t="s">
        <v>2004</v>
      </c>
      <c r="C107" s="2013"/>
      <c r="D107" s="2013"/>
      <c r="E107" s="2013"/>
      <c r="F107" s="2013"/>
      <c r="G107" s="2013"/>
      <c r="H107" s="2014"/>
      <c r="I107" s="2033"/>
      <c r="J107" s="2034"/>
      <c r="K107" s="2034"/>
      <c r="L107" s="2034"/>
      <c r="M107" s="2034"/>
      <c r="N107" s="2034"/>
      <c r="O107" s="2035"/>
      <c r="P107" s="2033"/>
      <c r="Q107" s="2034"/>
      <c r="R107" s="2034"/>
      <c r="S107" s="2034"/>
      <c r="T107" s="2034"/>
      <c r="U107" s="2035"/>
      <c r="V107" s="1005"/>
      <c r="W107" s="1005"/>
      <c r="X107" s="1925"/>
      <c r="Y107" s="1926"/>
      <c r="Z107" s="1926"/>
      <c r="AA107" s="1926"/>
      <c r="AB107" s="1926"/>
      <c r="AC107" s="1926"/>
      <c r="AD107" s="1926"/>
      <c r="AE107" s="1926"/>
      <c r="AF107" s="1926"/>
      <c r="AG107" s="1926"/>
      <c r="AH107" s="1926"/>
      <c r="AI107" s="1926"/>
      <c r="AJ107" s="1926"/>
      <c r="AK107" s="1926"/>
      <c r="AL107" s="1926"/>
      <c r="AM107" s="1926"/>
      <c r="AN107" s="1926"/>
      <c r="AO107" s="1926"/>
      <c r="AP107" s="1926"/>
      <c r="AQ107" s="1926"/>
      <c r="AR107" s="1926"/>
      <c r="AS107" s="1926"/>
      <c r="AT107" s="1926"/>
      <c r="AU107" s="1926"/>
      <c r="AV107" s="1926"/>
      <c r="AW107" s="1926"/>
      <c r="AX107" s="1926"/>
      <c r="AY107" s="1926"/>
      <c r="AZ107" s="1926"/>
      <c r="BA107" s="1926"/>
      <c r="BB107" s="1926"/>
      <c r="BC107" s="1926"/>
      <c r="BD107" s="1927"/>
      <c r="BE107" s="1011"/>
    </row>
    <row r="108" spans="1:57" ht="15.75" customHeight="1" thickBot="1">
      <c r="A108" s="1005"/>
      <c r="B108" s="2012" t="s">
        <v>2005</v>
      </c>
      <c r="C108" s="2013"/>
      <c r="D108" s="2013"/>
      <c r="E108" s="2013"/>
      <c r="F108" s="2013"/>
      <c r="G108" s="2013"/>
      <c r="H108" s="2014"/>
      <c r="I108" s="2033"/>
      <c r="J108" s="2034"/>
      <c r="K108" s="2034"/>
      <c r="L108" s="2034"/>
      <c r="M108" s="2034"/>
      <c r="N108" s="2034"/>
      <c r="O108" s="2035"/>
      <c r="P108" s="2033"/>
      <c r="Q108" s="2034"/>
      <c r="R108" s="2034"/>
      <c r="S108" s="2034"/>
      <c r="T108" s="2034"/>
      <c r="U108" s="2035"/>
      <c r="V108" s="1005"/>
      <c r="W108" s="1005"/>
      <c r="X108" s="1928"/>
      <c r="Y108" s="1929"/>
      <c r="Z108" s="1929"/>
      <c r="AA108" s="1929"/>
      <c r="AB108" s="1929"/>
      <c r="AC108" s="1929"/>
      <c r="AD108" s="1929"/>
      <c r="AE108" s="1929"/>
      <c r="AF108" s="1929"/>
      <c r="AG108" s="1929"/>
      <c r="AH108" s="1929"/>
      <c r="AI108" s="1929"/>
      <c r="AJ108" s="1929"/>
      <c r="AK108" s="1929"/>
      <c r="AL108" s="1929"/>
      <c r="AM108" s="1929"/>
      <c r="AN108" s="1929"/>
      <c r="AO108" s="1929"/>
      <c r="AP108" s="1929"/>
      <c r="AQ108" s="1929"/>
      <c r="AR108" s="1929"/>
      <c r="AS108" s="1929"/>
      <c r="AT108" s="1929"/>
      <c r="AU108" s="1929"/>
      <c r="AV108" s="1929"/>
      <c r="AW108" s="1929"/>
      <c r="AX108" s="1929"/>
      <c r="AY108" s="1929"/>
      <c r="AZ108" s="1929"/>
      <c r="BA108" s="1929"/>
      <c r="BB108" s="1929"/>
      <c r="BC108" s="1929"/>
      <c r="BD108" s="1930"/>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61" t="s">
        <v>2008</v>
      </c>
      <c r="C110" s="1862"/>
      <c r="D110" s="1862"/>
      <c r="E110" s="1862"/>
      <c r="F110" s="1862"/>
      <c r="G110" s="1862"/>
      <c r="H110" s="1862"/>
      <c r="I110" s="1862"/>
      <c r="J110" s="1862"/>
      <c r="K110" s="1862"/>
      <c r="L110" s="1862"/>
      <c r="M110" s="1862"/>
      <c r="N110" s="1862"/>
      <c r="O110" s="1862"/>
      <c r="P110" s="1862"/>
      <c r="Q110" s="1862"/>
      <c r="R110" s="2017"/>
      <c r="S110" s="2017"/>
      <c r="T110" s="2017"/>
      <c r="U110" s="2017"/>
      <c r="V110" s="2017"/>
      <c r="W110" s="2017"/>
      <c r="X110" s="2017"/>
      <c r="Y110" s="2017"/>
      <c r="Z110" s="2017"/>
      <c r="AA110" s="2017"/>
      <c r="AB110" s="2017"/>
      <c r="AC110" s="2017"/>
      <c r="AD110" s="2017"/>
      <c r="AE110" s="2017"/>
      <c r="AF110" s="2017"/>
      <c r="AG110" s="1947" t="s">
        <v>1935</v>
      </c>
      <c r="AH110" s="1947"/>
      <c r="AI110" s="1947"/>
      <c r="AJ110" s="1948"/>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2018" t="s">
        <v>2009</v>
      </c>
      <c r="C111" s="2019"/>
      <c r="D111" s="2019"/>
      <c r="E111" s="2019"/>
      <c r="F111" s="2019"/>
      <c r="G111" s="2019"/>
      <c r="H111" s="2019"/>
      <c r="I111" s="2019"/>
      <c r="J111" s="2019"/>
      <c r="K111" s="2019"/>
      <c r="L111" s="2019"/>
      <c r="M111" s="2019"/>
      <c r="N111" s="2019"/>
      <c r="O111" s="2019"/>
      <c r="P111" s="2019"/>
      <c r="Q111" s="2020"/>
      <c r="R111" s="2021" t="s">
        <v>2010</v>
      </c>
      <c r="S111" s="2022"/>
      <c r="T111" s="2022"/>
      <c r="U111" s="2022"/>
      <c r="V111" s="2022"/>
      <c r="W111" s="2022"/>
      <c r="X111" s="2022"/>
      <c r="Y111" s="2022"/>
      <c r="Z111" s="2022"/>
      <c r="AA111" s="2022"/>
      <c r="AB111" s="2022"/>
      <c r="AC111" s="2022"/>
      <c r="AD111" s="2022"/>
      <c r="AE111" s="2022"/>
      <c r="AF111" s="2022"/>
      <c r="AG111" s="2022"/>
      <c r="AH111" s="2022"/>
      <c r="AI111" s="2022"/>
      <c r="AJ111" s="2022"/>
      <c r="AK111" s="2022"/>
      <c r="AL111" s="2022"/>
      <c r="AM111" s="2022"/>
      <c r="AN111" s="2022"/>
      <c r="AO111" s="2022"/>
      <c r="AP111" s="2022"/>
      <c r="AQ111" s="2022"/>
      <c r="AR111" s="2022"/>
      <c r="AS111" s="2022"/>
      <c r="AT111" s="2022"/>
      <c r="AU111" s="2022"/>
      <c r="AV111" s="2022"/>
      <c r="AW111" s="2022"/>
      <c r="AX111" s="2023"/>
      <c r="AY111" s="1005"/>
      <c r="AZ111" s="1005"/>
      <c r="BA111" s="1005"/>
      <c r="BB111" s="1005"/>
      <c r="BC111" s="1005" t="s">
        <v>253</v>
      </c>
      <c r="BD111" s="1005"/>
      <c r="BE111" s="1011"/>
    </row>
    <row r="112" spans="1:57" ht="15.75" customHeight="1">
      <c r="A112" s="1005"/>
      <c r="B112" s="2024" t="s">
        <v>2011</v>
      </c>
      <c r="C112" s="2025"/>
      <c r="D112" s="2025"/>
      <c r="E112" s="2025"/>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5"/>
      <c r="AK112" s="2025"/>
      <c r="AL112" s="2025"/>
      <c r="AM112" s="2025"/>
      <c r="AN112" s="2025"/>
      <c r="AO112" s="2025"/>
      <c r="AP112" s="2025"/>
      <c r="AQ112" s="2025"/>
      <c r="AR112" s="2025"/>
      <c r="AS112" s="2025"/>
      <c r="AT112" s="2025"/>
      <c r="AU112" s="2025"/>
      <c r="AV112" s="2025"/>
      <c r="AW112" s="2025"/>
      <c r="AX112" s="2026"/>
      <c r="AY112" s="1005"/>
      <c r="AZ112" s="1005"/>
      <c r="BA112" s="1005"/>
      <c r="BB112" s="1005"/>
      <c r="BC112" s="1005"/>
      <c r="BD112" s="1005"/>
      <c r="BE112" s="1011"/>
    </row>
    <row r="113" spans="1:57" ht="15.75" customHeight="1">
      <c r="A113" s="1005"/>
      <c r="B113" s="2027"/>
      <c r="C113" s="2028"/>
      <c r="D113" s="2028"/>
      <c r="E113" s="2028"/>
      <c r="F113" s="2028"/>
      <c r="G113" s="2028"/>
      <c r="H113" s="2028"/>
      <c r="I113" s="2028"/>
      <c r="J113" s="2028"/>
      <c r="K113" s="2028"/>
      <c r="L113" s="2028"/>
      <c r="M113" s="2028"/>
      <c r="N113" s="2028"/>
      <c r="O113" s="2028"/>
      <c r="P113" s="2028"/>
      <c r="Q113" s="2028"/>
      <c r="R113" s="2028"/>
      <c r="S113" s="2028"/>
      <c r="T113" s="2028"/>
      <c r="U113" s="2028"/>
      <c r="V113" s="2028"/>
      <c r="W113" s="2028"/>
      <c r="X113" s="2028"/>
      <c r="Y113" s="2028"/>
      <c r="Z113" s="2028"/>
      <c r="AA113" s="2028"/>
      <c r="AB113" s="2028"/>
      <c r="AC113" s="2028"/>
      <c r="AD113" s="2028"/>
      <c r="AE113" s="2028"/>
      <c r="AF113" s="2028"/>
      <c r="AG113" s="2028"/>
      <c r="AH113" s="2028"/>
      <c r="AI113" s="2028"/>
      <c r="AJ113" s="2028"/>
      <c r="AK113" s="2028"/>
      <c r="AL113" s="2028"/>
      <c r="AM113" s="2028"/>
      <c r="AN113" s="2028"/>
      <c r="AO113" s="2028"/>
      <c r="AP113" s="2028"/>
      <c r="AQ113" s="2028"/>
      <c r="AR113" s="2028"/>
      <c r="AS113" s="2028"/>
      <c r="AT113" s="2028"/>
      <c r="AU113" s="2028"/>
      <c r="AV113" s="2028"/>
      <c r="AW113" s="2028"/>
      <c r="AX113" s="2029"/>
      <c r="AY113" s="1005"/>
      <c r="AZ113" s="1005"/>
      <c r="BA113" s="1005"/>
      <c r="BB113" s="1005"/>
      <c r="BC113" s="1005"/>
      <c r="BD113" s="1005"/>
      <c r="BE113" s="1011"/>
    </row>
    <row r="114" spans="1:57" ht="15.75" customHeight="1">
      <c r="A114" s="1005"/>
      <c r="B114" s="2027"/>
      <c r="C114" s="2028"/>
      <c r="D114" s="2028"/>
      <c r="E114" s="2028"/>
      <c r="F114" s="2028"/>
      <c r="G114" s="2028"/>
      <c r="H114" s="2028"/>
      <c r="I114" s="2028"/>
      <c r="J114" s="2028"/>
      <c r="K114" s="2028"/>
      <c r="L114" s="2028"/>
      <c r="M114" s="2028"/>
      <c r="N114" s="2028"/>
      <c r="O114" s="2028"/>
      <c r="P114" s="2028"/>
      <c r="Q114" s="2028"/>
      <c r="R114" s="2028"/>
      <c r="S114" s="2028"/>
      <c r="T114" s="2028"/>
      <c r="U114" s="2028"/>
      <c r="V114" s="2028"/>
      <c r="W114" s="2028"/>
      <c r="X114" s="2028"/>
      <c r="Y114" s="2028"/>
      <c r="Z114" s="2028"/>
      <c r="AA114" s="2028"/>
      <c r="AB114" s="2028"/>
      <c r="AC114" s="2028"/>
      <c r="AD114" s="2028"/>
      <c r="AE114" s="2028"/>
      <c r="AF114" s="2028"/>
      <c r="AG114" s="2028"/>
      <c r="AH114" s="2028"/>
      <c r="AI114" s="2028"/>
      <c r="AJ114" s="2028"/>
      <c r="AK114" s="2028"/>
      <c r="AL114" s="2028"/>
      <c r="AM114" s="2028"/>
      <c r="AN114" s="2028"/>
      <c r="AO114" s="2028"/>
      <c r="AP114" s="2028"/>
      <c r="AQ114" s="2028"/>
      <c r="AR114" s="2028"/>
      <c r="AS114" s="2028"/>
      <c r="AT114" s="2028"/>
      <c r="AU114" s="2028"/>
      <c r="AV114" s="2028"/>
      <c r="AW114" s="2028"/>
      <c r="AX114" s="2029"/>
      <c r="AY114" s="1005"/>
      <c r="AZ114" s="1005"/>
      <c r="BA114" s="1005"/>
      <c r="BB114" s="1005"/>
      <c r="BC114" s="1005"/>
      <c r="BD114" s="1005"/>
      <c r="BE114" s="1011"/>
    </row>
    <row r="115" spans="1:57" ht="15.75" customHeight="1">
      <c r="A115" s="1005"/>
      <c r="B115" s="2027"/>
      <c r="C115" s="2028"/>
      <c r="D115" s="2028"/>
      <c r="E115" s="2028"/>
      <c r="F115" s="2028"/>
      <c r="G115" s="2028"/>
      <c r="H115" s="2028"/>
      <c r="I115" s="2028"/>
      <c r="J115" s="2028"/>
      <c r="K115" s="2028"/>
      <c r="L115" s="2028"/>
      <c r="M115" s="2028"/>
      <c r="N115" s="2028"/>
      <c r="O115" s="2028"/>
      <c r="P115" s="2028"/>
      <c r="Q115" s="2028"/>
      <c r="R115" s="2028"/>
      <c r="S115" s="2028"/>
      <c r="T115" s="2028"/>
      <c r="U115" s="2028"/>
      <c r="V115" s="2028"/>
      <c r="W115" s="2028"/>
      <c r="X115" s="2028"/>
      <c r="Y115" s="2028"/>
      <c r="Z115" s="2028"/>
      <c r="AA115" s="2028"/>
      <c r="AB115" s="2028"/>
      <c r="AC115" s="2028"/>
      <c r="AD115" s="2028"/>
      <c r="AE115" s="2028"/>
      <c r="AF115" s="2028"/>
      <c r="AG115" s="2028"/>
      <c r="AH115" s="2028"/>
      <c r="AI115" s="2028"/>
      <c r="AJ115" s="2028"/>
      <c r="AK115" s="2028"/>
      <c r="AL115" s="2028"/>
      <c r="AM115" s="2028"/>
      <c r="AN115" s="2028"/>
      <c r="AO115" s="2028"/>
      <c r="AP115" s="2028"/>
      <c r="AQ115" s="2028"/>
      <c r="AR115" s="2028"/>
      <c r="AS115" s="2028"/>
      <c r="AT115" s="2028"/>
      <c r="AU115" s="2028"/>
      <c r="AV115" s="2028"/>
      <c r="AW115" s="2028"/>
      <c r="AX115" s="2029"/>
      <c r="AY115" s="1005"/>
      <c r="AZ115" s="1005"/>
      <c r="BA115" s="1005"/>
      <c r="BB115" s="1005"/>
      <c r="BC115" s="1005"/>
      <c r="BD115" s="1005"/>
      <c r="BE115" s="1011"/>
    </row>
    <row r="116" spans="1:57" ht="15.75" customHeight="1">
      <c r="A116" s="1005"/>
      <c r="B116" s="2027"/>
      <c r="C116" s="2028"/>
      <c r="D116" s="2028"/>
      <c r="E116" s="2028"/>
      <c r="F116" s="2028"/>
      <c r="G116" s="2028"/>
      <c r="H116" s="2028"/>
      <c r="I116" s="2028"/>
      <c r="J116" s="2028"/>
      <c r="K116" s="2028"/>
      <c r="L116" s="2028"/>
      <c r="M116" s="2028"/>
      <c r="N116" s="2028"/>
      <c r="O116" s="2028"/>
      <c r="P116" s="2028"/>
      <c r="Q116" s="2028"/>
      <c r="R116" s="2028"/>
      <c r="S116" s="2028"/>
      <c r="T116" s="2028"/>
      <c r="U116" s="2028"/>
      <c r="V116" s="2028"/>
      <c r="W116" s="2028"/>
      <c r="X116" s="2028"/>
      <c r="Y116" s="2028"/>
      <c r="Z116" s="2028"/>
      <c r="AA116" s="2028"/>
      <c r="AB116" s="2028"/>
      <c r="AC116" s="2028"/>
      <c r="AD116" s="2028"/>
      <c r="AE116" s="2028"/>
      <c r="AF116" s="2028"/>
      <c r="AG116" s="2028"/>
      <c r="AH116" s="2028"/>
      <c r="AI116" s="2028"/>
      <c r="AJ116" s="2028"/>
      <c r="AK116" s="2028"/>
      <c r="AL116" s="2028"/>
      <c r="AM116" s="2028"/>
      <c r="AN116" s="2028"/>
      <c r="AO116" s="2028"/>
      <c r="AP116" s="2028"/>
      <c r="AQ116" s="2028"/>
      <c r="AR116" s="2028"/>
      <c r="AS116" s="2028"/>
      <c r="AT116" s="2028"/>
      <c r="AU116" s="2028"/>
      <c r="AV116" s="2028"/>
      <c r="AW116" s="2028"/>
      <c r="AX116" s="2029"/>
      <c r="AY116" s="1005"/>
      <c r="AZ116" s="1005"/>
      <c r="BA116" s="1005"/>
      <c r="BB116" s="1005"/>
      <c r="BC116" s="1005"/>
      <c r="BD116" s="1005"/>
      <c r="BE116" s="1011"/>
    </row>
    <row r="117" spans="1:57" ht="15.75" customHeight="1">
      <c r="A117" s="1005"/>
      <c r="B117" s="2027"/>
      <c r="C117" s="2028"/>
      <c r="D117" s="2028"/>
      <c r="E117" s="2028"/>
      <c r="F117" s="2028"/>
      <c r="G117" s="2028"/>
      <c r="H117" s="2028"/>
      <c r="I117" s="2028"/>
      <c r="J117" s="2028"/>
      <c r="K117" s="2028"/>
      <c r="L117" s="2028"/>
      <c r="M117" s="2028"/>
      <c r="N117" s="2028"/>
      <c r="O117" s="2028"/>
      <c r="P117" s="2028"/>
      <c r="Q117" s="2028"/>
      <c r="R117" s="2028"/>
      <c r="S117" s="2028"/>
      <c r="T117" s="2028"/>
      <c r="U117" s="2028"/>
      <c r="V117" s="2028"/>
      <c r="W117" s="2028"/>
      <c r="X117" s="2028"/>
      <c r="Y117" s="2028"/>
      <c r="Z117" s="2028"/>
      <c r="AA117" s="2028"/>
      <c r="AB117" s="2028"/>
      <c r="AC117" s="2028"/>
      <c r="AD117" s="2028"/>
      <c r="AE117" s="2028"/>
      <c r="AF117" s="2028"/>
      <c r="AG117" s="2028"/>
      <c r="AH117" s="2028"/>
      <c r="AI117" s="2028"/>
      <c r="AJ117" s="2028"/>
      <c r="AK117" s="2028"/>
      <c r="AL117" s="2028"/>
      <c r="AM117" s="2028"/>
      <c r="AN117" s="2028"/>
      <c r="AO117" s="2028"/>
      <c r="AP117" s="2028"/>
      <c r="AQ117" s="2028"/>
      <c r="AR117" s="2028"/>
      <c r="AS117" s="2028"/>
      <c r="AT117" s="2028"/>
      <c r="AU117" s="2028"/>
      <c r="AV117" s="2028"/>
      <c r="AW117" s="2028"/>
      <c r="AX117" s="2029"/>
      <c r="AY117" s="1005"/>
      <c r="AZ117" s="1005"/>
      <c r="BA117" s="1005"/>
      <c r="BB117" s="1005"/>
      <c r="BC117" s="1005"/>
      <c r="BD117" s="1005"/>
      <c r="BE117" s="1011"/>
    </row>
    <row r="118" spans="1:57" ht="15.75" customHeight="1">
      <c r="A118" s="1005"/>
      <c r="B118" s="2027"/>
      <c r="C118" s="2028"/>
      <c r="D118" s="2028"/>
      <c r="E118" s="2028"/>
      <c r="F118" s="2028"/>
      <c r="G118" s="2028"/>
      <c r="H118" s="2028"/>
      <c r="I118" s="2028"/>
      <c r="J118" s="2028"/>
      <c r="K118" s="2028"/>
      <c r="L118" s="2028"/>
      <c r="M118" s="2028"/>
      <c r="N118" s="2028"/>
      <c r="O118" s="2028"/>
      <c r="P118" s="2028"/>
      <c r="Q118" s="2028"/>
      <c r="R118" s="2028"/>
      <c r="S118" s="2028"/>
      <c r="T118" s="2028"/>
      <c r="U118" s="2028"/>
      <c r="V118" s="2028"/>
      <c r="W118" s="2028"/>
      <c r="X118" s="2028"/>
      <c r="Y118" s="2028"/>
      <c r="Z118" s="2028"/>
      <c r="AA118" s="2028"/>
      <c r="AB118" s="2028"/>
      <c r="AC118" s="2028"/>
      <c r="AD118" s="2028"/>
      <c r="AE118" s="2028"/>
      <c r="AF118" s="2028"/>
      <c r="AG118" s="2028"/>
      <c r="AH118" s="2028"/>
      <c r="AI118" s="2028"/>
      <c r="AJ118" s="2028"/>
      <c r="AK118" s="2028"/>
      <c r="AL118" s="2028"/>
      <c r="AM118" s="2028"/>
      <c r="AN118" s="2028"/>
      <c r="AO118" s="2028"/>
      <c r="AP118" s="2028"/>
      <c r="AQ118" s="2028"/>
      <c r="AR118" s="2028"/>
      <c r="AS118" s="2028"/>
      <c r="AT118" s="2028"/>
      <c r="AU118" s="2028"/>
      <c r="AV118" s="2028"/>
      <c r="AW118" s="2028"/>
      <c r="AX118" s="2029"/>
      <c r="AY118" s="1005"/>
      <c r="AZ118" s="1005"/>
      <c r="BA118" s="1005"/>
      <c r="BB118" s="1005"/>
      <c r="BC118" s="1005"/>
      <c r="BD118" s="1005"/>
      <c r="BE118" s="1011"/>
    </row>
    <row r="119" spans="1:57" ht="15.75" customHeight="1">
      <c r="A119" s="1005"/>
      <c r="B119" s="2027"/>
      <c r="C119" s="2028"/>
      <c r="D119" s="2028"/>
      <c r="E119" s="2028"/>
      <c r="F119" s="2028"/>
      <c r="G119" s="2028"/>
      <c r="H119" s="2028"/>
      <c r="I119" s="2028"/>
      <c r="J119" s="2028"/>
      <c r="K119" s="2028"/>
      <c r="L119" s="2028"/>
      <c r="M119" s="2028"/>
      <c r="N119" s="2028"/>
      <c r="O119" s="2028"/>
      <c r="P119" s="2028"/>
      <c r="Q119" s="2028"/>
      <c r="R119" s="2028"/>
      <c r="S119" s="2028"/>
      <c r="T119" s="2028"/>
      <c r="U119" s="2028"/>
      <c r="V119" s="2028"/>
      <c r="W119" s="2028"/>
      <c r="X119" s="2028"/>
      <c r="Y119" s="2028"/>
      <c r="Z119" s="2028"/>
      <c r="AA119" s="2028"/>
      <c r="AB119" s="2028"/>
      <c r="AC119" s="2028"/>
      <c r="AD119" s="2028"/>
      <c r="AE119" s="2028"/>
      <c r="AF119" s="2028"/>
      <c r="AG119" s="2028"/>
      <c r="AH119" s="2028"/>
      <c r="AI119" s="2028"/>
      <c r="AJ119" s="2028"/>
      <c r="AK119" s="2028"/>
      <c r="AL119" s="2028"/>
      <c r="AM119" s="2028"/>
      <c r="AN119" s="2028"/>
      <c r="AO119" s="2028"/>
      <c r="AP119" s="2028"/>
      <c r="AQ119" s="2028"/>
      <c r="AR119" s="2028"/>
      <c r="AS119" s="2028"/>
      <c r="AT119" s="2028"/>
      <c r="AU119" s="2028"/>
      <c r="AV119" s="2028"/>
      <c r="AW119" s="2028"/>
      <c r="AX119" s="2029"/>
      <c r="AY119" s="1005"/>
      <c r="AZ119" s="1005"/>
      <c r="BA119" s="1005"/>
      <c r="BB119" s="1005"/>
      <c r="BC119" s="1005"/>
      <c r="BD119" s="1005"/>
      <c r="BE119" s="1011"/>
    </row>
    <row r="120" spans="1:57" ht="15.75" customHeight="1">
      <c r="A120" s="1005"/>
      <c r="B120" s="2027"/>
      <c r="C120" s="2028"/>
      <c r="D120" s="2028"/>
      <c r="E120" s="2028"/>
      <c r="F120" s="2028"/>
      <c r="G120" s="2028"/>
      <c r="H120" s="2028"/>
      <c r="I120" s="2028"/>
      <c r="J120" s="2028"/>
      <c r="K120" s="2028"/>
      <c r="L120" s="2028"/>
      <c r="M120" s="2028"/>
      <c r="N120" s="2028"/>
      <c r="O120" s="2028"/>
      <c r="P120" s="2028"/>
      <c r="Q120" s="2028"/>
      <c r="R120" s="2028"/>
      <c r="S120" s="2028"/>
      <c r="T120" s="2028"/>
      <c r="U120" s="2028"/>
      <c r="V120" s="2028"/>
      <c r="W120" s="2028"/>
      <c r="X120" s="2028"/>
      <c r="Y120" s="2028"/>
      <c r="Z120" s="2028"/>
      <c r="AA120" s="2028"/>
      <c r="AB120" s="2028"/>
      <c r="AC120" s="2028"/>
      <c r="AD120" s="2028"/>
      <c r="AE120" s="2028"/>
      <c r="AF120" s="2028"/>
      <c r="AG120" s="2028"/>
      <c r="AH120" s="2028"/>
      <c r="AI120" s="2028"/>
      <c r="AJ120" s="2028"/>
      <c r="AK120" s="2028"/>
      <c r="AL120" s="2028"/>
      <c r="AM120" s="2028"/>
      <c r="AN120" s="2028"/>
      <c r="AO120" s="2028"/>
      <c r="AP120" s="2028"/>
      <c r="AQ120" s="2028"/>
      <c r="AR120" s="2028"/>
      <c r="AS120" s="2028"/>
      <c r="AT120" s="2028"/>
      <c r="AU120" s="2028"/>
      <c r="AV120" s="2028"/>
      <c r="AW120" s="2028"/>
      <c r="AX120" s="2029"/>
      <c r="AY120" s="1005"/>
      <c r="AZ120" s="1005"/>
      <c r="BA120" s="1005"/>
      <c r="BB120" s="1005"/>
      <c r="BC120" s="1005"/>
      <c r="BD120" s="1005"/>
      <c r="BE120" s="1011"/>
    </row>
    <row r="121" spans="1:57" ht="15.75" customHeight="1" thickBot="1">
      <c r="A121" s="1005"/>
      <c r="B121" s="2030"/>
      <c r="C121" s="2031"/>
      <c r="D121" s="2031"/>
      <c r="E121" s="2031"/>
      <c r="F121" s="2031"/>
      <c r="G121" s="2031"/>
      <c r="H121" s="2031"/>
      <c r="I121" s="2031"/>
      <c r="J121" s="2031"/>
      <c r="K121" s="2031"/>
      <c r="L121" s="2031"/>
      <c r="M121" s="2031"/>
      <c r="N121" s="2031"/>
      <c r="O121" s="2031"/>
      <c r="P121" s="2031"/>
      <c r="Q121" s="2031"/>
      <c r="R121" s="2031"/>
      <c r="S121" s="2031"/>
      <c r="T121" s="2031"/>
      <c r="U121" s="2031"/>
      <c r="V121" s="2031"/>
      <c r="W121" s="2031"/>
      <c r="X121" s="2031"/>
      <c r="Y121" s="2031"/>
      <c r="Z121" s="2031"/>
      <c r="AA121" s="2031"/>
      <c r="AB121" s="2031"/>
      <c r="AC121" s="2031"/>
      <c r="AD121" s="2031"/>
      <c r="AE121" s="2031"/>
      <c r="AF121" s="2031"/>
      <c r="AG121" s="2031"/>
      <c r="AH121" s="2031"/>
      <c r="AI121" s="2031"/>
      <c r="AJ121" s="2031"/>
      <c r="AK121" s="2031"/>
      <c r="AL121" s="2031"/>
      <c r="AM121" s="2031"/>
      <c r="AN121" s="2031"/>
      <c r="AO121" s="2031"/>
      <c r="AP121" s="2031"/>
      <c r="AQ121" s="2031"/>
      <c r="AR121" s="2031"/>
      <c r="AS121" s="2031"/>
      <c r="AT121" s="2031"/>
      <c r="AU121" s="2031"/>
      <c r="AV121" s="2031"/>
      <c r="AW121" s="2031"/>
      <c r="AX121" s="2032"/>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2012</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2013</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766" t="s">
        <v>2014</v>
      </c>
      <c r="C125" s="1767"/>
      <c r="D125" s="1767"/>
      <c r="E125" s="1767"/>
      <c r="F125" s="1767"/>
      <c r="G125" s="1767"/>
      <c r="H125" s="1767"/>
      <c r="I125" s="1767"/>
      <c r="J125" s="1767"/>
      <c r="K125" s="1767"/>
      <c r="L125" s="1767"/>
      <c r="M125" s="1767"/>
      <c r="N125" s="1767"/>
      <c r="O125" s="1767"/>
      <c r="P125" s="1767"/>
      <c r="Q125" s="1767"/>
      <c r="R125" s="1767"/>
      <c r="S125" s="1767"/>
      <c r="T125" s="1767"/>
      <c r="U125" s="1986"/>
      <c r="V125" s="1005"/>
      <c r="W125" s="1007"/>
      <c r="X125" s="1766" t="s">
        <v>2015</v>
      </c>
      <c r="Y125" s="1767"/>
      <c r="Z125" s="1767"/>
      <c r="AA125" s="1767"/>
      <c r="AB125" s="1767"/>
      <c r="AC125" s="1767"/>
      <c r="AD125" s="1767"/>
      <c r="AE125" s="1767"/>
      <c r="AF125" s="1767"/>
      <c r="AG125" s="1767"/>
      <c r="AH125" s="1767"/>
      <c r="AI125" s="1767"/>
      <c r="AJ125" s="1767"/>
      <c r="AK125" s="1767"/>
      <c r="AL125" s="1767"/>
      <c r="AM125" s="1767"/>
      <c r="AN125" s="1767"/>
      <c r="AO125" s="1767"/>
      <c r="AP125" s="1767"/>
      <c r="AQ125" s="1986"/>
      <c r="AR125" s="1005"/>
      <c r="AS125" s="1005"/>
      <c r="AT125" s="1005"/>
      <c r="AU125" s="1005"/>
      <c r="AV125" s="1005"/>
      <c r="AW125" s="1005"/>
      <c r="AX125" s="1005"/>
      <c r="AY125" s="1005"/>
      <c r="AZ125" s="1005"/>
      <c r="BA125" s="1005"/>
      <c r="BB125" s="1005"/>
      <c r="BC125" s="1005"/>
      <c r="BD125" s="1005"/>
      <c r="BE125" s="1011"/>
    </row>
    <row r="126" spans="1:57" ht="15.75" customHeight="1">
      <c r="A126" s="1005"/>
      <c r="B126" s="1987"/>
      <c r="C126" s="1988"/>
      <c r="D126" s="1988"/>
      <c r="E126" s="1988"/>
      <c r="F126" s="1988"/>
      <c r="G126" s="1988"/>
      <c r="H126" s="1989"/>
      <c r="I126" s="1991" t="s">
        <v>1989</v>
      </c>
      <c r="J126" s="1992"/>
      <c r="K126" s="1992"/>
      <c r="L126" s="1992"/>
      <c r="M126" s="1992"/>
      <c r="N126" s="1992"/>
      <c r="O126" s="1993"/>
      <c r="P126" s="1997" t="s">
        <v>2016</v>
      </c>
      <c r="Q126" s="1998"/>
      <c r="R126" s="1998"/>
      <c r="S126" s="1998"/>
      <c r="T126" s="1998"/>
      <c r="U126" s="1999"/>
      <c r="V126" s="1005"/>
      <c r="W126" s="1005"/>
      <c r="X126" s="1987"/>
      <c r="Y126" s="1988"/>
      <c r="Z126" s="1988"/>
      <c r="AA126" s="1988"/>
      <c r="AB126" s="1988"/>
      <c r="AC126" s="1988"/>
      <c r="AD126" s="1989"/>
      <c r="AE126" s="1991" t="s">
        <v>1989</v>
      </c>
      <c r="AF126" s="1992"/>
      <c r="AG126" s="1992"/>
      <c r="AH126" s="1992"/>
      <c r="AI126" s="1992"/>
      <c r="AJ126" s="1992"/>
      <c r="AK126" s="1993"/>
      <c r="AL126" s="1997" t="s">
        <v>1990</v>
      </c>
      <c r="AM126" s="1998"/>
      <c r="AN126" s="1998"/>
      <c r="AO126" s="1998"/>
      <c r="AP126" s="1998"/>
      <c r="AQ126" s="1999"/>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956"/>
      <c r="C127" s="1957"/>
      <c r="D127" s="1957"/>
      <c r="E127" s="1957"/>
      <c r="F127" s="1957"/>
      <c r="G127" s="1957"/>
      <c r="H127" s="1990"/>
      <c r="I127" s="1994"/>
      <c r="J127" s="1995"/>
      <c r="K127" s="1995"/>
      <c r="L127" s="1995"/>
      <c r="M127" s="1995"/>
      <c r="N127" s="1995"/>
      <c r="O127" s="1996"/>
      <c r="P127" s="2000"/>
      <c r="Q127" s="2001"/>
      <c r="R127" s="2001"/>
      <c r="S127" s="2001"/>
      <c r="T127" s="2001"/>
      <c r="U127" s="2002"/>
      <c r="V127" s="1005"/>
      <c r="W127" s="1005"/>
      <c r="X127" s="1956"/>
      <c r="Y127" s="1957"/>
      <c r="Z127" s="1957"/>
      <c r="AA127" s="1957"/>
      <c r="AB127" s="1957"/>
      <c r="AC127" s="1957"/>
      <c r="AD127" s="1990"/>
      <c r="AE127" s="1994"/>
      <c r="AF127" s="1995"/>
      <c r="AG127" s="1995"/>
      <c r="AH127" s="1995"/>
      <c r="AI127" s="1995"/>
      <c r="AJ127" s="1995"/>
      <c r="AK127" s="1996"/>
      <c r="AL127" s="2000"/>
      <c r="AM127" s="2001"/>
      <c r="AN127" s="2001"/>
      <c r="AO127" s="2001"/>
      <c r="AP127" s="2001"/>
      <c r="AQ127" s="2002"/>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2012" t="s">
        <v>2004</v>
      </c>
      <c r="C128" s="2013"/>
      <c r="D128" s="2013"/>
      <c r="E128" s="2013"/>
      <c r="F128" s="2013"/>
      <c r="G128" s="2013"/>
      <c r="H128" s="2014"/>
      <c r="I128" s="2033"/>
      <c r="J128" s="2034"/>
      <c r="K128" s="2034"/>
      <c r="L128" s="2034"/>
      <c r="M128" s="2034"/>
      <c r="N128" s="2034"/>
      <c r="O128" s="2035"/>
      <c r="P128" s="2033"/>
      <c r="Q128" s="2034"/>
      <c r="R128" s="2034"/>
      <c r="S128" s="2034"/>
      <c r="T128" s="2034"/>
      <c r="U128" s="2035"/>
      <c r="V128" s="1005"/>
      <c r="W128" s="1005"/>
      <c r="X128" s="2012" t="s">
        <v>2004</v>
      </c>
      <c r="Y128" s="2013"/>
      <c r="Z128" s="2013"/>
      <c r="AA128" s="2013"/>
      <c r="AB128" s="2013"/>
      <c r="AC128" s="2013"/>
      <c r="AD128" s="2014"/>
      <c r="AE128" s="2033"/>
      <c r="AF128" s="2034"/>
      <c r="AG128" s="2034"/>
      <c r="AH128" s="2034"/>
      <c r="AI128" s="2034"/>
      <c r="AJ128" s="2034"/>
      <c r="AK128" s="2035"/>
      <c r="AL128" s="2033"/>
      <c r="AM128" s="2034"/>
      <c r="AN128" s="2034"/>
      <c r="AO128" s="2034"/>
      <c r="AP128" s="2034"/>
      <c r="AQ128" s="2035"/>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2012" t="s">
        <v>2005</v>
      </c>
      <c r="C129" s="2013"/>
      <c r="D129" s="2013"/>
      <c r="E129" s="2013"/>
      <c r="F129" s="2013"/>
      <c r="G129" s="2013"/>
      <c r="H129" s="2014"/>
      <c r="I129" s="2033"/>
      <c r="J129" s="2034"/>
      <c r="K129" s="2034"/>
      <c r="L129" s="2034"/>
      <c r="M129" s="2034"/>
      <c r="N129" s="2034"/>
      <c r="O129" s="2035"/>
      <c r="P129" s="2033"/>
      <c r="Q129" s="2034"/>
      <c r="R129" s="2034"/>
      <c r="S129" s="2034"/>
      <c r="T129" s="2034"/>
      <c r="U129" s="2035"/>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766" t="s">
        <v>2017</v>
      </c>
      <c r="D131" s="1767"/>
      <c r="E131" s="1767"/>
      <c r="F131" s="1767"/>
      <c r="G131" s="1767"/>
      <c r="H131" s="1767"/>
      <c r="I131" s="1767"/>
      <c r="J131" s="1767"/>
      <c r="K131" s="1767"/>
      <c r="L131" s="1767"/>
      <c r="M131" s="1767"/>
      <c r="N131" s="1767"/>
      <c r="O131" s="1767"/>
      <c r="P131" s="1767"/>
      <c r="Q131" s="1767"/>
      <c r="R131" s="1767"/>
      <c r="S131" s="1767"/>
      <c r="T131" s="1767"/>
      <c r="U131" s="1767"/>
      <c r="V131" s="1767"/>
      <c r="W131" s="1767"/>
      <c r="X131" s="1767"/>
      <c r="Y131" s="1767"/>
      <c r="Z131" s="1767"/>
      <c r="AA131" s="1767"/>
      <c r="AB131" s="1767"/>
      <c r="AC131" s="1767"/>
      <c r="AD131" s="1767"/>
      <c r="AE131" s="1767"/>
      <c r="AF131" s="1767"/>
      <c r="AG131" s="1768"/>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2046" t="s">
        <v>2018</v>
      </c>
      <c r="D132" s="2047"/>
      <c r="E132" s="2047"/>
      <c r="F132" s="2047"/>
      <c r="G132" s="2047"/>
      <c r="H132" s="2047"/>
      <c r="I132" s="2047"/>
      <c r="J132" s="2047"/>
      <c r="K132" s="2047"/>
      <c r="L132" s="2047"/>
      <c r="M132" s="2047"/>
      <c r="N132" s="2047"/>
      <c r="O132" s="2047"/>
      <c r="P132" s="2048"/>
      <c r="Q132" s="2049" t="s">
        <v>2019</v>
      </c>
      <c r="R132" s="2047"/>
      <c r="S132" s="2048"/>
      <c r="T132" s="2050" t="s">
        <v>2020</v>
      </c>
      <c r="U132" s="2051"/>
      <c r="V132" s="2051"/>
      <c r="W132" s="2051"/>
      <c r="X132" s="2051"/>
      <c r="Y132" s="2051"/>
      <c r="Z132" s="2051"/>
      <c r="AA132" s="2052"/>
      <c r="AB132" s="2053" t="s">
        <v>2021</v>
      </c>
      <c r="AC132" s="2054"/>
      <c r="AD132" s="2054"/>
      <c r="AE132" s="2054"/>
      <c r="AF132" s="2054"/>
      <c r="AG132" s="2055"/>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2036" t="s">
        <v>2022</v>
      </c>
      <c r="D133" s="2037"/>
      <c r="E133" s="2037"/>
      <c r="F133" s="2037"/>
      <c r="G133" s="2037"/>
      <c r="H133" s="2037"/>
      <c r="I133" s="2037"/>
      <c r="J133" s="2037"/>
      <c r="K133" s="2037"/>
      <c r="L133" s="2037"/>
      <c r="M133" s="2037"/>
      <c r="N133" s="2037"/>
      <c r="O133" s="2037"/>
      <c r="P133" s="2038"/>
      <c r="Q133" s="2039">
        <v>55</v>
      </c>
      <c r="R133" s="2040"/>
      <c r="S133" s="2041"/>
      <c r="T133" s="2042"/>
      <c r="U133" s="2043"/>
      <c r="V133" s="2043"/>
      <c r="W133" s="2043"/>
      <c r="X133" s="2043"/>
      <c r="Y133" s="2043"/>
      <c r="Z133" s="2043"/>
      <c r="AA133" s="2043"/>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2036" t="s">
        <v>2023</v>
      </c>
      <c r="D134" s="2037"/>
      <c r="E134" s="2037"/>
      <c r="F134" s="2037"/>
      <c r="G134" s="2037"/>
      <c r="H134" s="2037"/>
      <c r="I134" s="2037"/>
      <c r="J134" s="2037"/>
      <c r="K134" s="2037"/>
      <c r="L134" s="2037"/>
      <c r="M134" s="2037"/>
      <c r="N134" s="2037"/>
      <c r="O134" s="2037"/>
      <c r="P134" s="2038"/>
      <c r="Q134" s="2039">
        <v>55</v>
      </c>
      <c r="R134" s="2040"/>
      <c r="S134" s="2041"/>
      <c r="T134" s="2044"/>
      <c r="U134" s="2045"/>
      <c r="V134" s="2045"/>
      <c r="W134" s="2045"/>
      <c r="X134" s="2045"/>
      <c r="Y134" s="2045"/>
      <c r="Z134" s="2045"/>
      <c r="AA134" s="2045"/>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2036" t="s">
        <v>2024</v>
      </c>
      <c r="D135" s="2037"/>
      <c r="E135" s="2037"/>
      <c r="F135" s="2037"/>
      <c r="G135" s="2037"/>
      <c r="H135" s="2037"/>
      <c r="I135" s="2037"/>
      <c r="J135" s="2037"/>
      <c r="K135" s="2037"/>
      <c r="L135" s="2037"/>
      <c r="M135" s="2037"/>
      <c r="N135" s="2037"/>
      <c r="O135" s="2037"/>
      <c r="P135" s="2038"/>
      <c r="Q135" s="2039">
        <v>55</v>
      </c>
      <c r="R135" s="2040"/>
      <c r="S135" s="2041"/>
      <c r="T135" s="2042"/>
      <c r="U135" s="2043"/>
      <c r="V135" s="2043"/>
      <c r="W135" s="2043"/>
      <c r="X135" s="2043"/>
      <c r="Y135" s="2043"/>
      <c r="Z135" s="2043"/>
      <c r="AA135" s="2043"/>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2036" t="s">
        <v>1963</v>
      </c>
      <c r="D136" s="2037"/>
      <c r="E136" s="2037"/>
      <c r="F136" s="2037"/>
      <c r="G136" s="2037"/>
      <c r="H136" s="2037"/>
      <c r="I136" s="2037"/>
      <c r="J136" s="2037"/>
      <c r="K136" s="2037"/>
      <c r="L136" s="2037"/>
      <c r="M136" s="2037"/>
      <c r="N136" s="2037"/>
      <c r="O136" s="2037"/>
      <c r="P136" s="2038"/>
      <c r="Q136" s="2039">
        <v>55</v>
      </c>
      <c r="R136" s="2040"/>
      <c r="S136" s="2041"/>
      <c r="T136" s="2042"/>
      <c r="U136" s="2043"/>
      <c r="V136" s="2043"/>
      <c r="W136" s="2043"/>
      <c r="X136" s="2043"/>
      <c r="Y136" s="2043"/>
      <c r="Z136" s="2043"/>
      <c r="AA136" s="2065"/>
      <c r="AB136" s="2056">
        <v>0</v>
      </c>
      <c r="AC136" s="2057"/>
      <c r="AD136" s="2057"/>
      <c r="AE136" s="2057"/>
      <c r="AF136" s="2057"/>
      <c r="AG136" s="2058"/>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737" t="s">
        <v>232</v>
      </c>
      <c r="D137" s="1738"/>
      <c r="E137" s="1738"/>
      <c r="F137" s="2059" t="s">
        <v>2025</v>
      </c>
      <c r="G137" s="2059"/>
      <c r="H137" s="2059"/>
      <c r="I137" s="2059"/>
      <c r="J137" s="2059"/>
      <c r="K137" s="2059"/>
      <c r="L137" s="2059"/>
      <c r="M137" s="2059"/>
      <c r="N137" s="2059"/>
      <c r="O137" s="2059"/>
      <c r="P137" s="2059"/>
      <c r="Q137" s="2060">
        <v>55</v>
      </c>
      <c r="R137" s="2060"/>
      <c r="S137" s="2060"/>
      <c r="T137" s="2061"/>
      <c r="U137" s="2061"/>
      <c r="V137" s="2061"/>
      <c r="W137" s="2061"/>
      <c r="X137" s="2061"/>
      <c r="Y137" s="2061"/>
      <c r="Z137" s="2061"/>
      <c r="AA137" s="2061"/>
      <c r="AB137" s="2062">
        <v>0</v>
      </c>
      <c r="AC137" s="2063"/>
      <c r="AD137" s="2063"/>
      <c r="AE137" s="2063"/>
      <c r="AF137" s="2063"/>
      <c r="AG137" s="2064"/>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737" t="s">
        <v>232</v>
      </c>
      <c r="D138" s="1738"/>
      <c r="E138" s="1738"/>
      <c r="F138" s="2059" t="s">
        <v>2025</v>
      </c>
      <c r="G138" s="2059"/>
      <c r="H138" s="2059"/>
      <c r="I138" s="2059"/>
      <c r="J138" s="2059"/>
      <c r="K138" s="2059"/>
      <c r="L138" s="2059"/>
      <c r="M138" s="2059"/>
      <c r="N138" s="2059"/>
      <c r="O138" s="2059"/>
      <c r="P138" s="2059"/>
      <c r="Q138" s="2060">
        <v>55</v>
      </c>
      <c r="R138" s="2060"/>
      <c r="S138" s="2060"/>
      <c r="T138" s="2061"/>
      <c r="U138" s="2061"/>
      <c r="V138" s="2061"/>
      <c r="W138" s="2061"/>
      <c r="X138" s="2061"/>
      <c r="Y138" s="2061"/>
      <c r="Z138" s="2061"/>
      <c r="AA138" s="2061"/>
      <c r="AB138" s="2062">
        <v>0</v>
      </c>
      <c r="AC138" s="2063"/>
      <c r="AD138" s="2063"/>
      <c r="AE138" s="2063"/>
      <c r="AF138" s="2063"/>
      <c r="AG138" s="2064"/>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737" t="s">
        <v>232</v>
      </c>
      <c r="D139" s="1738"/>
      <c r="E139" s="1738"/>
      <c r="F139" s="2066" t="s">
        <v>2025</v>
      </c>
      <c r="G139" s="2066"/>
      <c r="H139" s="2066"/>
      <c r="I139" s="2066"/>
      <c r="J139" s="2066"/>
      <c r="K139" s="2066"/>
      <c r="L139" s="2066"/>
      <c r="M139" s="2066"/>
      <c r="N139" s="2066"/>
      <c r="O139" s="2066"/>
      <c r="P139" s="2066"/>
      <c r="Q139" s="1906">
        <v>55</v>
      </c>
      <c r="R139" s="1906"/>
      <c r="S139" s="1906"/>
      <c r="T139" s="1905"/>
      <c r="U139" s="1905"/>
      <c r="V139" s="1905"/>
      <c r="W139" s="1905"/>
      <c r="X139" s="1905"/>
      <c r="Y139" s="1905"/>
      <c r="Z139" s="1905"/>
      <c r="AA139" s="1905"/>
      <c r="AB139" s="2067">
        <v>0</v>
      </c>
      <c r="AC139" s="2068"/>
      <c r="AD139" s="2068"/>
      <c r="AE139" s="2068"/>
      <c r="AF139" s="2068"/>
      <c r="AG139" s="2069"/>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739" t="s">
        <v>2026</v>
      </c>
      <c r="D141" s="1740"/>
      <c r="E141" s="1740"/>
      <c r="F141" s="1740"/>
      <c r="G141" s="1740"/>
      <c r="H141" s="1740"/>
      <c r="I141" s="1740"/>
      <c r="J141" s="1740"/>
      <c r="K141" s="1740"/>
      <c r="L141" s="1740"/>
      <c r="M141" s="1740"/>
      <c r="N141" s="1741"/>
      <c r="O141" s="1005"/>
      <c r="P141" s="2071" t="s">
        <v>2027</v>
      </c>
      <c r="Q141" s="2072"/>
      <c r="R141" s="2072"/>
      <c r="S141" s="2072"/>
      <c r="T141" s="2072"/>
      <c r="U141" s="2072"/>
      <c r="V141" s="2072"/>
      <c r="W141" s="2072"/>
      <c r="X141" s="2072"/>
      <c r="Y141" s="2072"/>
      <c r="Z141" s="2072"/>
      <c r="AA141" s="2072"/>
      <c r="AB141" s="2072"/>
      <c r="AC141" s="2072"/>
      <c r="AD141" s="2072"/>
      <c r="AE141" s="2072"/>
      <c r="AF141" s="2072"/>
      <c r="AG141" s="2072"/>
      <c r="AH141" s="2072"/>
      <c r="AI141" s="2072"/>
      <c r="AJ141" s="2072"/>
      <c r="AK141" s="2072"/>
      <c r="AL141" s="2072"/>
      <c r="AM141" s="2072"/>
      <c r="AN141" s="2072"/>
      <c r="AO141" s="2073"/>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953" t="s">
        <v>2028</v>
      </c>
      <c r="D142" s="1954"/>
      <c r="E142" s="1954"/>
      <c r="F142" s="1954"/>
      <c r="G142" s="1954"/>
      <c r="H142" s="1955"/>
      <c r="I142" s="1953" t="s">
        <v>2029</v>
      </c>
      <c r="J142" s="1954"/>
      <c r="K142" s="1954"/>
      <c r="L142" s="1954"/>
      <c r="M142" s="1954"/>
      <c r="N142" s="1955"/>
      <c r="O142" s="1005"/>
      <c r="P142" s="2074" t="s">
        <v>1984</v>
      </c>
      <c r="Q142" s="2075"/>
      <c r="R142" s="2075"/>
      <c r="S142" s="2075"/>
      <c r="T142" s="2075"/>
      <c r="U142" s="2075"/>
      <c r="V142" s="2075"/>
      <c r="W142" s="2075"/>
      <c r="X142" s="2075"/>
      <c r="Y142" s="2075"/>
      <c r="Z142" s="2075"/>
      <c r="AA142" s="2075"/>
      <c r="AB142" s="2075"/>
      <c r="AC142" s="2075"/>
      <c r="AD142" s="2075"/>
      <c r="AE142" s="2075"/>
      <c r="AF142" s="2075"/>
      <c r="AG142" s="2075"/>
      <c r="AH142" s="2075"/>
      <c r="AI142" s="2075"/>
      <c r="AJ142" s="2075"/>
      <c r="AK142" s="2075"/>
      <c r="AL142" s="2075"/>
      <c r="AM142" s="2075"/>
      <c r="AN142" s="2075"/>
      <c r="AO142" s="2076"/>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40"/>
      <c r="D143" s="1840"/>
      <c r="E143" s="1840"/>
      <c r="F143" s="1840"/>
      <c r="G143" s="1840"/>
      <c r="H143" s="1840"/>
      <c r="I143" s="2070"/>
      <c r="J143" s="2070"/>
      <c r="K143" s="2070"/>
      <c r="L143" s="2070"/>
      <c r="M143" s="2070"/>
      <c r="N143" s="2070"/>
      <c r="O143" s="1005"/>
      <c r="P143" s="2074"/>
      <c r="Q143" s="2075"/>
      <c r="R143" s="2075"/>
      <c r="S143" s="2075"/>
      <c r="T143" s="2075"/>
      <c r="U143" s="2075"/>
      <c r="V143" s="2075"/>
      <c r="W143" s="2075"/>
      <c r="X143" s="2075"/>
      <c r="Y143" s="2075"/>
      <c r="Z143" s="2075"/>
      <c r="AA143" s="2075"/>
      <c r="AB143" s="2075"/>
      <c r="AC143" s="2075"/>
      <c r="AD143" s="2075"/>
      <c r="AE143" s="2075"/>
      <c r="AF143" s="2075"/>
      <c r="AG143" s="2075"/>
      <c r="AH143" s="2075"/>
      <c r="AI143" s="2075"/>
      <c r="AJ143" s="2075"/>
      <c r="AK143" s="2075"/>
      <c r="AL143" s="2075"/>
      <c r="AM143" s="2075"/>
      <c r="AN143" s="2075"/>
      <c r="AO143" s="2076"/>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40"/>
      <c r="D144" s="1840"/>
      <c r="E144" s="1840"/>
      <c r="F144" s="1840"/>
      <c r="G144" s="1840"/>
      <c r="H144" s="1840"/>
      <c r="I144" s="2070"/>
      <c r="J144" s="2070"/>
      <c r="K144" s="2070"/>
      <c r="L144" s="2070"/>
      <c r="M144" s="2070"/>
      <c r="N144" s="2070"/>
      <c r="O144" s="1005"/>
      <c r="P144" s="2074"/>
      <c r="Q144" s="2075"/>
      <c r="R144" s="2075"/>
      <c r="S144" s="2075"/>
      <c r="T144" s="2075"/>
      <c r="U144" s="2075"/>
      <c r="V144" s="2075"/>
      <c r="W144" s="2075"/>
      <c r="X144" s="2075"/>
      <c r="Y144" s="2075"/>
      <c r="Z144" s="2075"/>
      <c r="AA144" s="2075"/>
      <c r="AB144" s="2075"/>
      <c r="AC144" s="2075"/>
      <c r="AD144" s="2075"/>
      <c r="AE144" s="2075"/>
      <c r="AF144" s="2075"/>
      <c r="AG144" s="2075"/>
      <c r="AH144" s="2075"/>
      <c r="AI144" s="2075"/>
      <c r="AJ144" s="2075"/>
      <c r="AK144" s="2075"/>
      <c r="AL144" s="2075"/>
      <c r="AM144" s="2075"/>
      <c r="AN144" s="2075"/>
      <c r="AO144" s="2076"/>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40"/>
      <c r="D145" s="1840"/>
      <c r="E145" s="1840"/>
      <c r="F145" s="1840"/>
      <c r="G145" s="1840"/>
      <c r="H145" s="1840"/>
      <c r="I145" s="2070"/>
      <c r="J145" s="2070"/>
      <c r="K145" s="2070"/>
      <c r="L145" s="2070"/>
      <c r="M145" s="2070"/>
      <c r="N145" s="2070"/>
      <c r="O145" s="1005"/>
      <c r="P145" s="2074"/>
      <c r="Q145" s="2075"/>
      <c r="R145" s="2075"/>
      <c r="S145" s="2075"/>
      <c r="T145" s="2075"/>
      <c r="U145" s="2075"/>
      <c r="V145" s="2075"/>
      <c r="W145" s="2075"/>
      <c r="X145" s="2075"/>
      <c r="Y145" s="2075"/>
      <c r="Z145" s="2075"/>
      <c r="AA145" s="2075"/>
      <c r="AB145" s="2075"/>
      <c r="AC145" s="2075"/>
      <c r="AD145" s="2075"/>
      <c r="AE145" s="2075"/>
      <c r="AF145" s="2075"/>
      <c r="AG145" s="2075"/>
      <c r="AH145" s="2075"/>
      <c r="AI145" s="2075"/>
      <c r="AJ145" s="2075"/>
      <c r="AK145" s="2075"/>
      <c r="AL145" s="2075"/>
      <c r="AM145" s="2075"/>
      <c r="AN145" s="2075"/>
      <c r="AO145" s="2076"/>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40"/>
      <c r="D146" s="1840"/>
      <c r="E146" s="1840"/>
      <c r="F146" s="1840"/>
      <c r="G146" s="1840"/>
      <c r="H146" s="1840"/>
      <c r="I146" s="2070"/>
      <c r="J146" s="2070"/>
      <c r="K146" s="2070"/>
      <c r="L146" s="2070"/>
      <c r="M146" s="2070"/>
      <c r="N146" s="2070"/>
      <c r="O146" s="1005"/>
      <c r="P146" s="2074"/>
      <c r="Q146" s="2075"/>
      <c r="R146" s="2075"/>
      <c r="S146" s="2075"/>
      <c r="T146" s="2075"/>
      <c r="U146" s="2075"/>
      <c r="V146" s="2075"/>
      <c r="W146" s="2075"/>
      <c r="X146" s="2075"/>
      <c r="Y146" s="2075"/>
      <c r="Z146" s="2075"/>
      <c r="AA146" s="2075"/>
      <c r="AB146" s="2075"/>
      <c r="AC146" s="2075"/>
      <c r="AD146" s="2075"/>
      <c r="AE146" s="2075"/>
      <c r="AF146" s="2075"/>
      <c r="AG146" s="2075"/>
      <c r="AH146" s="2075"/>
      <c r="AI146" s="2075"/>
      <c r="AJ146" s="2075"/>
      <c r="AK146" s="2075"/>
      <c r="AL146" s="2075"/>
      <c r="AM146" s="2075"/>
      <c r="AN146" s="2075"/>
      <c r="AO146" s="2076"/>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40"/>
      <c r="D147" s="1840"/>
      <c r="E147" s="1840"/>
      <c r="F147" s="1840"/>
      <c r="G147" s="1840"/>
      <c r="H147" s="1840"/>
      <c r="I147" s="2070"/>
      <c r="J147" s="2070"/>
      <c r="K147" s="2070"/>
      <c r="L147" s="2070"/>
      <c r="M147" s="2070"/>
      <c r="N147" s="2070"/>
      <c r="O147" s="1005"/>
      <c r="P147" s="2074"/>
      <c r="Q147" s="2075"/>
      <c r="R147" s="2075"/>
      <c r="S147" s="2075"/>
      <c r="T147" s="2075"/>
      <c r="U147" s="2075"/>
      <c r="V147" s="2075"/>
      <c r="W147" s="2075"/>
      <c r="X147" s="2075"/>
      <c r="Y147" s="2075"/>
      <c r="Z147" s="2075"/>
      <c r="AA147" s="2075"/>
      <c r="AB147" s="2075"/>
      <c r="AC147" s="2075"/>
      <c r="AD147" s="2075"/>
      <c r="AE147" s="2075"/>
      <c r="AF147" s="2075"/>
      <c r="AG147" s="2075"/>
      <c r="AH147" s="2075"/>
      <c r="AI147" s="2075"/>
      <c r="AJ147" s="2075"/>
      <c r="AK147" s="2075"/>
      <c r="AL147" s="2075"/>
      <c r="AM147" s="2075"/>
      <c r="AN147" s="2075"/>
      <c r="AO147" s="2076"/>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40"/>
      <c r="D148" s="1840"/>
      <c r="E148" s="1840"/>
      <c r="F148" s="1840"/>
      <c r="G148" s="1840"/>
      <c r="H148" s="1840"/>
      <c r="I148" s="2070"/>
      <c r="J148" s="2070"/>
      <c r="K148" s="2070"/>
      <c r="L148" s="2070"/>
      <c r="M148" s="2070"/>
      <c r="N148" s="2070"/>
      <c r="O148" s="1005"/>
      <c r="P148" s="2074"/>
      <c r="Q148" s="2075"/>
      <c r="R148" s="2075"/>
      <c r="S148" s="2075"/>
      <c r="T148" s="2075"/>
      <c r="U148" s="2075"/>
      <c r="V148" s="2075"/>
      <c r="W148" s="2075"/>
      <c r="X148" s="2075"/>
      <c r="Y148" s="2075"/>
      <c r="Z148" s="2075"/>
      <c r="AA148" s="2075"/>
      <c r="AB148" s="2075"/>
      <c r="AC148" s="2075"/>
      <c r="AD148" s="2075"/>
      <c r="AE148" s="2075"/>
      <c r="AF148" s="2075"/>
      <c r="AG148" s="2075"/>
      <c r="AH148" s="2075"/>
      <c r="AI148" s="2075"/>
      <c r="AJ148" s="2075"/>
      <c r="AK148" s="2075"/>
      <c r="AL148" s="2075"/>
      <c r="AM148" s="2075"/>
      <c r="AN148" s="2075"/>
      <c r="AO148" s="2076"/>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40"/>
      <c r="D149" s="1840"/>
      <c r="E149" s="1840"/>
      <c r="F149" s="1840"/>
      <c r="G149" s="1840"/>
      <c r="H149" s="1840"/>
      <c r="I149" s="2070"/>
      <c r="J149" s="2070"/>
      <c r="K149" s="2070"/>
      <c r="L149" s="2070"/>
      <c r="M149" s="2070"/>
      <c r="N149" s="2070"/>
      <c r="O149" s="1005"/>
      <c r="P149" s="2077"/>
      <c r="Q149" s="2078"/>
      <c r="R149" s="2078"/>
      <c r="S149" s="2078"/>
      <c r="T149" s="2078"/>
      <c r="U149" s="2078"/>
      <c r="V149" s="2078"/>
      <c r="W149" s="2078"/>
      <c r="X149" s="2078"/>
      <c r="Y149" s="2078"/>
      <c r="Z149" s="2078"/>
      <c r="AA149" s="2078"/>
      <c r="AB149" s="2078"/>
      <c r="AC149" s="2078"/>
      <c r="AD149" s="2078"/>
      <c r="AE149" s="2078"/>
      <c r="AF149" s="2078"/>
      <c r="AG149" s="2078"/>
      <c r="AH149" s="2078"/>
      <c r="AI149" s="2078"/>
      <c r="AJ149" s="2078"/>
      <c r="AK149" s="2078"/>
      <c r="AL149" s="2078"/>
      <c r="AM149" s="2078"/>
      <c r="AN149" s="2078"/>
      <c r="AO149" s="2079"/>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2030</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2089"/>
      <c r="D153" s="2090"/>
      <c r="E153" s="2090"/>
      <c r="F153" s="2090"/>
      <c r="G153" s="2090"/>
      <c r="H153" s="2090"/>
      <c r="I153" s="2090"/>
      <c r="J153" s="2090"/>
      <c r="K153" s="2090"/>
      <c r="L153" s="2090"/>
      <c r="M153" s="2091"/>
      <c r="N153" s="2092" t="s">
        <v>2031</v>
      </c>
      <c r="O153" s="2092"/>
      <c r="P153" s="2092"/>
      <c r="Q153" s="2092"/>
      <c r="R153" s="2092"/>
      <c r="S153" s="2092"/>
      <c r="T153" s="2093"/>
      <c r="U153" s="2094" t="s">
        <v>2018</v>
      </c>
      <c r="V153" s="1881"/>
      <c r="W153" s="1881"/>
      <c r="X153" s="1881"/>
      <c r="Y153" s="1881"/>
      <c r="Z153" s="1881"/>
      <c r="AA153" s="1881"/>
      <c r="AB153" s="1881"/>
      <c r="AC153" s="1881"/>
      <c r="AD153" s="1881"/>
      <c r="AE153" s="1882"/>
      <c r="AF153" s="1005"/>
      <c r="AG153" s="1005"/>
      <c r="AH153" s="1732" t="s">
        <v>1460</v>
      </c>
      <c r="AI153" s="1733"/>
      <c r="AJ153" s="1733"/>
      <c r="AK153" s="1733"/>
      <c r="AL153" s="1733"/>
      <c r="AM153" s="1733"/>
      <c r="AN153" s="1733"/>
      <c r="AO153" s="1733"/>
      <c r="AP153" s="1733"/>
      <c r="AQ153" s="1733"/>
      <c r="AR153" s="1733"/>
      <c r="AS153" s="2080">
        <v>6500000</v>
      </c>
      <c r="AT153" s="2080"/>
      <c r="AU153" s="2080"/>
      <c r="AV153" s="2080"/>
      <c r="AW153" s="2080"/>
      <c r="AX153" s="1005"/>
      <c r="AY153" s="1005"/>
      <c r="AZ153" s="1005"/>
      <c r="BA153" s="1005"/>
      <c r="BB153" s="1005"/>
      <c r="BC153" s="1005"/>
      <c r="BD153" s="1005"/>
      <c r="BE153" s="1011"/>
    </row>
    <row r="154" spans="1:57" ht="15.75" customHeight="1">
      <c r="A154" s="1005"/>
      <c r="B154" s="1005"/>
      <c r="C154" s="2046" t="s">
        <v>2032</v>
      </c>
      <c r="D154" s="2047"/>
      <c r="E154" s="2047"/>
      <c r="F154" s="2047"/>
      <c r="G154" s="2047"/>
      <c r="H154" s="2047"/>
      <c r="I154" s="2047"/>
      <c r="J154" s="2047"/>
      <c r="K154" s="2047"/>
      <c r="L154" s="2047"/>
      <c r="M154" s="2081"/>
      <c r="N154" s="2082">
        <f>'Sources and Uses Budget'!B105</f>
        <v>48117710</v>
      </c>
      <c r="O154" s="2082"/>
      <c r="P154" s="2082"/>
      <c r="Q154" s="2082"/>
      <c r="R154" s="2082"/>
      <c r="S154" s="2082"/>
      <c r="T154" s="2083"/>
      <c r="U154" s="2084"/>
      <c r="V154" s="2085"/>
      <c r="W154" s="2085"/>
      <c r="X154" s="2085"/>
      <c r="Y154" s="2085"/>
      <c r="Z154" s="2085"/>
      <c r="AA154" s="2085"/>
      <c r="AB154" s="2085"/>
      <c r="AC154" s="2085"/>
      <c r="AD154" s="2085"/>
      <c r="AE154" s="2086"/>
      <c r="AF154" s="1005"/>
      <c r="AG154" s="1005"/>
      <c r="AH154" s="2087" t="s">
        <v>2033</v>
      </c>
      <c r="AI154" s="2088"/>
      <c r="AJ154" s="2088"/>
      <c r="AK154" s="2088"/>
      <c r="AL154" s="2088"/>
      <c r="AM154" s="2088"/>
      <c r="AN154" s="2088"/>
      <c r="AO154" s="2088"/>
      <c r="AP154" s="2088"/>
      <c r="AQ154" s="2088"/>
      <c r="AR154" s="2088"/>
      <c r="AS154" s="2080">
        <v>0</v>
      </c>
      <c r="AT154" s="2080"/>
      <c r="AU154" s="2080"/>
      <c r="AV154" s="2080"/>
      <c r="AW154" s="2080"/>
      <c r="AX154" s="1005"/>
      <c r="AY154" s="1005"/>
      <c r="AZ154" s="1005"/>
      <c r="BA154" s="1005"/>
      <c r="BB154" s="1005"/>
      <c r="BC154" s="1005"/>
      <c r="BD154" s="1005"/>
      <c r="BE154" s="1011"/>
    </row>
    <row r="155" spans="1:57" ht="15.75" customHeight="1">
      <c r="A155" s="1005"/>
      <c r="B155" s="1005"/>
      <c r="C155" s="2046" t="s">
        <v>2034</v>
      </c>
      <c r="D155" s="2047"/>
      <c r="E155" s="2047"/>
      <c r="F155" s="2047"/>
      <c r="G155" s="2047"/>
      <c r="H155" s="2047"/>
      <c r="I155" s="2047"/>
      <c r="J155" s="2047"/>
      <c r="K155" s="2047"/>
      <c r="L155" s="2047"/>
      <c r="M155" s="2081"/>
      <c r="N155" s="2082">
        <f>N154/J29</f>
        <v>400980.91666666669</v>
      </c>
      <c r="O155" s="2082"/>
      <c r="P155" s="2082"/>
      <c r="Q155" s="2082"/>
      <c r="R155" s="2082"/>
      <c r="S155" s="2082"/>
      <c r="T155" s="2083"/>
      <c r="U155" s="1028"/>
      <c r="V155" s="1028"/>
      <c r="W155" s="1028"/>
      <c r="X155" s="1028"/>
      <c r="Y155" s="1028"/>
      <c r="Z155" s="1028"/>
      <c r="AA155" s="1028"/>
      <c r="AB155" s="1028"/>
      <c r="AC155" s="1028"/>
      <c r="AD155" s="1028"/>
      <c r="AE155" s="1029"/>
      <c r="AF155" s="1005"/>
      <c r="AG155" s="1005"/>
      <c r="AH155" s="2036" t="s">
        <v>2035</v>
      </c>
      <c r="AI155" s="2037"/>
      <c r="AJ155" s="2037"/>
      <c r="AK155" s="2037"/>
      <c r="AL155" s="2037"/>
      <c r="AM155" s="2037"/>
      <c r="AN155" s="2037"/>
      <c r="AO155" s="2037"/>
      <c r="AP155" s="2037"/>
      <c r="AQ155" s="2037"/>
      <c r="AR155" s="2038"/>
      <c r="AS155" s="2080">
        <v>2500000</v>
      </c>
      <c r="AT155" s="2080"/>
      <c r="AU155" s="2080"/>
      <c r="AV155" s="2080"/>
      <c r="AW155" s="2080"/>
      <c r="AX155" s="1005"/>
      <c r="AY155" s="1005"/>
      <c r="AZ155" s="1005"/>
      <c r="BA155" s="1005"/>
      <c r="BB155" s="1005"/>
      <c r="BC155" s="1005"/>
      <c r="BD155" s="1005"/>
      <c r="BE155" s="1011"/>
    </row>
    <row r="156" spans="1:57" ht="15.75" customHeight="1">
      <c r="A156" s="1005"/>
      <c r="B156" s="1005"/>
      <c r="C156" s="2104" t="s">
        <v>2036</v>
      </c>
      <c r="D156" s="1901"/>
      <c r="E156" s="1901"/>
      <c r="F156" s="1901"/>
      <c r="G156" s="1901"/>
      <c r="H156" s="1901"/>
      <c r="I156" s="1901"/>
      <c r="J156" s="1901"/>
      <c r="K156" s="1901"/>
      <c r="L156" s="1901"/>
      <c r="M156" s="1902"/>
      <c r="N156" s="2105">
        <v>0</v>
      </c>
      <c r="O156" s="2105"/>
      <c r="P156" s="2105"/>
      <c r="Q156" s="2105"/>
      <c r="R156" s="2105"/>
      <c r="S156" s="2105"/>
      <c r="T156" s="2106"/>
      <c r="U156" s="2107"/>
      <c r="V156" s="2108"/>
      <c r="W156" s="2108"/>
      <c r="X156" s="2108"/>
      <c r="Y156" s="2108"/>
      <c r="Z156" s="2108"/>
      <c r="AA156" s="2108"/>
      <c r="AB156" s="2108"/>
      <c r="AC156" s="2108"/>
      <c r="AD156" s="2108"/>
      <c r="AE156" s="2109"/>
      <c r="AF156" s="1005"/>
      <c r="AG156" s="1005"/>
      <c r="AH156" s="2084"/>
      <c r="AI156" s="2085"/>
      <c r="AJ156" s="2085"/>
      <c r="AK156" s="2085"/>
      <c r="AL156" s="2085"/>
      <c r="AM156" s="2085"/>
      <c r="AN156" s="2085"/>
      <c r="AO156" s="2085"/>
      <c r="AP156" s="2085"/>
      <c r="AQ156" s="2085"/>
      <c r="AR156" s="2110"/>
      <c r="AS156" s="2111"/>
      <c r="AT156" s="2112"/>
      <c r="AU156" s="2112"/>
      <c r="AV156" s="2112"/>
      <c r="AW156" s="2113"/>
      <c r="AX156" s="1005"/>
      <c r="AY156" s="1005"/>
      <c r="AZ156" s="1005"/>
      <c r="BA156" s="1005"/>
      <c r="BB156" s="1005"/>
      <c r="BC156" s="1005"/>
      <c r="BD156" s="1005"/>
      <c r="BE156" s="1011"/>
    </row>
    <row r="157" spans="1:57" ht="15.75" customHeight="1" thickBot="1">
      <c r="A157" s="1005"/>
      <c r="B157" s="1005"/>
      <c r="C157" s="2036" t="s">
        <v>2037</v>
      </c>
      <c r="D157" s="2037"/>
      <c r="E157" s="2037"/>
      <c r="F157" s="2037"/>
      <c r="G157" s="2037"/>
      <c r="H157" s="2037"/>
      <c r="I157" s="2037"/>
      <c r="J157" s="2037"/>
      <c r="K157" s="2037"/>
      <c r="L157" s="2037"/>
      <c r="M157" s="2095"/>
      <c r="N157" s="2096">
        <f>SUM('Sources and Uses Budget'!B85:B86)</f>
        <v>5274518</v>
      </c>
      <c r="O157" s="2096"/>
      <c r="P157" s="2096"/>
      <c r="Q157" s="2096"/>
      <c r="R157" s="2096"/>
      <c r="S157" s="2096"/>
      <c r="T157" s="2097"/>
      <c r="U157" s="2098"/>
      <c r="V157" s="2099"/>
      <c r="W157" s="2099"/>
      <c r="X157" s="2099"/>
      <c r="Y157" s="2099"/>
      <c r="Z157" s="2099"/>
      <c r="AA157" s="2099"/>
      <c r="AB157" s="2099"/>
      <c r="AC157" s="2099"/>
      <c r="AD157" s="2099"/>
      <c r="AE157" s="2100"/>
      <c r="AF157" s="1005"/>
      <c r="AG157" s="1005"/>
      <c r="AH157" s="2101" t="s">
        <v>2038</v>
      </c>
      <c r="AI157" s="2102"/>
      <c r="AJ157" s="2102"/>
      <c r="AK157" s="2102"/>
      <c r="AL157" s="2102"/>
      <c r="AM157" s="2102"/>
      <c r="AN157" s="2102"/>
      <c r="AO157" s="2102"/>
      <c r="AP157" s="2102"/>
      <c r="AQ157" s="2102"/>
      <c r="AR157" s="2102"/>
      <c r="AS157" s="2103">
        <f>SUM(AS153:AW155)</f>
        <v>9000000</v>
      </c>
      <c r="AT157" s="2103"/>
      <c r="AU157" s="2103"/>
      <c r="AV157" s="2103"/>
      <c r="AW157" s="2103"/>
      <c r="AX157" s="1005"/>
      <c r="AY157" s="1005"/>
      <c r="AZ157" s="1005"/>
      <c r="BA157" s="1005"/>
      <c r="BB157" s="1005"/>
      <c r="BC157" s="1005"/>
      <c r="BD157" s="1005"/>
      <c r="BE157" s="1011"/>
    </row>
    <row r="158" spans="1:57" ht="15.75" customHeight="1" thickBot="1">
      <c r="A158" s="1005"/>
      <c r="B158" s="1005"/>
      <c r="C158" s="2036" t="s">
        <v>2039</v>
      </c>
      <c r="D158" s="2037"/>
      <c r="E158" s="2037"/>
      <c r="F158" s="2037"/>
      <c r="G158" s="2037"/>
      <c r="H158" s="2037"/>
      <c r="I158" s="2037"/>
      <c r="J158" s="2037"/>
      <c r="K158" s="2037"/>
      <c r="L158" s="2037"/>
      <c r="M158" s="2095"/>
      <c r="N158" s="2096">
        <f>'Sources and Uses Budget'!B8</f>
        <v>3505000</v>
      </c>
      <c r="O158" s="2096"/>
      <c r="P158" s="2096"/>
      <c r="Q158" s="2096"/>
      <c r="R158" s="2096"/>
      <c r="S158" s="2096"/>
      <c r="T158" s="2097"/>
      <c r="U158" s="2098"/>
      <c r="V158" s="2099"/>
      <c r="W158" s="2099"/>
      <c r="X158" s="2099"/>
      <c r="Y158" s="2099"/>
      <c r="Z158" s="2099"/>
      <c r="AA158" s="2099"/>
      <c r="AB158" s="2099"/>
      <c r="AC158" s="2099"/>
      <c r="AD158" s="2099"/>
      <c r="AE158" s="2100"/>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2036" t="s">
        <v>2040</v>
      </c>
      <c r="D159" s="2037"/>
      <c r="E159" s="2037"/>
      <c r="F159" s="2037"/>
      <c r="G159" s="2037"/>
      <c r="H159" s="2037"/>
      <c r="I159" s="2037"/>
      <c r="J159" s="2037"/>
      <c r="K159" s="2037"/>
      <c r="L159" s="2037"/>
      <c r="M159" s="2095"/>
      <c r="N159" s="2114">
        <v>0</v>
      </c>
      <c r="O159" s="2114"/>
      <c r="P159" s="2114"/>
      <c r="Q159" s="2114"/>
      <c r="R159" s="2114"/>
      <c r="S159" s="2114"/>
      <c r="T159" s="2115"/>
      <c r="U159" s="2098"/>
      <c r="V159" s="2099"/>
      <c r="W159" s="2099"/>
      <c r="X159" s="2099"/>
      <c r="Y159" s="2099"/>
      <c r="Z159" s="2099"/>
      <c r="AA159" s="2099"/>
      <c r="AB159" s="2099"/>
      <c r="AC159" s="2099"/>
      <c r="AD159" s="2099"/>
      <c r="AE159" s="2100"/>
      <c r="AF159" s="1005"/>
      <c r="AG159" s="1005"/>
      <c r="AH159" s="1732" t="s">
        <v>2041</v>
      </c>
      <c r="AI159" s="1733"/>
      <c r="AJ159" s="1733"/>
      <c r="AK159" s="1733"/>
      <c r="AL159" s="1733"/>
      <c r="AM159" s="1733"/>
      <c r="AN159" s="1733"/>
      <c r="AO159" s="1733"/>
      <c r="AP159" s="1733"/>
      <c r="AQ159" s="1733"/>
      <c r="AR159" s="1733"/>
      <c r="AS159" s="2120" t="s">
        <v>2042</v>
      </c>
      <c r="AT159" s="2120"/>
      <c r="AU159" s="2120"/>
      <c r="AV159" s="2120"/>
      <c r="AW159" s="2120"/>
      <c r="AX159" s="2120"/>
      <c r="AY159" s="2120" t="s">
        <v>2043</v>
      </c>
      <c r="AZ159" s="2120"/>
      <c r="BA159" s="2120"/>
      <c r="BB159" s="2120"/>
      <c r="BC159" s="2120"/>
      <c r="BD159" s="2121"/>
      <c r="BE159" s="1011"/>
    </row>
    <row r="160" spans="1:57" ht="15.75" customHeight="1">
      <c r="A160" s="1005"/>
      <c r="B160" s="1005"/>
      <c r="C160" s="2036" t="s">
        <v>2033</v>
      </c>
      <c r="D160" s="2037"/>
      <c r="E160" s="2037"/>
      <c r="F160" s="2037"/>
      <c r="G160" s="2037"/>
      <c r="H160" s="2037"/>
      <c r="I160" s="2037"/>
      <c r="J160" s="2037"/>
      <c r="K160" s="2037"/>
      <c r="L160" s="2037"/>
      <c r="M160" s="2095"/>
      <c r="N160" s="2114">
        <v>0</v>
      </c>
      <c r="O160" s="2114"/>
      <c r="P160" s="2114"/>
      <c r="Q160" s="2114"/>
      <c r="R160" s="2114"/>
      <c r="S160" s="2114"/>
      <c r="T160" s="2115"/>
      <c r="U160" s="2098"/>
      <c r="V160" s="2099"/>
      <c r="W160" s="2099"/>
      <c r="X160" s="2099"/>
      <c r="Y160" s="2099"/>
      <c r="Z160" s="2099"/>
      <c r="AA160" s="2099"/>
      <c r="AB160" s="2099"/>
      <c r="AC160" s="2099"/>
      <c r="AD160" s="2099"/>
      <c r="AE160" s="2100"/>
      <c r="AF160" s="1005"/>
      <c r="AG160" s="1005"/>
      <c r="AH160" s="2116" t="s">
        <v>2044</v>
      </c>
      <c r="AI160" s="2117"/>
      <c r="AJ160" s="2117"/>
      <c r="AK160" s="2117"/>
      <c r="AL160" s="2117"/>
      <c r="AM160" s="2117"/>
      <c r="AN160" s="2117"/>
      <c r="AO160" s="2117"/>
      <c r="AP160" s="2117"/>
      <c r="AQ160" s="2117"/>
      <c r="AR160" s="2117"/>
      <c r="AS160" s="2118">
        <v>1000000</v>
      </c>
      <c r="AT160" s="2118"/>
      <c r="AU160" s="2118"/>
      <c r="AV160" s="2118"/>
      <c r="AW160" s="2118"/>
      <c r="AX160" s="2118"/>
      <c r="AY160" s="2118">
        <v>500000</v>
      </c>
      <c r="AZ160" s="2118"/>
      <c r="BA160" s="2118"/>
      <c r="BB160" s="2118"/>
      <c r="BC160" s="2118"/>
      <c r="BD160" s="2119"/>
      <c r="BE160" s="1011"/>
    </row>
    <row r="161" spans="1:57" ht="15.75" customHeight="1">
      <c r="A161" s="1005"/>
      <c r="B161" s="1005"/>
      <c r="C161" s="2123" t="s">
        <v>1127</v>
      </c>
      <c r="D161" s="2124"/>
      <c r="E161" s="2059" t="s">
        <v>2025</v>
      </c>
      <c r="F161" s="2059"/>
      <c r="G161" s="2059"/>
      <c r="H161" s="2059"/>
      <c r="I161" s="2059"/>
      <c r="J161" s="2059"/>
      <c r="K161" s="2059"/>
      <c r="L161" s="2059"/>
      <c r="M161" s="2122"/>
      <c r="N161" s="2114">
        <v>0</v>
      </c>
      <c r="O161" s="2114"/>
      <c r="P161" s="2114"/>
      <c r="Q161" s="2114"/>
      <c r="R161" s="2114"/>
      <c r="S161" s="2114"/>
      <c r="T161" s="2115"/>
      <c r="U161" s="2098"/>
      <c r="V161" s="2099"/>
      <c r="W161" s="2099"/>
      <c r="X161" s="2099"/>
      <c r="Y161" s="2099"/>
      <c r="Z161" s="2099"/>
      <c r="AA161" s="2099"/>
      <c r="AB161" s="2099"/>
      <c r="AC161" s="2099"/>
      <c r="AD161" s="2099"/>
      <c r="AE161" s="2100"/>
      <c r="AF161" s="1005"/>
      <c r="AG161" s="1005"/>
      <c r="AH161" s="2116" t="s">
        <v>2045</v>
      </c>
      <c r="AI161" s="2117"/>
      <c r="AJ161" s="2117"/>
      <c r="AK161" s="2117"/>
      <c r="AL161" s="2117"/>
      <c r="AM161" s="2117"/>
      <c r="AN161" s="2117"/>
      <c r="AO161" s="2117"/>
      <c r="AP161" s="2117"/>
      <c r="AQ161" s="2117"/>
      <c r="AR161" s="2117"/>
      <c r="AS161" s="2118">
        <v>2000000</v>
      </c>
      <c r="AT161" s="2118"/>
      <c r="AU161" s="2118"/>
      <c r="AV161" s="2118"/>
      <c r="AW161" s="2118"/>
      <c r="AX161" s="2118"/>
      <c r="AY161" s="2118">
        <v>250000</v>
      </c>
      <c r="AZ161" s="2118"/>
      <c r="BA161" s="2118"/>
      <c r="BB161" s="2118"/>
      <c r="BC161" s="2118"/>
      <c r="BD161" s="2119"/>
      <c r="BE161" s="1011"/>
    </row>
    <row r="162" spans="1:57" ht="15.75" customHeight="1">
      <c r="A162" s="1005"/>
      <c r="B162" s="1005"/>
      <c r="C162" s="2107" t="s">
        <v>1127</v>
      </c>
      <c r="D162" s="2108"/>
      <c r="E162" s="2059" t="s">
        <v>2025</v>
      </c>
      <c r="F162" s="2059"/>
      <c r="G162" s="2059"/>
      <c r="H162" s="2059"/>
      <c r="I162" s="2059"/>
      <c r="J162" s="2059"/>
      <c r="K162" s="2059"/>
      <c r="L162" s="2059"/>
      <c r="M162" s="2122"/>
      <c r="N162" s="2114">
        <v>0</v>
      </c>
      <c r="O162" s="2114"/>
      <c r="P162" s="2114"/>
      <c r="Q162" s="2114"/>
      <c r="R162" s="2114"/>
      <c r="S162" s="2114"/>
      <c r="T162" s="2115"/>
      <c r="U162" s="2098"/>
      <c r="V162" s="2099"/>
      <c r="W162" s="2099"/>
      <c r="X162" s="2099"/>
      <c r="Y162" s="2099"/>
      <c r="Z162" s="2099"/>
      <c r="AA162" s="2099"/>
      <c r="AB162" s="2099"/>
      <c r="AC162" s="2099"/>
      <c r="AD162" s="2099"/>
      <c r="AE162" s="2100"/>
      <c r="AF162" s="1005"/>
      <c r="AG162" s="1005"/>
      <c r="AH162" s="2116" t="s">
        <v>2046</v>
      </c>
      <c r="AI162" s="2117"/>
      <c r="AJ162" s="2117"/>
      <c r="AK162" s="2117"/>
      <c r="AL162" s="2117"/>
      <c r="AM162" s="2117"/>
      <c r="AN162" s="2117"/>
      <c r="AO162" s="2117"/>
      <c r="AP162" s="2117"/>
      <c r="AQ162" s="2117"/>
      <c r="AR162" s="2117"/>
      <c r="AS162" s="2118">
        <v>25000000</v>
      </c>
      <c r="AT162" s="2118"/>
      <c r="AU162" s="2118"/>
      <c r="AV162" s="2118"/>
      <c r="AW162" s="2118"/>
      <c r="AX162" s="2118"/>
      <c r="AY162" s="2118">
        <v>1500000</v>
      </c>
      <c r="AZ162" s="2118"/>
      <c r="BA162" s="2118"/>
      <c r="BB162" s="2118"/>
      <c r="BC162" s="2118"/>
      <c r="BD162" s="2119"/>
      <c r="BE162" s="1011"/>
    </row>
    <row r="163" spans="1:57" ht="15.75" customHeight="1" thickBot="1">
      <c r="A163" s="1005"/>
      <c r="B163" s="1005"/>
      <c r="C163" s="2131" t="s">
        <v>1127</v>
      </c>
      <c r="D163" s="2132"/>
      <c r="E163" s="2066" t="s">
        <v>2025</v>
      </c>
      <c r="F163" s="2066"/>
      <c r="G163" s="2066"/>
      <c r="H163" s="2066"/>
      <c r="I163" s="2066"/>
      <c r="J163" s="2066"/>
      <c r="K163" s="2066"/>
      <c r="L163" s="2066"/>
      <c r="M163" s="2133"/>
      <c r="N163" s="2134">
        <v>0</v>
      </c>
      <c r="O163" s="2134"/>
      <c r="P163" s="2134"/>
      <c r="Q163" s="2134"/>
      <c r="R163" s="2134"/>
      <c r="S163" s="2134"/>
      <c r="T163" s="2135"/>
      <c r="U163" s="2136"/>
      <c r="V163" s="2137"/>
      <c r="W163" s="2137"/>
      <c r="X163" s="2137"/>
      <c r="Y163" s="2137"/>
      <c r="Z163" s="2137"/>
      <c r="AA163" s="2137"/>
      <c r="AB163" s="2137"/>
      <c r="AC163" s="2137"/>
      <c r="AD163" s="2137"/>
      <c r="AE163" s="2138"/>
      <c r="AF163" s="1005"/>
      <c r="AG163" s="1005"/>
      <c r="AH163" s="2116" t="s">
        <v>2047</v>
      </c>
      <c r="AI163" s="2117"/>
      <c r="AJ163" s="2117"/>
      <c r="AK163" s="2117"/>
      <c r="AL163" s="2117"/>
      <c r="AM163" s="2117"/>
      <c r="AN163" s="2117"/>
      <c r="AO163" s="2117"/>
      <c r="AP163" s="2117"/>
      <c r="AQ163" s="2117"/>
      <c r="AR163" s="2117"/>
      <c r="AS163" s="2118">
        <v>1500000</v>
      </c>
      <c r="AT163" s="2118"/>
      <c r="AU163" s="2118"/>
      <c r="AV163" s="2118"/>
      <c r="AW163" s="2118"/>
      <c r="AX163" s="2118"/>
      <c r="AY163" s="2118">
        <v>250000</v>
      </c>
      <c r="AZ163" s="2118"/>
      <c r="BA163" s="2118"/>
      <c r="BB163" s="2118"/>
      <c r="BC163" s="2118"/>
      <c r="BD163" s="2119"/>
      <c r="BE163" s="1011"/>
    </row>
    <row r="164" spans="1:57" ht="15.75" customHeight="1">
      <c r="A164" s="1005"/>
      <c r="B164" s="1005"/>
      <c r="C164" s="2125" t="s">
        <v>2048</v>
      </c>
      <c r="D164" s="2126"/>
      <c r="E164" s="2126"/>
      <c r="F164" s="2126"/>
      <c r="G164" s="2126"/>
      <c r="H164" s="2126"/>
      <c r="I164" s="2126"/>
      <c r="J164" s="2126"/>
      <c r="K164" s="2126"/>
      <c r="L164" s="2126"/>
      <c r="M164" s="2127"/>
      <c r="N164" s="2128">
        <f>SUM(N156:T163)</f>
        <v>8779518</v>
      </c>
      <c r="O164" s="2129"/>
      <c r="P164" s="2129"/>
      <c r="Q164" s="2129"/>
      <c r="R164" s="2129"/>
      <c r="S164" s="2129"/>
      <c r="T164" s="2130"/>
      <c r="U164" s="1005"/>
      <c r="V164" s="1005"/>
      <c r="W164" s="1005"/>
      <c r="X164" s="1005"/>
      <c r="Y164" s="1005"/>
      <c r="Z164" s="1005"/>
      <c r="AA164" s="1005"/>
      <c r="AB164" s="1005"/>
      <c r="AC164" s="1005"/>
      <c r="AD164" s="1005"/>
      <c r="AE164" s="1005"/>
      <c r="AF164" s="1005"/>
      <c r="AG164" s="1005"/>
      <c r="AH164" s="2116" t="s">
        <v>2049</v>
      </c>
      <c r="AI164" s="2117"/>
      <c r="AJ164" s="2117"/>
      <c r="AK164" s="2117"/>
      <c r="AL164" s="2117"/>
      <c r="AM164" s="2117"/>
      <c r="AN164" s="2117"/>
      <c r="AO164" s="2117"/>
      <c r="AP164" s="2117"/>
      <c r="AQ164" s="2117"/>
      <c r="AR164" s="2117"/>
      <c r="AS164" s="2118">
        <v>500000</v>
      </c>
      <c r="AT164" s="2118"/>
      <c r="AU164" s="2118"/>
      <c r="AV164" s="2118"/>
      <c r="AW164" s="2118"/>
      <c r="AX164" s="2118"/>
      <c r="AY164" s="2118">
        <v>0</v>
      </c>
      <c r="AZ164" s="2118"/>
      <c r="BA164" s="2118"/>
      <c r="BB164" s="2118"/>
      <c r="BC164" s="2118"/>
      <c r="BD164" s="2119"/>
      <c r="BE164" s="1011"/>
    </row>
    <row r="165" spans="1:57" ht="15.75" customHeight="1" thickBot="1">
      <c r="A165" s="1005"/>
      <c r="B165" s="1005"/>
      <c r="C165" s="1903" t="s">
        <v>2050</v>
      </c>
      <c r="D165" s="1904"/>
      <c r="E165" s="1904"/>
      <c r="F165" s="1904"/>
      <c r="G165" s="1904"/>
      <c r="H165" s="1904"/>
      <c r="I165" s="1904"/>
      <c r="J165" s="1904"/>
      <c r="K165" s="1904"/>
      <c r="L165" s="1904"/>
      <c r="M165" s="1904"/>
      <c r="N165" s="2152">
        <f>(N154-N164)/J29</f>
        <v>327818.26666666666</v>
      </c>
      <c r="O165" s="2152"/>
      <c r="P165" s="2152"/>
      <c r="Q165" s="2152"/>
      <c r="R165" s="2152"/>
      <c r="S165" s="2152"/>
      <c r="T165" s="2153"/>
      <c r="U165" s="1012"/>
      <c r="V165" s="1005"/>
      <c r="W165" s="1005"/>
      <c r="X165" s="1005"/>
      <c r="Y165" s="1005"/>
      <c r="Z165" s="1005"/>
      <c r="AA165" s="1005"/>
      <c r="AB165" s="1005"/>
      <c r="AC165" s="1005"/>
      <c r="AD165" s="1005"/>
      <c r="AE165" s="1005"/>
      <c r="AF165" s="1005"/>
      <c r="AG165" s="1005"/>
      <c r="AH165" s="2116" t="s">
        <v>2051</v>
      </c>
      <c r="AI165" s="2117"/>
      <c r="AJ165" s="2117"/>
      <c r="AK165" s="2117"/>
      <c r="AL165" s="2117"/>
      <c r="AM165" s="2117"/>
      <c r="AN165" s="2117"/>
      <c r="AO165" s="2117"/>
      <c r="AP165" s="2117"/>
      <c r="AQ165" s="2117"/>
      <c r="AR165" s="2117"/>
      <c r="AS165" s="2118">
        <v>0</v>
      </c>
      <c r="AT165" s="2118"/>
      <c r="AU165" s="2118"/>
      <c r="AV165" s="2118"/>
      <c r="AW165" s="2118"/>
      <c r="AX165" s="2118"/>
      <c r="AY165" s="2118">
        <v>0</v>
      </c>
      <c r="AZ165" s="2118"/>
      <c r="BA165" s="2118"/>
      <c r="BB165" s="2118"/>
      <c r="BC165" s="2118"/>
      <c r="BD165" s="2119"/>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918" t="s">
        <v>2052</v>
      </c>
      <c r="AI166" s="1919"/>
      <c r="AJ166" s="1919"/>
      <c r="AK166" s="1919"/>
      <c r="AL166" s="1919"/>
      <c r="AM166" s="1919"/>
      <c r="AN166" s="1919"/>
      <c r="AO166" s="1919"/>
      <c r="AP166" s="1919"/>
      <c r="AQ166" s="1919"/>
      <c r="AR166" s="1919"/>
      <c r="AS166" s="2154">
        <f>SUM(AS160:AX165)</f>
        <v>30000000</v>
      </c>
      <c r="AT166" s="2154"/>
      <c r="AU166" s="2154"/>
      <c r="AV166" s="2154"/>
      <c r="AW166" s="2154"/>
      <c r="AX166" s="2154"/>
      <c r="AY166" s="2154">
        <f>SUM(AY160:BD165)</f>
        <v>2500000</v>
      </c>
      <c r="AZ166" s="2154"/>
      <c r="BA166" s="2154"/>
      <c r="BB166" s="2154"/>
      <c r="BC166" s="2154"/>
      <c r="BD166" s="2155"/>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2139" t="s">
        <v>2053</v>
      </c>
      <c r="C168" s="2140"/>
      <c r="D168" s="2140"/>
      <c r="E168" s="2140"/>
      <c r="F168" s="2140"/>
      <c r="G168" s="2140"/>
      <c r="H168" s="2140"/>
      <c r="I168" s="2140"/>
      <c r="J168" s="2140"/>
      <c r="K168" s="2140"/>
      <c r="L168" s="2140"/>
      <c r="M168" s="2140"/>
      <c r="N168" s="2140"/>
      <c r="O168" s="2140"/>
      <c r="P168" s="2140"/>
      <c r="Q168" s="2140"/>
      <c r="R168" s="2140"/>
      <c r="S168" s="2140"/>
      <c r="T168" s="2140"/>
      <c r="U168" s="2140"/>
      <c r="V168" s="2140"/>
      <c r="W168" s="2140"/>
      <c r="X168" s="2140"/>
      <c r="Y168" s="2140"/>
      <c r="Z168" s="2140"/>
      <c r="AA168" s="2140"/>
      <c r="AB168" s="2140"/>
      <c r="AC168" s="2140"/>
      <c r="AD168" s="2140"/>
      <c r="AE168" s="2140"/>
      <c r="AF168" s="2140"/>
      <c r="AG168" s="2140"/>
      <c r="AH168" s="2140"/>
      <c r="AI168" s="2140"/>
      <c r="AJ168" s="2140"/>
      <c r="AK168" s="2140"/>
      <c r="AL168" s="2140"/>
      <c r="AM168" s="2140"/>
      <c r="AN168" s="2140"/>
      <c r="AO168" s="2140"/>
      <c r="AP168" s="2140"/>
      <c r="AQ168" s="2140"/>
      <c r="AR168" s="2140"/>
      <c r="AS168" s="2140"/>
      <c r="AT168" s="2140"/>
      <c r="AU168" s="2140"/>
      <c r="AV168" s="2140"/>
      <c r="AW168" s="2140"/>
      <c r="AX168" s="2140"/>
      <c r="AY168" s="2140"/>
      <c r="AZ168" s="2140"/>
      <c r="BA168" s="2140"/>
      <c r="BB168" s="2140"/>
      <c r="BC168" s="2140"/>
      <c r="BD168" s="2141"/>
      <c r="BE168" s="1011"/>
    </row>
    <row r="169" spans="1:57" ht="15.75" customHeight="1">
      <c r="A169" s="1005"/>
      <c r="B169" s="2142"/>
      <c r="C169" s="2143"/>
      <c r="D169" s="2143"/>
      <c r="E169" s="2143"/>
      <c r="F169" s="2143"/>
      <c r="G169" s="2143"/>
      <c r="H169" s="2143"/>
      <c r="I169" s="2143"/>
      <c r="J169" s="2143"/>
      <c r="K169" s="2143"/>
      <c r="L169" s="2143"/>
      <c r="M169" s="2143"/>
      <c r="N169" s="2143"/>
      <c r="O169" s="2143"/>
      <c r="P169" s="2143"/>
      <c r="Q169" s="2143"/>
      <c r="R169" s="2143"/>
      <c r="S169" s="2143"/>
      <c r="T169" s="2143"/>
      <c r="U169" s="2143"/>
      <c r="V169" s="2143"/>
      <c r="W169" s="2143"/>
      <c r="X169" s="2143"/>
      <c r="Y169" s="2143"/>
      <c r="Z169" s="2143"/>
      <c r="AA169" s="2143"/>
      <c r="AB169" s="2143"/>
      <c r="AC169" s="2143"/>
      <c r="AD169" s="2143"/>
      <c r="AE169" s="2143"/>
      <c r="AF169" s="2143"/>
      <c r="AG169" s="2143"/>
      <c r="AH169" s="2143"/>
      <c r="AI169" s="2143"/>
      <c r="AJ169" s="2143"/>
      <c r="AK169" s="2143"/>
      <c r="AL169" s="2143"/>
      <c r="AM169" s="2143"/>
      <c r="AN169" s="2143"/>
      <c r="AO169" s="2143"/>
      <c r="AP169" s="2143"/>
      <c r="AQ169" s="2143"/>
      <c r="AR169" s="2143"/>
      <c r="AS169" s="2143"/>
      <c r="AT169" s="2143"/>
      <c r="AU169" s="2143"/>
      <c r="AV169" s="2143"/>
      <c r="AW169" s="2143"/>
      <c r="AX169" s="2143"/>
      <c r="AY169" s="2143"/>
      <c r="AZ169" s="2143"/>
      <c r="BA169" s="2143"/>
      <c r="BB169" s="2143"/>
      <c r="BC169" s="2143"/>
      <c r="BD169" s="2144"/>
      <c r="BE169" s="1011"/>
    </row>
    <row r="170" spans="1:57" ht="15.75" customHeight="1">
      <c r="A170" s="1005"/>
      <c r="B170" s="2145" t="s">
        <v>2054</v>
      </c>
      <c r="C170" s="2146"/>
      <c r="D170" s="2146"/>
      <c r="E170" s="2146"/>
      <c r="F170" s="2146"/>
      <c r="G170" s="2146"/>
      <c r="H170" s="2146"/>
      <c r="I170" s="2146"/>
      <c r="J170" s="2146"/>
      <c r="K170" s="2146"/>
      <c r="L170" s="2146"/>
      <c r="M170" s="2146"/>
      <c r="N170" s="2146"/>
      <c r="O170" s="2146"/>
      <c r="P170" s="2146"/>
      <c r="Q170" s="2146"/>
      <c r="R170" s="2146"/>
      <c r="S170" s="2146"/>
      <c r="T170" s="2146"/>
      <c r="U170" s="2146"/>
      <c r="V170" s="2146"/>
      <c r="W170" s="2146"/>
      <c r="X170" s="2146"/>
      <c r="Y170" s="2146"/>
      <c r="Z170" s="2146"/>
      <c r="AA170" s="2146"/>
      <c r="AB170" s="2146"/>
      <c r="AC170" s="2146"/>
      <c r="AD170" s="2146"/>
      <c r="AE170" s="2146"/>
      <c r="AF170" s="2146"/>
      <c r="AG170" s="2146"/>
      <c r="AH170" s="2146"/>
      <c r="AI170" s="2146"/>
      <c r="AJ170" s="2146"/>
      <c r="AK170" s="2146"/>
      <c r="AL170" s="2146"/>
      <c r="AM170" s="2146"/>
      <c r="AN170" s="2146"/>
      <c r="AO170" s="2146"/>
      <c r="AP170" s="2146"/>
      <c r="AQ170" s="2146"/>
      <c r="AR170" s="2146"/>
      <c r="AS170" s="2146"/>
      <c r="AT170" s="2146"/>
      <c r="AU170" s="2146"/>
      <c r="AV170" s="2146"/>
      <c r="AW170" s="2146"/>
      <c r="AX170" s="2146"/>
      <c r="AY170" s="2146"/>
      <c r="AZ170" s="2146"/>
      <c r="BA170" s="2146"/>
      <c r="BB170" s="2146"/>
      <c r="BC170" s="2146"/>
      <c r="BD170" s="2147"/>
      <c r="BE170" s="1011"/>
    </row>
    <row r="171" spans="1:57" ht="15.75" customHeight="1">
      <c r="A171" s="1005"/>
      <c r="B171" s="2145" t="s">
        <v>2055</v>
      </c>
      <c r="C171" s="2146"/>
      <c r="D171" s="2146"/>
      <c r="E171" s="2146"/>
      <c r="F171" s="2146"/>
      <c r="G171" s="2146"/>
      <c r="H171" s="2146"/>
      <c r="I171" s="2146"/>
      <c r="J171" s="2146"/>
      <c r="K171" s="2146"/>
      <c r="L171" s="2146"/>
      <c r="M171" s="2146"/>
      <c r="N171" s="2146"/>
      <c r="O171" s="2146"/>
      <c r="P171" s="2146"/>
      <c r="Q171" s="2146"/>
      <c r="R171" s="2146"/>
      <c r="S171" s="2146"/>
      <c r="T171" s="2146"/>
      <c r="U171" s="2146"/>
      <c r="V171" s="2146"/>
      <c r="W171" s="2146"/>
      <c r="X171" s="2146"/>
      <c r="Y171" s="2146"/>
      <c r="Z171" s="2146"/>
      <c r="AA171" s="2146"/>
      <c r="AB171" s="2146"/>
      <c r="AC171" s="2146"/>
      <c r="AD171" s="2146"/>
      <c r="AE171" s="2146"/>
      <c r="AF171" s="2146"/>
      <c r="AG171" s="2146"/>
      <c r="AH171" s="2146"/>
      <c r="AI171" s="2146"/>
      <c r="AJ171" s="2146"/>
      <c r="AK171" s="2146"/>
      <c r="AL171" s="2146"/>
      <c r="AM171" s="2146"/>
      <c r="AN171" s="2146"/>
      <c r="AO171" s="2146"/>
      <c r="AP171" s="2146"/>
      <c r="AQ171" s="2146"/>
      <c r="AR171" s="2146"/>
      <c r="AS171" s="2146"/>
      <c r="AT171" s="2146"/>
      <c r="AU171" s="2146"/>
      <c r="AV171" s="2146"/>
      <c r="AW171" s="2146"/>
      <c r="AX171" s="2146"/>
      <c r="AY171" s="2146"/>
      <c r="AZ171" s="2146"/>
      <c r="BA171" s="2146"/>
      <c r="BB171" s="2146"/>
      <c r="BC171" s="2146"/>
      <c r="BD171" s="2147"/>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2148" t="s">
        <v>2056</v>
      </c>
      <c r="C173" s="2149"/>
      <c r="D173" s="2149"/>
      <c r="E173" s="2149"/>
      <c r="F173" s="2149"/>
      <c r="G173" s="2149"/>
      <c r="H173" s="2149"/>
      <c r="I173" s="2149"/>
      <c r="J173" s="2149"/>
      <c r="K173" s="2149"/>
      <c r="L173" s="2149"/>
      <c r="M173" s="2149"/>
      <c r="N173" s="2149"/>
      <c r="O173" s="2149"/>
      <c r="P173" s="2149"/>
      <c r="Q173" s="2149"/>
      <c r="R173" s="2149"/>
      <c r="S173" s="2149"/>
      <c r="T173" s="2149"/>
      <c r="U173" s="2149"/>
      <c r="V173" s="2149"/>
      <c r="W173" s="2149"/>
      <c r="X173" s="2149"/>
      <c r="Y173" s="2149"/>
      <c r="Z173" s="2149"/>
      <c r="AA173" s="2149"/>
      <c r="AB173" s="2149"/>
      <c r="AC173" s="2149"/>
      <c r="AD173" s="2149"/>
      <c r="AE173" s="2149"/>
      <c r="AF173" s="2149"/>
      <c r="AG173" s="2149"/>
      <c r="AH173" s="2149"/>
      <c r="AI173" s="2149"/>
      <c r="AJ173" s="2149"/>
      <c r="AK173" s="2149"/>
      <c r="AL173" s="2149"/>
      <c r="AM173" s="2149"/>
      <c r="AN173" s="2149"/>
      <c r="AO173" s="2149"/>
      <c r="AP173" s="2149"/>
      <c r="AQ173" s="2149"/>
      <c r="AR173" s="2149"/>
      <c r="AS173" s="2149"/>
      <c r="AT173" s="2149"/>
      <c r="AU173" s="2149"/>
      <c r="AV173" s="2149"/>
      <c r="AW173" s="2149"/>
      <c r="AX173" s="2149"/>
      <c r="AY173" s="2149"/>
      <c r="AZ173" s="2149"/>
      <c r="BA173" s="2149"/>
      <c r="BB173" s="2149"/>
      <c r="BC173" s="2149"/>
      <c r="BD173" s="2150"/>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2057</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2151" t="s">
        <v>2058</v>
      </c>
      <c r="I177" s="2151"/>
      <c r="J177" s="2151"/>
      <c r="K177" s="2151"/>
      <c r="L177" s="2151"/>
      <c r="M177" s="2151"/>
      <c r="N177" s="2151"/>
      <c r="O177" s="2151"/>
      <c r="P177" s="2151"/>
      <c r="Q177" s="2151"/>
      <c r="R177" s="2151"/>
      <c r="S177" s="2151"/>
      <c r="T177" s="2151"/>
      <c r="U177" s="2151"/>
      <c r="V177" s="2151"/>
      <c r="W177" s="2151"/>
      <c r="X177" s="2151"/>
      <c r="Y177" s="2151"/>
      <c r="Z177" s="2151"/>
      <c r="AA177" s="2151"/>
      <c r="AB177" s="2151"/>
      <c r="AC177" s="2151"/>
      <c r="AD177" s="2151"/>
      <c r="AE177" s="2151"/>
      <c r="AF177" s="2151"/>
      <c r="AG177" s="2151"/>
      <c r="AH177" s="2151"/>
      <c r="AI177" s="2151"/>
      <c r="AJ177" s="2151"/>
      <c r="AK177" s="2151"/>
      <c r="AL177" s="2151"/>
      <c r="AM177" s="2151"/>
      <c r="AN177" s="2151"/>
      <c r="AO177" s="2151"/>
      <c r="AP177" s="2151"/>
      <c r="AQ177" s="2151"/>
      <c r="AR177" s="2151"/>
      <c r="AS177" s="2151"/>
      <c r="AT177" s="2151"/>
      <c r="AU177" s="2151"/>
      <c r="AV177" s="2151"/>
      <c r="AW177" s="2151"/>
      <c r="AX177" s="2151"/>
      <c r="AY177" s="2151"/>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2162" t="s">
        <v>2059</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62"/>
      <c r="AD179" s="2162"/>
      <c r="AE179" s="2162"/>
      <c r="AF179" s="2162"/>
      <c r="AG179" s="2162"/>
      <c r="AH179" s="2162"/>
      <c r="AI179" s="2162"/>
      <c r="AJ179" s="2162"/>
      <c r="AK179" s="2162"/>
      <c r="AL179" s="2162"/>
      <c r="AM179" s="2162"/>
      <c r="AN179" s="2162"/>
      <c r="AO179" s="2162"/>
      <c r="AP179" s="2162"/>
      <c r="AQ179" s="2162"/>
      <c r="AR179" s="2162"/>
      <c r="AS179" s="2162"/>
      <c r="AT179" s="2162"/>
      <c r="AU179" s="2162"/>
      <c r="AV179" s="2162"/>
      <c r="AW179" s="2162"/>
      <c r="AX179" s="2162"/>
      <c r="AY179" s="2162"/>
      <c r="AZ179" s="2162"/>
      <c r="BA179" s="1005"/>
      <c r="BB179" s="1005"/>
      <c r="BC179" s="1005"/>
      <c r="BD179" s="1011"/>
      <c r="BE179" s="1011"/>
    </row>
    <row r="180" spans="1:57" ht="15.75" customHeight="1">
      <c r="A180" s="1005"/>
      <c r="B180" s="1004"/>
      <c r="C180" s="1005"/>
      <c r="D180" s="1005"/>
      <c r="E180" s="1005"/>
      <c r="F180" s="1005"/>
      <c r="G180" s="1005"/>
      <c r="H180" s="2162"/>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62"/>
      <c r="AD180" s="2162"/>
      <c r="AE180" s="2162"/>
      <c r="AF180" s="2162"/>
      <c r="AG180" s="2162"/>
      <c r="AH180" s="2162"/>
      <c r="AI180" s="2162"/>
      <c r="AJ180" s="2162"/>
      <c r="AK180" s="2162"/>
      <c r="AL180" s="2162"/>
      <c r="AM180" s="2162"/>
      <c r="AN180" s="2162"/>
      <c r="AO180" s="2162"/>
      <c r="AP180" s="2162"/>
      <c r="AQ180" s="2162"/>
      <c r="AR180" s="2162"/>
      <c r="AS180" s="2162"/>
      <c r="AT180" s="2162"/>
      <c r="AU180" s="2162"/>
      <c r="AV180" s="2162"/>
      <c r="AW180" s="2162"/>
      <c r="AX180" s="2162"/>
      <c r="AY180" s="2162"/>
      <c r="AZ180" s="2162"/>
      <c r="BA180" s="1005"/>
      <c r="BB180" s="1005"/>
      <c r="BC180" s="1005"/>
      <c r="BD180" s="1011"/>
      <c r="BE180" s="1011"/>
    </row>
    <row r="181" spans="1:57" ht="15.75" customHeight="1">
      <c r="A181" s="1005"/>
      <c r="B181" s="1004"/>
      <c r="C181" s="1005"/>
      <c r="D181" s="1005"/>
      <c r="E181" s="1005"/>
      <c r="F181" s="1005"/>
      <c r="G181" s="1005"/>
      <c r="H181" s="2162"/>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62"/>
      <c r="AD181" s="2162"/>
      <c r="AE181" s="2162"/>
      <c r="AF181" s="2162"/>
      <c r="AG181" s="2162"/>
      <c r="AH181" s="2162"/>
      <c r="AI181" s="2162"/>
      <c r="AJ181" s="2162"/>
      <c r="AK181" s="2162"/>
      <c r="AL181" s="2162"/>
      <c r="AM181" s="2162"/>
      <c r="AN181" s="2162"/>
      <c r="AO181" s="2162"/>
      <c r="AP181" s="2162"/>
      <c r="AQ181" s="2162"/>
      <c r="AR181" s="2162"/>
      <c r="AS181" s="2162"/>
      <c r="AT181" s="2162"/>
      <c r="AU181" s="2162"/>
      <c r="AV181" s="2162"/>
      <c r="AW181" s="2162"/>
      <c r="AX181" s="2162"/>
      <c r="AY181" s="2162"/>
      <c r="AZ181" s="2162"/>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2163" t="s">
        <v>2060</v>
      </c>
      <c r="I184" s="2163"/>
      <c r="J184" s="2163"/>
      <c r="K184" s="2163"/>
      <c r="L184" s="2163"/>
      <c r="M184" s="2163"/>
      <c r="N184" s="2163"/>
      <c r="O184" s="2163"/>
      <c r="P184" s="2163"/>
      <c r="Q184" s="2163"/>
      <c r="R184" s="2163"/>
      <c r="S184" s="2163"/>
      <c r="T184" s="2163"/>
      <c r="U184" s="2163"/>
      <c r="V184" s="2163"/>
      <c r="W184" s="2163"/>
      <c r="X184" s="2163"/>
      <c r="Y184" s="2163"/>
      <c r="Z184" s="2163"/>
      <c r="AA184" s="2163"/>
      <c r="AB184" s="2163"/>
      <c r="AC184" s="2163"/>
      <c r="AD184" s="2163"/>
      <c r="AE184" s="2163"/>
      <c r="AF184" s="2163"/>
      <c r="AG184" s="2163"/>
      <c r="AH184" s="2163"/>
      <c r="AI184" s="2163"/>
      <c r="AJ184" s="2163"/>
      <c r="AK184" s="2163"/>
      <c r="AL184" s="2163"/>
      <c r="AM184" s="2163"/>
      <c r="AN184" s="2163"/>
      <c r="AO184" s="2163"/>
      <c r="AP184" s="2163"/>
      <c r="AQ184" s="2163"/>
      <c r="AR184" s="2163"/>
      <c r="AS184" s="2163"/>
      <c r="AT184" s="2163"/>
      <c r="AU184" s="2163"/>
      <c r="AV184" s="2163"/>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2156" t="s">
        <v>2061</v>
      </c>
      <c r="I186" s="2156"/>
      <c r="J186" s="2156"/>
      <c r="K186" s="2156"/>
      <c r="L186" s="1017"/>
      <c r="M186" s="1017"/>
      <c r="N186" s="1017"/>
      <c r="O186" s="1017"/>
      <c r="P186" s="1017"/>
      <c r="Q186" s="1017"/>
      <c r="R186" s="1017"/>
      <c r="S186" s="2157"/>
      <c r="T186" s="2158"/>
      <c r="U186" s="2158"/>
      <c r="V186" s="2158"/>
      <c r="W186" s="2158"/>
      <c r="X186" s="2158"/>
      <c r="Y186" s="2158"/>
      <c r="Z186" s="2158"/>
      <c r="AA186" s="2158"/>
      <c r="AB186" s="2158"/>
      <c r="AC186" s="2158"/>
      <c r="AD186" s="2158"/>
      <c r="AE186" s="2158"/>
      <c r="AF186" s="2158"/>
      <c r="AG186" s="2158"/>
      <c r="AH186" s="2158"/>
      <c r="AI186" s="2158"/>
      <c r="AJ186" s="2159"/>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2156" t="s">
        <v>2062</v>
      </c>
      <c r="I188" s="2156"/>
      <c r="J188" s="2156"/>
      <c r="K188" s="1038"/>
      <c r="L188" s="1017"/>
      <c r="M188" s="1017"/>
      <c r="N188" s="1017"/>
      <c r="O188" s="1017"/>
      <c r="P188" s="1017"/>
      <c r="Q188" s="1017"/>
      <c r="R188" s="1017"/>
      <c r="S188" s="2157"/>
      <c r="T188" s="2158"/>
      <c r="U188" s="2158"/>
      <c r="V188" s="2158"/>
      <c r="W188" s="2158"/>
      <c r="X188" s="2158"/>
      <c r="Y188" s="2158"/>
      <c r="Z188" s="2158"/>
      <c r="AA188" s="2158"/>
      <c r="AB188" s="2158"/>
      <c r="AC188" s="2158"/>
      <c r="AD188" s="2158"/>
      <c r="AE188" s="2158"/>
      <c r="AF188" s="2158"/>
      <c r="AG188" s="2158"/>
      <c r="AH188" s="2158"/>
      <c r="AI188" s="2158"/>
      <c r="AJ188" s="2159"/>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2156" t="s">
        <v>908</v>
      </c>
      <c r="I190" s="2156"/>
      <c r="J190" s="1038"/>
      <c r="K190" s="1038"/>
      <c r="L190" s="1017"/>
      <c r="M190" s="1017"/>
      <c r="N190" s="1017"/>
      <c r="O190" s="1017"/>
      <c r="P190" s="1017"/>
      <c r="Q190" s="1017"/>
      <c r="R190" s="1017"/>
      <c r="S190" s="2157"/>
      <c r="T190" s="2158"/>
      <c r="U190" s="2158"/>
      <c r="V190" s="2158"/>
      <c r="W190" s="2158"/>
      <c r="X190" s="2158"/>
      <c r="Y190" s="2158"/>
      <c r="Z190" s="2158"/>
      <c r="AA190" s="2158"/>
      <c r="AB190" s="2158"/>
      <c r="AC190" s="2158"/>
      <c r="AD190" s="2158"/>
      <c r="AE190" s="2158"/>
      <c r="AF190" s="2158"/>
      <c r="AG190" s="2158"/>
      <c r="AH190" s="2158"/>
      <c r="AI190" s="2158"/>
      <c r="AJ190" s="2159"/>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2160" t="s">
        <v>2063</v>
      </c>
      <c r="I192" s="2160"/>
      <c r="J192" s="2160"/>
      <c r="K192" s="2160"/>
      <c r="L192" s="2160"/>
      <c r="M192" s="2160"/>
      <c r="N192" s="2160"/>
      <c r="O192" s="2160"/>
      <c r="P192" s="1017"/>
      <c r="Q192" s="1017"/>
      <c r="R192" s="1017"/>
      <c r="S192" s="2157"/>
      <c r="T192" s="2158"/>
      <c r="U192" s="2158"/>
      <c r="V192" s="2158"/>
      <c r="W192" s="2158"/>
      <c r="X192" s="2158"/>
      <c r="Y192" s="2158"/>
      <c r="Z192" s="2158"/>
      <c r="AA192" s="2158"/>
      <c r="AB192" s="2158"/>
      <c r="AC192" s="2158"/>
      <c r="AD192" s="2158"/>
      <c r="AE192" s="2158"/>
      <c r="AF192" s="2158"/>
      <c r="AG192" s="2158"/>
      <c r="AH192" s="2158"/>
      <c r="AI192" s="2158"/>
      <c r="AJ192" s="2159"/>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2161" t="s">
        <v>2064</v>
      </c>
      <c r="I194" s="2161"/>
      <c r="J194" s="1017"/>
      <c r="K194" s="1017"/>
      <c r="L194" s="1017"/>
      <c r="M194" s="1017"/>
      <c r="N194" s="1017"/>
      <c r="O194" s="1017"/>
      <c r="P194" s="1017"/>
      <c r="Q194" s="1017"/>
      <c r="R194" s="1017"/>
      <c r="S194" s="2157"/>
      <c r="T194" s="2158"/>
      <c r="U194" s="2158"/>
      <c r="V194" s="2158"/>
      <c r="W194" s="2158"/>
      <c r="X194" s="2158"/>
      <c r="Y194" s="2158"/>
      <c r="Z194" s="2158"/>
      <c r="AA194" s="2158"/>
      <c r="AB194" s="2158"/>
      <c r="AC194" s="2158"/>
      <c r="AD194" s="2158"/>
      <c r="AE194" s="2158"/>
      <c r="AF194" s="2158"/>
      <c r="AG194" s="2158"/>
      <c r="AH194" s="2158"/>
      <c r="AI194" s="2158"/>
      <c r="AJ194" s="2159"/>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2" zoomScaleNormal="100" zoomScaleSheetLayoutView="100" workbookViewId="0">
      <selection activeCell="F763" sqref="F763:AK764"/>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391" t="s">
        <v>2065</v>
      </c>
      <c r="B1" s="2391"/>
      <c r="C1" s="2391"/>
      <c r="D1" s="2391"/>
      <c r="E1" s="2391"/>
      <c r="F1" s="2391"/>
      <c r="G1" s="2391"/>
      <c r="H1" s="2391"/>
      <c r="I1" s="2391"/>
      <c r="J1" s="2391"/>
      <c r="K1" s="2391"/>
      <c r="L1" s="2391"/>
      <c r="M1" s="2391"/>
      <c r="N1" s="2391"/>
      <c r="O1" s="2391"/>
      <c r="P1" s="2391"/>
      <c r="Q1" s="2391"/>
      <c r="R1" s="2391"/>
      <c r="S1" s="2391"/>
      <c r="T1" s="2391"/>
      <c r="U1" s="2391"/>
      <c r="V1" s="2391"/>
      <c r="W1" s="2391"/>
      <c r="X1" s="2391"/>
      <c r="Y1" s="2391"/>
      <c r="Z1" s="2391"/>
      <c r="AA1" s="2391"/>
      <c r="AB1" s="2391"/>
      <c r="AC1" s="2391"/>
      <c r="AD1" s="2391"/>
      <c r="AE1" s="2391"/>
      <c r="AF1" s="2391"/>
      <c r="AG1" s="2391"/>
      <c r="AH1" s="2391"/>
      <c r="AI1" s="2391"/>
      <c r="AJ1" s="2391"/>
      <c r="AK1" s="2391"/>
      <c r="AL1" s="2391"/>
      <c r="AM1" s="2391"/>
    </row>
    <row r="2" spans="1:42" s="469" customFormat="1" ht="12.75" customHeight="1" thickBot="1">
      <c r="A2" s="2392"/>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2066</v>
      </c>
      <c r="B4" s="472" t="s">
        <v>2067</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2068</v>
      </c>
      <c r="B7" s="472" t="s">
        <v>2069</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276" t="s">
        <v>2070</v>
      </c>
      <c r="AF7" s="2276"/>
      <c r="AG7" s="2276"/>
      <c r="AH7" s="2276"/>
      <c r="AI7" s="2276"/>
      <c r="AJ7" s="2276"/>
      <c r="AK7" s="2276"/>
      <c r="AL7" s="473"/>
      <c r="AM7" s="473"/>
      <c r="AN7" s="468"/>
    </row>
    <row r="8" spans="1:42" s="469" customFormat="1" ht="12.75" customHeight="1">
      <c r="A8" s="471"/>
      <c r="B8" s="472" t="s">
        <v>2071</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2072</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377" t="s">
        <v>299</v>
      </c>
      <c r="C12" s="2377"/>
      <c r="D12" s="480"/>
      <c r="E12" s="481" t="s">
        <v>2073</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393"/>
      <c r="AH12" s="2393"/>
      <c r="AI12" s="2393"/>
      <c r="AJ12" s="2394"/>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377" t="s">
        <v>299</v>
      </c>
      <c r="C15" s="2377"/>
      <c r="D15" s="480"/>
      <c r="E15" s="2384" t="s">
        <v>2074</v>
      </c>
      <c r="F15" s="2385"/>
      <c r="G15" s="2385"/>
      <c r="H15" s="2385"/>
      <c r="I15" s="2385"/>
      <c r="J15" s="2385"/>
      <c r="K15" s="2385"/>
      <c r="L15" s="2385"/>
      <c r="M15" s="2385"/>
      <c r="N15" s="2385"/>
      <c r="O15" s="2385"/>
      <c r="P15" s="2385"/>
      <c r="Q15" s="2385"/>
      <c r="R15" s="2385"/>
      <c r="S15" s="2385"/>
      <c r="T15" s="2385"/>
      <c r="U15" s="2385"/>
      <c r="V15" s="2385"/>
      <c r="W15" s="2385"/>
      <c r="X15" s="2385"/>
      <c r="Y15" s="2385"/>
      <c r="Z15" s="2385"/>
      <c r="AA15" s="2385"/>
      <c r="AB15" s="2385"/>
      <c r="AC15" s="2385"/>
      <c r="AD15" s="2385"/>
      <c r="AE15" s="2385"/>
      <c r="AF15" s="2385"/>
      <c r="AG15" s="2385"/>
      <c r="AH15" s="2385"/>
      <c r="AI15" s="2385"/>
      <c r="AJ15" s="2386"/>
      <c r="AK15" s="473"/>
      <c r="AL15" s="473"/>
      <c r="AM15" s="473"/>
      <c r="AN15" s="468"/>
      <c r="AO15" s="483">
        <f>IF($B24="yes",20,0)</f>
        <v>0</v>
      </c>
      <c r="AP15" s="14"/>
    </row>
    <row r="16" spans="1:42" s="469" customFormat="1" ht="12.75" customHeight="1">
      <c r="A16" s="473"/>
      <c r="B16" s="473"/>
      <c r="C16" s="473"/>
      <c r="D16" s="484"/>
      <c r="E16" s="2387"/>
      <c r="F16" s="2388"/>
      <c r="G16" s="2388"/>
      <c r="H16" s="2388"/>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9"/>
      <c r="AK16" s="473"/>
      <c r="AL16" s="473"/>
      <c r="AM16" s="473"/>
      <c r="AN16" s="468"/>
      <c r="AO16" s="469">
        <f>IF(SUM(AO12:AO15)&gt;20,20,(SUM(AO12:AO15)))</f>
        <v>0</v>
      </c>
      <c r="AP16" s="469" t="s">
        <v>2075</v>
      </c>
    </row>
    <row r="17" spans="1:42" s="469" customFormat="1" ht="12.75" customHeight="1">
      <c r="A17" s="473"/>
      <c r="B17" s="473"/>
      <c r="C17" s="473"/>
      <c r="D17" s="484"/>
      <c r="E17" s="2387"/>
      <c r="F17" s="2388"/>
      <c r="G17" s="2388"/>
      <c r="H17" s="2388"/>
      <c r="I17" s="2388"/>
      <c r="J17" s="2388"/>
      <c r="K17" s="2388"/>
      <c r="L17" s="2388"/>
      <c r="M17" s="2388"/>
      <c r="N17" s="2388"/>
      <c r="O17" s="2388"/>
      <c r="P17" s="2388"/>
      <c r="Q17" s="2388"/>
      <c r="R17" s="2388"/>
      <c r="S17" s="2388"/>
      <c r="T17" s="2388"/>
      <c r="U17" s="2388"/>
      <c r="V17" s="2388"/>
      <c r="W17" s="2388"/>
      <c r="X17" s="2388"/>
      <c r="Y17" s="2388"/>
      <c r="Z17" s="2388"/>
      <c r="AA17" s="2388"/>
      <c r="AB17" s="2388"/>
      <c r="AC17" s="2388"/>
      <c r="AD17" s="2388"/>
      <c r="AE17" s="2388"/>
      <c r="AF17" s="2388"/>
      <c r="AG17" s="2388"/>
      <c r="AH17" s="2388"/>
      <c r="AI17" s="2388"/>
      <c r="AJ17" s="2389"/>
      <c r="AK17" s="473"/>
      <c r="AL17" s="473"/>
      <c r="AM17" s="473"/>
      <c r="AN17" s="468"/>
    </row>
    <row r="18" spans="1:42" s="469" customFormat="1" ht="12.75" customHeight="1">
      <c r="A18" s="473"/>
      <c r="B18" s="473"/>
      <c r="C18" s="473"/>
      <c r="D18" s="484"/>
      <c r="E18" s="485" t="s">
        <v>2076</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396"/>
      <c r="F19" s="2397"/>
      <c r="G19" s="2397"/>
      <c r="H19" s="2397"/>
      <c r="I19" s="2397"/>
      <c r="J19" s="2397"/>
      <c r="K19" s="2397"/>
      <c r="L19" s="2397"/>
      <c r="M19" s="2397"/>
      <c r="N19" s="2397"/>
      <c r="O19" s="2397"/>
      <c r="P19" s="2397"/>
      <c r="Q19" s="2397"/>
      <c r="R19" s="2397"/>
      <c r="S19" s="2397"/>
      <c r="T19" s="2397"/>
      <c r="U19" s="2397"/>
      <c r="V19" s="2397"/>
      <c r="W19" s="2397"/>
      <c r="X19" s="2397"/>
      <c r="Y19" s="2397"/>
      <c r="Z19" s="2397"/>
      <c r="AA19" s="2397"/>
      <c r="AB19" s="2397"/>
      <c r="AC19" s="2397"/>
      <c r="AD19" s="2397"/>
      <c r="AE19" s="2397"/>
      <c r="AF19" s="2397"/>
      <c r="AG19" s="2397"/>
      <c r="AH19" s="2397"/>
      <c r="AI19" s="2397"/>
      <c r="AJ19" s="2398"/>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377" t="s">
        <v>299</v>
      </c>
      <c r="C21" s="2377"/>
      <c r="D21" s="480"/>
      <c r="E21" s="2399" t="s">
        <v>2077</v>
      </c>
      <c r="F21" s="2400"/>
      <c r="G21" s="2400"/>
      <c r="H21" s="2400"/>
      <c r="I21" s="2400"/>
      <c r="J21" s="2400"/>
      <c r="K21" s="2400"/>
      <c r="L21" s="2400"/>
      <c r="M21" s="2400"/>
      <c r="N21" s="2400"/>
      <c r="O21" s="2400"/>
      <c r="P21" s="2400"/>
      <c r="Q21" s="2400"/>
      <c r="R21" s="2400"/>
      <c r="S21" s="2400"/>
      <c r="T21" s="2400"/>
      <c r="U21" s="2400"/>
      <c r="V21" s="2400"/>
      <c r="W21" s="2400"/>
      <c r="X21" s="2400"/>
      <c r="Y21" s="2400"/>
      <c r="Z21" s="2400"/>
      <c r="AA21" s="2400"/>
      <c r="AB21" s="2400"/>
      <c r="AC21" s="2400"/>
      <c r="AD21" s="2400"/>
      <c r="AE21" s="2400"/>
      <c r="AF21" s="2400"/>
      <c r="AG21" s="2400"/>
      <c r="AH21" s="2400"/>
      <c r="AI21" s="2400"/>
      <c r="AJ21" s="2401"/>
      <c r="AK21" s="473"/>
      <c r="AL21" s="473"/>
      <c r="AM21" s="473"/>
      <c r="AN21" s="468"/>
      <c r="AO21" s="469">
        <f>SUM(AO20)</f>
        <v>0</v>
      </c>
      <c r="AP21" s="469" t="s">
        <v>2075</v>
      </c>
    </row>
    <row r="22" spans="1:42" s="469" customFormat="1" ht="12.75" customHeight="1">
      <c r="A22" s="473"/>
      <c r="B22" s="473"/>
      <c r="C22" s="473"/>
      <c r="D22" s="483"/>
      <c r="E22" s="2402"/>
      <c r="F22" s="2403"/>
      <c r="G22" s="2403"/>
      <c r="H22" s="2403"/>
      <c r="I22" s="2403"/>
      <c r="J22" s="2403"/>
      <c r="K22" s="2403"/>
      <c r="L22" s="2403"/>
      <c r="M22" s="2403"/>
      <c r="N22" s="2403"/>
      <c r="O22" s="2403"/>
      <c r="P22" s="2403"/>
      <c r="Q22" s="2403"/>
      <c r="R22" s="2403"/>
      <c r="S22" s="2403"/>
      <c r="T22" s="2403"/>
      <c r="U22" s="2403"/>
      <c r="V22" s="2403"/>
      <c r="W22" s="2403"/>
      <c r="X22" s="2403"/>
      <c r="Y22" s="2403"/>
      <c r="Z22" s="2403"/>
      <c r="AA22" s="2403"/>
      <c r="AB22" s="2403"/>
      <c r="AC22" s="2403"/>
      <c r="AD22" s="2403"/>
      <c r="AE22" s="2403"/>
      <c r="AF22" s="2403"/>
      <c r="AG22" s="2403"/>
      <c r="AH22" s="2403"/>
      <c r="AI22" s="2403"/>
      <c r="AJ22" s="2404"/>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377" t="s">
        <v>299</v>
      </c>
      <c r="C24" s="2377"/>
      <c r="D24" s="480"/>
      <c r="E24" s="2314" t="s">
        <v>2078</v>
      </c>
      <c r="F24" s="2315"/>
      <c r="G24" s="2315"/>
      <c r="H24" s="2315"/>
      <c r="I24" s="2315"/>
      <c r="J24" s="2315"/>
      <c r="K24" s="2315"/>
      <c r="L24" s="2315"/>
      <c r="M24" s="2315"/>
      <c r="N24" s="2315"/>
      <c r="O24" s="2315"/>
      <c r="P24" s="2315"/>
      <c r="Q24" s="2315"/>
      <c r="R24" s="2315"/>
      <c r="S24" s="2315"/>
      <c r="T24" s="2315"/>
      <c r="U24" s="2315"/>
      <c r="V24" s="2315"/>
      <c r="W24" s="2315"/>
      <c r="X24" s="2315"/>
      <c r="Y24" s="2315"/>
      <c r="Z24" s="2315"/>
      <c r="AA24" s="2315"/>
      <c r="AB24" s="2315"/>
      <c r="AC24" s="2315"/>
      <c r="AD24" s="2315"/>
      <c r="AE24" s="2315"/>
      <c r="AF24" s="2315"/>
      <c r="AG24" s="2315"/>
      <c r="AH24" s="2315"/>
      <c r="AI24" s="2315"/>
      <c r="AJ24" s="2316"/>
      <c r="AK24" s="473"/>
      <c r="AL24" s="473"/>
      <c r="AM24" s="473"/>
      <c r="AN24" s="468"/>
      <c r="AO24" s="483">
        <f>IF($B39="yes",6,0)</f>
        <v>0</v>
      </c>
    </row>
    <row r="25" spans="1:42" s="469" customFormat="1" ht="12.75" customHeight="1">
      <c r="A25" s="473"/>
      <c r="B25" s="473"/>
      <c r="C25" s="473"/>
      <c r="D25" s="483"/>
      <c r="E25" s="2378"/>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380"/>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2079</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377" t="s">
        <v>299</v>
      </c>
      <c r="C29" s="2377"/>
      <c r="D29" s="480"/>
      <c r="E29" s="2314" t="s">
        <v>2080</v>
      </c>
      <c r="F29" s="2315"/>
      <c r="G29" s="2315"/>
      <c r="H29" s="2315"/>
      <c r="I29" s="2315"/>
      <c r="J29" s="2315"/>
      <c r="K29" s="2315"/>
      <c r="L29" s="2315"/>
      <c r="M29" s="2315"/>
      <c r="N29" s="2315"/>
      <c r="O29" s="2315"/>
      <c r="P29" s="2315"/>
      <c r="Q29" s="2315"/>
      <c r="R29" s="2315"/>
      <c r="S29" s="2315"/>
      <c r="T29" s="2315"/>
      <c r="U29" s="2315"/>
      <c r="V29" s="2315"/>
      <c r="W29" s="2315"/>
      <c r="X29" s="2315"/>
      <c r="Y29" s="2315"/>
      <c r="Z29" s="2315"/>
      <c r="AA29" s="2315"/>
      <c r="AB29" s="2315"/>
      <c r="AC29" s="2315"/>
      <c r="AD29" s="2315"/>
      <c r="AE29" s="2315"/>
      <c r="AF29" s="2315"/>
      <c r="AG29" s="2315"/>
      <c r="AH29" s="2315"/>
      <c r="AI29" s="2315"/>
      <c r="AJ29" s="2316"/>
      <c r="AK29" s="473"/>
      <c r="AL29" s="473"/>
      <c r="AM29" s="473"/>
      <c r="AN29" s="468"/>
      <c r="AO29" s="483">
        <f>IF($B49="yes",6,0)</f>
        <v>0</v>
      </c>
    </row>
    <row r="30" spans="1:42" s="469" customFormat="1" ht="12.75" customHeight="1">
      <c r="A30" s="473"/>
      <c r="B30" s="473"/>
      <c r="C30" s="473"/>
      <c r="E30" s="2317"/>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9"/>
      <c r="AK30" s="473"/>
      <c r="AL30" s="473"/>
      <c r="AM30" s="473"/>
      <c r="AN30" s="468"/>
      <c r="AO30" s="469">
        <f>IF(SUM(AO23:AO29)&gt;6,6,(SUM(AO23:AO29)))</f>
        <v>0</v>
      </c>
      <c r="AP30" s="469" t="s">
        <v>2075</v>
      </c>
    </row>
    <row r="31" spans="1:42" s="469" customFormat="1" ht="12.75" customHeight="1">
      <c r="A31" s="473"/>
      <c r="B31" s="473"/>
      <c r="C31" s="473"/>
      <c r="E31" s="2378"/>
      <c r="F31" s="2379"/>
      <c r="G31" s="2379"/>
      <c r="H31" s="2379"/>
      <c r="I31" s="2379"/>
      <c r="J31" s="2379"/>
      <c r="K31" s="2379"/>
      <c r="L31" s="2379"/>
      <c r="M31" s="2379"/>
      <c r="N31" s="2379"/>
      <c r="O31" s="2379"/>
      <c r="P31" s="2379"/>
      <c r="Q31" s="2379"/>
      <c r="R31" s="2379"/>
      <c r="S31" s="2379"/>
      <c r="T31" s="2379"/>
      <c r="U31" s="2379"/>
      <c r="V31" s="2379"/>
      <c r="W31" s="2379"/>
      <c r="X31" s="2379"/>
      <c r="Y31" s="2379"/>
      <c r="Z31" s="2379"/>
      <c r="AA31" s="2379"/>
      <c r="AB31" s="2379"/>
      <c r="AC31" s="2379"/>
      <c r="AD31" s="2379"/>
      <c r="AE31" s="2379"/>
      <c r="AF31" s="2379"/>
      <c r="AG31" s="2379"/>
      <c r="AH31" s="2379"/>
      <c r="AI31" s="2379"/>
      <c r="AJ31" s="2380"/>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2081</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395" t="s">
        <v>2082</v>
      </c>
      <c r="C34" s="2395"/>
      <c r="D34" s="2395"/>
      <c r="E34" s="2395"/>
      <c r="F34" s="2395"/>
      <c r="G34" s="2395"/>
      <c r="H34" s="2395"/>
      <c r="I34" s="2395"/>
      <c r="J34" s="2395"/>
      <c r="K34" s="2395"/>
      <c r="L34" s="2395"/>
      <c r="M34" s="2395"/>
      <c r="N34" s="2395"/>
      <c r="O34" s="2395"/>
      <c r="P34" s="2395"/>
      <c r="Q34" s="2395"/>
      <c r="R34" s="2395"/>
      <c r="S34" s="2395"/>
      <c r="T34" s="2395"/>
      <c r="U34" s="2395"/>
      <c r="V34" s="2395"/>
      <c r="W34" s="2395"/>
      <c r="X34" s="2395"/>
      <c r="Y34" s="2395"/>
      <c r="Z34" s="2395"/>
      <c r="AA34" s="2395"/>
      <c r="AB34" s="2395"/>
      <c r="AC34" s="2395"/>
      <c r="AD34" s="2395"/>
      <c r="AE34" s="2395"/>
      <c r="AF34" s="2395"/>
      <c r="AG34" s="2395"/>
      <c r="AH34" s="2395"/>
      <c r="AI34" s="2395"/>
      <c r="AJ34" s="2395"/>
      <c r="AK34" s="2395"/>
      <c r="AL34" s="473"/>
      <c r="AM34" s="473"/>
      <c r="AN34" s="468"/>
    </row>
    <row r="35" spans="1:41" s="469" customFormat="1" ht="12.75" customHeight="1">
      <c r="A35" s="473"/>
      <c r="B35" s="2395"/>
      <c r="C35" s="2395"/>
      <c r="D35" s="2395"/>
      <c r="E35" s="2395"/>
      <c r="F35" s="2395"/>
      <c r="G35" s="2395"/>
      <c r="H35" s="2395"/>
      <c r="I35" s="2395"/>
      <c r="J35" s="2395"/>
      <c r="K35" s="2395"/>
      <c r="L35" s="2395"/>
      <c r="M35" s="2395"/>
      <c r="N35" s="2395"/>
      <c r="O35" s="2395"/>
      <c r="P35" s="2395"/>
      <c r="Q35" s="2395"/>
      <c r="R35" s="2395"/>
      <c r="S35" s="2395"/>
      <c r="T35" s="2395"/>
      <c r="U35" s="2395"/>
      <c r="V35" s="2395"/>
      <c r="W35" s="2395"/>
      <c r="X35" s="2395"/>
      <c r="Y35" s="2395"/>
      <c r="Z35" s="2395"/>
      <c r="AA35" s="2395"/>
      <c r="AB35" s="2395"/>
      <c r="AC35" s="2395"/>
      <c r="AD35" s="2395"/>
      <c r="AE35" s="2395"/>
      <c r="AF35" s="2395"/>
      <c r="AG35" s="2395"/>
      <c r="AH35" s="2395"/>
      <c r="AI35" s="2395"/>
      <c r="AJ35" s="2395"/>
      <c r="AK35" s="2395"/>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377" t="s">
        <v>299</v>
      </c>
      <c r="C37" s="2377"/>
      <c r="D37" s="480"/>
      <c r="E37" s="488" t="s">
        <v>2083</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377" t="s">
        <v>299</v>
      </c>
      <c r="C39" s="2377"/>
      <c r="D39" s="480"/>
      <c r="E39" s="490" t="s">
        <v>2084</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377" t="s">
        <v>299</v>
      </c>
      <c r="C41" s="2377"/>
      <c r="D41" s="480"/>
      <c r="E41" s="491" t="s">
        <v>2085</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377" t="s">
        <v>299</v>
      </c>
      <c r="C43" s="2377"/>
      <c r="D43" s="480"/>
      <c r="E43" s="491" t="s">
        <v>2086</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377" t="s">
        <v>299</v>
      </c>
      <c r="C45" s="2377"/>
      <c r="D45" s="480"/>
      <c r="E45" s="491" t="s">
        <v>2087</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377" t="s">
        <v>299</v>
      </c>
      <c r="C47" s="2377"/>
      <c r="D47" s="480"/>
      <c r="E47" s="493" t="s">
        <v>2088</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377" t="s">
        <v>299</v>
      </c>
      <c r="C49" s="2377"/>
      <c r="D49" s="480"/>
      <c r="E49" s="493" t="s">
        <v>2089</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2090</v>
      </c>
      <c r="AK51" s="2354">
        <f>AO32</f>
        <v>0</v>
      </c>
      <c r="AL51" s="2355"/>
      <c r="AM51" s="2356"/>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2091</v>
      </c>
      <c r="B54" s="472" t="s">
        <v>771</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276" t="s">
        <v>2092</v>
      </c>
      <c r="AF54" s="2276"/>
      <c r="AG54" s="2276"/>
      <c r="AH54" s="2276"/>
      <c r="AI54" s="2276"/>
      <c r="AJ54" s="2276"/>
      <c r="AK54" s="2276"/>
      <c r="AL54" s="473"/>
      <c r="AM54" s="473"/>
      <c r="AN54" s="468"/>
    </row>
    <row r="55" spans="1:50" s="469" customFormat="1" ht="12.75" customHeight="1">
      <c r="A55" s="471"/>
      <c r="B55" s="472" t="s">
        <v>2093</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377" t="s">
        <v>825</v>
      </c>
      <c r="C57" s="2377"/>
      <c r="D57" s="480" t="s">
        <v>2094</v>
      </c>
      <c r="E57" s="2384" t="s">
        <v>2095</v>
      </c>
      <c r="F57" s="2385"/>
      <c r="G57" s="2385"/>
      <c r="H57" s="2385"/>
      <c r="I57" s="2385"/>
      <c r="J57" s="2385"/>
      <c r="K57" s="2385"/>
      <c r="L57" s="2385"/>
      <c r="M57" s="2385"/>
      <c r="N57" s="2385"/>
      <c r="O57" s="2385"/>
      <c r="P57" s="2385"/>
      <c r="Q57" s="2385"/>
      <c r="R57" s="2385"/>
      <c r="S57" s="2385"/>
      <c r="T57" s="2385"/>
      <c r="U57" s="2385"/>
      <c r="V57" s="2385"/>
      <c r="W57" s="2385"/>
      <c r="X57" s="2385"/>
      <c r="Y57" s="2385"/>
      <c r="Z57" s="2385"/>
      <c r="AA57" s="2385"/>
      <c r="AB57" s="2385"/>
      <c r="AC57" s="2385"/>
      <c r="AD57" s="2385"/>
      <c r="AE57" s="2385"/>
      <c r="AF57" s="2385"/>
      <c r="AG57" s="2385"/>
      <c r="AH57" s="2385"/>
      <c r="AI57" s="2385"/>
      <c r="AJ57" s="2386"/>
      <c r="AK57" s="476"/>
      <c r="AL57" s="473"/>
      <c r="AM57" s="473"/>
      <c r="AN57" s="468"/>
      <c r="AO57" s="483">
        <f>IF($B57="yes",10,0)</f>
        <v>10</v>
      </c>
    </row>
    <row r="58" spans="1:50" s="469" customFormat="1" ht="12.75" customHeight="1">
      <c r="A58" s="471"/>
      <c r="B58" s="473"/>
      <c r="C58" s="473"/>
      <c r="D58" s="484"/>
      <c r="E58" s="2387"/>
      <c r="F58" s="2388"/>
      <c r="G58" s="2388"/>
      <c r="H58" s="2388"/>
      <c r="I58" s="2388"/>
      <c r="J58" s="2388"/>
      <c r="K58" s="2388"/>
      <c r="L58" s="2388"/>
      <c r="M58" s="2388"/>
      <c r="N58" s="2388"/>
      <c r="O58" s="2388"/>
      <c r="P58" s="2388"/>
      <c r="Q58" s="2388"/>
      <c r="R58" s="2388"/>
      <c r="S58" s="2388"/>
      <c r="T58" s="2388"/>
      <c r="U58" s="2388"/>
      <c r="V58" s="2388"/>
      <c r="W58" s="2388"/>
      <c r="X58" s="2388"/>
      <c r="Y58" s="2388"/>
      <c r="Z58" s="2388"/>
      <c r="AA58" s="2388"/>
      <c r="AB58" s="2388"/>
      <c r="AC58" s="2388"/>
      <c r="AD58" s="2388"/>
      <c r="AE58" s="2388"/>
      <c r="AF58" s="2388"/>
      <c r="AG58" s="2388"/>
      <c r="AH58" s="2388"/>
      <c r="AI58" s="2388"/>
      <c r="AJ58" s="2389"/>
      <c r="AK58" s="476"/>
      <c r="AL58" s="473"/>
      <c r="AM58" s="473"/>
      <c r="AN58" s="468"/>
      <c r="AO58" s="483">
        <f>IF($B62="yes",10,0)</f>
        <v>0</v>
      </c>
    </row>
    <row r="59" spans="1:50" s="469" customFormat="1" ht="12.75" customHeight="1">
      <c r="A59" s="471"/>
      <c r="B59" s="473"/>
      <c r="C59" s="473"/>
      <c r="D59" s="484"/>
      <c r="E59" s="2387"/>
      <c r="F59" s="2388"/>
      <c r="G59" s="2388"/>
      <c r="H59" s="2388"/>
      <c r="I59" s="2388"/>
      <c r="J59" s="2388"/>
      <c r="K59" s="2388"/>
      <c r="L59" s="2388"/>
      <c r="M59" s="2388"/>
      <c r="N59" s="2388"/>
      <c r="O59" s="2388"/>
      <c r="P59" s="2388"/>
      <c r="Q59" s="2388"/>
      <c r="R59" s="2388"/>
      <c r="S59" s="2388"/>
      <c r="T59" s="2388"/>
      <c r="U59" s="2388"/>
      <c r="V59" s="2388"/>
      <c r="W59" s="2388"/>
      <c r="X59" s="2388"/>
      <c r="Y59" s="2388"/>
      <c r="Z59" s="2388"/>
      <c r="AA59" s="2388"/>
      <c r="AB59" s="2388"/>
      <c r="AC59" s="2388"/>
      <c r="AD59" s="2388"/>
      <c r="AE59" s="2388"/>
      <c r="AF59" s="2388"/>
      <c r="AG59" s="2388"/>
      <c r="AH59" s="2388"/>
      <c r="AI59" s="2388"/>
      <c r="AJ59" s="2389"/>
      <c r="AK59" s="476"/>
      <c r="AL59" s="473"/>
      <c r="AM59" s="473"/>
      <c r="AN59" s="468"/>
      <c r="AO59" s="483">
        <f>IF($B69="yes",10,0)</f>
        <v>0</v>
      </c>
    </row>
    <row r="60" spans="1:50" s="469" customFormat="1" ht="12.75" customHeight="1">
      <c r="A60" s="471"/>
      <c r="B60" s="473"/>
      <c r="C60" s="473"/>
      <c r="D60" s="484"/>
      <c r="E60" s="2405"/>
      <c r="F60" s="2406"/>
      <c r="G60" s="2406"/>
      <c r="H60" s="2406"/>
      <c r="I60" s="2406"/>
      <c r="J60" s="2406"/>
      <c r="K60" s="2406"/>
      <c r="L60" s="2406"/>
      <c r="M60" s="2406"/>
      <c r="N60" s="2406"/>
      <c r="O60" s="2406"/>
      <c r="P60" s="2406"/>
      <c r="Q60" s="2406"/>
      <c r="R60" s="2406"/>
      <c r="S60" s="2406"/>
      <c r="T60" s="2406"/>
      <c r="U60" s="2406"/>
      <c r="V60" s="2406"/>
      <c r="W60" s="2406"/>
      <c r="X60" s="2406"/>
      <c r="Y60" s="2406"/>
      <c r="Z60" s="2406"/>
      <c r="AA60" s="2406"/>
      <c r="AB60" s="2406"/>
      <c r="AC60" s="2406"/>
      <c r="AD60" s="2406"/>
      <c r="AE60" s="2406"/>
      <c r="AF60" s="2406"/>
      <c r="AG60" s="2406"/>
      <c r="AH60" s="2406"/>
      <c r="AI60" s="2406"/>
      <c r="AJ60" s="2407"/>
      <c r="AK60" s="476"/>
      <c r="AL60" s="473"/>
      <c r="AM60" s="473"/>
      <c r="AN60" s="468"/>
      <c r="AO60" s="469">
        <f>IF(SUM(AO57:AO59)&gt;10,10,(SUM(AO57:AO59)))</f>
        <v>10</v>
      </c>
      <c r="AP60" s="507" t="s">
        <v>2096</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377" t="s">
        <v>299</v>
      </c>
      <c r="C62" s="2377"/>
      <c r="D62" s="480" t="s">
        <v>2097</v>
      </c>
      <c r="E62" s="932" t="s">
        <v>2098</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381" t="s">
        <v>299</v>
      </c>
      <c r="F63" s="2377"/>
      <c r="G63" s="508"/>
      <c r="H63" s="491" t="s">
        <v>2099</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375" t="s">
        <v>299</v>
      </c>
      <c r="F64" s="2376"/>
      <c r="G64" s="508"/>
      <c r="H64" s="491" t="s">
        <v>2100</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375" t="s">
        <v>299</v>
      </c>
      <c r="F65" s="2376"/>
      <c r="G65" s="508"/>
      <c r="H65" s="491" t="s">
        <v>2101</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381" t="s">
        <v>299</v>
      </c>
      <c r="F67" s="2377"/>
      <c r="G67" s="867"/>
      <c r="H67" s="937" t="s">
        <v>2102</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377" t="s">
        <v>299</v>
      </c>
      <c r="C69" s="2377"/>
      <c r="D69" s="480" t="s">
        <v>2103</v>
      </c>
      <c r="E69" s="2314" t="s">
        <v>2104</v>
      </c>
      <c r="F69" s="2315"/>
      <c r="G69" s="2315"/>
      <c r="H69" s="2315"/>
      <c r="I69" s="2315"/>
      <c r="J69" s="2315"/>
      <c r="K69" s="2315"/>
      <c r="L69" s="2315"/>
      <c r="M69" s="2315"/>
      <c r="N69" s="2315"/>
      <c r="O69" s="2315"/>
      <c r="P69" s="2315"/>
      <c r="Q69" s="2315"/>
      <c r="R69" s="2315"/>
      <c r="S69" s="2315"/>
      <c r="T69" s="2315"/>
      <c r="U69" s="2315"/>
      <c r="V69" s="2315"/>
      <c r="W69" s="2315"/>
      <c r="X69" s="2315"/>
      <c r="Y69" s="2315"/>
      <c r="Z69" s="2315"/>
      <c r="AA69" s="2315"/>
      <c r="AB69" s="2315"/>
      <c r="AC69" s="2315"/>
      <c r="AD69" s="2315"/>
      <c r="AE69" s="2315"/>
      <c r="AF69" s="2315"/>
      <c r="AG69" s="2315"/>
      <c r="AH69" s="2315"/>
      <c r="AI69" s="2315"/>
      <c r="AJ69" s="2316"/>
      <c r="AK69" s="476"/>
      <c r="AL69" s="473"/>
      <c r="AM69" s="473"/>
      <c r="AN69" s="468"/>
    </row>
    <row r="70" spans="1:40" s="469" customFormat="1" ht="12.75" customHeight="1">
      <c r="A70" s="471"/>
      <c r="B70" s="473"/>
      <c r="C70" s="473"/>
      <c r="D70" s="483"/>
      <c r="E70" s="2378"/>
      <c r="F70" s="2379"/>
      <c r="G70" s="2379"/>
      <c r="H70" s="2379"/>
      <c r="I70" s="2379"/>
      <c r="J70" s="2379"/>
      <c r="K70" s="2379"/>
      <c r="L70" s="2379"/>
      <c r="M70" s="2379"/>
      <c r="N70" s="2379"/>
      <c r="O70" s="2379"/>
      <c r="P70" s="2379"/>
      <c r="Q70" s="2379"/>
      <c r="R70" s="2379"/>
      <c r="S70" s="2379"/>
      <c r="T70" s="2379"/>
      <c r="U70" s="2379"/>
      <c r="V70" s="2379"/>
      <c r="W70" s="2379"/>
      <c r="X70" s="2379"/>
      <c r="Y70" s="2379"/>
      <c r="Z70" s="2379"/>
      <c r="AA70" s="2379"/>
      <c r="AB70" s="2379"/>
      <c r="AC70" s="2379"/>
      <c r="AD70" s="2379"/>
      <c r="AE70" s="2379"/>
      <c r="AF70" s="2379"/>
      <c r="AG70" s="2379"/>
      <c r="AH70" s="2379"/>
      <c r="AI70" s="2379"/>
      <c r="AJ70" s="2380"/>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2105</v>
      </c>
      <c r="AK72" s="2354">
        <f>IF(AK51&gt;0,0,AO60)</f>
        <v>10</v>
      </c>
      <c r="AL72" s="2355"/>
      <c r="AM72" s="2356"/>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2106</v>
      </c>
      <c r="B75" s="472" t="s">
        <v>2107</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276" t="s">
        <v>2070</v>
      </c>
      <c r="AF75" s="2276"/>
      <c r="AG75" s="2276"/>
      <c r="AH75" s="2276"/>
      <c r="AI75" s="2276"/>
      <c r="AJ75" s="2276"/>
      <c r="AK75" s="2276"/>
      <c r="AL75" s="473"/>
      <c r="AM75" s="473"/>
      <c r="AN75" s="468"/>
    </row>
    <row r="76" spans="1:40" s="469" customFormat="1" ht="12.75" customHeight="1">
      <c r="A76" s="471"/>
      <c r="B76" s="472" t="s">
        <v>2108</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377" t="s">
        <v>299</v>
      </c>
      <c r="C78" s="2377"/>
      <c r="D78" s="480" t="s">
        <v>2094</v>
      </c>
      <c r="E78" s="2384" t="s">
        <v>2109</v>
      </c>
      <c r="F78" s="2385"/>
      <c r="G78" s="2385"/>
      <c r="H78" s="2385"/>
      <c r="I78" s="2385"/>
      <c r="J78" s="2385"/>
      <c r="K78" s="2385"/>
      <c r="L78" s="2385"/>
      <c r="M78" s="2385"/>
      <c r="N78" s="2385"/>
      <c r="O78" s="2385"/>
      <c r="P78" s="2385"/>
      <c r="Q78" s="2385"/>
      <c r="R78" s="2385"/>
      <c r="S78" s="2385"/>
      <c r="T78" s="2385"/>
      <c r="U78" s="2385"/>
      <c r="V78" s="2385"/>
      <c r="W78" s="2385"/>
      <c r="X78" s="2385"/>
      <c r="Y78" s="2385"/>
      <c r="Z78" s="2385"/>
      <c r="AA78" s="2385"/>
      <c r="AB78" s="2385"/>
      <c r="AC78" s="2385"/>
      <c r="AD78" s="2385"/>
      <c r="AE78" s="2385"/>
      <c r="AF78" s="2385"/>
      <c r="AG78" s="2385"/>
      <c r="AH78" s="2385"/>
      <c r="AI78" s="2385"/>
      <c r="AJ78" s="2386"/>
      <c r="AK78" s="476"/>
      <c r="AL78" s="473"/>
      <c r="AM78" s="473"/>
      <c r="AN78" s="468"/>
    </row>
    <row r="79" spans="1:40" s="469" customFormat="1" ht="12.75" customHeight="1">
      <c r="A79" s="471"/>
      <c r="B79" s="472"/>
      <c r="C79" s="472"/>
      <c r="D79" s="472"/>
      <c r="E79" s="2387"/>
      <c r="F79" s="2388"/>
      <c r="G79" s="2388"/>
      <c r="H79" s="2388"/>
      <c r="I79" s="2388"/>
      <c r="J79" s="2388"/>
      <c r="K79" s="2388"/>
      <c r="L79" s="2388"/>
      <c r="M79" s="2388"/>
      <c r="N79" s="2388"/>
      <c r="O79" s="2388"/>
      <c r="P79" s="2388"/>
      <c r="Q79" s="2388"/>
      <c r="R79" s="2388"/>
      <c r="S79" s="2388"/>
      <c r="T79" s="2388"/>
      <c r="U79" s="2388"/>
      <c r="V79" s="2388"/>
      <c r="W79" s="2388"/>
      <c r="X79" s="2388"/>
      <c r="Y79" s="2388"/>
      <c r="Z79" s="2388"/>
      <c r="AA79" s="2388"/>
      <c r="AB79" s="2388"/>
      <c r="AC79" s="2388"/>
      <c r="AD79" s="2388"/>
      <c r="AE79" s="2388"/>
      <c r="AF79" s="2388"/>
      <c r="AG79" s="2388"/>
      <c r="AH79" s="2388"/>
      <c r="AI79" s="2388"/>
      <c r="AJ79" s="2389"/>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367">
        <f>Application!AH753</f>
        <v>0.55294117647058827</v>
      </c>
      <c r="F81" s="2368"/>
      <c r="G81" s="2368"/>
      <c r="H81" s="2368"/>
      <c r="I81" s="510"/>
      <c r="J81" s="513" t="s">
        <v>2110</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390">
        <f>0.6-ROUNDUP(E81,2)</f>
        <v>3.9999999999999925E-2</v>
      </c>
      <c r="F82" s="2178"/>
      <c r="G82" s="2178"/>
      <c r="H82" s="2178"/>
      <c r="I82" s="510"/>
      <c r="J82" s="513" t="s">
        <v>2111</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382">
        <f>IF(E82*200&gt;20,20,E82*200)</f>
        <v>7.9999999999999849</v>
      </c>
      <c r="F83" s="2383"/>
      <c r="G83" s="2383"/>
      <c r="H83" s="2383"/>
      <c r="I83" s="510"/>
      <c r="J83" s="513" t="s">
        <v>2112</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2075</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377" t="s">
        <v>825</v>
      </c>
      <c r="C86" s="2377"/>
      <c r="D86" s="480" t="s">
        <v>2097</v>
      </c>
      <c r="E86" s="2384" t="s">
        <v>2113</v>
      </c>
      <c r="F86" s="2385"/>
      <c r="G86" s="2385"/>
      <c r="H86" s="2385"/>
      <c r="I86" s="2385"/>
      <c r="J86" s="2385"/>
      <c r="K86" s="2385"/>
      <c r="L86" s="2385"/>
      <c r="M86" s="2385"/>
      <c r="N86" s="2385"/>
      <c r="O86" s="2385"/>
      <c r="P86" s="2385"/>
      <c r="Q86" s="2385"/>
      <c r="R86" s="2385"/>
      <c r="S86" s="2385"/>
      <c r="T86" s="2385"/>
      <c r="U86" s="2385"/>
      <c r="V86" s="2385"/>
      <c r="W86" s="2385"/>
      <c r="X86" s="2385"/>
      <c r="Y86" s="2385"/>
      <c r="Z86" s="2385"/>
      <c r="AA86" s="2385"/>
      <c r="AB86" s="2385"/>
      <c r="AC86" s="2385"/>
      <c r="AD86" s="2385"/>
      <c r="AE86" s="2385"/>
      <c r="AF86" s="2385"/>
      <c r="AG86" s="2385"/>
      <c r="AH86" s="2385"/>
      <c r="AI86" s="2385"/>
      <c r="AJ86" s="2386"/>
      <c r="AK86" s="476"/>
      <c r="AL86" s="473"/>
      <c r="AM86" s="473"/>
      <c r="AN86" s="468"/>
    </row>
    <row r="87" spans="1:47" s="469" customFormat="1" ht="12.75" customHeight="1">
      <c r="A87" s="471"/>
      <c r="B87" s="472"/>
      <c r="C87" s="472"/>
      <c r="D87" s="472"/>
      <c r="E87" s="2387"/>
      <c r="F87" s="2388"/>
      <c r="G87" s="2388"/>
      <c r="H87" s="2388"/>
      <c r="I87" s="2388"/>
      <c r="J87" s="2388"/>
      <c r="K87" s="2388"/>
      <c r="L87" s="2388"/>
      <c r="M87" s="2388"/>
      <c r="N87" s="2388"/>
      <c r="O87" s="2388"/>
      <c r="P87" s="2388"/>
      <c r="Q87" s="2388"/>
      <c r="R87" s="2388"/>
      <c r="S87" s="2388"/>
      <c r="T87" s="2388"/>
      <c r="U87" s="2388"/>
      <c r="V87" s="2388"/>
      <c r="W87" s="2388"/>
      <c r="X87" s="2388"/>
      <c r="Y87" s="2388"/>
      <c r="Z87" s="2388"/>
      <c r="AA87" s="2388"/>
      <c r="AB87" s="2388"/>
      <c r="AC87" s="2388"/>
      <c r="AD87" s="2388"/>
      <c r="AE87" s="2388"/>
      <c r="AF87" s="2388"/>
      <c r="AG87" s="2388"/>
      <c r="AH87" s="2388"/>
      <c r="AI87" s="2388"/>
      <c r="AJ87" s="2389"/>
      <c r="AK87" s="476"/>
      <c r="AL87" s="473"/>
      <c r="AM87" s="473"/>
      <c r="AN87" s="468"/>
    </row>
    <row r="88" spans="1:47" s="469" customFormat="1" ht="12.75" customHeight="1">
      <c r="A88" s="471"/>
      <c r="B88" s="472"/>
      <c r="C88" s="472"/>
      <c r="D88" s="472"/>
      <c r="E88" s="2387"/>
      <c r="F88" s="2388"/>
      <c r="G88" s="2388"/>
      <c r="H88" s="2388"/>
      <c r="I88" s="2388"/>
      <c r="J88" s="2388"/>
      <c r="K88" s="2388"/>
      <c r="L88" s="2388"/>
      <c r="M88" s="2388"/>
      <c r="N88" s="2388"/>
      <c r="O88" s="2388"/>
      <c r="P88" s="2388"/>
      <c r="Q88" s="2388"/>
      <c r="R88" s="2388"/>
      <c r="S88" s="2388"/>
      <c r="T88" s="2388"/>
      <c r="U88" s="2388"/>
      <c r="V88" s="2388"/>
      <c r="W88" s="2388"/>
      <c r="X88" s="2388"/>
      <c r="Y88" s="2388"/>
      <c r="Z88" s="2388"/>
      <c r="AA88" s="2388"/>
      <c r="AB88" s="2388"/>
      <c r="AC88" s="2388"/>
      <c r="AD88" s="2388"/>
      <c r="AE88" s="2388"/>
      <c r="AF88" s="2388"/>
      <c r="AG88" s="2388"/>
      <c r="AH88" s="2388"/>
      <c r="AI88" s="2388"/>
      <c r="AJ88" s="2389"/>
      <c r="AK88" s="476"/>
      <c r="AL88" s="473"/>
      <c r="AM88" s="473"/>
      <c r="AN88" s="468"/>
    </row>
    <row r="89" spans="1:47" s="469" customFormat="1" ht="12.75" customHeight="1">
      <c r="A89" s="471"/>
      <c r="B89" s="472"/>
      <c r="C89" s="472"/>
      <c r="D89" s="472"/>
      <c r="E89" s="2387"/>
      <c r="F89" s="2388"/>
      <c r="G89" s="2388"/>
      <c r="H89" s="2388"/>
      <c r="I89" s="2388"/>
      <c r="J89" s="2388"/>
      <c r="K89" s="2388"/>
      <c r="L89" s="2388"/>
      <c r="M89" s="2388"/>
      <c r="N89" s="2388"/>
      <c r="O89" s="2388"/>
      <c r="P89" s="2388"/>
      <c r="Q89" s="2388"/>
      <c r="R89" s="2388"/>
      <c r="S89" s="2388"/>
      <c r="T89" s="2388"/>
      <c r="U89" s="2388"/>
      <c r="V89" s="2388"/>
      <c r="W89" s="2388"/>
      <c r="X89" s="2388"/>
      <c r="Y89" s="2388"/>
      <c r="Z89" s="2388"/>
      <c r="AA89" s="2388"/>
      <c r="AB89" s="2388"/>
      <c r="AC89" s="2388"/>
      <c r="AD89" s="2388"/>
      <c r="AE89" s="2388"/>
      <c r="AF89" s="2388"/>
      <c r="AG89" s="2388"/>
      <c r="AH89" s="2388"/>
      <c r="AI89" s="2388"/>
      <c r="AJ89" s="2389"/>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367">
        <f>Application!AH753</f>
        <v>0.55294117647058827</v>
      </c>
      <c r="F91" s="2368"/>
      <c r="G91" s="2368"/>
      <c r="H91" s="2368"/>
      <c r="I91" s="510"/>
      <c r="J91" s="513" t="s">
        <v>2110</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367">
        <f ca="1">SUMIF(Application!AH728:AL752,0.2,Application!G728:J752)/Application!G753+SUMIF(Application!AH728:AL752,0.25,Application!G728:J752)/Application!G753+SUMIF(Application!AH728:AL752,0.3,Application!G728:J752)/Application!G753</f>
        <v>0.11764705882352941</v>
      </c>
      <c r="F92" s="2368"/>
      <c r="G92" s="2368"/>
      <c r="H92" s="2368"/>
      <c r="I92" s="510"/>
      <c r="J92" s="513" t="s">
        <v>2114</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367">
        <f ca="1">SUMIF(Application!AH728:AL752,0.35,Application!G728:J752)/Application!G753+SUMIF(Application!AH728:AL752,0.4,Application!G728:J752)/Application!G753+SUMIF(Application!AH728:AL752,0.45,Application!G728:J752)/Application!G753+SUMIF(Application!AH728:AL752,0.5,Application!G728:J752)/Application!G753</f>
        <v>0.11764705882352941</v>
      </c>
      <c r="F93" s="2368"/>
      <c r="G93" s="2368"/>
      <c r="H93" s="2368"/>
      <c r="I93" s="510"/>
      <c r="J93" s="513" t="s">
        <v>2115</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369">
        <f ca="1">IF(AND(E91&lt;=0.6,E92&gt;=0.1,OR(E93&gt;=0.1,E92=1)),20,0)</f>
        <v>20</v>
      </c>
      <c r="F94" s="2370"/>
      <c r="G94" s="2370"/>
      <c r="H94" s="2370"/>
      <c r="I94" s="486"/>
      <c r="J94" s="520" t="s">
        <v>2112</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2075</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2116</v>
      </c>
      <c r="AK97" s="2354">
        <f ca="1">MAX(AP83,AP94)</f>
        <v>20</v>
      </c>
      <c r="AL97" s="2355"/>
      <c r="AM97" s="2356"/>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2117</v>
      </c>
      <c r="B100" s="472" t="s">
        <v>2118</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276" t="s">
        <v>2092</v>
      </c>
      <c r="AF100" s="2276"/>
      <c r="AG100" s="2276"/>
      <c r="AH100" s="2276"/>
      <c r="AI100" s="2276"/>
      <c r="AJ100" s="2276"/>
      <c r="AK100" s="2276"/>
      <c r="AL100" s="473"/>
      <c r="AM100" s="473"/>
      <c r="AN100" s="468"/>
      <c r="AO100" s="469" t="str">
        <f>Application!B728</f>
        <v>1 Bedroom</v>
      </c>
      <c r="AQ100" s="469">
        <f>Application!O728</f>
        <v>1350.64</v>
      </c>
    </row>
    <row r="101" spans="1:49" s="469" customFormat="1" ht="12.75" customHeight="1">
      <c r="A101" s="473"/>
      <c r="B101" s="472" t="s">
        <v>2108</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1122.6400000000001</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1 Bedroom</v>
      </c>
      <c r="AQ102" s="469">
        <f>Application!O730</f>
        <v>668.64</v>
      </c>
    </row>
    <row r="103" spans="1:49" s="469" customFormat="1" ht="12.75" customHeight="1">
      <c r="A103" s="473"/>
      <c r="B103" s="2377" t="s">
        <v>825</v>
      </c>
      <c r="C103" s="2377"/>
      <c r="D103" s="480" t="s">
        <v>2094</v>
      </c>
      <c r="E103" s="2384" t="s">
        <v>2119</v>
      </c>
      <c r="F103" s="2385"/>
      <c r="G103" s="2385"/>
      <c r="H103" s="2385"/>
      <c r="I103" s="2385"/>
      <c r="J103" s="2385"/>
      <c r="K103" s="2385"/>
      <c r="L103" s="2385"/>
      <c r="M103" s="2385"/>
      <c r="N103" s="2385"/>
      <c r="O103" s="2385"/>
      <c r="P103" s="2385"/>
      <c r="Q103" s="2385"/>
      <c r="R103" s="2385"/>
      <c r="S103" s="2385"/>
      <c r="T103" s="2385"/>
      <c r="U103" s="2385"/>
      <c r="V103" s="2385"/>
      <c r="W103" s="2385"/>
      <c r="X103" s="2385"/>
      <c r="Y103" s="2385"/>
      <c r="Z103" s="2385"/>
      <c r="AA103" s="2385"/>
      <c r="AB103" s="2385"/>
      <c r="AC103" s="2385"/>
      <c r="AD103" s="2385"/>
      <c r="AE103" s="2385"/>
      <c r="AF103" s="2385"/>
      <c r="AG103" s="2385"/>
      <c r="AH103" s="2385"/>
      <c r="AI103" s="2385"/>
      <c r="AJ103" s="2386"/>
      <c r="AK103" s="473"/>
      <c r="AL103" s="473"/>
      <c r="AM103" s="473"/>
      <c r="AN103" s="468"/>
      <c r="AO103" s="469" t="str">
        <f>Application!B731</f>
        <v>2 Bedrooms</v>
      </c>
      <c r="AQ103" s="469">
        <f>Application!O731</f>
        <v>1622.27</v>
      </c>
      <c r="AU103" s="469" t="s">
        <v>2120</v>
      </c>
      <c r="AV103" s="528" t="s">
        <v>2121</v>
      </c>
      <c r="AW103" s="469" t="s">
        <v>2122</v>
      </c>
    </row>
    <row r="104" spans="1:49" s="469" customFormat="1" ht="12.75" customHeight="1">
      <c r="A104" s="473"/>
      <c r="B104" s="472"/>
      <c r="C104" s="472"/>
      <c r="D104" s="472"/>
      <c r="E104" s="2387"/>
      <c r="F104" s="2388"/>
      <c r="G104" s="2388"/>
      <c r="H104" s="2388"/>
      <c r="I104" s="2388"/>
      <c r="J104" s="2388"/>
      <c r="K104" s="2388"/>
      <c r="L104" s="2388"/>
      <c r="M104" s="2388"/>
      <c r="N104" s="2388"/>
      <c r="O104" s="2388"/>
      <c r="P104" s="2388"/>
      <c r="Q104" s="2388"/>
      <c r="R104" s="2388"/>
      <c r="S104" s="2388"/>
      <c r="T104" s="2388"/>
      <c r="U104" s="2388"/>
      <c r="V104" s="2388"/>
      <c r="W104" s="2388"/>
      <c r="X104" s="2388"/>
      <c r="Y104" s="2388"/>
      <c r="Z104" s="2388"/>
      <c r="AA104" s="2388"/>
      <c r="AB104" s="2388"/>
      <c r="AC104" s="2388"/>
      <c r="AD104" s="2388"/>
      <c r="AE104" s="2388"/>
      <c r="AF104" s="2388"/>
      <c r="AG104" s="2388"/>
      <c r="AH104" s="2388"/>
      <c r="AI104" s="2388"/>
      <c r="AJ104" s="2389"/>
      <c r="AK104" s="473"/>
      <c r="AL104" s="473"/>
      <c r="AM104" s="473"/>
      <c r="AN104" s="468"/>
      <c r="AO104" s="469" t="str">
        <f>Application!B732</f>
        <v>2 Bedrooms</v>
      </c>
      <c r="AQ104" s="469">
        <f>Application!O732</f>
        <v>1349.27</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387"/>
      <c r="F105" s="2388"/>
      <c r="G105" s="2388"/>
      <c r="H105" s="2388"/>
      <c r="I105" s="2388"/>
      <c r="J105" s="2388"/>
      <c r="K105" s="2388"/>
      <c r="L105" s="2388"/>
      <c r="M105" s="2388"/>
      <c r="N105" s="2388"/>
      <c r="O105" s="2388"/>
      <c r="P105" s="2388"/>
      <c r="Q105" s="2388"/>
      <c r="R105" s="2388"/>
      <c r="S105" s="2388"/>
      <c r="T105" s="2388"/>
      <c r="U105" s="2388"/>
      <c r="V105" s="2388"/>
      <c r="W105" s="2388"/>
      <c r="X105" s="2388"/>
      <c r="Y105" s="2388"/>
      <c r="Z105" s="2388"/>
      <c r="AA105" s="2388"/>
      <c r="AB105" s="2388"/>
      <c r="AC105" s="2388"/>
      <c r="AD105" s="2388"/>
      <c r="AE105" s="2388"/>
      <c r="AF105" s="2388"/>
      <c r="AG105" s="2388"/>
      <c r="AH105" s="2388"/>
      <c r="AI105" s="2388"/>
      <c r="AJ105" s="2389"/>
      <c r="AK105" s="473"/>
      <c r="AL105" s="473"/>
      <c r="AM105" s="473"/>
      <c r="AN105" s="468"/>
      <c r="AO105" s="469" t="str">
        <f>Application!B733</f>
        <v>2 Bedrooms</v>
      </c>
      <c r="AQ105" s="469">
        <f>Application!O733</f>
        <v>804.27</v>
      </c>
      <c r="AU105" s="814" t="str">
        <f>J112</f>
        <v>1-bedroom</v>
      </c>
      <c r="AV105" s="469">
        <f t="array" ref="AV105">SUM(IF(Application!B728:F752="1 Bedroom",Application!G728:J752))</f>
        <v>56</v>
      </c>
      <c r="AW105" s="972">
        <f>AV105/AV110</f>
        <v>0.47058823529411764</v>
      </c>
    </row>
    <row r="106" spans="1:49" s="469" customFormat="1" ht="12.75" customHeight="1">
      <c r="A106" s="473"/>
      <c r="B106" s="472"/>
      <c r="C106" s="472"/>
      <c r="D106" s="472"/>
      <c r="E106" s="2387"/>
      <c r="F106" s="2388"/>
      <c r="G106" s="2388"/>
      <c r="H106" s="2388"/>
      <c r="I106" s="2388"/>
      <c r="J106" s="2388"/>
      <c r="K106" s="2388"/>
      <c r="L106" s="2388"/>
      <c r="M106" s="2388"/>
      <c r="N106" s="2388"/>
      <c r="O106" s="2388"/>
      <c r="P106" s="2388"/>
      <c r="Q106" s="2388"/>
      <c r="R106" s="2388"/>
      <c r="S106" s="2388"/>
      <c r="T106" s="2388"/>
      <c r="U106" s="2388"/>
      <c r="V106" s="2388"/>
      <c r="W106" s="2388"/>
      <c r="X106" s="2388"/>
      <c r="Y106" s="2388"/>
      <c r="Z106" s="2388"/>
      <c r="AA106" s="2388"/>
      <c r="AB106" s="2388"/>
      <c r="AC106" s="2388"/>
      <c r="AD106" s="2388"/>
      <c r="AE106" s="2388"/>
      <c r="AF106" s="2388"/>
      <c r="AG106" s="2388"/>
      <c r="AH106" s="2388"/>
      <c r="AI106" s="2388"/>
      <c r="AJ106" s="2389"/>
      <c r="AK106" s="473"/>
      <c r="AL106" s="473"/>
      <c r="AM106" s="473"/>
      <c r="AN106" s="468"/>
      <c r="AO106" s="469" t="str">
        <f>Application!B734</f>
        <v>3 Bedrooms</v>
      </c>
      <c r="AQ106" s="469">
        <f>Application!O734</f>
        <v>1874.56</v>
      </c>
      <c r="AU106" s="814" t="str">
        <f>O112</f>
        <v>2-bedroom</v>
      </c>
      <c r="AV106" s="469">
        <f t="array" ref="AV106">SUM(IF(Application!B728:F752="2 Bedrooms",Application!G728:J752))</f>
        <v>31</v>
      </c>
      <c r="AW106" s="972">
        <f>AV106/AV110</f>
        <v>0.26050420168067229</v>
      </c>
    </row>
    <row r="107" spans="1:49" s="469" customFormat="1" ht="12.75" customHeight="1">
      <c r="A107" s="473"/>
      <c r="B107" s="472"/>
      <c r="C107" s="472"/>
      <c r="D107" s="472"/>
      <c r="E107" s="2387"/>
      <c r="F107" s="2388"/>
      <c r="G107" s="2388"/>
      <c r="H107" s="2388"/>
      <c r="I107" s="2388"/>
      <c r="J107" s="2388"/>
      <c r="K107" s="2388"/>
      <c r="L107" s="2388"/>
      <c r="M107" s="2388"/>
      <c r="N107" s="2388"/>
      <c r="O107" s="2388"/>
      <c r="P107" s="2388"/>
      <c r="Q107" s="2388"/>
      <c r="R107" s="2388"/>
      <c r="S107" s="2388"/>
      <c r="T107" s="2388"/>
      <c r="U107" s="2388"/>
      <c r="V107" s="2388"/>
      <c r="W107" s="2388"/>
      <c r="X107" s="2388"/>
      <c r="Y107" s="2388"/>
      <c r="Z107" s="2388"/>
      <c r="AA107" s="2388"/>
      <c r="AB107" s="2388"/>
      <c r="AC107" s="2388"/>
      <c r="AD107" s="2388"/>
      <c r="AE107" s="2388"/>
      <c r="AF107" s="2388"/>
      <c r="AG107" s="2388"/>
      <c r="AH107" s="2388"/>
      <c r="AI107" s="2388"/>
      <c r="AJ107" s="2389"/>
      <c r="AK107" s="473"/>
      <c r="AL107" s="473"/>
      <c r="AM107" s="473"/>
      <c r="AN107" s="468"/>
      <c r="AO107" s="469" t="str">
        <f>Application!B735</f>
        <v>3 Bedrooms</v>
      </c>
      <c r="AQ107" s="469">
        <f>Application!O735</f>
        <v>1559.56</v>
      </c>
      <c r="AU107" s="814" t="str">
        <f>T112</f>
        <v>3-bedroom</v>
      </c>
      <c r="AV107" s="469">
        <f t="array" ref="AV107">SUM(IF(Application!B728:F752="3 Bedrooms",Application!G728:J752))</f>
        <v>32</v>
      </c>
      <c r="AW107" s="972">
        <f>AV107/AV110</f>
        <v>0.26890756302521007</v>
      </c>
    </row>
    <row r="108" spans="1:49" s="469" customFormat="1" ht="12.75" customHeight="1">
      <c r="A108" s="473"/>
      <c r="B108" s="472"/>
      <c r="C108" s="472"/>
      <c r="D108" s="472"/>
      <c r="E108" s="2387"/>
      <c r="F108" s="2388"/>
      <c r="G108" s="2388"/>
      <c r="H108" s="2388"/>
      <c r="I108" s="2388"/>
      <c r="J108" s="2388"/>
      <c r="K108" s="2388"/>
      <c r="L108" s="2388"/>
      <c r="M108" s="2388"/>
      <c r="N108" s="2388"/>
      <c r="O108" s="2388"/>
      <c r="P108" s="2388"/>
      <c r="Q108" s="2388"/>
      <c r="R108" s="2388"/>
      <c r="S108" s="2388"/>
      <c r="T108" s="2388"/>
      <c r="U108" s="2388"/>
      <c r="V108" s="2388"/>
      <c r="W108" s="2388"/>
      <c r="X108" s="2388"/>
      <c r="Y108" s="2388"/>
      <c r="Z108" s="2388"/>
      <c r="AA108" s="2388"/>
      <c r="AB108" s="2388"/>
      <c r="AC108" s="2388"/>
      <c r="AD108" s="2388"/>
      <c r="AE108" s="2388"/>
      <c r="AF108" s="2388"/>
      <c r="AG108" s="2388"/>
      <c r="AH108" s="2388"/>
      <c r="AI108" s="2388"/>
      <c r="AJ108" s="2389"/>
      <c r="AK108" s="473"/>
      <c r="AL108" s="473"/>
      <c r="AM108" s="473"/>
      <c r="AN108" s="468"/>
      <c r="AO108" s="469" t="str">
        <f>Application!B736</f>
        <v>3 Bedrooms</v>
      </c>
      <c r="AQ108" s="469">
        <f>Application!O736</f>
        <v>929.56</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387"/>
      <c r="F109" s="2388"/>
      <c r="G109" s="2388"/>
      <c r="H109" s="2388"/>
      <c r="I109" s="2388"/>
      <c r="J109" s="2388"/>
      <c r="K109" s="2388"/>
      <c r="L109" s="2388"/>
      <c r="M109" s="2388"/>
      <c r="N109" s="2388"/>
      <c r="O109" s="2388"/>
      <c r="P109" s="2388"/>
      <c r="Q109" s="2388"/>
      <c r="R109" s="2388"/>
      <c r="S109" s="2388"/>
      <c r="T109" s="2388"/>
      <c r="U109" s="2388"/>
      <c r="V109" s="2388"/>
      <c r="W109" s="2388"/>
      <c r="X109" s="2388"/>
      <c r="Y109" s="2388"/>
      <c r="Z109" s="2388"/>
      <c r="AA109" s="2388"/>
      <c r="AB109" s="2388"/>
      <c r="AC109" s="2388"/>
      <c r="AD109" s="2388"/>
      <c r="AE109" s="2388"/>
      <c r="AF109" s="2388"/>
      <c r="AG109" s="2388"/>
      <c r="AH109" s="2388"/>
      <c r="AI109" s="2388"/>
      <c r="AJ109" s="2389"/>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387"/>
      <c r="F110" s="2388"/>
      <c r="G110" s="2388"/>
      <c r="H110" s="2388"/>
      <c r="I110" s="2388"/>
      <c r="J110" s="2388"/>
      <c r="K110" s="2388"/>
      <c r="L110" s="2388"/>
      <c r="M110" s="2388"/>
      <c r="N110" s="2388"/>
      <c r="O110" s="2388"/>
      <c r="P110" s="2388"/>
      <c r="Q110" s="2388"/>
      <c r="R110" s="2388"/>
      <c r="S110" s="2388"/>
      <c r="T110" s="2388"/>
      <c r="U110" s="2388"/>
      <c r="V110" s="2388"/>
      <c r="W110" s="2388"/>
      <c r="X110" s="2388"/>
      <c r="Y110" s="2388"/>
      <c r="Z110" s="2388"/>
      <c r="AA110" s="2388"/>
      <c r="AB110" s="2388"/>
      <c r="AC110" s="2388"/>
      <c r="AD110" s="2388"/>
      <c r="AE110" s="2388"/>
      <c r="AF110" s="2388"/>
      <c r="AG110" s="2388"/>
      <c r="AH110" s="2388"/>
      <c r="AI110" s="2388"/>
      <c r="AJ110" s="2389"/>
      <c r="AK110" s="473"/>
      <c r="AL110" s="473"/>
      <c r="AM110" s="473"/>
      <c r="AN110" s="468"/>
      <c r="AO110" s="469">
        <f>Application!B738</f>
        <v>0</v>
      </c>
      <c r="AQ110" s="469">
        <f>Application!O738</f>
        <v>0</v>
      </c>
      <c r="AV110" s="469">
        <f>SUM(AV104:AV109)</f>
        <v>119</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367" t="s">
        <v>2123</v>
      </c>
      <c r="F112" s="2368"/>
      <c r="G112" s="2368"/>
      <c r="H112" s="2368"/>
      <c r="I112" s="510"/>
      <c r="J112" s="2368" t="s">
        <v>2124</v>
      </c>
      <c r="K112" s="2368"/>
      <c r="L112" s="2368"/>
      <c r="M112" s="2368"/>
      <c r="N112" s="510"/>
      <c r="O112" s="2368" t="s">
        <v>2125</v>
      </c>
      <c r="P112" s="2368"/>
      <c r="Q112" s="2368"/>
      <c r="R112" s="2368"/>
      <c r="S112" s="510"/>
      <c r="T112" s="2368" t="s">
        <v>2126</v>
      </c>
      <c r="U112" s="2368"/>
      <c r="V112" s="2368"/>
      <c r="W112" s="2368"/>
      <c r="X112" s="510"/>
      <c r="Y112" s="2368" t="s">
        <v>2127</v>
      </c>
      <c r="Z112" s="2368"/>
      <c r="AA112" s="2368"/>
      <c r="AB112" s="2368"/>
      <c r="AC112" s="510"/>
      <c r="AD112" s="2368" t="s">
        <v>2128</v>
      </c>
      <c r="AE112" s="2368"/>
      <c r="AF112" s="2368"/>
      <c r="AG112" s="2368"/>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2129</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371"/>
      <c r="F115" s="2372"/>
      <c r="G115" s="2372"/>
      <c r="H115" s="2372"/>
      <c r="I115" s="825"/>
      <c r="J115" s="2372">
        <v>1906</v>
      </c>
      <c r="K115" s="2372"/>
      <c r="L115" s="2372"/>
      <c r="M115" s="2372"/>
      <c r="N115" s="825"/>
      <c r="O115" s="2372">
        <v>2369</v>
      </c>
      <c r="P115" s="2372"/>
      <c r="Q115" s="2372"/>
      <c r="R115" s="2372"/>
      <c r="S115" s="825"/>
      <c r="T115" s="2372">
        <v>2623</v>
      </c>
      <c r="U115" s="2372"/>
      <c r="V115" s="2372"/>
      <c r="W115" s="2372"/>
      <c r="X115" s="825"/>
      <c r="Y115" s="2372"/>
      <c r="Z115" s="2372"/>
      <c r="AA115" s="2372"/>
      <c r="AB115" s="2372"/>
      <c r="AC115" s="825"/>
      <c r="AD115" s="2372"/>
      <c r="AE115" s="2372"/>
      <c r="AF115" s="2372"/>
      <c r="AG115" s="2372"/>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2130</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373">
        <f>Application!DX663</f>
        <v>0</v>
      </c>
      <c r="F118" s="2374"/>
      <c r="G118" s="2374"/>
      <c r="H118" s="2374"/>
      <c r="I118" s="825"/>
      <c r="J118" s="2374">
        <f>Application!EC663</f>
        <v>1253.1400000000003</v>
      </c>
      <c r="K118" s="2374"/>
      <c r="L118" s="2374"/>
      <c r="M118" s="2374"/>
      <c r="N118" s="825"/>
      <c r="O118" s="2374">
        <f>Application!EH663</f>
        <v>1481.4958064516127</v>
      </c>
      <c r="P118" s="2374"/>
      <c r="Q118" s="2374"/>
      <c r="R118" s="2374"/>
      <c r="S118" s="829"/>
      <c r="T118" s="2374">
        <f>Application!EM663</f>
        <v>1717.06</v>
      </c>
      <c r="U118" s="2374"/>
      <c r="V118" s="2374"/>
      <c r="W118" s="2374"/>
      <c r="X118" s="829"/>
      <c r="Y118" s="2374">
        <f>Application!ER663</f>
        <v>0</v>
      </c>
      <c r="Z118" s="2374"/>
      <c r="AA118" s="2374"/>
      <c r="AB118" s="2374"/>
      <c r="AC118" s="829"/>
      <c r="AD118" s="2374">
        <f>Application!EW663</f>
        <v>0</v>
      </c>
      <c r="AE118" s="2374"/>
      <c r="AF118" s="2374"/>
      <c r="AG118" s="2374"/>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2131</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177" t="e">
        <f>(E115-E118)/E115</f>
        <v>#DIV/0!</v>
      </c>
      <c r="F121" s="2178"/>
      <c r="G121" s="2178"/>
      <c r="H121" s="2179"/>
      <c r="I121" s="510"/>
      <c r="J121" s="2177">
        <f>(J115-J118)/J115</f>
        <v>0.34252885624344159</v>
      </c>
      <c r="K121" s="2178"/>
      <c r="L121" s="2178"/>
      <c r="M121" s="2179"/>
      <c r="N121" s="510"/>
      <c r="O121" s="2177">
        <f>(O115-O118)/O115</f>
        <v>0.37463241601873676</v>
      </c>
      <c r="P121" s="2178"/>
      <c r="Q121" s="2178"/>
      <c r="R121" s="2179"/>
      <c r="S121" s="510"/>
      <c r="T121" s="2177">
        <f>(T115-T118)/T115</f>
        <v>0.34538314906595502</v>
      </c>
      <c r="U121" s="2178"/>
      <c r="V121" s="2178"/>
      <c r="W121" s="2179"/>
      <c r="X121" s="510"/>
      <c r="Y121" s="2177" t="e">
        <f>(Y115-Y118)/Y115</f>
        <v>#DIV/0!</v>
      </c>
      <c r="Z121" s="2178"/>
      <c r="AA121" s="2178"/>
      <c r="AB121" s="2179"/>
      <c r="AC121" s="510"/>
      <c r="AD121" s="2177" t="e">
        <f>(AD115-AD118)/AD115</f>
        <v>#DIV/0!</v>
      </c>
      <c r="AE121" s="2178"/>
      <c r="AF121" s="2178"/>
      <c r="AG121" s="2179"/>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2132</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408" t="e">
        <f>IF(((E121-0.1)*AW104)&gt;0,((E121-0.1)*AW104),0)</f>
        <v>#DIV/0!</v>
      </c>
      <c r="F124" s="2409"/>
      <c r="G124" s="2409"/>
      <c r="H124" s="2410"/>
      <c r="I124" s="510"/>
      <c r="J124" s="2408">
        <f>IF(((J121-0.1)*AW105)&gt;0,((J121-0.1)*AW105),0)</f>
        <v>0.11413122646750193</v>
      </c>
      <c r="K124" s="2409"/>
      <c r="L124" s="2409"/>
      <c r="M124" s="2410"/>
      <c r="N124" s="510"/>
      <c r="O124" s="2408">
        <f>IF(((O121-0.1)*AW106)&gt;0,((O121-0.1)*AW106),0)</f>
        <v>7.1542898290595305E-2</v>
      </c>
      <c r="P124" s="2409"/>
      <c r="Q124" s="2409"/>
      <c r="R124" s="2410"/>
      <c r="S124" s="510"/>
      <c r="T124" s="2408">
        <f>IF(((T121-0.1)*AW107)&gt;0,((T121-0.1)*AW107),0)</f>
        <v>6.598538462277781E-2</v>
      </c>
      <c r="U124" s="2409"/>
      <c r="V124" s="2409"/>
      <c r="W124" s="2410"/>
      <c r="X124" s="510"/>
      <c r="Y124" s="2408" t="e">
        <f>IF(((Y121-0.1)*AW108)&gt;0,((Y121-0.1)*AW108),0)</f>
        <v>#DIV/0!</v>
      </c>
      <c r="Z124" s="2409"/>
      <c r="AA124" s="2409"/>
      <c r="AB124" s="2410"/>
      <c r="AC124" s="510"/>
      <c r="AD124" s="2408" t="e">
        <f>IF(((AD121-0.1)*AW109)&gt;0,((AD121-0.1)*AW109),0)</f>
        <v>#DIV/0!</v>
      </c>
      <c r="AE124" s="2409"/>
      <c r="AF124" s="2409"/>
      <c r="AG124" s="2410"/>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177">
        <f>ROUNDDOWN(SUMIF(E124:AG124,"&gt;0"),2)</f>
        <v>0.25</v>
      </c>
      <c r="F126" s="2178"/>
      <c r="G126" s="2178"/>
      <c r="H126" s="2179"/>
      <c r="I126" s="510"/>
      <c r="J126" s="513" t="s">
        <v>2133</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354">
        <f>IF((E126*100)&gt;10,10,E126*100)</f>
        <v>10</v>
      </c>
      <c r="F127" s="2355"/>
      <c r="G127" s="2355"/>
      <c r="H127" s="2356"/>
      <c r="I127" s="510"/>
      <c r="J127" s="513" t="s">
        <v>2112</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2134</v>
      </c>
      <c r="AK131" s="2354">
        <f>E127</f>
        <v>10</v>
      </c>
      <c r="AL131" s="2355"/>
      <c r="AM131" s="2356"/>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2135</v>
      </c>
      <c r="AE134" s="2276" t="s">
        <v>2092</v>
      </c>
      <c r="AF134" s="2276"/>
      <c r="AG134" s="2276"/>
      <c r="AH134" s="2276"/>
      <c r="AI134" s="2276"/>
      <c r="AJ134" s="2276"/>
      <c r="AK134" s="2276"/>
      <c r="AL134" s="524"/>
      <c r="AN134" s="525"/>
      <c r="AO134" s="469"/>
    </row>
    <row r="135" spans="1:52" s="472" customFormat="1" ht="12.95" customHeight="1">
      <c r="A135" s="471"/>
      <c r="AE135" s="524"/>
      <c r="AF135" s="524"/>
      <c r="AG135" s="524"/>
      <c r="AH135" s="524"/>
      <c r="AI135" s="524"/>
      <c r="AJ135" s="524"/>
      <c r="AK135" s="524"/>
      <c r="AL135" s="524"/>
      <c r="AN135" s="525"/>
    </row>
    <row r="136" spans="1:52" s="469" customFormat="1" ht="12.75" customHeight="1">
      <c r="A136" s="471"/>
      <c r="B136" s="471" t="s">
        <v>2136</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302" t="s">
        <v>2137</v>
      </c>
      <c r="AG136" s="2302"/>
      <c r="AH136" s="2302"/>
      <c r="AI136" s="2302"/>
      <c r="AJ136" s="2302"/>
      <c r="AK136" s="2302"/>
      <c r="AL136" s="2302"/>
      <c r="AM136" s="472"/>
      <c r="AN136" s="468"/>
    </row>
    <row r="137" spans="1:52" s="469" customFormat="1" ht="12.75" customHeight="1">
      <c r="A137" s="471"/>
      <c r="B137" s="471" t="s">
        <v>1157</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361" t="s">
        <v>1158</v>
      </c>
      <c r="C138" s="2361"/>
      <c r="D138" s="2361"/>
      <c r="E138" s="2361"/>
      <c r="F138" s="2361"/>
      <c r="G138" s="2361"/>
      <c r="H138" s="2361"/>
      <c r="I138" s="2361"/>
      <c r="J138" s="2361"/>
      <c r="K138" s="2361"/>
      <c r="L138" s="2361"/>
      <c r="M138" s="2361"/>
      <c r="N138" s="2361"/>
      <c r="O138" s="2361"/>
      <c r="P138" s="2361"/>
      <c r="Q138" s="2361"/>
      <c r="R138" s="2361"/>
      <c r="S138" s="2361"/>
      <c r="T138" s="2361"/>
      <c r="U138" s="2361"/>
      <c r="V138" s="2361"/>
      <c r="W138" s="2361"/>
      <c r="X138" s="2361"/>
      <c r="Y138" s="2361"/>
      <c r="Z138" s="2361"/>
      <c r="AA138" s="2361"/>
      <c r="AB138" s="2361"/>
      <c r="AC138" s="2361"/>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2138</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2139</v>
      </c>
      <c r="AP140" s="423">
        <v>5</v>
      </c>
    </row>
    <row r="141" spans="1:52" s="469" customFormat="1" ht="12.75" customHeight="1">
      <c r="A141" s="471"/>
      <c r="B141" s="2360" t="s">
        <v>2140</v>
      </c>
      <c r="C141" s="2360"/>
      <c r="D141" s="2360"/>
      <c r="E141" s="2360"/>
      <c r="F141" s="2360"/>
      <c r="G141" s="2360"/>
      <c r="H141" s="2360"/>
      <c r="I141" s="2360"/>
      <c r="J141" s="2360"/>
      <c r="K141" s="2360"/>
      <c r="L141" s="2360"/>
      <c r="M141" s="2360"/>
      <c r="N141" s="2360"/>
      <c r="O141" s="2360"/>
      <c r="P141" s="2360"/>
      <c r="Q141" s="2360"/>
      <c r="R141" s="2360"/>
      <c r="S141" s="2360"/>
      <c r="T141" s="2360"/>
      <c r="U141" s="2360"/>
      <c r="V141" s="2360"/>
      <c r="W141" s="2360"/>
      <c r="X141" s="2360"/>
      <c r="Y141" s="2360"/>
      <c r="Z141" s="2360"/>
      <c r="AA141" s="2360"/>
      <c r="AB141" s="2360"/>
      <c r="AC141" s="2360"/>
      <c r="AD141" s="2360"/>
      <c r="AE141" s="2360"/>
      <c r="AF141" s="2360"/>
      <c r="AG141" s="2360"/>
      <c r="AH141" s="2360"/>
      <c r="AI141" s="2360"/>
      <c r="AM141" s="472"/>
      <c r="AN141" s="468"/>
      <c r="AO141" s="410" t="s">
        <v>2140</v>
      </c>
      <c r="AP141" s="423">
        <v>7</v>
      </c>
    </row>
    <row r="142" spans="1:52" s="469" customFormat="1" ht="12.9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2141</v>
      </c>
      <c r="AP142" s="423">
        <v>7</v>
      </c>
    </row>
    <row r="143" spans="1:52" s="469" customFormat="1" ht="12.75" customHeight="1">
      <c r="A143" s="471"/>
      <c r="B143" s="472" t="s">
        <v>2142</v>
      </c>
      <c r="AB143" s="2310" t="s">
        <v>299</v>
      </c>
      <c r="AC143" s="2310"/>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2143</v>
      </c>
      <c r="AP144" s="423"/>
    </row>
    <row r="145" spans="1:42" s="469" customFormat="1" ht="12.75" customHeight="1">
      <c r="A145" s="471"/>
      <c r="B145" s="471" t="s">
        <v>2144</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2145</v>
      </c>
      <c r="AP145" s="423">
        <v>5</v>
      </c>
    </row>
    <row r="146" spans="1:42" s="469" customFormat="1" ht="12.75" customHeight="1">
      <c r="A146" s="471"/>
      <c r="B146" s="2360" t="s">
        <v>2143</v>
      </c>
      <c r="C146" s="2360"/>
      <c r="D146" s="2360"/>
      <c r="E146" s="2360"/>
      <c r="F146" s="2360"/>
      <c r="G146" s="2360"/>
      <c r="H146" s="2360"/>
      <c r="I146" s="2360"/>
      <c r="J146" s="2360"/>
      <c r="K146" s="2360"/>
      <c r="L146" s="2360"/>
      <c r="M146" s="2360"/>
      <c r="N146" s="2360"/>
      <c r="O146" s="2360"/>
      <c r="P146" s="2360"/>
      <c r="Q146" s="2360"/>
      <c r="R146" s="2360"/>
      <c r="S146" s="2360"/>
      <c r="T146" s="2360"/>
      <c r="U146" s="2360"/>
      <c r="V146" s="2360"/>
      <c r="W146" s="2360"/>
      <c r="X146" s="2360"/>
      <c r="Y146" s="2360"/>
      <c r="Z146" s="2360"/>
      <c r="AA146" s="2360"/>
      <c r="AB146" s="2360"/>
      <c r="AC146" s="2360"/>
      <c r="AD146" s="2360"/>
      <c r="AE146" s="2360"/>
      <c r="AF146" s="2360"/>
      <c r="AG146" s="2360"/>
      <c r="AH146" s="2360"/>
      <c r="AI146" s="2360"/>
      <c r="AJ146" s="2360"/>
      <c r="AN146" s="468"/>
      <c r="AO146" s="410" t="s">
        <v>2146</v>
      </c>
      <c r="AP146" s="423">
        <v>7</v>
      </c>
    </row>
    <row r="147" spans="1:42" s="469" customFormat="1" ht="12.75" customHeight="1">
      <c r="B147" s="472" t="s">
        <v>2147</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2148</v>
      </c>
      <c r="AJ149" s="2230">
        <f>IF($AB$143="N/A",VLOOKUP($B$141,$AO$139:$AP$142,2,FALSE),VLOOKUP($B$146,$AO$144:$AP$147,2,FALSE))</f>
        <v>7</v>
      </c>
      <c r="AK149" s="2230"/>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2149</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302" t="s">
        <v>2150</v>
      </c>
      <c r="AG151" s="2302"/>
      <c r="AH151" s="2302"/>
      <c r="AI151" s="2302"/>
      <c r="AJ151" s="2302"/>
      <c r="AK151" s="2302"/>
      <c r="AL151" s="2302"/>
      <c r="AM151" s="536"/>
      <c r="AN151" s="531"/>
    </row>
    <row r="152" spans="1:42" s="483" customFormat="1" ht="12.75" customHeight="1">
      <c r="A152" s="469"/>
      <c r="B152" s="472" t="s">
        <v>2151</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360" t="s">
        <v>2152</v>
      </c>
      <c r="D153" s="2360"/>
      <c r="E153" s="2360"/>
      <c r="F153" s="2360"/>
      <c r="G153" s="2360"/>
      <c r="H153" s="2360"/>
      <c r="I153" s="2360"/>
      <c r="J153" s="2360"/>
      <c r="K153" s="2360"/>
      <c r="L153" s="2360"/>
      <c r="M153" s="2360"/>
      <c r="N153" s="2360"/>
      <c r="O153" s="2360"/>
      <c r="P153" s="2360"/>
      <c r="Q153" s="2360"/>
      <c r="R153" s="2360"/>
      <c r="S153" s="2360"/>
      <c r="T153" s="2360"/>
      <c r="U153" s="2360"/>
      <c r="V153" s="2360"/>
      <c r="W153" s="2360"/>
      <c r="X153" s="2360"/>
      <c r="Y153" s="2360"/>
      <c r="Z153" s="2360"/>
      <c r="AA153" s="2360"/>
      <c r="AB153" s="2360"/>
      <c r="AC153" s="2360"/>
      <c r="AD153" s="2360"/>
      <c r="AE153" s="2360"/>
      <c r="AF153" s="2360"/>
      <c r="AG153" s="2360"/>
      <c r="AH153" s="2360"/>
      <c r="AI153" s="2360"/>
      <c r="AJ153" s="469"/>
      <c r="AK153" s="469"/>
      <c r="AL153" s="469"/>
      <c r="AM153" s="536"/>
      <c r="AN153" s="530"/>
      <c r="AO153" s="410" t="s">
        <v>294</v>
      </c>
      <c r="AP153" s="410"/>
    </row>
    <row r="154" spans="1:42" s="483" customFormat="1" ht="12.9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2153</v>
      </c>
      <c r="AP154" s="532">
        <v>2</v>
      </c>
    </row>
    <row r="155" spans="1:42" s="483" customFormat="1" ht="12.75" customHeight="1">
      <c r="A155" s="469"/>
      <c r="B155" s="469"/>
      <c r="C155" s="472" t="s">
        <v>2154</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310" t="s">
        <v>299</v>
      </c>
      <c r="AD155" s="2310"/>
      <c r="AE155" s="469"/>
      <c r="AF155" s="469"/>
      <c r="AG155" s="469"/>
      <c r="AH155" s="469"/>
      <c r="AI155" s="469"/>
      <c r="AJ155" s="469"/>
      <c r="AK155" s="469"/>
      <c r="AL155" s="469"/>
      <c r="AM155" s="536"/>
      <c r="AN155" s="530"/>
      <c r="AO155" s="410" t="s">
        <v>2152</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2155</v>
      </c>
      <c r="AP156" s="532">
        <v>3</v>
      </c>
    </row>
    <row r="157" spans="1:42" s="483" customFormat="1" ht="12.75" customHeight="1">
      <c r="A157" s="469"/>
      <c r="B157" s="469"/>
      <c r="C157" s="2360" t="s">
        <v>2143</v>
      </c>
      <c r="D157" s="2360"/>
      <c r="E157" s="2360"/>
      <c r="F157" s="2360"/>
      <c r="G157" s="2360"/>
      <c r="H157" s="2360"/>
      <c r="I157" s="2360"/>
      <c r="J157" s="2360"/>
      <c r="K157" s="2360"/>
      <c r="L157" s="2360"/>
      <c r="M157" s="2360"/>
      <c r="N157" s="2360"/>
      <c r="O157" s="2360"/>
      <c r="P157" s="2360"/>
      <c r="Q157" s="2360"/>
      <c r="R157" s="2360"/>
      <c r="S157" s="2360"/>
      <c r="T157" s="2360"/>
      <c r="U157" s="2360"/>
      <c r="V157" s="2360"/>
      <c r="W157" s="2360"/>
      <c r="X157" s="2360"/>
      <c r="Y157" s="2360"/>
      <c r="Z157" s="2360"/>
      <c r="AA157" s="2360"/>
      <c r="AB157" s="2360"/>
      <c r="AC157" s="2360"/>
      <c r="AD157" s="2360"/>
      <c r="AE157" s="469"/>
      <c r="AF157" s="469"/>
      <c r="AG157" s="469"/>
      <c r="AH157" s="469"/>
      <c r="AI157" s="469"/>
      <c r="AJ157" s="469"/>
      <c r="AK157" s="469"/>
      <c r="AL157" s="469"/>
      <c r="AM157" s="536"/>
      <c r="AN157" s="530"/>
      <c r="AO157" s="535"/>
      <c r="AP157" s="532"/>
    </row>
    <row r="158" spans="1:42" s="483" customFormat="1" ht="12.75" customHeight="1">
      <c r="A158" s="469"/>
      <c r="B158" s="469"/>
      <c r="C158" s="472" t="s">
        <v>2147</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2156</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2143</v>
      </c>
      <c r="AP160" s="410"/>
    </row>
    <row r="161" spans="1:81" s="483" customFormat="1" ht="12.75" customHeight="1">
      <c r="A161" s="469"/>
      <c r="B161" s="469"/>
      <c r="C161" s="2361" t="s">
        <v>1249</v>
      </c>
      <c r="D161" s="2361"/>
      <c r="E161" s="2361"/>
      <c r="F161" s="2361"/>
      <c r="G161" s="2361"/>
      <c r="H161" s="2361"/>
      <c r="I161" s="2361"/>
      <c r="J161" s="2361"/>
      <c r="K161" s="2361"/>
      <c r="L161" s="2361"/>
      <c r="M161" s="2361"/>
      <c r="N161" s="2361"/>
      <c r="O161" s="2361"/>
      <c r="P161" s="2361"/>
      <c r="Q161" s="2361"/>
      <c r="R161" s="2361"/>
      <c r="S161" s="2361"/>
      <c r="T161" s="2361"/>
      <c r="U161" s="2361"/>
      <c r="V161" s="2361"/>
      <c r="W161" s="2361"/>
      <c r="X161" s="2361"/>
      <c r="Y161" s="2361"/>
      <c r="Z161" s="2361"/>
      <c r="AA161" s="2361"/>
      <c r="AB161" s="2361"/>
      <c r="AC161" s="2361"/>
      <c r="AD161" s="2361"/>
      <c r="AE161" s="469"/>
      <c r="AF161" s="469"/>
      <c r="AG161" s="469"/>
      <c r="AH161" s="469"/>
      <c r="AI161" s="469"/>
      <c r="AJ161" s="469"/>
      <c r="AK161" s="469"/>
      <c r="AL161" s="469"/>
      <c r="AM161" s="536"/>
      <c r="AN161" s="530"/>
      <c r="AO161" s="410" t="s">
        <v>2157</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2158</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2159</v>
      </c>
      <c r="AJ163" s="2229">
        <f>IF($AC$155="N/A",VLOOKUP($C$153,$AO$153:$AP$156,2,FALSE),VLOOKUP($C$157,$AO$160:$AP$162,2,FALSE))</f>
        <v>3</v>
      </c>
      <c r="AK163" s="2229"/>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2160</v>
      </c>
      <c r="AK166" s="2354">
        <f>$AJ$149+$AJ$163</f>
        <v>10</v>
      </c>
      <c r="AL166" s="2355"/>
      <c r="AM166" s="2356"/>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2161</v>
      </c>
      <c r="AQ168" s="545">
        <v>0</v>
      </c>
    </row>
    <row r="169" spans="1:81" s="483" customFormat="1" ht="12.75" customHeight="1">
      <c r="A169" s="471" t="s">
        <v>2162</v>
      </c>
      <c r="B169" s="471" t="s">
        <v>2163</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276" t="s">
        <v>2092</v>
      </c>
      <c r="AF169" s="2276"/>
      <c r="AG169" s="2276"/>
      <c r="AH169" s="2276"/>
      <c r="AI169" s="2276"/>
      <c r="AJ169" s="2276"/>
      <c r="AK169" s="2276"/>
      <c r="AL169" s="524"/>
      <c r="AN169" s="530"/>
      <c r="AP169" s="483" t="s">
        <v>1018</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2164</v>
      </c>
      <c r="AQ170" s="483">
        <v>10</v>
      </c>
    </row>
    <row r="171" spans="1:81" s="483" customFormat="1" ht="12.75" customHeight="1">
      <c r="A171" s="469"/>
      <c r="B171" s="2357" t="s">
        <v>1018</v>
      </c>
      <c r="C171" s="2357"/>
      <c r="D171" s="2357"/>
      <c r="E171" s="2357"/>
      <c r="F171" s="2357"/>
      <c r="G171" s="2357"/>
      <c r="H171" s="2357"/>
      <c r="I171" s="2357"/>
      <c r="J171" s="2357"/>
      <c r="K171" s="2357"/>
      <c r="L171" s="2357"/>
      <c r="M171" s="2357"/>
      <c r="N171" s="2357"/>
      <c r="O171" s="2357"/>
      <c r="P171" s="2357"/>
      <c r="Q171" s="2357"/>
      <c r="R171" s="2357"/>
      <c r="S171" s="2357"/>
      <c r="T171" s="2357"/>
      <c r="U171" s="2357"/>
      <c r="V171" s="2357"/>
      <c r="W171" s="2357"/>
      <c r="X171" s="2357"/>
      <c r="Y171" s="2357"/>
      <c r="Z171" s="2357"/>
      <c r="AA171" s="2357"/>
      <c r="AB171" s="2357"/>
      <c r="AC171" s="2357"/>
      <c r="AD171" s="469"/>
      <c r="AE171" s="469"/>
      <c r="AF171" s="2302" t="s">
        <v>2165</v>
      </c>
      <c r="AG171" s="2302"/>
      <c r="AH171" s="2302"/>
      <c r="AI171" s="2302"/>
      <c r="AJ171" s="2302"/>
      <c r="AK171" s="2302"/>
      <c r="AL171" s="2302"/>
      <c r="AN171" s="530"/>
      <c r="AP171" s="483" t="s">
        <v>1025</v>
      </c>
      <c r="AQ171" s="483">
        <v>10</v>
      </c>
    </row>
    <row r="172" spans="1:81" s="483" customFormat="1" ht="12.75" customHeight="1">
      <c r="A172" s="469"/>
      <c r="B172" s="2358" t="s">
        <v>2166</v>
      </c>
      <c r="C172" s="2358"/>
      <c r="D172" s="2358"/>
      <c r="E172" s="2358"/>
      <c r="F172" s="2358"/>
      <c r="G172" s="2358"/>
      <c r="H172" s="2358"/>
      <c r="I172" s="2358"/>
      <c r="J172" s="2358"/>
      <c r="K172" s="2358"/>
      <c r="L172" s="2358"/>
      <c r="M172" s="2358"/>
      <c r="N172" s="2358"/>
      <c r="O172" s="2358"/>
      <c r="P172" s="2358"/>
      <c r="Q172" s="2358"/>
      <c r="R172" s="2358"/>
      <c r="S172" s="2358"/>
      <c r="T172" s="2359" t="s">
        <v>299</v>
      </c>
      <c r="U172" s="2359"/>
      <c r="V172" s="2359"/>
      <c r="W172" s="2359"/>
      <c r="X172" s="2359"/>
      <c r="Y172" s="2359"/>
      <c r="Z172" s="2359"/>
      <c r="AA172" s="2359"/>
      <c r="AB172" s="2359"/>
      <c r="AC172" s="2359"/>
      <c r="AD172" s="469"/>
      <c r="AE172" s="469"/>
      <c r="AF172" s="469"/>
      <c r="AG172" s="469"/>
      <c r="AH172" s="469"/>
      <c r="AI172" s="469"/>
      <c r="AJ172" s="476"/>
      <c r="AK172" s="528"/>
      <c r="AL172" s="528"/>
      <c r="AM172" s="528"/>
      <c r="AN172" s="530"/>
      <c r="AP172" s="483" t="s">
        <v>1031</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1036</v>
      </c>
      <c r="AQ173" s="483">
        <v>10</v>
      </c>
      <c r="AS173" s="483" t="s">
        <v>2167</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2168</v>
      </c>
      <c r="AK174" s="2198">
        <f>IF(AK72&gt;0,VLOOKUP($B$171,AP168:AQ175,2,FALSE),0)</f>
        <v>10</v>
      </c>
      <c r="AL174" s="2199"/>
      <c r="AM174" s="2200"/>
      <c r="AN174" s="468"/>
      <c r="AP174" s="483" t="s">
        <v>2169</v>
      </c>
      <c r="AQ174" s="483">
        <v>10</v>
      </c>
      <c r="AS174" s="483" t="s">
        <v>2170</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2171</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2172</v>
      </c>
      <c r="B177" s="471" t="s">
        <v>2173</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276" t="s">
        <v>2174</v>
      </c>
      <c r="AF177" s="2276"/>
      <c r="AG177" s="2276"/>
      <c r="AH177" s="2276"/>
      <c r="AI177" s="2276"/>
      <c r="AJ177" s="2276"/>
      <c r="AK177" s="2276"/>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2175</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2176</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351" t="s">
        <v>1688</v>
      </c>
      <c r="C182" s="2351"/>
      <c r="D182" s="2351"/>
      <c r="E182" s="2351"/>
      <c r="F182" s="2351"/>
      <c r="G182" s="2351"/>
      <c r="H182" s="2351"/>
      <c r="I182" s="2351"/>
      <c r="J182" s="2351"/>
      <c r="K182" s="2351"/>
      <c r="L182" s="2351"/>
      <c r="M182" s="2351"/>
      <c r="N182" s="2351"/>
      <c r="O182" s="2351"/>
      <c r="P182" s="2351"/>
      <c r="Q182" s="2351"/>
      <c r="R182" s="2351"/>
      <c r="S182" s="2351"/>
      <c r="T182" s="2351"/>
      <c r="U182" s="2351"/>
      <c r="V182" s="2351"/>
      <c r="W182" s="2351"/>
      <c r="X182" s="2351"/>
      <c r="Y182" s="2351"/>
      <c r="Z182" s="2351"/>
      <c r="AA182" s="2351"/>
      <c r="AB182" s="2351"/>
      <c r="AC182" s="804"/>
      <c r="AD182" s="2341">
        <f>Application!AM565</f>
        <v>4811771</v>
      </c>
      <c r="AE182" s="2341"/>
      <c r="AF182" s="2341"/>
      <c r="AG182" s="2341"/>
      <c r="AH182" s="2341"/>
      <c r="AI182" s="2341"/>
      <c r="AJ182" s="2341"/>
      <c r="AK182" s="543"/>
    </row>
    <row r="183" spans="1:37">
      <c r="A183" s="538"/>
      <c r="B183" s="2351"/>
      <c r="C183" s="2351"/>
      <c r="D183" s="2351"/>
      <c r="E183" s="2351"/>
      <c r="F183" s="2351"/>
      <c r="G183" s="2351"/>
      <c r="H183" s="2351"/>
      <c r="I183" s="2351"/>
      <c r="J183" s="2351"/>
      <c r="K183" s="2351"/>
      <c r="L183" s="2351"/>
      <c r="M183" s="2351"/>
      <c r="N183" s="2351"/>
      <c r="O183" s="2351"/>
      <c r="P183" s="2351"/>
      <c r="Q183" s="2351"/>
      <c r="R183" s="2351"/>
      <c r="S183" s="2351"/>
      <c r="T183" s="2351"/>
      <c r="U183" s="2351"/>
      <c r="V183" s="2351"/>
      <c r="W183" s="2351"/>
      <c r="X183" s="2351"/>
      <c r="Y183" s="2351"/>
      <c r="Z183" s="2351"/>
      <c r="AA183" s="2351"/>
      <c r="AB183" s="2351"/>
      <c r="AC183" s="804"/>
      <c r="AD183" s="2341"/>
      <c r="AE183" s="2341"/>
      <c r="AF183" s="2341"/>
      <c r="AG183" s="2341"/>
      <c r="AH183" s="2341"/>
      <c r="AI183" s="2341"/>
      <c r="AJ183" s="2341"/>
      <c r="AK183" s="543"/>
    </row>
    <row r="184" spans="1:37">
      <c r="A184" s="538"/>
      <c r="B184" s="2351"/>
      <c r="C184" s="2351"/>
      <c r="D184" s="2351"/>
      <c r="E184" s="2351"/>
      <c r="F184" s="2351"/>
      <c r="G184" s="2351"/>
      <c r="H184" s="2351"/>
      <c r="I184" s="2351"/>
      <c r="J184" s="2351"/>
      <c r="K184" s="2351"/>
      <c r="L184" s="2351"/>
      <c r="M184" s="2351"/>
      <c r="N184" s="2351"/>
      <c r="O184" s="2351"/>
      <c r="P184" s="2351"/>
      <c r="Q184" s="2351"/>
      <c r="R184" s="2351"/>
      <c r="S184" s="2351"/>
      <c r="T184" s="2351"/>
      <c r="U184" s="2351"/>
      <c r="V184" s="2351"/>
      <c r="W184" s="2351"/>
      <c r="X184" s="2351"/>
      <c r="Y184" s="2351"/>
      <c r="Z184" s="2351"/>
      <c r="AA184" s="2351"/>
      <c r="AB184" s="2351"/>
      <c r="AC184" s="804"/>
      <c r="AD184" s="2341"/>
      <c r="AE184" s="2341"/>
      <c r="AF184" s="2341"/>
      <c r="AG184" s="2341"/>
      <c r="AH184" s="2341"/>
      <c r="AI184" s="2341"/>
      <c r="AJ184" s="2341"/>
      <c r="AK184" s="543"/>
    </row>
    <row r="185" spans="1:37">
      <c r="A185" s="538"/>
      <c r="B185" s="2351"/>
      <c r="C185" s="2351"/>
      <c r="D185" s="2351"/>
      <c r="E185" s="2351"/>
      <c r="F185" s="2351"/>
      <c r="G185" s="2351"/>
      <c r="H185" s="2351"/>
      <c r="I185" s="2351"/>
      <c r="J185" s="2351"/>
      <c r="K185" s="2351"/>
      <c r="L185" s="2351"/>
      <c r="M185" s="2351"/>
      <c r="N185" s="2351"/>
      <c r="O185" s="2351"/>
      <c r="P185" s="2351"/>
      <c r="Q185" s="2351"/>
      <c r="R185" s="2351"/>
      <c r="S185" s="2351"/>
      <c r="T185" s="2351"/>
      <c r="U185" s="2351"/>
      <c r="V185" s="2351"/>
      <c r="W185" s="2351"/>
      <c r="X185" s="2351"/>
      <c r="Y185" s="2351"/>
      <c r="Z185" s="2351"/>
      <c r="AA185" s="2351"/>
      <c r="AB185" s="2351"/>
      <c r="AC185" s="804"/>
      <c r="AD185" s="2341"/>
      <c r="AE185" s="2341"/>
      <c r="AF185" s="2341"/>
      <c r="AG185" s="2341"/>
      <c r="AH185" s="2341"/>
      <c r="AI185" s="2341"/>
      <c r="AJ185" s="2341"/>
      <c r="AK185" s="543"/>
    </row>
    <row r="186" spans="1:37">
      <c r="A186" s="538"/>
      <c r="B186" s="2351"/>
      <c r="C186" s="2351"/>
      <c r="D186" s="2351"/>
      <c r="E186" s="2351"/>
      <c r="F186" s="2351"/>
      <c r="G186" s="2351"/>
      <c r="H186" s="2351"/>
      <c r="I186" s="2351"/>
      <c r="J186" s="2351"/>
      <c r="K186" s="2351"/>
      <c r="L186" s="2351"/>
      <c r="M186" s="2351"/>
      <c r="N186" s="2351"/>
      <c r="O186" s="2351"/>
      <c r="P186" s="2351"/>
      <c r="Q186" s="2351"/>
      <c r="R186" s="2351"/>
      <c r="S186" s="2351"/>
      <c r="T186" s="2351"/>
      <c r="U186" s="2351"/>
      <c r="V186" s="2351"/>
      <c r="W186" s="2351"/>
      <c r="X186" s="2351"/>
      <c r="Y186" s="2351"/>
      <c r="Z186" s="2351"/>
      <c r="AA186" s="2351"/>
      <c r="AB186" s="2351"/>
      <c r="AC186" s="804"/>
      <c r="AD186" s="2341"/>
      <c r="AE186" s="2341"/>
      <c r="AF186" s="2341"/>
      <c r="AG186" s="2341"/>
      <c r="AH186" s="2341"/>
      <c r="AI186" s="2341"/>
      <c r="AJ186" s="2341"/>
      <c r="AK186" s="543"/>
    </row>
    <row r="187" spans="1:37">
      <c r="A187" s="538"/>
      <c r="B187" s="2351"/>
      <c r="C187" s="2351"/>
      <c r="D187" s="2351"/>
      <c r="E187" s="2351"/>
      <c r="F187" s="2351"/>
      <c r="G187" s="2351"/>
      <c r="H187" s="2351"/>
      <c r="I187" s="2351"/>
      <c r="J187" s="2351"/>
      <c r="K187" s="2351"/>
      <c r="L187" s="2351"/>
      <c r="M187" s="2351"/>
      <c r="N187" s="2351"/>
      <c r="O187" s="2351"/>
      <c r="P187" s="2351"/>
      <c r="Q187" s="2351"/>
      <c r="R187" s="2351"/>
      <c r="S187" s="2351"/>
      <c r="T187" s="2351"/>
      <c r="U187" s="2351"/>
      <c r="V187" s="2351"/>
      <c r="W187" s="2351"/>
      <c r="X187" s="2351"/>
      <c r="Y187" s="2351"/>
      <c r="Z187" s="2351"/>
      <c r="AA187" s="2351"/>
      <c r="AB187" s="2351"/>
      <c r="AC187" s="804"/>
      <c r="AD187" s="2341"/>
      <c r="AE187" s="2341"/>
      <c r="AF187" s="2341"/>
      <c r="AG187" s="2341"/>
      <c r="AH187" s="2341"/>
      <c r="AI187" s="2341"/>
      <c r="AJ187" s="2341"/>
      <c r="AK187" s="543"/>
    </row>
    <row r="188" spans="1:37">
      <c r="A188" s="538"/>
      <c r="B188" s="2351"/>
      <c r="C188" s="2351"/>
      <c r="D188" s="2351"/>
      <c r="E188" s="2351"/>
      <c r="F188" s="2351"/>
      <c r="G188" s="2351"/>
      <c r="H188" s="2351"/>
      <c r="I188" s="2351"/>
      <c r="J188" s="2351"/>
      <c r="K188" s="2351"/>
      <c r="L188" s="2351"/>
      <c r="M188" s="2351"/>
      <c r="N188" s="2351"/>
      <c r="O188" s="2351"/>
      <c r="P188" s="2351"/>
      <c r="Q188" s="2351"/>
      <c r="R188" s="2351"/>
      <c r="S188" s="2351"/>
      <c r="T188" s="2351"/>
      <c r="U188" s="2351"/>
      <c r="V188" s="2351"/>
      <c r="W188" s="2351"/>
      <c r="X188" s="2351"/>
      <c r="Y188" s="2351"/>
      <c r="Z188" s="2351"/>
      <c r="AA188" s="2351"/>
      <c r="AB188" s="2351"/>
      <c r="AC188" s="804"/>
      <c r="AD188" s="2341"/>
      <c r="AE188" s="2341"/>
      <c r="AF188" s="2341"/>
      <c r="AG188" s="2341"/>
      <c r="AH188" s="2341"/>
      <c r="AI188" s="2341"/>
      <c r="AJ188" s="2341"/>
      <c r="AK188" s="543"/>
    </row>
    <row r="189" spans="1:37">
      <c r="A189" s="538"/>
      <c r="B189" s="2351"/>
      <c r="C189" s="2351"/>
      <c r="D189" s="2351"/>
      <c r="E189" s="2351"/>
      <c r="F189" s="2351"/>
      <c r="G189" s="2351"/>
      <c r="H189" s="2351"/>
      <c r="I189" s="2351"/>
      <c r="J189" s="2351"/>
      <c r="K189" s="2351"/>
      <c r="L189" s="2351"/>
      <c r="M189" s="2351"/>
      <c r="N189" s="2351"/>
      <c r="O189" s="2351"/>
      <c r="P189" s="2351"/>
      <c r="Q189" s="2351"/>
      <c r="R189" s="2351"/>
      <c r="S189" s="2351"/>
      <c r="T189" s="2351"/>
      <c r="U189" s="2351"/>
      <c r="V189" s="2351"/>
      <c r="W189" s="2351"/>
      <c r="X189" s="2351"/>
      <c r="Y189" s="2351"/>
      <c r="Z189" s="2351"/>
      <c r="AA189" s="2351"/>
      <c r="AB189" s="2351"/>
      <c r="AC189" s="804"/>
      <c r="AD189" s="2341"/>
      <c r="AE189" s="2341"/>
      <c r="AF189" s="2341"/>
      <c r="AG189" s="2341"/>
      <c r="AH189" s="2341"/>
      <c r="AI189" s="2341"/>
      <c r="AJ189" s="2341"/>
      <c r="AK189" s="543"/>
    </row>
    <row r="190" spans="1:37">
      <c r="A190" s="538"/>
      <c r="B190" s="2351"/>
      <c r="C190" s="2351"/>
      <c r="D190" s="2351"/>
      <c r="E190" s="2351"/>
      <c r="F190" s="2351"/>
      <c r="G190" s="2351"/>
      <c r="H190" s="2351"/>
      <c r="I190" s="2351"/>
      <c r="J190" s="2351"/>
      <c r="K190" s="2351"/>
      <c r="L190" s="2351"/>
      <c r="M190" s="2351"/>
      <c r="N190" s="2351"/>
      <c r="O190" s="2351"/>
      <c r="P190" s="2351"/>
      <c r="Q190" s="2351"/>
      <c r="R190" s="2351"/>
      <c r="S190" s="2351"/>
      <c r="T190" s="2351"/>
      <c r="U190" s="2351"/>
      <c r="V190" s="2351"/>
      <c r="W190" s="2351"/>
      <c r="X190" s="2351"/>
      <c r="Y190" s="2351"/>
      <c r="Z190" s="2351"/>
      <c r="AA190" s="2351"/>
      <c r="AB190" s="2351"/>
      <c r="AC190" s="804"/>
      <c r="AD190" s="2341"/>
      <c r="AE190" s="2341"/>
      <c r="AF190" s="2341"/>
      <c r="AG190" s="2341"/>
      <c r="AH190" s="2341"/>
      <c r="AI190" s="2341"/>
      <c r="AJ190" s="2341"/>
      <c r="AK190" s="543"/>
    </row>
    <row r="191" spans="1:37">
      <c r="A191" s="538"/>
      <c r="B191" s="2351"/>
      <c r="C191" s="2351"/>
      <c r="D191" s="2351"/>
      <c r="E191" s="2351"/>
      <c r="F191" s="2351"/>
      <c r="G191" s="2351"/>
      <c r="H191" s="2351"/>
      <c r="I191" s="2351"/>
      <c r="J191" s="2351"/>
      <c r="K191" s="2351"/>
      <c r="L191" s="2351"/>
      <c r="M191" s="2351"/>
      <c r="N191" s="2351"/>
      <c r="O191" s="2351"/>
      <c r="P191" s="2351"/>
      <c r="Q191" s="2351"/>
      <c r="R191" s="2351"/>
      <c r="S191" s="2351"/>
      <c r="T191" s="2351"/>
      <c r="U191" s="2351"/>
      <c r="V191" s="2351"/>
      <c r="W191" s="2351"/>
      <c r="X191" s="2351"/>
      <c r="Y191" s="2351"/>
      <c r="Z191" s="2351"/>
      <c r="AA191" s="2351"/>
      <c r="AB191" s="2351"/>
      <c r="AC191" s="804"/>
      <c r="AD191" s="2341"/>
      <c r="AE191" s="2341"/>
      <c r="AF191" s="2341"/>
      <c r="AG191" s="2341"/>
      <c r="AH191" s="2341"/>
      <c r="AI191" s="2341"/>
      <c r="AJ191" s="2341"/>
      <c r="AK191" s="543"/>
    </row>
    <row r="192" spans="1:37">
      <c r="A192" s="538"/>
      <c r="B192" s="2217" t="s">
        <v>2177</v>
      </c>
      <c r="C192" s="2217"/>
      <c r="D192" s="2217"/>
      <c r="E192" s="2217"/>
      <c r="F192" s="2217"/>
      <c r="G192" s="2217"/>
      <c r="H192" s="2217"/>
      <c r="I192" s="2217"/>
      <c r="J192" s="2217"/>
      <c r="K192" s="2217"/>
      <c r="L192" s="2217"/>
      <c r="M192" s="2217"/>
      <c r="N192" s="2217"/>
      <c r="O192" s="2217"/>
      <c r="P192" s="2217"/>
      <c r="Q192" s="2217"/>
      <c r="R192" s="2217"/>
      <c r="S192" s="2217"/>
      <c r="T192" s="2217"/>
      <c r="U192" s="2217"/>
      <c r="V192" s="2217"/>
      <c r="W192" s="2217"/>
      <c r="X192" s="2217"/>
      <c r="Y192" s="2217"/>
      <c r="Z192" s="2217"/>
      <c r="AA192" s="2217"/>
      <c r="AB192" s="2217"/>
      <c r="AC192" s="469"/>
      <c r="AD192" s="2339">
        <f>AB243</f>
        <v>0</v>
      </c>
      <c r="AE192" s="2339"/>
      <c r="AF192" s="2339"/>
      <c r="AG192" s="2339"/>
      <c r="AH192" s="2339"/>
      <c r="AI192" s="2339"/>
      <c r="AJ192" s="2339"/>
      <c r="AK192" s="543"/>
    </row>
    <row r="193" spans="1:37">
      <c r="A193" s="538"/>
      <c r="B193" s="2215" t="s">
        <v>2178</v>
      </c>
      <c r="C193" s="2215"/>
      <c r="D193" s="2215"/>
      <c r="E193" s="2215"/>
      <c r="F193" s="2215"/>
      <c r="G193" s="2215"/>
      <c r="H193" s="2215"/>
      <c r="I193" s="2215"/>
      <c r="J193" s="2215"/>
      <c r="K193" s="2215"/>
      <c r="L193" s="2215"/>
      <c r="M193" s="2215"/>
      <c r="N193" s="2215"/>
      <c r="O193" s="2215"/>
      <c r="P193" s="2215"/>
      <c r="Q193" s="2215"/>
      <c r="R193" s="2215"/>
      <c r="S193" s="2215"/>
      <c r="T193" s="2215"/>
      <c r="U193" s="2215"/>
      <c r="V193" s="2215"/>
      <c r="W193" s="2215"/>
      <c r="X193" s="2215"/>
      <c r="Y193" s="2215"/>
      <c r="Z193" s="2215"/>
      <c r="AA193" s="2215"/>
      <c r="AB193" s="2215"/>
      <c r="AC193" s="804"/>
      <c r="AD193" s="2340">
        <f>'Sources and Uses Budget'!B15</f>
        <v>0</v>
      </c>
      <c r="AE193" s="2340"/>
      <c r="AF193" s="2340"/>
      <c r="AG193" s="2340"/>
      <c r="AH193" s="2340"/>
      <c r="AI193" s="2340"/>
      <c r="AJ193" s="2340"/>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1532</v>
      </c>
      <c r="AC194" s="469"/>
      <c r="AD194" s="2345">
        <f>SUM(AD182:AJ192)-AD193</f>
        <v>4811771</v>
      </c>
      <c r="AE194" s="2345"/>
      <c r="AF194" s="2345"/>
      <c r="AG194" s="2345"/>
      <c r="AH194" s="2345"/>
      <c r="AI194" s="2345"/>
      <c r="AJ194" s="2345"/>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2179</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2180</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2181</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2182</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2183</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2184</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2185</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2186</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365" t="s">
        <v>2187</v>
      </c>
      <c r="J205" s="2365"/>
      <c r="K205" s="2365"/>
      <c r="L205" s="469"/>
      <c r="M205" s="469"/>
      <c r="N205" s="469"/>
      <c r="O205" s="469"/>
      <c r="P205" s="469"/>
      <c r="Q205" s="469"/>
      <c r="R205" s="469"/>
      <c r="S205" s="469"/>
      <c r="T205" s="2182" t="s">
        <v>2188</v>
      </c>
      <c r="U205" s="2182"/>
      <c r="V205" s="2182"/>
      <c r="W205" s="2182"/>
      <c r="X205" s="2182"/>
      <c r="Y205" s="2182"/>
      <c r="Z205" s="807"/>
      <c r="AA205" s="423"/>
      <c r="AB205" s="2362" t="s">
        <v>2189</v>
      </c>
      <c r="AC205" s="2362"/>
      <c r="AD205" s="2362"/>
      <c r="AE205" s="2362"/>
      <c r="AF205" s="2362"/>
      <c r="AG205" s="2362"/>
      <c r="AH205" s="785"/>
      <c r="AI205" s="785"/>
      <c r="AJ205" s="785"/>
      <c r="AK205" s="543"/>
    </row>
    <row r="206" spans="1:37">
      <c r="A206" s="538"/>
      <c r="B206" s="2363" t="s">
        <v>2190</v>
      </c>
      <c r="C206" s="2363"/>
      <c r="D206" s="2363"/>
      <c r="E206" s="2363"/>
      <c r="F206" s="2363"/>
      <c r="G206" s="2363"/>
      <c r="I206" s="2364" t="s">
        <v>2191</v>
      </c>
      <c r="J206" s="2364"/>
      <c r="K206" s="2364"/>
      <c r="L206" s="969"/>
      <c r="N206" s="2216" t="s">
        <v>2192</v>
      </c>
      <c r="O206" s="2216"/>
      <c r="P206" s="2216"/>
      <c r="Q206" s="2216"/>
      <c r="R206" s="2216"/>
      <c r="T206" s="2216" t="s">
        <v>2193</v>
      </c>
      <c r="U206" s="2216"/>
      <c r="V206" s="2216"/>
      <c r="W206" s="2216"/>
      <c r="X206" s="2216"/>
      <c r="Y206" s="2216"/>
      <c r="Z206" s="808"/>
      <c r="AA206" s="423"/>
      <c r="AB206" s="2219" t="s">
        <v>2194</v>
      </c>
      <c r="AC206" s="2219"/>
      <c r="AD206" s="2219"/>
      <c r="AE206" s="2219"/>
      <c r="AF206" s="2219"/>
      <c r="AG206" s="2219"/>
      <c r="AH206" s="785"/>
      <c r="AI206" s="785"/>
      <c r="AJ206" s="785"/>
      <c r="AK206" s="543"/>
    </row>
    <row r="207" spans="1:37">
      <c r="A207" s="538"/>
      <c r="B207" s="2218" t="s">
        <v>1322</v>
      </c>
      <c r="C207" s="2218"/>
      <c r="D207" s="2218"/>
      <c r="E207" s="2218"/>
      <c r="F207" s="2218"/>
      <c r="G207" s="2218"/>
      <c r="H207" s="810"/>
      <c r="I207" s="2187"/>
      <c r="J207" s="2187"/>
      <c r="K207" s="2187"/>
      <c r="L207" s="969"/>
      <c r="N207" s="2184"/>
      <c r="O207" s="2184"/>
      <c r="P207" s="2184"/>
      <c r="Q207" s="2184"/>
      <c r="R207" s="2184"/>
      <c r="T207" s="2183"/>
      <c r="U207" s="2183"/>
      <c r="V207" s="2183"/>
      <c r="W207" s="2183"/>
      <c r="X207" s="2183"/>
      <c r="Y207" s="2183"/>
      <c r="Z207" s="809"/>
      <c r="AA207" s="809"/>
      <c r="AB207" s="2181">
        <f t="shared" ref="AB207:AB216" si="0">MAX(($T207-$N207)*$I207*12,0)</f>
        <v>0</v>
      </c>
      <c r="AC207" s="2181"/>
      <c r="AD207" s="2181"/>
      <c r="AE207" s="2181"/>
      <c r="AF207" s="2181"/>
      <c r="AG207" s="2181"/>
      <c r="AH207" s="785"/>
      <c r="AI207" s="785"/>
      <c r="AJ207" s="785"/>
      <c r="AK207" s="543"/>
    </row>
    <row r="208" spans="1:37">
      <c r="A208" s="538"/>
      <c r="B208" s="2218" t="s">
        <v>1322</v>
      </c>
      <c r="C208" s="2218"/>
      <c r="D208" s="2218"/>
      <c r="E208" s="2218"/>
      <c r="F208" s="2218"/>
      <c r="G208" s="2218"/>
      <c r="I208" s="2187"/>
      <c r="J208" s="2187"/>
      <c r="K208" s="2187"/>
      <c r="L208" s="969"/>
      <c r="N208" s="2184"/>
      <c r="O208" s="2184"/>
      <c r="P208" s="2184"/>
      <c r="Q208" s="2184"/>
      <c r="R208" s="2184"/>
      <c r="T208" s="2183"/>
      <c r="U208" s="2183"/>
      <c r="V208" s="2183"/>
      <c r="W208" s="2183"/>
      <c r="X208" s="2183"/>
      <c r="Y208" s="2183"/>
      <c r="Z208" s="809"/>
      <c r="AA208" s="809"/>
      <c r="AB208" s="2181">
        <f t="shared" si="0"/>
        <v>0</v>
      </c>
      <c r="AC208" s="2181"/>
      <c r="AD208" s="2181"/>
      <c r="AE208" s="2181"/>
      <c r="AF208" s="2181"/>
      <c r="AG208" s="2181"/>
      <c r="AH208" s="785"/>
      <c r="AI208" s="785"/>
      <c r="AJ208" s="785"/>
      <c r="AK208" s="543"/>
    </row>
    <row r="209" spans="1:37">
      <c r="A209" s="538"/>
      <c r="B209" s="2218" t="s">
        <v>1322</v>
      </c>
      <c r="C209" s="2218"/>
      <c r="D209" s="2218"/>
      <c r="E209" s="2218"/>
      <c r="F209" s="2218"/>
      <c r="G209" s="2218"/>
      <c r="I209" s="2187"/>
      <c r="J209" s="2187"/>
      <c r="K209" s="2187"/>
      <c r="L209" s="969"/>
      <c r="N209" s="2184"/>
      <c r="O209" s="2184"/>
      <c r="P209" s="2184"/>
      <c r="Q209" s="2184"/>
      <c r="R209" s="2184"/>
      <c r="T209" s="2183"/>
      <c r="U209" s="2183"/>
      <c r="V209" s="2183"/>
      <c r="W209" s="2183"/>
      <c r="X209" s="2183"/>
      <c r="Y209" s="2183"/>
      <c r="Z209" s="809"/>
      <c r="AA209" s="809"/>
      <c r="AB209" s="2181">
        <f t="shared" si="0"/>
        <v>0</v>
      </c>
      <c r="AC209" s="2181"/>
      <c r="AD209" s="2181"/>
      <c r="AE209" s="2181"/>
      <c r="AF209" s="2181"/>
      <c r="AG209" s="2181"/>
      <c r="AH209" s="785"/>
      <c r="AI209" s="785"/>
      <c r="AJ209" s="785"/>
      <c r="AK209" s="543"/>
    </row>
    <row r="210" spans="1:37">
      <c r="A210" s="538"/>
      <c r="B210" s="2218" t="s">
        <v>1322</v>
      </c>
      <c r="C210" s="2218"/>
      <c r="D210" s="2218"/>
      <c r="E210" s="2218"/>
      <c r="F210" s="2218"/>
      <c r="G210" s="2218"/>
      <c r="I210" s="2187"/>
      <c r="J210" s="2187"/>
      <c r="K210" s="2187"/>
      <c r="L210" s="969"/>
      <c r="N210" s="2184"/>
      <c r="O210" s="2184"/>
      <c r="P210" s="2184"/>
      <c r="Q210" s="2184"/>
      <c r="R210" s="2184"/>
      <c r="T210" s="2183"/>
      <c r="U210" s="2183"/>
      <c r="V210" s="2183"/>
      <c r="W210" s="2183"/>
      <c r="X210" s="2183"/>
      <c r="Y210" s="2183"/>
      <c r="Z210" s="809"/>
      <c r="AA210" s="809"/>
      <c r="AB210" s="2181">
        <f t="shared" si="0"/>
        <v>0</v>
      </c>
      <c r="AC210" s="2181"/>
      <c r="AD210" s="2181"/>
      <c r="AE210" s="2181"/>
      <c r="AF210" s="2181"/>
      <c r="AG210" s="2181"/>
      <c r="AH210" s="785"/>
      <c r="AI210" s="785"/>
      <c r="AJ210" s="785"/>
      <c r="AK210" s="543"/>
    </row>
    <row r="211" spans="1:37">
      <c r="A211" s="538"/>
      <c r="B211" s="2218" t="s">
        <v>1322</v>
      </c>
      <c r="C211" s="2218"/>
      <c r="D211" s="2218"/>
      <c r="E211" s="2218"/>
      <c r="F211" s="2218"/>
      <c r="G211" s="2218"/>
      <c r="I211" s="2187"/>
      <c r="J211" s="2187"/>
      <c r="K211" s="2187"/>
      <c r="L211" s="974"/>
      <c r="N211" s="2184"/>
      <c r="O211" s="2184"/>
      <c r="P211" s="2184"/>
      <c r="Q211" s="2184"/>
      <c r="R211" s="2184"/>
      <c r="T211" s="2183"/>
      <c r="U211" s="2183"/>
      <c r="V211" s="2183"/>
      <c r="W211" s="2183"/>
      <c r="X211" s="2183"/>
      <c r="Y211" s="2183"/>
      <c r="Z211" s="809"/>
      <c r="AA211" s="809"/>
      <c r="AB211" s="2181">
        <f t="shared" si="0"/>
        <v>0</v>
      </c>
      <c r="AC211" s="2181"/>
      <c r="AD211" s="2181"/>
      <c r="AE211" s="2181"/>
      <c r="AF211" s="2181"/>
      <c r="AG211" s="2181"/>
      <c r="AH211" s="785"/>
      <c r="AI211" s="785"/>
      <c r="AJ211" s="785"/>
      <c r="AK211" s="543"/>
    </row>
    <row r="212" spans="1:37">
      <c r="A212" s="538"/>
      <c r="B212" s="2218" t="s">
        <v>1322</v>
      </c>
      <c r="C212" s="2218"/>
      <c r="D212" s="2218"/>
      <c r="E212" s="2218"/>
      <c r="F212" s="2218"/>
      <c r="G212" s="2218"/>
      <c r="I212" s="2187"/>
      <c r="J212" s="2187"/>
      <c r="K212" s="2187"/>
      <c r="L212" s="974"/>
      <c r="N212" s="2184"/>
      <c r="O212" s="2184"/>
      <c r="P212" s="2184"/>
      <c r="Q212" s="2184"/>
      <c r="R212" s="2184"/>
      <c r="T212" s="2183"/>
      <c r="U212" s="2183"/>
      <c r="V212" s="2183"/>
      <c r="W212" s="2183"/>
      <c r="X212" s="2183"/>
      <c r="Y212" s="2183"/>
      <c r="Z212" s="809"/>
      <c r="AA212" s="809"/>
      <c r="AB212" s="2181">
        <f t="shared" si="0"/>
        <v>0</v>
      </c>
      <c r="AC212" s="2181"/>
      <c r="AD212" s="2181"/>
      <c r="AE212" s="2181"/>
      <c r="AF212" s="2181"/>
      <c r="AG212" s="2181"/>
      <c r="AH212" s="785"/>
      <c r="AI212" s="785"/>
      <c r="AJ212" s="785"/>
      <c r="AK212" s="543"/>
    </row>
    <row r="213" spans="1:37">
      <c r="A213" s="538"/>
      <c r="B213" s="2218" t="s">
        <v>1322</v>
      </c>
      <c r="C213" s="2218"/>
      <c r="D213" s="2218"/>
      <c r="E213" s="2218"/>
      <c r="F213" s="2218"/>
      <c r="G213" s="2218"/>
      <c r="I213" s="2187"/>
      <c r="J213" s="2187"/>
      <c r="K213" s="2187"/>
      <c r="L213" s="974"/>
      <c r="N213" s="2184"/>
      <c r="O213" s="2184"/>
      <c r="P213" s="2184"/>
      <c r="Q213" s="2184"/>
      <c r="R213" s="2184"/>
      <c r="T213" s="2183"/>
      <c r="U213" s="2183"/>
      <c r="V213" s="2183"/>
      <c r="W213" s="2183"/>
      <c r="X213" s="2183"/>
      <c r="Y213" s="2183"/>
      <c r="Z213" s="809"/>
      <c r="AA213" s="809"/>
      <c r="AB213" s="2181">
        <f t="shared" si="0"/>
        <v>0</v>
      </c>
      <c r="AC213" s="2181"/>
      <c r="AD213" s="2181"/>
      <c r="AE213" s="2181"/>
      <c r="AF213" s="2181"/>
      <c r="AG213" s="2181"/>
      <c r="AH213" s="785"/>
      <c r="AI213" s="785"/>
      <c r="AJ213" s="785"/>
      <c r="AK213" s="543"/>
    </row>
    <row r="214" spans="1:37">
      <c r="A214" s="538"/>
      <c r="B214" s="2218" t="s">
        <v>1322</v>
      </c>
      <c r="C214" s="2218"/>
      <c r="D214" s="2218"/>
      <c r="E214" s="2218"/>
      <c r="F214" s="2218"/>
      <c r="G214" s="2218"/>
      <c r="I214" s="2187"/>
      <c r="J214" s="2187"/>
      <c r="K214" s="2187"/>
      <c r="L214" s="974"/>
      <c r="N214" s="2184"/>
      <c r="O214" s="2184"/>
      <c r="P214" s="2184"/>
      <c r="Q214" s="2184"/>
      <c r="R214" s="2184"/>
      <c r="T214" s="2183"/>
      <c r="U214" s="2183"/>
      <c r="V214" s="2183"/>
      <c r="W214" s="2183"/>
      <c r="X214" s="2183"/>
      <c r="Y214" s="2183"/>
      <c r="Z214" s="809"/>
      <c r="AA214" s="809"/>
      <c r="AB214" s="2181">
        <f t="shared" si="0"/>
        <v>0</v>
      </c>
      <c r="AC214" s="2181"/>
      <c r="AD214" s="2181"/>
      <c r="AE214" s="2181"/>
      <c r="AF214" s="2181"/>
      <c r="AG214" s="2181"/>
      <c r="AH214" s="785"/>
      <c r="AI214" s="785"/>
      <c r="AJ214" s="785"/>
      <c r="AK214" s="543"/>
    </row>
    <row r="215" spans="1:37">
      <c r="A215" s="538"/>
      <c r="B215" s="2218" t="s">
        <v>1322</v>
      </c>
      <c r="C215" s="2218"/>
      <c r="D215" s="2218"/>
      <c r="E215" s="2218"/>
      <c r="F215" s="2218"/>
      <c r="G215" s="2218"/>
      <c r="I215" s="2187"/>
      <c r="J215" s="2187"/>
      <c r="K215" s="2187"/>
      <c r="L215" s="974"/>
      <c r="N215" s="2184"/>
      <c r="O215" s="2184"/>
      <c r="P215" s="2184"/>
      <c r="Q215" s="2184"/>
      <c r="R215" s="2184"/>
      <c r="T215" s="2183"/>
      <c r="U215" s="2183"/>
      <c r="V215" s="2183"/>
      <c r="W215" s="2183"/>
      <c r="X215" s="2183"/>
      <c r="Y215" s="2183"/>
      <c r="Z215" s="809"/>
      <c r="AA215" s="809"/>
      <c r="AB215" s="2181">
        <f t="shared" si="0"/>
        <v>0</v>
      </c>
      <c r="AC215" s="2181"/>
      <c r="AD215" s="2181"/>
      <c r="AE215" s="2181"/>
      <c r="AF215" s="2181"/>
      <c r="AG215" s="2181"/>
      <c r="AH215" s="785"/>
      <c r="AI215" s="785"/>
      <c r="AJ215" s="785"/>
      <c r="AK215" s="543"/>
    </row>
    <row r="216" spans="1:37">
      <c r="A216" s="538"/>
      <c r="B216" s="2218" t="s">
        <v>1322</v>
      </c>
      <c r="C216" s="2218"/>
      <c r="D216" s="2218"/>
      <c r="E216" s="2218"/>
      <c r="F216" s="2218"/>
      <c r="G216" s="2218"/>
      <c r="I216" s="2366"/>
      <c r="J216" s="2366"/>
      <c r="K216" s="2366"/>
      <c r="L216" s="974"/>
      <c r="N216" s="2184"/>
      <c r="O216" s="2184"/>
      <c r="P216" s="2184"/>
      <c r="Q216" s="2184"/>
      <c r="R216" s="2184"/>
      <c r="T216" s="2183"/>
      <c r="U216" s="2183"/>
      <c r="V216" s="2183"/>
      <c r="W216" s="2183"/>
      <c r="X216" s="2183"/>
      <c r="Y216" s="2183"/>
      <c r="Z216" s="809"/>
      <c r="AA216" s="809"/>
      <c r="AB216" s="2188">
        <f t="shared" si="0"/>
        <v>0</v>
      </c>
      <c r="AC216" s="2188"/>
      <c r="AD216" s="2188"/>
      <c r="AE216" s="2188"/>
      <c r="AF216" s="2188"/>
      <c r="AG216" s="2188"/>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2195</v>
      </c>
      <c r="AA217" s="811"/>
      <c r="AB217" s="2181">
        <f>SUM(AB207:AB216)</f>
        <v>0</v>
      </c>
      <c r="AC217" s="2181"/>
      <c r="AD217" s="2181"/>
      <c r="AE217" s="2181"/>
      <c r="AF217" s="2181"/>
      <c r="AG217" s="2181"/>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2196</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2197</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2198</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2199</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220"/>
      <c r="AC223" s="2220"/>
      <c r="AD223" s="2220"/>
      <c r="AE223" s="2220"/>
      <c r="AF223" s="2220"/>
      <c r="AG223" s="2220"/>
      <c r="AH223" s="543"/>
      <c r="AI223" s="543"/>
      <c r="AJ223" s="543"/>
      <c r="AK223" s="543"/>
    </row>
    <row r="224" spans="1:37">
      <c r="A224" s="538"/>
      <c r="B224" s="795" t="s">
        <v>2200</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2201</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2202</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220"/>
      <c r="AC226" s="2220"/>
      <c r="AD226" s="2220"/>
      <c r="AE226" s="2220"/>
      <c r="AF226" s="2220"/>
      <c r="AG226" s="2220"/>
      <c r="AH226" s="543"/>
      <c r="AI226" s="543"/>
      <c r="AJ226" s="543"/>
      <c r="AK226" s="543"/>
    </row>
    <row r="227" spans="1:37">
      <c r="A227" s="538"/>
      <c r="B227" s="796" t="s">
        <v>2203</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180"/>
      <c r="AC227" s="2180"/>
      <c r="AD227" s="2180"/>
      <c r="AE227" s="2180"/>
      <c r="AF227" s="2180"/>
      <c r="AG227" s="2180"/>
      <c r="AH227" s="543"/>
      <c r="AI227" s="543"/>
      <c r="AJ227" s="543"/>
      <c r="AK227" s="543"/>
    </row>
    <row r="228" spans="1:37">
      <c r="A228" s="538"/>
      <c r="B228" s="796" t="s">
        <v>2204</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189">
        <f>IFERROR(AB226/AB227,0)</f>
        <v>0</v>
      </c>
      <c r="AC228" s="2189"/>
      <c r="AD228" s="2189"/>
      <c r="AE228" s="2189"/>
      <c r="AF228" s="2189"/>
      <c r="AG228" s="2189"/>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2205</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188">
        <f>MAX(AB223,AB228)</f>
        <v>0</v>
      </c>
      <c r="AC230" s="2188"/>
      <c r="AD230" s="2188"/>
      <c r="AE230" s="2188"/>
      <c r="AF230" s="2188"/>
      <c r="AG230" s="2188"/>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2206</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81">
        <f>AB217+AB230</f>
        <v>0</v>
      </c>
      <c r="AC233" s="2181"/>
      <c r="AD233" s="2181"/>
      <c r="AE233" s="2181"/>
      <c r="AF233" s="2181"/>
      <c r="AG233" s="2181"/>
      <c r="AH233" s="543"/>
      <c r="AI233" s="543"/>
      <c r="AJ233" s="543"/>
      <c r="AK233" s="543"/>
    </row>
    <row r="234" spans="1:37">
      <c r="A234" s="538"/>
      <c r="B234" s="410" t="s">
        <v>2207</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349">
        <v>0.05</v>
      </c>
      <c r="AC234" s="2349"/>
      <c r="AD234" s="2349"/>
      <c r="AE234" s="2349"/>
      <c r="AF234" s="2349"/>
      <c r="AG234" s="2349"/>
      <c r="AH234" s="543"/>
      <c r="AI234" s="543"/>
      <c r="AJ234" s="543"/>
      <c r="AK234" s="543"/>
    </row>
    <row r="235" spans="1:37">
      <c r="A235" s="538"/>
      <c r="B235" s="410" t="s">
        <v>2208</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350">
        <f>AB233-(AB233*AB234)</f>
        <v>0</v>
      </c>
      <c r="AC235" s="2350"/>
      <c r="AD235" s="2350"/>
      <c r="AE235" s="2350"/>
      <c r="AF235" s="2350"/>
      <c r="AG235" s="2350"/>
      <c r="AH235" s="543"/>
      <c r="AI235" s="543"/>
      <c r="AJ235" s="543"/>
      <c r="AK235" s="543"/>
    </row>
    <row r="236" spans="1:37">
      <c r="A236" s="538"/>
      <c r="B236" s="410" t="s">
        <v>2209</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2210</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81">
        <f>AB235/AB241</f>
        <v>0</v>
      </c>
      <c r="AC237" s="2181"/>
      <c r="AD237" s="2181"/>
      <c r="AE237" s="2181"/>
      <c r="AF237" s="2181"/>
      <c r="AG237" s="2181"/>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2211</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362">
        <v>15</v>
      </c>
      <c r="AC239" s="2362"/>
      <c r="AD239" s="2362"/>
      <c r="AE239" s="2362"/>
      <c r="AF239" s="2362"/>
      <c r="AG239" s="2362"/>
      <c r="AH239" s="543"/>
      <c r="AI239" s="543"/>
      <c r="AJ239" s="543"/>
      <c r="AK239" s="543"/>
    </row>
    <row r="240" spans="1:37">
      <c r="A240" s="538"/>
      <c r="B240" s="410" t="s">
        <v>2212</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352">
        <v>0.04</v>
      </c>
      <c r="AC240" s="2352"/>
      <c r="AD240" s="2352"/>
      <c r="AE240" s="2352"/>
      <c r="AF240" s="2352"/>
      <c r="AG240" s="2352"/>
      <c r="AH240" s="543"/>
      <c r="AI240" s="543"/>
      <c r="AJ240" s="543"/>
      <c r="AK240" s="543"/>
    </row>
    <row r="241" spans="1:39">
      <c r="A241" s="538"/>
      <c r="B241" s="410" t="s">
        <v>2213</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353">
        <v>1.1499999999999999</v>
      </c>
      <c r="AC241" s="2353"/>
      <c r="AD241" s="2353"/>
      <c r="AE241" s="2353"/>
      <c r="AF241" s="2353"/>
      <c r="AG241" s="2353"/>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2214</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342">
        <f>PV(AB240/12,AB239*12,-AB237/12, ,0)</f>
        <v>0</v>
      </c>
      <c r="AC243" s="2343"/>
      <c r="AD243" s="2343"/>
      <c r="AE243" s="2343"/>
      <c r="AF243" s="2343"/>
      <c r="AG243" s="2344"/>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2215</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2216</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2217</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2218</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346">
        <f>IFERROR(('Sources and Uses Budget'!D105/'Sources and Uses Budget'!B105),0)</f>
        <v>0</v>
      </c>
      <c r="AC249" s="2347"/>
      <c r="AD249" s="2347"/>
      <c r="AE249" s="2347"/>
      <c r="AF249" s="2347"/>
      <c r="AG249" s="2348"/>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2219</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195">
        <f>AD194*(1-AB249)</f>
        <v>4811771</v>
      </c>
      <c r="AH251" s="2195"/>
      <c r="AI251" s="2195"/>
      <c r="AJ251" s="2195"/>
      <c r="AK251" s="2195"/>
    </row>
    <row r="252" spans="1:39">
      <c r="A252" s="555"/>
      <c r="B252" s="558" t="s">
        <v>2220</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195">
        <f>'Sources and Uses Budget'!C105</f>
        <v>48117710</v>
      </c>
      <c r="AH252" s="2195"/>
      <c r="AI252" s="2195"/>
      <c r="AJ252" s="2195"/>
      <c r="AK252" s="2195"/>
    </row>
    <row r="253" spans="1:39">
      <c r="A253" s="555"/>
      <c r="B253" s="557" t="s">
        <v>1693</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338">
        <f>ROUNDDOWN(IF(AND(C274="Yes",AK72=10),((AG251*2)/AG252),AG251/AG252),2)</f>
        <v>0.1</v>
      </c>
      <c r="AH253" s="2338"/>
      <c r="AI253" s="2338"/>
      <c r="AJ253" s="2338"/>
      <c r="AK253" s="2338"/>
    </row>
    <row r="254" spans="1:39">
      <c r="A254" s="555"/>
      <c r="B254" s="939" t="s">
        <v>2221</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2222</v>
      </c>
      <c r="AK256" s="2331">
        <f>IF(AG253=0,0,IF((AG253*100)&gt;8,8,(AG253*100)))</f>
        <v>8</v>
      </c>
      <c r="AL256" s="2331"/>
      <c r="AM256" s="2332"/>
    </row>
    <row r="257" spans="1:52" ht="13.5"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2223</v>
      </c>
      <c r="B259" s="471" t="s">
        <v>2224</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2092</v>
      </c>
      <c r="AI259" s="483"/>
      <c r="AJ259" s="483"/>
      <c r="AK259" s="483"/>
      <c r="AL259" s="483"/>
      <c r="AM259" s="483"/>
      <c r="AO259" s="483"/>
    </row>
    <row r="260" spans="1:52" ht="14.25" customHeight="1">
      <c r="A260" s="524"/>
      <c r="AI260" s="484"/>
      <c r="AJ260" s="483"/>
      <c r="AK260" s="483"/>
      <c r="AL260" s="483"/>
      <c r="AM260" s="483"/>
      <c r="AO260" s="483"/>
    </row>
    <row r="261" spans="1:52" ht="13.7" customHeight="1">
      <c r="A261" s="483"/>
      <c r="B261" s="529"/>
      <c r="C261" s="2212" t="s">
        <v>825</v>
      </c>
      <c r="D261" s="2212"/>
      <c r="E261" s="480"/>
      <c r="F261" s="2164" t="s">
        <v>2225</v>
      </c>
      <c r="G261" s="2165"/>
      <c r="H261" s="2165"/>
      <c r="I261" s="2165"/>
      <c r="J261" s="2165"/>
      <c r="K261" s="2165"/>
      <c r="L261" s="2165"/>
      <c r="M261" s="2165"/>
      <c r="N261" s="2165"/>
      <c r="O261" s="2165"/>
      <c r="P261" s="2165"/>
      <c r="Q261" s="2165"/>
      <c r="R261" s="2165"/>
      <c r="S261" s="2165"/>
      <c r="T261" s="2165"/>
      <c r="U261" s="2165"/>
      <c r="V261" s="2165"/>
      <c r="W261" s="2165"/>
      <c r="X261" s="2165"/>
      <c r="Y261" s="2165"/>
      <c r="Z261" s="2165"/>
      <c r="AA261" s="2165"/>
      <c r="AB261" s="2165"/>
      <c r="AC261" s="2165"/>
      <c r="AD261" s="2166"/>
      <c r="AE261" s="483"/>
      <c r="AF261" s="568"/>
      <c r="AG261" s="2336" t="s">
        <v>2165</v>
      </c>
      <c r="AH261" s="2336"/>
      <c r="AI261" s="2336"/>
      <c r="AJ261" s="2336"/>
      <c r="AK261" s="483"/>
      <c r="AL261" s="483"/>
      <c r="AM261" s="483"/>
      <c r="AO261" s="483"/>
    </row>
    <row r="262" spans="1:52" ht="13.7" customHeight="1">
      <c r="A262" s="483"/>
      <c r="B262" s="529"/>
      <c r="C262" s="569"/>
      <c r="D262" s="483"/>
      <c r="E262" s="480"/>
      <c r="F262" s="2167"/>
      <c r="G262" s="2168"/>
      <c r="H262" s="2168"/>
      <c r="I262" s="2168"/>
      <c r="J262" s="2168"/>
      <c r="K262" s="2168"/>
      <c r="L262" s="2168"/>
      <c r="M262" s="2168"/>
      <c r="N262" s="2168"/>
      <c r="O262" s="2168"/>
      <c r="P262" s="2168"/>
      <c r="Q262" s="2168"/>
      <c r="R262" s="2168"/>
      <c r="S262" s="2168"/>
      <c r="T262" s="2168"/>
      <c r="U262" s="2168"/>
      <c r="V262" s="2168"/>
      <c r="W262" s="2168"/>
      <c r="X262" s="2168"/>
      <c r="Y262" s="2168"/>
      <c r="Z262" s="2168"/>
      <c r="AA262" s="2168"/>
      <c r="AB262" s="2168"/>
      <c r="AC262" s="2168"/>
      <c r="AD262" s="2169"/>
      <c r="AE262" s="483"/>
      <c r="AF262" s="568"/>
      <c r="AG262" s="568"/>
      <c r="AH262" s="568"/>
      <c r="AI262" s="568"/>
      <c r="AJ262" s="483"/>
      <c r="AK262" s="483"/>
      <c r="AL262" s="483"/>
      <c r="AM262" s="483"/>
      <c r="AO262" s="483"/>
    </row>
    <row r="263" spans="1:52">
      <c r="A263" s="483"/>
      <c r="B263" s="529"/>
      <c r="C263" s="569"/>
      <c r="D263" s="483"/>
      <c r="E263" s="480"/>
      <c r="F263" s="2167"/>
      <c r="G263" s="2168"/>
      <c r="H263" s="2168"/>
      <c r="I263" s="2168"/>
      <c r="J263" s="2168"/>
      <c r="K263" s="2168"/>
      <c r="L263" s="2168"/>
      <c r="M263" s="2168"/>
      <c r="N263" s="2168"/>
      <c r="O263" s="2168"/>
      <c r="P263" s="2168"/>
      <c r="Q263" s="2168"/>
      <c r="R263" s="2168"/>
      <c r="S263" s="2168"/>
      <c r="T263" s="2168"/>
      <c r="U263" s="2168"/>
      <c r="V263" s="2168"/>
      <c r="W263" s="2168"/>
      <c r="X263" s="2168"/>
      <c r="Y263" s="2168"/>
      <c r="Z263" s="2168"/>
      <c r="AA263" s="2168"/>
      <c r="AB263" s="2168"/>
      <c r="AC263" s="2168"/>
      <c r="AD263" s="2169"/>
      <c r="AE263" s="483"/>
      <c r="AF263" s="568"/>
      <c r="AG263" s="568"/>
      <c r="AH263" s="568"/>
      <c r="AI263" s="568"/>
      <c r="AJ263" s="483"/>
      <c r="AK263" s="483"/>
      <c r="AL263" s="483"/>
      <c r="AM263" s="483"/>
      <c r="AO263" s="483"/>
      <c r="AP263" s="570"/>
    </row>
    <row r="264" spans="1:52" ht="13.7" customHeight="1">
      <c r="A264" s="483"/>
      <c r="B264" s="529"/>
      <c r="C264" s="2337"/>
      <c r="D264" s="2337"/>
      <c r="E264" s="480"/>
      <c r="F264" s="2170"/>
      <c r="G264" s="2171"/>
      <c r="H264" s="2171"/>
      <c r="I264" s="2171"/>
      <c r="J264" s="2171"/>
      <c r="K264" s="2171"/>
      <c r="L264" s="2171"/>
      <c r="M264" s="2171"/>
      <c r="N264" s="2171"/>
      <c r="O264" s="2171"/>
      <c r="P264" s="2171"/>
      <c r="Q264" s="2171"/>
      <c r="R264" s="2171"/>
      <c r="S264" s="2171"/>
      <c r="T264" s="2171"/>
      <c r="U264" s="2171"/>
      <c r="V264" s="2171"/>
      <c r="W264" s="2171"/>
      <c r="X264" s="2171"/>
      <c r="Y264" s="2171"/>
      <c r="Z264" s="2171"/>
      <c r="AA264" s="2171"/>
      <c r="AB264" s="2171"/>
      <c r="AC264" s="2171"/>
      <c r="AD264" s="2172"/>
      <c r="AE264" s="483"/>
      <c r="AF264" s="568"/>
      <c r="AG264" s="2336"/>
      <c r="AH264" s="2336"/>
      <c r="AI264" s="2336"/>
      <c r="AJ264" s="2336"/>
      <c r="AK264" s="483"/>
      <c r="AL264" s="483"/>
      <c r="AM264" s="483"/>
    </row>
    <row r="265" spans="1:52" ht="13.7"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2226</v>
      </c>
      <c r="AK267" s="2331">
        <f>IF($C$261="yes",10,0)</f>
        <v>10</v>
      </c>
      <c r="AL267" s="2331"/>
      <c r="AM267" s="2332"/>
      <c r="AN267" s="59"/>
    </row>
    <row r="268" spans="1:52" ht="13.5" thickBot="1"/>
    <row r="269" spans="1:52" ht="13.5"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2227</v>
      </c>
      <c r="B270" s="471" t="s">
        <v>2228</v>
      </c>
      <c r="AH270" s="524" t="s">
        <v>2070</v>
      </c>
    </row>
    <row r="271" spans="1:52" ht="15" customHeight="1">
      <c r="B271" s="472" t="s">
        <v>2229</v>
      </c>
    </row>
    <row r="272" spans="1:52" ht="15" customHeight="1">
      <c r="B272" s="472" t="s">
        <v>2230</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88" t="s">
        <v>2231</v>
      </c>
      <c r="B274" s="1488"/>
      <c r="C274" s="2212" t="s">
        <v>299</v>
      </c>
      <c r="D274" s="2212"/>
      <c r="E274" s="480"/>
      <c r="F274" s="2333" t="s">
        <v>2232</v>
      </c>
      <c r="G274" s="2334"/>
      <c r="H274" s="2334"/>
      <c r="I274" s="2334"/>
      <c r="J274" s="2334"/>
      <c r="K274" s="2334"/>
      <c r="L274" s="2334"/>
      <c r="M274" s="2334"/>
      <c r="N274" s="2334"/>
      <c r="O274" s="2334"/>
      <c r="P274" s="2334"/>
      <c r="Q274" s="2334"/>
      <c r="R274" s="2334"/>
      <c r="S274" s="2334"/>
      <c r="T274" s="2334"/>
      <c r="U274" s="2334"/>
      <c r="V274" s="2334"/>
      <c r="W274" s="2334"/>
      <c r="X274" s="2334"/>
      <c r="Y274" s="2334"/>
      <c r="Z274" s="2334"/>
      <c r="AA274" s="2334"/>
      <c r="AB274" s="2334"/>
      <c r="AC274" s="2334"/>
      <c r="AD274" s="2335"/>
      <c r="AE274" s="575"/>
      <c r="AF274" s="483"/>
      <c r="AG274" s="472" t="s">
        <v>2233</v>
      </c>
      <c r="AH274" s="483"/>
      <c r="AI274" s="483"/>
      <c r="AJ274" s="483"/>
      <c r="AK274" s="483"/>
      <c r="AL274" s="483"/>
      <c r="AM274" s="483"/>
      <c r="AN274" s="59"/>
      <c r="AO274" s="14"/>
      <c r="AP274" s="26"/>
      <c r="AS274" s="503"/>
      <c r="AT274" s="503"/>
      <c r="AU274" s="503"/>
      <c r="AV274" s="28"/>
      <c r="AW274" s="28"/>
    </row>
    <row r="275" spans="1:49">
      <c r="A275" s="573"/>
      <c r="B275" s="529"/>
      <c r="F275" s="2190"/>
      <c r="G275" s="2191"/>
      <c r="H275" s="2191"/>
      <c r="I275" s="2191"/>
      <c r="J275" s="2191"/>
      <c r="K275" s="2191"/>
      <c r="L275" s="2191"/>
      <c r="M275" s="2191"/>
      <c r="N275" s="2191"/>
      <c r="O275" s="2191"/>
      <c r="P275" s="2191"/>
      <c r="Q275" s="2191"/>
      <c r="R275" s="2191"/>
      <c r="S275" s="2191"/>
      <c r="T275" s="2191"/>
      <c r="U275" s="2191"/>
      <c r="V275" s="2191"/>
      <c r="W275" s="2191"/>
      <c r="X275" s="2191"/>
      <c r="Y275" s="2191"/>
      <c r="Z275" s="2191"/>
      <c r="AA275" s="2191"/>
      <c r="AB275" s="2191"/>
      <c r="AC275" s="2191"/>
      <c r="AD275" s="2192"/>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190"/>
      <c r="G276" s="2191"/>
      <c r="H276" s="2191"/>
      <c r="I276" s="2191"/>
      <c r="J276" s="2191"/>
      <c r="K276" s="2191"/>
      <c r="L276" s="2191"/>
      <c r="M276" s="2191"/>
      <c r="N276" s="2191"/>
      <c r="O276" s="2191"/>
      <c r="P276" s="2191"/>
      <c r="Q276" s="2191"/>
      <c r="R276" s="2191"/>
      <c r="S276" s="2191"/>
      <c r="T276" s="2191"/>
      <c r="U276" s="2191"/>
      <c r="V276" s="2191"/>
      <c r="W276" s="2191"/>
      <c r="X276" s="2191"/>
      <c r="Y276" s="2191"/>
      <c r="Z276" s="2191"/>
      <c r="AA276" s="2191"/>
      <c r="AB276" s="2191"/>
      <c r="AC276" s="2191"/>
      <c r="AD276" s="2192"/>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190" t="s">
        <v>2234</v>
      </c>
      <c r="G277" s="2191"/>
      <c r="H277" s="2191"/>
      <c r="I277" s="2191"/>
      <c r="J277" s="2191"/>
      <c r="K277" s="2191"/>
      <c r="L277" s="2191"/>
      <c r="M277" s="2191"/>
      <c r="N277" s="2191"/>
      <c r="O277" s="2191"/>
      <c r="P277" s="2191"/>
      <c r="Q277" s="2191"/>
      <c r="R277" s="2191"/>
      <c r="S277" s="2191"/>
      <c r="T277" s="2191"/>
      <c r="U277" s="2191"/>
      <c r="V277" s="2191"/>
      <c r="W277" s="2191"/>
      <c r="X277" s="2191"/>
      <c r="Y277" s="2191"/>
      <c r="Z277" s="2191"/>
      <c r="AA277" s="2191"/>
      <c r="AB277" s="2191"/>
      <c r="AC277" s="2191"/>
      <c r="AD277" s="2192"/>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190"/>
      <c r="G278" s="2191"/>
      <c r="H278" s="2191"/>
      <c r="I278" s="2191"/>
      <c r="J278" s="2191"/>
      <c r="K278" s="2191"/>
      <c r="L278" s="2191"/>
      <c r="M278" s="2191"/>
      <c r="N278" s="2191"/>
      <c r="O278" s="2191"/>
      <c r="P278" s="2191"/>
      <c r="Q278" s="2191"/>
      <c r="R278" s="2191"/>
      <c r="S278" s="2191"/>
      <c r="T278" s="2191"/>
      <c r="U278" s="2191"/>
      <c r="V278" s="2191"/>
      <c r="W278" s="2191"/>
      <c r="X278" s="2191"/>
      <c r="Y278" s="2191"/>
      <c r="Z278" s="2191"/>
      <c r="AA278" s="2191"/>
      <c r="AB278" s="2191"/>
      <c r="AC278" s="2191"/>
      <c r="AD278" s="2192"/>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190" t="s">
        <v>2235</v>
      </c>
      <c r="G279" s="2191"/>
      <c r="H279" s="2191"/>
      <c r="I279" s="2191"/>
      <c r="J279" s="2191"/>
      <c r="K279" s="2191"/>
      <c r="L279" s="2191"/>
      <c r="M279" s="2191"/>
      <c r="N279" s="2191"/>
      <c r="O279" s="2191"/>
      <c r="P279" s="2191"/>
      <c r="Q279" s="2191"/>
      <c r="R279" s="2191"/>
      <c r="S279" s="2191"/>
      <c r="T279" s="2191"/>
      <c r="U279" s="2191"/>
      <c r="V279" s="2191"/>
      <c r="W279" s="2191"/>
      <c r="X279" s="2191"/>
      <c r="Y279" s="2191"/>
      <c r="Z279" s="2191"/>
      <c r="AA279" s="2191"/>
      <c r="AB279" s="2191"/>
      <c r="AC279" s="2191"/>
      <c r="AD279" s="2192"/>
      <c r="AE279" s="575"/>
      <c r="AF279" s="484"/>
      <c r="AG279" s="484"/>
      <c r="AH279" s="484"/>
      <c r="AI279" s="484"/>
      <c r="AJ279" s="483"/>
      <c r="AK279" s="483"/>
      <c r="AL279" s="483"/>
      <c r="AM279" s="483"/>
      <c r="AN279" s="59"/>
      <c r="AO279" s="14"/>
      <c r="AP279" s="544">
        <f>MAX(AP275,AP276,AP277,AP278)</f>
        <v>9</v>
      </c>
      <c r="AQ279" s="507" t="s">
        <v>2096</v>
      </c>
      <c r="AS279" s="503"/>
      <c r="AT279" s="503"/>
      <c r="AU279" s="503"/>
      <c r="AV279" s="28"/>
      <c r="AW279" s="28"/>
    </row>
    <row r="280" spans="1:49" ht="15" customHeight="1">
      <c r="A280" s="483"/>
      <c r="B280" s="484"/>
      <c r="C280" s="484"/>
      <c r="D280" s="484"/>
      <c r="E280" s="484"/>
      <c r="F280" s="2190"/>
      <c r="G280" s="2191"/>
      <c r="H280" s="2191"/>
      <c r="I280" s="2191"/>
      <c r="J280" s="2191"/>
      <c r="K280" s="2191"/>
      <c r="L280" s="2191"/>
      <c r="M280" s="2191"/>
      <c r="N280" s="2191"/>
      <c r="O280" s="2191"/>
      <c r="P280" s="2191"/>
      <c r="Q280" s="2191"/>
      <c r="R280" s="2191"/>
      <c r="S280" s="2191"/>
      <c r="T280" s="2191"/>
      <c r="U280" s="2191"/>
      <c r="V280" s="2191"/>
      <c r="W280" s="2191"/>
      <c r="X280" s="2191"/>
      <c r="Y280" s="2191"/>
      <c r="Z280" s="2191"/>
      <c r="AA280" s="2191"/>
      <c r="AB280" s="2191"/>
      <c r="AC280" s="2191"/>
      <c r="AD280" s="2192"/>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190" t="s">
        <v>2236</v>
      </c>
      <c r="G281" s="2191"/>
      <c r="H281" s="2191"/>
      <c r="I281" s="2191"/>
      <c r="J281" s="2191"/>
      <c r="K281" s="2191"/>
      <c r="L281" s="2191"/>
      <c r="M281" s="2191"/>
      <c r="N281" s="2191"/>
      <c r="O281" s="2191"/>
      <c r="P281" s="2191"/>
      <c r="Q281" s="2191"/>
      <c r="R281" s="2191"/>
      <c r="S281" s="2191"/>
      <c r="T281" s="2191"/>
      <c r="U281" s="2191"/>
      <c r="V281" s="2191"/>
      <c r="W281" s="2191"/>
      <c r="X281" s="2191"/>
      <c r="Y281" s="2191"/>
      <c r="Z281" s="2191"/>
      <c r="AA281" s="2191"/>
      <c r="AB281" s="2191"/>
      <c r="AC281" s="2191"/>
      <c r="AD281" s="2192"/>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193"/>
      <c r="G282" s="2194"/>
      <c r="H282" s="2194"/>
      <c r="I282" s="2194"/>
      <c r="J282" s="2194"/>
      <c r="K282" s="2194"/>
      <c r="L282" s="2194"/>
      <c r="M282" s="2194"/>
      <c r="N282" s="2194"/>
      <c r="O282" s="2194"/>
      <c r="P282" s="2194"/>
      <c r="Q282" s="2194"/>
      <c r="R282" s="2194"/>
      <c r="S282" s="2194"/>
      <c r="T282" s="2194"/>
      <c r="U282" s="2194"/>
      <c r="V282" s="2194"/>
      <c r="W282" s="2194"/>
      <c r="X282" s="2194"/>
      <c r="Y282" s="2194"/>
      <c r="Z282" s="2194"/>
      <c r="AA282" s="2194"/>
      <c r="AB282" s="2194"/>
      <c r="AC282" s="2194"/>
      <c r="AD282" s="2330"/>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88" t="s">
        <v>2237</v>
      </c>
      <c r="B284" s="1488"/>
      <c r="C284" s="2212" t="s">
        <v>299</v>
      </c>
      <c r="D284" s="2212"/>
      <c r="E284" s="480"/>
      <c r="F284" s="577" t="s">
        <v>2238</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2239</v>
      </c>
      <c r="AH284" s="484"/>
      <c r="AI284" s="484"/>
      <c r="AJ284" s="483"/>
      <c r="AK284" s="483"/>
      <c r="AL284" s="483"/>
      <c r="AM284" s="483"/>
      <c r="AN284" s="580"/>
      <c r="AO284" s="14"/>
    </row>
    <row r="285" spans="1:49">
      <c r="A285" s="483"/>
      <c r="B285" s="484"/>
      <c r="C285" s="483"/>
      <c r="D285" s="484"/>
      <c r="E285" s="483"/>
      <c r="F285" s="2190" t="s">
        <v>2240</v>
      </c>
      <c r="G285" s="2191"/>
      <c r="H285" s="2191"/>
      <c r="I285" s="2191"/>
      <c r="J285" s="2191"/>
      <c r="K285" s="2191"/>
      <c r="L285" s="2191"/>
      <c r="M285" s="2191"/>
      <c r="N285" s="2191"/>
      <c r="O285" s="2191"/>
      <c r="P285" s="2191"/>
      <c r="Q285" s="2191"/>
      <c r="R285" s="2191"/>
      <c r="S285" s="2191"/>
      <c r="T285" s="2191"/>
      <c r="U285" s="2191"/>
      <c r="V285" s="2191"/>
      <c r="W285" s="2191"/>
      <c r="X285" s="2191"/>
      <c r="Y285" s="2191"/>
      <c r="Z285" s="2191"/>
      <c r="AA285" s="2191"/>
      <c r="AB285" s="2191"/>
      <c r="AC285" s="2191"/>
      <c r="AD285" s="2192"/>
      <c r="AE285" s="484"/>
      <c r="AF285" s="484"/>
      <c r="AG285" s="484"/>
      <c r="AH285" s="484"/>
      <c r="AI285" s="484"/>
      <c r="AJ285" s="483"/>
      <c r="AK285" s="483"/>
      <c r="AL285" s="483"/>
      <c r="AM285" s="483"/>
      <c r="AR285" s="581"/>
    </row>
    <row r="286" spans="1:49" ht="15" customHeight="1">
      <c r="A286" s="483"/>
      <c r="B286" s="484"/>
      <c r="C286" s="483"/>
      <c r="D286" s="484"/>
      <c r="E286" s="483"/>
      <c r="F286" s="2190"/>
      <c r="G286" s="2191"/>
      <c r="H286" s="2191"/>
      <c r="I286" s="2191"/>
      <c r="J286" s="2191"/>
      <c r="K286" s="2191"/>
      <c r="L286" s="2191"/>
      <c r="M286" s="2191"/>
      <c r="N286" s="2191"/>
      <c r="O286" s="2191"/>
      <c r="P286" s="2191"/>
      <c r="Q286" s="2191"/>
      <c r="R286" s="2191"/>
      <c r="S286" s="2191"/>
      <c r="T286" s="2191"/>
      <c r="U286" s="2191"/>
      <c r="V286" s="2191"/>
      <c r="W286" s="2191"/>
      <c r="X286" s="2191"/>
      <c r="Y286" s="2191"/>
      <c r="Z286" s="2191"/>
      <c r="AA286" s="2191"/>
      <c r="AB286" s="2191"/>
      <c r="AC286" s="2191"/>
      <c r="AD286" s="2192"/>
      <c r="AE286" s="484"/>
      <c r="AF286" s="484"/>
      <c r="AG286" s="484"/>
      <c r="AH286" s="484"/>
      <c r="AI286" s="484"/>
      <c r="AJ286" s="483"/>
      <c r="AK286" s="483"/>
      <c r="AL286" s="483"/>
      <c r="AM286" s="483"/>
      <c r="AR286" s="581"/>
    </row>
    <row r="287" spans="1:49">
      <c r="A287" s="483"/>
      <c r="B287" s="484"/>
      <c r="C287" s="483"/>
      <c r="D287" s="484"/>
      <c r="E287" s="483"/>
      <c r="F287" s="2190" t="s">
        <v>2235</v>
      </c>
      <c r="G287" s="2191"/>
      <c r="H287" s="2191"/>
      <c r="I287" s="2191"/>
      <c r="J287" s="2191"/>
      <c r="K287" s="2191"/>
      <c r="L287" s="2191"/>
      <c r="M287" s="2191"/>
      <c r="N287" s="2191"/>
      <c r="O287" s="2191"/>
      <c r="P287" s="2191"/>
      <c r="Q287" s="2191"/>
      <c r="R287" s="2191"/>
      <c r="S287" s="2191"/>
      <c r="T287" s="2191"/>
      <c r="U287" s="2191"/>
      <c r="V287" s="2191"/>
      <c r="W287" s="2191"/>
      <c r="X287" s="2191"/>
      <c r="Y287" s="2191"/>
      <c r="Z287" s="2191"/>
      <c r="AA287" s="2191"/>
      <c r="AB287" s="2191"/>
      <c r="AC287" s="2191"/>
      <c r="AD287" s="2192"/>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190"/>
      <c r="G288" s="2191"/>
      <c r="H288" s="2191"/>
      <c r="I288" s="2191"/>
      <c r="J288" s="2191"/>
      <c r="K288" s="2191"/>
      <c r="L288" s="2191"/>
      <c r="M288" s="2191"/>
      <c r="N288" s="2191"/>
      <c r="O288" s="2191"/>
      <c r="P288" s="2191"/>
      <c r="Q288" s="2191"/>
      <c r="R288" s="2191"/>
      <c r="S288" s="2191"/>
      <c r="T288" s="2191"/>
      <c r="U288" s="2191"/>
      <c r="V288" s="2191"/>
      <c r="W288" s="2191"/>
      <c r="X288" s="2191"/>
      <c r="Y288" s="2191"/>
      <c r="Z288" s="2191"/>
      <c r="AA288" s="2191"/>
      <c r="AB288" s="2191"/>
      <c r="AC288" s="2191"/>
      <c r="AD288" s="2192"/>
      <c r="AE288" s="484"/>
      <c r="AF288" s="484"/>
      <c r="AG288" s="484"/>
      <c r="AH288" s="484"/>
      <c r="AI288" s="484"/>
      <c r="AJ288" s="483"/>
      <c r="AK288" s="483"/>
      <c r="AL288" s="483"/>
      <c r="AM288" s="483"/>
      <c r="AP288" s="544"/>
      <c r="AQ288" s="507"/>
      <c r="AR288" s="581"/>
    </row>
    <row r="289" spans="1:44">
      <c r="A289" s="483"/>
      <c r="B289" s="484"/>
      <c r="C289" s="483"/>
      <c r="D289" s="484"/>
      <c r="E289" s="483"/>
      <c r="F289" s="2190" t="s">
        <v>2241</v>
      </c>
      <c r="G289" s="2191"/>
      <c r="H289" s="2191"/>
      <c r="I289" s="2191"/>
      <c r="J289" s="2191"/>
      <c r="K289" s="2191"/>
      <c r="L289" s="2191"/>
      <c r="M289" s="2191"/>
      <c r="N289" s="2191"/>
      <c r="O289" s="2191"/>
      <c r="P289" s="2191"/>
      <c r="Q289" s="2191"/>
      <c r="R289" s="2191"/>
      <c r="S289" s="2191"/>
      <c r="T289" s="2191"/>
      <c r="U289" s="2191"/>
      <c r="V289" s="2191"/>
      <c r="W289" s="2191"/>
      <c r="X289" s="2191"/>
      <c r="Y289" s="2191"/>
      <c r="Z289" s="2191"/>
      <c r="AA289" s="2191"/>
      <c r="AB289" s="2191"/>
      <c r="AC289" s="2191"/>
      <c r="AD289" s="2192"/>
      <c r="AE289" s="484"/>
      <c r="AF289" s="484"/>
      <c r="AG289" s="484"/>
      <c r="AH289" s="484"/>
      <c r="AI289" s="484"/>
      <c r="AJ289" s="483"/>
      <c r="AK289" s="483"/>
      <c r="AL289" s="483"/>
      <c r="AM289" s="483"/>
      <c r="AP289" s="544"/>
      <c r="AQ289" s="507"/>
      <c r="AR289" s="581"/>
    </row>
    <row r="290" spans="1:44">
      <c r="A290" s="483"/>
      <c r="B290" s="484"/>
      <c r="C290" s="483"/>
      <c r="D290" s="484"/>
      <c r="E290" s="483"/>
      <c r="F290" s="2193"/>
      <c r="G290" s="2194"/>
      <c r="H290" s="2194"/>
      <c r="I290" s="2194"/>
      <c r="J290" s="2194"/>
      <c r="K290" s="2194"/>
      <c r="L290" s="2194"/>
      <c r="M290" s="2194"/>
      <c r="N290" s="2194"/>
      <c r="O290" s="2194"/>
      <c r="P290" s="2194"/>
      <c r="Q290" s="2194"/>
      <c r="R290" s="2194"/>
      <c r="S290" s="2194"/>
      <c r="T290" s="2194"/>
      <c r="U290" s="2194"/>
      <c r="V290" s="2194"/>
      <c r="W290" s="2194"/>
      <c r="X290" s="2194"/>
      <c r="Y290" s="2194"/>
      <c r="Z290" s="2194"/>
      <c r="AA290" s="2194"/>
      <c r="AB290" s="2194"/>
      <c r="AC290" s="2194"/>
      <c r="AD290" s="2330"/>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88" t="s">
        <v>2242</v>
      </c>
      <c r="B292" s="1488"/>
      <c r="C292" s="2212" t="s">
        <v>299</v>
      </c>
      <c r="D292" s="2212"/>
      <c r="E292" s="480"/>
      <c r="F292" s="577" t="s">
        <v>2238</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2239</v>
      </c>
      <c r="AH292" s="484"/>
      <c r="AI292" s="484"/>
      <c r="AJ292" s="483"/>
      <c r="AK292" s="483"/>
      <c r="AL292" s="483"/>
      <c r="AM292" s="483"/>
      <c r="AN292" s="59"/>
      <c r="AO292" s="14"/>
    </row>
    <row r="293" spans="1:44">
      <c r="A293" s="66"/>
      <c r="B293" s="66"/>
      <c r="C293" s="663"/>
      <c r="D293" s="663"/>
      <c r="E293" s="480"/>
      <c r="F293" s="2190" t="s">
        <v>2243</v>
      </c>
      <c r="G293" s="2191"/>
      <c r="H293" s="2191"/>
      <c r="I293" s="2191"/>
      <c r="J293" s="2191"/>
      <c r="K293" s="2191"/>
      <c r="L293" s="2191"/>
      <c r="M293" s="2191"/>
      <c r="N293" s="2191"/>
      <c r="O293" s="2191"/>
      <c r="P293" s="2191"/>
      <c r="Q293" s="2191"/>
      <c r="R293" s="2191"/>
      <c r="S293" s="2191"/>
      <c r="T293" s="2191"/>
      <c r="U293" s="2191"/>
      <c r="V293" s="2191"/>
      <c r="W293" s="2191"/>
      <c r="X293" s="2191"/>
      <c r="Y293" s="2191"/>
      <c r="Z293" s="2191"/>
      <c r="AA293" s="2191"/>
      <c r="AB293" s="2191"/>
      <c r="AC293" s="2191"/>
      <c r="AD293" s="2192"/>
      <c r="AE293" s="484"/>
      <c r="AF293" s="484"/>
      <c r="AG293" s="472"/>
      <c r="AH293" s="484"/>
      <c r="AI293" s="484"/>
      <c r="AJ293" s="483"/>
      <c r="AK293" s="483"/>
      <c r="AL293" s="483"/>
      <c r="AM293" s="483"/>
      <c r="AN293" s="59"/>
      <c r="AO293" s="14"/>
      <c r="AP293" s="490" t="s">
        <v>1322</v>
      </c>
    </row>
    <row r="294" spans="1:44">
      <c r="F294" s="2190"/>
      <c r="G294" s="2191"/>
      <c r="H294" s="2191"/>
      <c r="I294" s="2191"/>
      <c r="J294" s="2191"/>
      <c r="K294" s="2191"/>
      <c r="L294" s="2191"/>
      <c r="M294" s="2191"/>
      <c r="N294" s="2191"/>
      <c r="O294" s="2191"/>
      <c r="P294" s="2191"/>
      <c r="Q294" s="2191"/>
      <c r="R294" s="2191"/>
      <c r="S294" s="2191"/>
      <c r="T294" s="2191"/>
      <c r="U294" s="2191"/>
      <c r="V294" s="2191"/>
      <c r="W294" s="2191"/>
      <c r="X294" s="2191"/>
      <c r="Y294" s="2191"/>
      <c r="Z294" s="2191"/>
      <c r="AA294" s="2191"/>
      <c r="AB294" s="2191"/>
      <c r="AC294" s="2191"/>
      <c r="AD294" s="2192"/>
      <c r="AE294" s="484"/>
      <c r="AF294" s="484"/>
      <c r="AH294" s="484"/>
      <c r="AI294" s="484"/>
      <c r="AJ294" s="483"/>
      <c r="AK294" s="483"/>
      <c r="AL294" s="483"/>
      <c r="AM294" s="483"/>
      <c r="AN294" s="59"/>
      <c r="AO294" s="14"/>
      <c r="AP294" s="490" t="s">
        <v>2244</v>
      </c>
    </row>
    <row r="295" spans="1:44">
      <c r="A295" s="483"/>
      <c r="B295" s="484"/>
      <c r="C295" s="663"/>
      <c r="D295" s="663"/>
      <c r="E295" s="480"/>
      <c r="F295" s="585" t="s">
        <v>2245</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2246</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2247</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320" t="s">
        <v>1322</v>
      </c>
      <c r="G298" s="2321"/>
      <c r="H298" s="2321"/>
      <c r="I298" s="2321"/>
      <c r="J298" s="2321"/>
      <c r="K298" s="2321"/>
      <c r="L298" s="2321"/>
      <c r="M298" s="2321"/>
      <c r="N298" s="2321"/>
      <c r="O298" s="2321"/>
      <c r="P298" s="2321"/>
      <c r="Q298" s="2321"/>
      <c r="R298" s="2321"/>
      <c r="S298" s="2321"/>
      <c r="T298" s="2321"/>
      <c r="U298" s="2321"/>
      <c r="V298" s="2321"/>
      <c r="W298" s="2321"/>
      <c r="X298" s="2321"/>
      <c r="Y298" s="2321"/>
      <c r="Z298" s="2321"/>
      <c r="AA298" s="2321"/>
      <c r="AB298" s="2321"/>
      <c r="AC298" s="2321"/>
      <c r="AD298" s="2322"/>
      <c r="AE298" s="575"/>
      <c r="AF298" s="575"/>
      <c r="AG298" s="575"/>
      <c r="AH298" s="575"/>
      <c r="AI298" s="575"/>
      <c r="AJ298" s="575"/>
      <c r="AK298" s="575"/>
      <c r="AL298" s="483"/>
      <c r="AM298" s="483"/>
      <c r="AN298" s="59"/>
      <c r="AO298" s="14"/>
      <c r="AP298" s="26"/>
    </row>
    <row r="299" spans="1:44">
      <c r="A299" s="483"/>
      <c r="B299" s="484"/>
      <c r="C299" s="663"/>
      <c r="D299" s="663"/>
      <c r="E299" s="480"/>
      <c r="F299" s="2320"/>
      <c r="G299" s="2321"/>
      <c r="H299" s="2321"/>
      <c r="I299" s="2321"/>
      <c r="J299" s="2321"/>
      <c r="K299" s="2321"/>
      <c r="L299" s="2321"/>
      <c r="M299" s="2321"/>
      <c r="N299" s="2321"/>
      <c r="O299" s="2321"/>
      <c r="P299" s="2321"/>
      <c r="Q299" s="2321"/>
      <c r="R299" s="2321"/>
      <c r="S299" s="2321"/>
      <c r="T299" s="2321"/>
      <c r="U299" s="2321"/>
      <c r="V299" s="2321"/>
      <c r="W299" s="2321"/>
      <c r="X299" s="2321"/>
      <c r="Y299" s="2321"/>
      <c r="Z299" s="2321"/>
      <c r="AA299" s="2321"/>
      <c r="AB299" s="2321"/>
      <c r="AC299" s="2321"/>
      <c r="AD299" s="2322"/>
      <c r="AE299" s="484"/>
      <c r="AF299" s="484"/>
      <c r="AG299" s="472"/>
      <c r="AH299" s="484"/>
      <c r="AI299" s="484"/>
      <c r="AJ299" s="483"/>
      <c r="AK299" s="483"/>
      <c r="AL299" s="483"/>
      <c r="AM299" s="483"/>
      <c r="AN299" s="59"/>
      <c r="AO299" s="14"/>
      <c r="AP299" s="26"/>
    </row>
    <row r="300" spans="1:44">
      <c r="A300" s="483"/>
      <c r="B300" s="484"/>
      <c r="C300" s="663"/>
      <c r="D300" s="663"/>
      <c r="E300" s="480"/>
      <c r="F300" s="2320"/>
      <c r="G300" s="2321"/>
      <c r="H300" s="2321"/>
      <c r="I300" s="2321"/>
      <c r="J300" s="2321"/>
      <c r="K300" s="2321"/>
      <c r="L300" s="2321"/>
      <c r="M300" s="2321"/>
      <c r="N300" s="2321"/>
      <c r="O300" s="2321"/>
      <c r="P300" s="2321"/>
      <c r="Q300" s="2321"/>
      <c r="R300" s="2321"/>
      <c r="S300" s="2321"/>
      <c r="T300" s="2321"/>
      <c r="U300" s="2321"/>
      <c r="V300" s="2321"/>
      <c r="W300" s="2321"/>
      <c r="X300" s="2321"/>
      <c r="Y300" s="2321"/>
      <c r="Z300" s="2321"/>
      <c r="AA300" s="2321"/>
      <c r="AB300" s="2321"/>
      <c r="AC300" s="2321"/>
      <c r="AD300" s="2322"/>
      <c r="AE300" s="484"/>
      <c r="AF300" s="484"/>
      <c r="AG300" s="472"/>
      <c r="AH300" s="484"/>
      <c r="AI300" s="484"/>
      <c r="AJ300" s="483"/>
      <c r="AK300" s="483"/>
      <c r="AL300" s="483"/>
      <c r="AM300" s="483"/>
      <c r="AN300" s="59"/>
      <c r="AO300" s="14"/>
      <c r="AP300" s="26"/>
    </row>
    <row r="301" spans="1:44">
      <c r="A301" s="483"/>
      <c r="B301" s="484"/>
      <c r="C301" s="663"/>
      <c r="D301" s="663"/>
      <c r="E301" s="480"/>
      <c r="F301" s="2320"/>
      <c r="G301" s="2321"/>
      <c r="H301" s="2321"/>
      <c r="I301" s="2321"/>
      <c r="J301" s="2321"/>
      <c r="K301" s="2321"/>
      <c r="L301" s="2321"/>
      <c r="M301" s="2321"/>
      <c r="N301" s="2321"/>
      <c r="O301" s="2321"/>
      <c r="P301" s="2321"/>
      <c r="Q301" s="2321"/>
      <c r="R301" s="2321"/>
      <c r="S301" s="2321"/>
      <c r="T301" s="2321"/>
      <c r="U301" s="2321"/>
      <c r="V301" s="2321"/>
      <c r="W301" s="2321"/>
      <c r="X301" s="2321"/>
      <c r="Y301" s="2321"/>
      <c r="Z301" s="2321"/>
      <c r="AA301" s="2321"/>
      <c r="AB301" s="2321"/>
      <c r="AC301" s="2321"/>
      <c r="AD301" s="2322"/>
      <c r="AE301" s="484"/>
      <c r="AF301" s="484"/>
      <c r="AG301" s="472"/>
      <c r="AH301" s="484"/>
      <c r="AI301" s="484"/>
      <c r="AJ301" s="483"/>
      <c r="AK301" s="483"/>
      <c r="AL301" s="483"/>
      <c r="AM301" s="483"/>
      <c r="AN301" s="59"/>
      <c r="AO301" s="14"/>
      <c r="AP301" s="26"/>
    </row>
    <row r="302" spans="1:44">
      <c r="A302" s="483"/>
      <c r="B302" s="484"/>
      <c r="C302" s="663"/>
      <c r="D302" s="663"/>
      <c r="E302" s="480"/>
      <c r="F302" s="2323"/>
      <c r="G302" s="2324"/>
      <c r="H302" s="2324"/>
      <c r="I302" s="2324"/>
      <c r="J302" s="2324"/>
      <c r="K302" s="2324"/>
      <c r="L302" s="2324"/>
      <c r="M302" s="2324"/>
      <c r="N302" s="2324"/>
      <c r="O302" s="2324"/>
      <c r="P302" s="2324"/>
      <c r="Q302" s="2324"/>
      <c r="R302" s="2324"/>
      <c r="S302" s="2324"/>
      <c r="T302" s="2324"/>
      <c r="U302" s="2324"/>
      <c r="V302" s="2324"/>
      <c r="W302" s="2324"/>
      <c r="X302" s="2324"/>
      <c r="Y302" s="2324"/>
      <c r="Z302" s="2324"/>
      <c r="AA302" s="2324"/>
      <c r="AB302" s="2324"/>
      <c r="AC302" s="2324"/>
      <c r="AD302" s="2325"/>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2248</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1322</v>
      </c>
    </row>
    <row r="306" spans="1:42" ht="12.75" customHeight="1">
      <c r="A306" s="483"/>
      <c r="B306" s="484"/>
      <c r="C306" s="663"/>
      <c r="D306" s="663"/>
      <c r="E306" s="480"/>
      <c r="F306" s="589"/>
      <c r="G306" s="508" t="s">
        <v>21</v>
      </c>
      <c r="H306" s="508"/>
      <c r="I306" s="2326" t="s">
        <v>1322</v>
      </c>
      <c r="J306" s="2326"/>
      <c r="K306" s="2326"/>
      <c r="L306" s="2326"/>
      <c r="M306" s="2326"/>
      <c r="N306" s="2326"/>
      <c r="O306" s="2326"/>
      <c r="P306" s="2326"/>
      <c r="Q306" s="2326"/>
      <c r="R306" s="2326"/>
      <c r="S306" s="2326"/>
      <c r="T306" s="2326"/>
      <c r="U306" s="2326"/>
      <c r="V306" s="2326"/>
      <c r="W306" s="2326"/>
      <c r="X306" s="2326"/>
      <c r="Y306" s="2326"/>
      <c r="Z306" s="2326"/>
      <c r="AA306" s="2326"/>
      <c r="AB306" s="2326"/>
      <c r="AC306" s="2326"/>
      <c r="AD306" s="2327"/>
      <c r="AE306" s="484"/>
      <c r="AF306" s="484"/>
      <c r="AG306" s="472"/>
      <c r="AH306" s="484"/>
      <c r="AI306" s="484"/>
      <c r="AJ306" s="483"/>
      <c r="AK306" s="483"/>
      <c r="AL306" s="483"/>
      <c r="AM306" s="483"/>
      <c r="AN306" s="59"/>
      <c r="AO306" s="14"/>
      <c r="AP306" s="490" t="s">
        <v>2249</v>
      </c>
    </row>
    <row r="307" spans="1:42">
      <c r="A307" s="483"/>
      <c r="B307" s="484"/>
      <c r="C307" s="663"/>
      <c r="D307" s="663"/>
      <c r="E307" s="480"/>
      <c r="F307" s="589"/>
      <c r="G307" s="508"/>
      <c r="H307" s="508"/>
      <c r="I307" s="2326"/>
      <c r="J307" s="2326"/>
      <c r="K307" s="2326"/>
      <c r="L307" s="2326"/>
      <c r="M307" s="2326"/>
      <c r="N307" s="2326"/>
      <c r="O307" s="2326"/>
      <c r="P307" s="2326"/>
      <c r="Q307" s="2326"/>
      <c r="R307" s="2326"/>
      <c r="S307" s="2326"/>
      <c r="T307" s="2326"/>
      <c r="U307" s="2326"/>
      <c r="V307" s="2326"/>
      <c r="W307" s="2326"/>
      <c r="X307" s="2326"/>
      <c r="Y307" s="2326"/>
      <c r="Z307" s="2326"/>
      <c r="AA307" s="2326"/>
      <c r="AB307" s="2326"/>
      <c r="AC307" s="2326"/>
      <c r="AD307" s="2327"/>
      <c r="AE307" s="484"/>
      <c r="AF307" s="484"/>
      <c r="AG307" s="472"/>
      <c r="AH307" s="484"/>
      <c r="AI307" s="484"/>
      <c r="AJ307" s="483"/>
      <c r="AK307" s="483"/>
      <c r="AL307" s="483"/>
      <c r="AM307" s="483"/>
      <c r="AN307" s="59"/>
      <c r="AO307" s="14"/>
      <c r="AP307" s="490" t="s">
        <v>2250</v>
      </c>
    </row>
    <row r="308" spans="1:42">
      <c r="A308" s="483"/>
      <c r="B308" s="484"/>
      <c r="C308" s="584"/>
      <c r="D308" s="584"/>
      <c r="E308" s="480"/>
      <c r="F308" s="589"/>
      <c r="G308" s="508"/>
      <c r="H308" s="508"/>
      <c r="I308" s="2326"/>
      <c r="J308" s="2326"/>
      <c r="K308" s="2326"/>
      <c r="L308" s="2326"/>
      <c r="M308" s="2326"/>
      <c r="N308" s="2326"/>
      <c r="O308" s="2326"/>
      <c r="P308" s="2326"/>
      <c r="Q308" s="2326"/>
      <c r="R308" s="2326"/>
      <c r="S308" s="2326"/>
      <c r="T308" s="2326"/>
      <c r="U308" s="2326"/>
      <c r="V308" s="2326"/>
      <c r="W308" s="2326"/>
      <c r="X308" s="2326"/>
      <c r="Y308" s="2326"/>
      <c r="Z308" s="2326"/>
      <c r="AA308" s="2326"/>
      <c r="AB308" s="2326"/>
      <c r="AC308" s="2326"/>
      <c r="AD308" s="2327"/>
      <c r="AE308" s="484"/>
      <c r="AF308" s="484"/>
      <c r="AG308" s="472"/>
      <c r="AH308" s="484"/>
      <c r="AI308" s="484"/>
      <c r="AJ308" s="483"/>
      <c r="AK308" s="483"/>
      <c r="AL308" s="483"/>
      <c r="AM308" s="483"/>
      <c r="AN308" s="59"/>
      <c r="AO308" s="14"/>
      <c r="AP308" s="490" t="s">
        <v>2251</v>
      </c>
    </row>
    <row r="309" spans="1:42">
      <c r="A309" s="483"/>
      <c r="B309" s="484"/>
      <c r="C309" s="584"/>
      <c r="D309" s="584"/>
      <c r="E309" s="480"/>
      <c r="F309" s="587"/>
      <c r="G309" s="484"/>
      <c r="H309" s="484"/>
      <c r="I309" s="2328"/>
      <c r="J309" s="2328"/>
      <c r="K309" s="2328"/>
      <c r="L309" s="2328"/>
      <c r="M309" s="2328"/>
      <c r="N309" s="2328"/>
      <c r="O309" s="2328"/>
      <c r="P309" s="2328"/>
      <c r="Q309" s="2328"/>
      <c r="R309" s="2328"/>
      <c r="S309" s="2328"/>
      <c r="T309" s="2328"/>
      <c r="U309" s="2328"/>
      <c r="V309" s="2328"/>
      <c r="W309" s="2328"/>
      <c r="X309" s="2328"/>
      <c r="Y309" s="2328"/>
      <c r="Z309" s="2328"/>
      <c r="AA309" s="2328"/>
      <c r="AB309" s="2328"/>
      <c r="AC309" s="2328"/>
      <c r="AD309" s="2329"/>
      <c r="AE309" s="484"/>
      <c r="AF309" s="484"/>
      <c r="AG309" s="472"/>
      <c r="AH309" s="484"/>
      <c r="AI309" s="484"/>
      <c r="AJ309" s="483"/>
      <c r="AK309" s="483"/>
      <c r="AL309" s="483"/>
      <c r="AM309" s="483"/>
      <c r="AN309" s="59"/>
      <c r="AO309" s="14"/>
      <c r="AP309" s="490" t="s">
        <v>2252</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326" t="s">
        <v>1322</v>
      </c>
      <c r="J311" s="2326"/>
      <c r="K311" s="2326"/>
      <c r="L311" s="2326"/>
      <c r="M311" s="2326"/>
      <c r="N311" s="2326"/>
      <c r="O311" s="2326"/>
      <c r="P311" s="2326"/>
      <c r="Q311" s="2326"/>
      <c r="R311" s="2326"/>
      <c r="S311" s="2326"/>
      <c r="T311" s="2326"/>
      <c r="U311" s="2326"/>
      <c r="V311" s="2326"/>
      <c r="W311" s="2326"/>
      <c r="X311" s="2326"/>
      <c r="Y311" s="2326"/>
      <c r="Z311" s="2326"/>
      <c r="AA311" s="2326"/>
      <c r="AB311" s="2326"/>
      <c r="AC311" s="2326"/>
      <c r="AD311" s="2327"/>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326"/>
      <c r="J312" s="2326"/>
      <c r="K312" s="2326"/>
      <c r="L312" s="2326"/>
      <c r="M312" s="2326"/>
      <c r="N312" s="2326"/>
      <c r="O312" s="2326"/>
      <c r="P312" s="2326"/>
      <c r="Q312" s="2326"/>
      <c r="R312" s="2326"/>
      <c r="S312" s="2326"/>
      <c r="T312" s="2326"/>
      <c r="U312" s="2326"/>
      <c r="V312" s="2326"/>
      <c r="W312" s="2326"/>
      <c r="X312" s="2326"/>
      <c r="Y312" s="2326"/>
      <c r="Z312" s="2326"/>
      <c r="AA312" s="2326"/>
      <c r="AB312" s="2326"/>
      <c r="AC312" s="2326"/>
      <c r="AD312" s="2327"/>
      <c r="AE312" s="484"/>
      <c r="AF312" s="484"/>
      <c r="AG312" s="472"/>
      <c r="AH312" s="484"/>
      <c r="AI312" s="484"/>
      <c r="AJ312" s="483"/>
      <c r="AK312" s="483"/>
      <c r="AL312" s="483"/>
      <c r="AM312" s="483"/>
      <c r="AN312" s="59"/>
      <c r="AO312" s="14"/>
      <c r="AP312" s="490" t="s">
        <v>1322</v>
      </c>
    </row>
    <row r="313" spans="1:42">
      <c r="A313" s="483"/>
      <c r="B313" s="484"/>
      <c r="C313" s="584"/>
      <c r="D313" s="584"/>
      <c r="E313" s="480"/>
      <c r="F313" s="590"/>
      <c r="G313" s="591"/>
      <c r="H313" s="591"/>
      <c r="I313" s="2328"/>
      <c r="J313" s="2328"/>
      <c r="K313" s="2328"/>
      <c r="L313" s="2328"/>
      <c r="M313" s="2328"/>
      <c r="N313" s="2328"/>
      <c r="O313" s="2328"/>
      <c r="P313" s="2328"/>
      <c r="Q313" s="2328"/>
      <c r="R313" s="2328"/>
      <c r="S313" s="2328"/>
      <c r="T313" s="2328"/>
      <c r="U313" s="2328"/>
      <c r="V313" s="2328"/>
      <c r="W313" s="2328"/>
      <c r="X313" s="2328"/>
      <c r="Y313" s="2328"/>
      <c r="Z313" s="2328"/>
      <c r="AA313" s="2328"/>
      <c r="AB313" s="2328"/>
      <c r="AC313" s="2328"/>
      <c r="AD313" s="2329"/>
      <c r="AE313" s="484"/>
      <c r="AF313" s="484"/>
      <c r="AG313" s="472"/>
      <c r="AH313" s="484"/>
      <c r="AI313" s="484"/>
      <c r="AJ313" s="483"/>
      <c r="AK313" s="483"/>
      <c r="AL313" s="483"/>
      <c r="AM313" s="483"/>
      <c r="AN313" s="59"/>
      <c r="AO313" s="14"/>
      <c r="AP313" s="490" t="s">
        <v>2253</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2254</v>
      </c>
    </row>
    <row r="315" spans="1:42" ht="12.75" customHeight="1">
      <c r="A315" s="1488" t="s">
        <v>2255</v>
      </c>
      <c r="B315" s="1488"/>
      <c r="C315" s="2212" t="s">
        <v>825</v>
      </c>
      <c r="D315" s="2212"/>
      <c r="E315" s="480"/>
      <c r="F315" s="2314" t="s">
        <v>2256</v>
      </c>
      <c r="G315" s="2315"/>
      <c r="H315" s="2315"/>
      <c r="I315" s="2315"/>
      <c r="J315" s="2315"/>
      <c r="K315" s="2315"/>
      <c r="L315" s="2315"/>
      <c r="M315" s="2315"/>
      <c r="N315" s="2315"/>
      <c r="O315" s="2315"/>
      <c r="P315" s="2315"/>
      <c r="Q315" s="2315"/>
      <c r="R315" s="2315"/>
      <c r="S315" s="2315"/>
      <c r="T315" s="2315"/>
      <c r="U315" s="2315"/>
      <c r="V315" s="2315"/>
      <c r="W315" s="2315"/>
      <c r="X315" s="2315"/>
      <c r="Y315" s="2315"/>
      <c r="Z315" s="2315"/>
      <c r="AA315" s="2315"/>
      <c r="AB315" s="2315"/>
      <c r="AC315" s="2315"/>
      <c r="AD315" s="2316"/>
      <c r="AE315" s="484"/>
      <c r="AF315" s="484"/>
      <c r="AG315" s="472" t="s">
        <v>2239</v>
      </c>
      <c r="AH315" s="484"/>
      <c r="AI315" s="484"/>
      <c r="AJ315" s="483"/>
      <c r="AK315" s="483"/>
      <c r="AL315" s="483"/>
      <c r="AM315" s="483"/>
      <c r="AN315" s="59"/>
      <c r="AO315" s="14"/>
    </row>
    <row r="316" spans="1:42" ht="15" customHeight="1">
      <c r="A316" s="483"/>
      <c r="B316" s="484"/>
      <c r="C316" s="484"/>
      <c r="D316" s="484"/>
      <c r="E316" s="484"/>
      <c r="F316" s="2317"/>
      <c r="G316" s="2318"/>
      <c r="H316" s="2318"/>
      <c r="I316" s="2318"/>
      <c r="J316" s="2318"/>
      <c r="K316" s="2318"/>
      <c r="L316" s="2318"/>
      <c r="M316" s="2318"/>
      <c r="N316" s="2318"/>
      <c r="O316" s="2318"/>
      <c r="P316" s="2318"/>
      <c r="Q316" s="2318"/>
      <c r="R316" s="2318"/>
      <c r="S316" s="2318"/>
      <c r="T316" s="2318"/>
      <c r="U316" s="2318"/>
      <c r="V316" s="2318"/>
      <c r="W316" s="2318"/>
      <c r="X316" s="2318"/>
      <c r="Y316" s="2318"/>
      <c r="Z316" s="2318"/>
      <c r="AA316" s="2318"/>
      <c r="AB316" s="2318"/>
      <c r="AC316" s="2318"/>
      <c r="AD316" s="2319"/>
      <c r="AE316" s="484"/>
      <c r="AF316" s="484"/>
      <c r="AG316" s="484"/>
      <c r="AH316" s="484"/>
      <c r="AI316" s="484"/>
      <c r="AJ316" s="483"/>
      <c r="AK316" s="483"/>
      <c r="AL316" s="483"/>
      <c r="AM316" s="483"/>
      <c r="AN316" s="59"/>
      <c r="AO316" s="14"/>
    </row>
    <row r="317" spans="1:42" ht="15" customHeight="1">
      <c r="A317" s="483"/>
      <c r="B317" s="484"/>
      <c r="C317" s="484"/>
      <c r="D317" s="484"/>
      <c r="E317" s="484"/>
      <c r="F317" s="2317"/>
      <c r="G317" s="2318"/>
      <c r="H317" s="2318"/>
      <c r="I317" s="2318"/>
      <c r="J317" s="2318"/>
      <c r="K317" s="2318"/>
      <c r="L317" s="2318"/>
      <c r="M317" s="2318"/>
      <c r="N317" s="2318"/>
      <c r="O317" s="2318"/>
      <c r="P317" s="2318"/>
      <c r="Q317" s="2318"/>
      <c r="R317" s="2318"/>
      <c r="S317" s="2318"/>
      <c r="T317" s="2318"/>
      <c r="U317" s="2318"/>
      <c r="V317" s="2318"/>
      <c r="W317" s="2318"/>
      <c r="X317" s="2318"/>
      <c r="Y317" s="2318"/>
      <c r="Z317" s="2318"/>
      <c r="AA317" s="2318"/>
      <c r="AB317" s="2318"/>
      <c r="AC317" s="2318"/>
      <c r="AD317" s="2319"/>
      <c r="AE317" s="484"/>
      <c r="AF317" s="484"/>
      <c r="AG317" s="484"/>
      <c r="AH317" s="484"/>
      <c r="AI317" s="484"/>
      <c r="AJ317" s="483"/>
      <c r="AK317" s="483"/>
      <c r="AL317" s="483"/>
      <c r="AM317" s="592"/>
      <c r="AN317" s="14"/>
      <c r="AO317" s="14"/>
    </row>
    <row r="318" spans="1:42">
      <c r="A318" s="483"/>
      <c r="B318" s="484"/>
      <c r="C318" s="483"/>
      <c r="D318" s="484"/>
      <c r="E318" s="483"/>
      <c r="F318" s="593" t="s">
        <v>2257</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2258</v>
      </c>
      <c r="AK320" s="2198">
        <f>AP279</f>
        <v>9</v>
      </c>
      <c r="AL320" s="2199"/>
      <c r="AM320" s="2200"/>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2259</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276" t="s">
        <v>2092</v>
      </c>
      <c r="AF323" s="2276"/>
      <c r="AG323" s="2276"/>
      <c r="AH323" s="2276"/>
      <c r="AI323" s="2276"/>
      <c r="AJ323" s="2276"/>
      <c r="AK323" s="2276"/>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191" t="s">
        <v>2260</v>
      </c>
      <c r="C325" s="2191"/>
      <c r="D325" s="2191"/>
      <c r="E325" s="2191"/>
      <c r="F325" s="2191"/>
      <c r="G325" s="2191"/>
      <c r="H325" s="2191"/>
      <c r="I325" s="2191"/>
      <c r="J325" s="2191"/>
      <c r="K325" s="2191"/>
      <c r="L325" s="2191"/>
      <c r="M325" s="2191"/>
      <c r="N325" s="2191"/>
      <c r="O325" s="2191"/>
      <c r="P325" s="2191"/>
      <c r="Q325" s="2191"/>
      <c r="R325" s="2191"/>
      <c r="S325" s="2191"/>
      <c r="T325" s="2191"/>
      <c r="U325" s="2191"/>
      <c r="V325" s="2191"/>
      <c r="W325" s="2191"/>
      <c r="X325" s="2191"/>
      <c r="Y325" s="2191"/>
      <c r="Z325" s="2191"/>
      <c r="AA325" s="2191"/>
      <c r="AB325" s="2191"/>
      <c r="AC325" s="2191"/>
      <c r="AD325" s="2191"/>
      <c r="AE325" s="2191"/>
      <c r="AF325" s="2191"/>
      <c r="AG325" s="2191"/>
      <c r="AH325" s="2191"/>
      <c r="AI325" s="2191"/>
      <c r="AJ325" s="2191"/>
      <c r="AK325" s="575"/>
      <c r="AL325" s="506"/>
      <c r="AM325" s="536"/>
      <c r="AN325" s="530"/>
    </row>
    <row r="326" spans="1:42" s="483" customFormat="1" ht="12.75" customHeight="1">
      <c r="A326" s="536"/>
      <c r="B326" s="2191"/>
      <c r="C326" s="2191"/>
      <c r="D326" s="2191"/>
      <c r="E326" s="2191"/>
      <c r="F326" s="2191"/>
      <c r="G326" s="2191"/>
      <c r="H326" s="2191"/>
      <c r="I326" s="2191"/>
      <c r="J326" s="2191"/>
      <c r="K326" s="2191"/>
      <c r="L326" s="2191"/>
      <c r="M326" s="2191"/>
      <c r="N326" s="2191"/>
      <c r="O326" s="2191"/>
      <c r="P326" s="2191"/>
      <c r="Q326" s="2191"/>
      <c r="R326" s="2191"/>
      <c r="S326" s="2191"/>
      <c r="T326" s="2191"/>
      <c r="U326" s="2191"/>
      <c r="V326" s="2191"/>
      <c r="W326" s="2191"/>
      <c r="X326" s="2191"/>
      <c r="Y326" s="2191"/>
      <c r="Z326" s="2191"/>
      <c r="AA326" s="2191"/>
      <c r="AB326" s="2191"/>
      <c r="AC326" s="2191"/>
      <c r="AD326" s="2191"/>
      <c r="AE326" s="2191"/>
      <c r="AF326" s="2191"/>
      <c r="AG326" s="2191"/>
      <c r="AH326" s="2191"/>
      <c r="AI326" s="2191"/>
      <c r="AJ326" s="2191"/>
      <c r="AK326" s="575"/>
      <c r="AL326" s="506"/>
      <c r="AM326" s="536"/>
      <c r="AN326" s="530"/>
    </row>
    <row r="327" spans="1:42" s="483" customFormat="1" ht="12.75" customHeight="1">
      <c r="A327" s="536"/>
      <c r="B327" s="2191"/>
      <c r="C327" s="2191"/>
      <c r="D327" s="2191"/>
      <c r="E327" s="2191"/>
      <c r="F327" s="2191"/>
      <c r="G327" s="2191"/>
      <c r="H327" s="2191"/>
      <c r="I327" s="2191"/>
      <c r="J327" s="2191"/>
      <c r="K327" s="2191"/>
      <c r="L327" s="2191"/>
      <c r="M327" s="2191"/>
      <c r="N327" s="2191"/>
      <c r="O327" s="2191"/>
      <c r="P327" s="2191"/>
      <c r="Q327" s="2191"/>
      <c r="R327" s="2191"/>
      <c r="S327" s="2191"/>
      <c r="T327" s="2191"/>
      <c r="U327" s="2191"/>
      <c r="V327" s="2191"/>
      <c r="W327" s="2191"/>
      <c r="X327" s="2191"/>
      <c r="Y327" s="2191"/>
      <c r="Z327" s="2191"/>
      <c r="AA327" s="2191"/>
      <c r="AB327" s="2191"/>
      <c r="AC327" s="2191"/>
      <c r="AD327" s="2191"/>
      <c r="AE327" s="2191"/>
      <c r="AF327" s="2191"/>
      <c r="AG327" s="2191"/>
      <c r="AH327" s="2191"/>
      <c r="AI327" s="2191"/>
      <c r="AJ327" s="2191"/>
      <c r="AK327" s="575"/>
      <c r="AL327" s="506"/>
      <c r="AM327" s="536"/>
      <c r="AN327" s="530"/>
    </row>
    <row r="328" spans="1:42" s="483" customFormat="1" ht="12.75" customHeight="1">
      <c r="A328" s="536"/>
      <c r="B328" s="2191"/>
      <c r="C328" s="2191"/>
      <c r="D328" s="2191"/>
      <c r="E328" s="2191"/>
      <c r="F328" s="2191"/>
      <c r="G328" s="2191"/>
      <c r="H328" s="2191"/>
      <c r="I328" s="2191"/>
      <c r="J328" s="2191"/>
      <c r="K328" s="2191"/>
      <c r="L328" s="2191"/>
      <c r="M328" s="2191"/>
      <c r="N328" s="2191"/>
      <c r="O328" s="2191"/>
      <c r="P328" s="2191"/>
      <c r="Q328" s="2191"/>
      <c r="R328" s="2191"/>
      <c r="S328" s="2191"/>
      <c r="T328" s="2191"/>
      <c r="U328" s="2191"/>
      <c r="V328" s="2191"/>
      <c r="W328" s="2191"/>
      <c r="X328" s="2191"/>
      <c r="Y328" s="2191"/>
      <c r="Z328" s="2191"/>
      <c r="AA328" s="2191"/>
      <c r="AB328" s="2191"/>
      <c r="AC328" s="2191"/>
      <c r="AD328" s="2191"/>
      <c r="AE328" s="2191"/>
      <c r="AF328" s="2191"/>
      <c r="AG328" s="2191"/>
      <c r="AH328" s="2191"/>
      <c r="AI328" s="2191"/>
      <c r="AJ328" s="2191"/>
      <c r="AK328" s="575"/>
      <c r="AL328" s="506"/>
      <c r="AM328" s="536"/>
      <c r="AN328" s="530"/>
    </row>
    <row r="329" spans="1:42" s="483" customFormat="1" ht="12.75" customHeight="1">
      <c r="A329" s="536"/>
      <c r="B329" s="2191"/>
      <c r="C329" s="2191"/>
      <c r="D329" s="2191"/>
      <c r="E329" s="2191"/>
      <c r="F329" s="2191"/>
      <c r="G329" s="2191"/>
      <c r="H329" s="2191"/>
      <c r="I329" s="2191"/>
      <c r="J329" s="2191"/>
      <c r="K329" s="2191"/>
      <c r="L329" s="2191"/>
      <c r="M329" s="2191"/>
      <c r="N329" s="2191"/>
      <c r="O329" s="2191"/>
      <c r="P329" s="2191"/>
      <c r="Q329" s="2191"/>
      <c r="R329" s="2191"/>
      <c r="S329" s="2191"/>
      <c r="T329" s="2191"/>
      <c r="U329" s="2191"/>
      <c r="V329" s="2191"/>
      <c r="W329" s="2191"/>
      <c r="X329" s="2191"/>
      <c r="Y329" s="2191"/>
      <c r="Z329" s="2191"/>
      <c r="AA329" s="2191"/>
      <c r="AB329" s="2191"/>
      <c r="AC329" s="2191"/>
      <c r="AD329" s="2191"/>
      <c r="AE329" s="2191"/>
      <c r="AF329" s="2191"/>
      <c r="AG329" s="2191"/>
      <c r="AH329" s="2191"/>
      <c r="AI329" s="2191"/>
      <c r="AJ329" s="2191"/>
      <c r="AK329" s="575"/>
      <c r="AL329" s="506"/>
      <c r="AM329" s="536"/>
      <c r="AN329" s="530"/>
    </row>
    <row r="330" spans="1:42" s="483" customFormat="1" ht="12.75" customHeight="1">
      <c r="A330" s="536"/>
      <c r="B330" s="2191"/>
      <c r="C330" s="2191"/>
      <c r="D330" s="2191"/>
      <c r="E330" s="2191"/>
      <c r="F330" s="2191"/>
      <c r="G330" s="2191"/>
      <c r="H330" s="2191"/>
      <c r="I330" s="2191"/>
      <c r="J330" s="2191"/>
      <c r="K330" s="2191"/>
      <c r="L330" s="2191"/>
      <c r="M330" s="2191"/>
      <c r="N330" s="2191"/>
      <c r="O330" s="2191"/>
      <c r="P330" s="2191"/>
      <c r="Q330" s="2191"/>
      <c r="R330" s="2191"/>
      <c r="S330" s="2191"/>
      <c r="T330" s="2191"/>
      <c r="U330" s="2191"/>
      <c r="V330" s="2191"/>
      <c r="W330" s="2191"/>
      <c r="X330" s="2191"/>
      <c r="Y330" s="2191"/>
      <c r="Z330" s="2191"/>
      <c r="AA330" s="2191"/>
      <c r="AB330" s="2191"/>
      <c r="AC330" s="2191"/>
      <c r="AD330" s="2191"/>
      <c r="AE330" s="2191"/>
      <c r="AF330" s="2191"/>
      <c r="AG330" s="2191"/>
      <c r="AH330" s="2191"/>
      <c r="AI330" s="2191"/>
      <c r="AJ330" s="2191"/>
      <c r="AK330" s="575"/>
      <c r="AL330" s="506"/>
      <c r="AM330" s="536"/>
      <c r="AN330" s="530"/>
    </row>
    <row r="331" spans="1:42" s="483" customFormat="1" ht="12.75" customHeight="1">
      <c r="A331" s="536"/>
      <c r="B331" s="2191"/>
      <c r="C331" s="2191"/>
      <c r="D331" s="2191"/>
      <c r="E331" s="2191"/>
      <c r="F331" s="2191"/>
      <c r="G331" s="2191"/>
      <c r="H331" s="2191"/>
      <c r="I331" s="2191"/>
      <c r="J331" s="2191"/>
      <c r="K331" s="2191"/>
      <c r="L331" s="2191"/>
      <c r="M331" s="2191"/>
      <c r="N331" s="2191"/>
      <c r="O331" s="2191"/>
      <c r="P331" s="2191"/>
      <c r="Q331" s="2191"/>
      <c r="R331" s="2191"/>
      <c r="S331" s="2191"/>
      <c r="T331" s="2191"/>
      <c r="U331" s="2191"/>
      <c r="V331" s="2191"/>
      <c r="W331" s="2191"/>
      <c r="X331" s="2191"/>
      <c r="Y331" s="2191"/>
      <c r="Z331" s="2191"/>
      <c r="AA331" s="2191"/>
      <c r="AB331" s="2191"/>
      <c r="AC331" s="2191"/>
      <c r="AD331" s="2191"/>
      <c r="AE331" s="2191"/>
      <c r="AF331" s="2191"/>
      <c r="AG331" s="2191"/>
      <c r="AH331" s="2191"/>
      <c r="AI331" s="2191"/>
      <c r="AJ331" s="2191"/>
      <c r="AK331" s="575"/>
      <c r="AL331" s="506"/>
      <c r="AM331" s="536"/>
      <c r="AN331" s="530"/>
    </row>
    <row r="332" spans="1:42" ht="12.75" customHeight="1">
      <c r="A332" s="536"/>
      <c r="B332" s="2191"/>
      <c r="C332" s="2191"/>
      <c r="D332" s="2191"/>
      <c r="E332" s="2191"/>
      <c r="F332" s="2191"/>
      <c r="G332" s="2191"/>
      <c r="H332" s="2191"/>
      <c r="I332" s="2191"/>
      <c r="J332" s="2191"/>
      <c r="K332" s="2191"/>
      <c r="L332" s="2191"/>
      <c r="M332" s="2191"/>
      <c r="N332" s="2191"/>
      <c r="O332" s="2191"/>
      <c r="P332" s="2191"/>
      <c r="Q332" s="2191"/>
      <c r="R332" s="2191"/>
      <c r="S332" s="2191"/>
      <c r="T332" s="2191"/>
      <c r="U332" s="2191"/>
      <c r="V332" s="2191"/>
      <c r="W332" s="2191"/>
      <c r="X332" s="2191"/>
      <c r="Y332" s="2191"/>
      <c r="Z332" s="2191"/>
      <c r="AA332" s="2191"/>
      <c r="AB332" s="2191"/>
      <c r="AC332" s="2191"/>
      <c r="AD332" s="2191"/>
      <c r="AE332" s="2191"/>
      <c r="AF332" s="2191"/>
      <c r="AG332" s="2191"/>
      <c r="AH332" s="2191"/>
      <c r="AI332" s="2191"/>
      <c r="AJ332" s="2191"/>
      <c r="AK332" s="575"/>
      <c r="AL332" s="506"/>
      <c r="AM332" s="536"/>
    </row>
    <row r="333" spans="1:42" s="483" customFormat="1" ht="12.75" customHeight="1">
      <c r="B333" s="2191"/>
      <c r="C333" s="2191"/>
      <c r="D333" s="2191"/>
      <c r="E333" s="2191"/>
      <c r="F333" s="2191"/>
      <c r="G333" s="2191"/>
      <c r="H333" s="2191"/>
      <c r="I333" s="2191"/>
      <c r="J333" s="2191"/>
      <c r="K333" s="2191"/>
      <c r="L333" s="2191"/>
      <c r="M333" s="2191"/>
      <c r="N333" s="2191"/>
      <c r="O333" s="2191"/>
      <c r="P333" s="2191"/>
      <c r="Q333" s="2191"/>
      <c r="R333" s="2191"/>
      <c r="S333" s="2191"/>
      <c r="T333" s="2191"/>
      <c r="U333" s="2191"/>
      <c r="V333" s="2191"/>
      <c r="W333" s="2191"/>
      <c r="X333" s="2191"/>
      <c r="Y333" s="2191"/>
      <c r="Z333" s="2191"/>
      <c r="AA333" s="2191"/>
      <c r="AB333" s="2191"/>
      <c r="AC333" s="2191"/>
      <c r="AD333" s="2191"/>
      <c r="AE333" s="2191"/>
      <c r="AF333" s="2191"/>
      <c r="AG333" s="2191"/>
      <c r="AH333" s="2191"/>
      <c r="AI333" s="2191"/>
      <c r="AJ333" s="2191"/>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2261</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825</v>
      </c>
    </row>
    <row r="337" spans="1:42" s="483" customFormat="1" ht="12.75" customHeight="1">
      <c r="C337" s="472" t="s">
        <v>2262</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2263</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302" t="s">
        <v>2137</v>
      </c>
      <c r="AG339" s="2302"/>
      <c r="AH339" s="2302"/>
      <c r="AI339" s="2302"/>
      <c r="AJ339" s="2302"/>
      <c r="AK339" s="2302"/>
      <c r="AL339" s="2302"/>
      <c r="AN339" s="530"/>
    </row>
    <row r="340" spans="1:42" s="483" customFormat="1" ht="12.75" customHeight="1">
      <c r="B340" s="469"/>
      <c r="C340" s="549"/>
      <c r="D340" s="596"/>
      <c r="E340" s="796" t="s">
        <v>2264</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2265</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2266</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2267</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2268</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2269</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302" t="s">
        <v>2270</v>
      </c>
      <c r="AG346" s="2302"/>
      <c r="AH346" s="2302"/>
      <c r="AI346" s="2302"/>
      <c r="AJ346" s="2302"/>
      <c r="AK346" s="2302"/>
      <c r="AL346" s="2302"/>
      <c r="AN346" s="530"/>
    </row>
    <row r="347" spans="1:42" s="483" customFormat="1" ht="12.75" customHeight="1">
      <c r="B347" s="469"/>
      <c r="C347" s="894"/>
      <c r="D347" s="596"/>
      <c r="E347" s="796" t="s">
        <v>2271</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2272</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2273</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2274</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2275</v>
      </c>
      <c r="AP351" s="483">
        <v>4</v>
      </c>
    </row>
    <row r="352" spans="1:42" s="483" customFormat="1" ht="12.75" customHeight="1">
      <c r="B352" s="469"/>
      <c r="C352" s="892"/>
      <c r="D352" s="596" t="s">
        <v>48</v>
      </c>
      <c r="E352" s="796" t="s">
        <v>2276</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302" t="s">
        <v>2277</v>
      </c>
      <c r="AG352" s="2302"/>
      <c r="AH352" s="2302"/>
      <c r="AI352" s="2302"/>
      <c r="AJ352" s="2302"/>
      <c r="AK352" s="2302"/>
      <c r="AL352" s="2302"/>
      <c r="AN352" s="530"/>
      <c r="AO352" s="544" t="s">
        <v>2278</v>
      </c>
      <c r="AP352" s="483">
        <v>3</v>
      </c>
    </row>
    <row r="353" spans="1:53" s="483" customFormat="1" ht="12.75" customHeight="1">
      <c r="B353" s="469"/>
      <c r="C353" s="894"/>
      <c r="D353" s="596"/>
      <c r="E353" s="796" t="s">
        <v>2271</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2272</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2273</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2274</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2275</v>
      </c>
      <c r="E358" s="796" t="s">
        <v>2279</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302" t="s">
        <v>2280</v>
      </c>
      <c r="AG358" s="2302"/>
      <c r="AH358" s="2302"/>
      <c r="AI358" s="2302"/>
      <c r="AJ358" s="2302"/>
      <c r="AK358" s="2302"/>
      <c r="AL358" s="2302"/>
      <c r="AN358" s="530"/>
      <c r="AO358" s="483" t="str">
        <f>X395</f>
        <v>N/A</v>
      </c>
    </row>
    <row r="359" spans="1:53" s="483" customFormat="1" ht="12.75" customHeight="1">
      <c r="B359" s="469"/>
      <c r="C359" s="894"/>
      <c r="D359" s="596"/>
      <c r="E359" s="796" t="s">
        <v>2281</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2282</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2283</v>
      </c>
      <c r="O362" s="2313" t="s">
        <v>1322</v>
      </c>
      <c r="P362" s="2313"/>
      <c r="Q362" s="2313"/>
      <c r="R362" s="2313"/>
      <c r="S362" s="2313"/>
      <c r="T362" s="2313"/>
      <c r="U362" s="2313"/>
      <c r="V362" s="2313"/>
      <c r="W362" s="2313"/>
      <c r="X362" s="2313"/>
      <c r="Y362" s="2313"/>
      <c r="Z362" s="2313"/>
      <c r="AA362" s="2313"/>
      <c r="AB362" s="2313"/>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2278</v>
      </c>
      <c r="E364" s="796" t="s">
        <v>2284</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302" t="s">
        <v>2150</v>
      </c>
      <c r="AG364" s="2302"/>
      <c r="AH364" s="2302"/>
      <c r="AI364" s="2302"/>
      <c r="AJ364" s="2302"/>
      <c r="AK364" s="2302"/>
      <c r="AL364" s="2302"/>
      <c r="AN364" s="530"/>
    </row>
    <row r="365" spans="1:53" s="483" customFormat="1" ht="12.75" customHeight="1">
      <c r="B365" s="469"/>
      <c r="C365" s="892"/>
      <c r="D365" s="596"/>
      <c r="E365" s="796" t="s">
        <v>2285</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2286</v>
      </c>
      <c r="E367" s="897"/>
      <c r="F367" s="897"/>
      <c r="G367" s="897"/>
      <c r="H367" s="2214" t="s">
        <v>2278</v>
      </c>
      <c r="I367" s="2214"/>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2287</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2288</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2289</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2290</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2286</v>
      </c>
      <c r="F375" s="897"/>
      <c r="G375" s="897"/>
      <c r="I375" s="2312" t="s">
        <v>2291</v>
      </c>
      <c r="J375" s="2312"/>
      <c r="K375" s="2312"/>
      <c r="L375" s="2312"/>
      <c r="M375" s="2312"/>
      <c r="N375" s="2312"/>
      <c r="O375" s="2312"/>
      <c r="P375" s="2312"/>
      <c r="Q375" s="2312"/>
      <c r="R375" s="2312"/>
      <c r="S375" s="2312"/>
      <c r="T375" s="2312"/>
      <c r="U375" s="2312"/>
      <c r="V375" s="2312"/>
      <c r="W375" s="2312"/>
      <c r="X375" s="2312"/>
      <c r="Y375" s="2312"/>
      <c r="Z375" s="2312"/>
      <c r="AA375" s="2312"/>
      <c r="AB375" s="2312"/>
      <c r="AC375" s="2312"/>
      <c r="AD375" s="2312"/>
      <c r="AE375" s="2312"/>
      <c r="AF375" s="469"/>
      <c r="AG375" s="469"/>
      <c r="AH375" s="469"/>
      <c r="AI375" s="469"/>
      <c r="AJ375" s="469"/>
      <c r="AK375" s="469"/>
      <c r="AL375" s="469"/>
      <c r="AN375" s="530"/>
      <c r="AO375" s="483" t="s">
        <v>2292</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2291</v>
      </c>
      <c r="AP376" s="483">
        <v>2</v>
      </c>
    </row>
    <row r="377" spans="1:46" s="483" customFormat="1" ht="12.75" customHeight="1">
      <c r="B377" s="2310" t="s">
        <v>299</v>
      </c>
      <c r="C377" s="2310"/>
      <c r="D377" s="575"/>
      <c r="E377" s="2191" t="s">
        <v>2293</v>
      </c>
      <c r="F377" s="2191"/>
      <c r="G377" s="2191"/>
      <c r="H377" s="2191"/>
      <c r="I377" s="2191"/>
      <c r="J377" s="2191"/>
      <c r="K377" s="2191"/>
      <c r="L377" s="2191"/>
      <c r="M377" s="2191"/>
      <c r="N377" s="2191"/>
      <c r="O377" s="2191"/>
      <c r="P377" s="2191"/>
      <c r="Q377" s="2191"/>
      <c r="R377" s="2191"/>
      <c r="S377" s="2191"/>
      <c r="T377" s="2191"/>
      <c r="U377" s="2191"/>
      <c r="V377" s="2191"/>
      <c r="W377" s="2191"/>
      <c r="X377" s="2191"/>
      <c r="Y377" s="2191"/>
      <c r="Z377" s="2191"/>
      <c r="AA377" s="2191"/>
      <c r="AB377" s="2191"/>
      <c r="AC377" s="2191"/>
      <c r="AD377" s="2191"/>
      <c r="AE377" s="2191"/>
      <c r="AF377" s="2191"/>
      <c r="AG377" s="2191"/>
      <c r="AH377" s="575"/>
      <c r="AI377" s="575"/>
      <c r="AJ377" s="575"/>
      <c r="AK377" s="575"/>
      <c r="AL377" s="575"/>
      <c r="AN377" s="530"/>
    </row>
    <row r="378" spans="1:46" s="483" customFormat="1" ht="12.75" customHeight="1">
      <c r="B378" s="469"/>
      <c r="C378" s="894"/>
      <c r="D378" s="575"/>
      <c r="E378" s="2191"/>
      <c r="F378" s="2191"/>
      <c r="G378" s="2191"/>
      <c r="H378" s="2191"/>
      <c r="I378" s="2191"/>
      <c r="J378" s="2191"/>
      <c r="K378" s="2191"/>
      <c r="L378" s="2191"/>
      <c r="M378" s="2191"/>
      <c r="N378" s="2191"/>
      <c r="O378" s="2191"/>
      <c r="P378" s="2191"/>
      <c r="Q378" s="2191"/>
      <c r="R378" s="2191"/>
      <c r="S378" s="2191"/>
      <c r="T378" s="2191"/>
      <c r="U378" s="2191"/>
      <c r="V378" s="2191"/>
      <c r="W378" s="2191"/>
      <c r="X378" s="2191"/>
      <c r="Y378" s="2191"/>
      <c r="Z378" s="2191"/>
      <c r="AA378" s="2191"/>
      <c r="AB378" s="2191"/>
      <c r="AC378" s="2191"/>
      <c r="AD378" s="2191"/>
      <c r="AE378" s="2191"/>
      <c r="AF378" s="2191"/>
      <c r="AG378" s="2191"/>
      <c r="AH378" s="575"/>
      <c r="AI378" s="575"/>
      <c r="AJ378" s="575"/>
      <c r="AK378" s="575"/>
      <c r="AL378" s="575"/>
      <c r="AN378" s="530"/>
    </row>
    <row r="379" spans="1:46" s="483" customFormat="1" ht="12.75" customHeight="1">
      <c r="B379" s="469"/>
      <c r="C379" s="894"/>
      <c r="D379" s="575"/>
      <c r="E379" s="2191"/>
      <c r="F379" s="2191"/>
      <c r="G379" s="2191"/>
      <c r="H379" s="2191"/>
      <c r="I379" s="2191"/>
      <c r="J379" s="2191"/>
      <c r="K379" s="2191"/>
      <c r="L379" s="2191"/>
      <c r="M379" s="2191"/>
      <c r="N379" s="2191"/>
      <c r="O379" s="2191"/>
      <c r="P379" s="2191"/>
      <c r="Q379" s="2191"/>
      <c r="R379" s="2191"/>
      <c r="S379" s="2191"/>
      <c r="T379" s="2191"/>
      <c r="U379" s="2191"/>
      <c r="V379" s="2191"/>
      <c r="W379" s="2191"/>
      <c r="X379" s="2191"/>
      <c r="Y379" s="2191"/>
      <c r="Z379" s="2191"/>
      <c r="AA379" s="2191"/>
      <c r="AB379" s="2191"/>
      <c r="AC379" s="2191"/>
      <c r="AD379" s="2191"/>
      <c r="AE379" s="2191"/>
      <c r="AF379" s="2191"/>
      <c r="AG379" s="2191"/>
      <c r="AH379" s="575"/>
      <c r="AI379" s="575"/>
      <c r="AJ379" s="575"/>
      <c r="AK379" s="575"/>
      <c r="AL379" s="575"/>
      <c r="AN379" s="530"/>
    </row>
    <row r="380" spans="1:46" s="483" customFormat="1" ht="12.75" customHeight="1">
      <c r="B380" s="469"/>
      <c r="C380" s="894"/>
      <c r="D380" s="575"/>
      <c r="E380" s="2191"/>
      <c r="F380" s="2191"/>
      <c r="G380" s="2191"/>
      <c r="H380" s="2191"/>
      <c r="I380" s="2191"/>
      <c r="J380" s="2191"/>
      <c r="K380" s="2191"/>
      <c r="L380" s="2191"/>
      <c r="M380" s="2191"/>
      <c r="N380" s="2191"/>
      <c r="O380" s="2191"/>
      <c r="P380" s="2191"/>
      <c r="Q380" s="2191"/>
      <c r="R380" s="2191"/>
      <c r="S380" s="2191"/>
      <c r="T380" s="2191"/>
      <c r="U380" s="2191"/>
      <c r="V380" s="2191"/>
      <c r="W380" s="2191"/>
      <c r="X380" s="2191"/>
      <c r="Y380" s="2191"/>
      <c r="Z380" s="2191"/>
      <c r="AA380" s="2191"/>
      <c r="AB380" s="2191"/>
      <c r="AC380" s="2191"/>
      <c r="AD380" s="2191"/>
      <c r="AE380" s="2191"/>
      <c r="AF380" s="2191"/>
      <c r="AG380" s="2191"/>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2294</v>
      </c>
      <c r="AJ382" s="2198">
        <f>VLOOKUP($H$367,$AO$347:$AP$352,2,FALSE)+VLOOKUP($I$375,$AO$374:$AP$376,2,FALSE)</f>
        <v>5</v>
      </c>
      <c r="AK382" s="2200"/>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2295</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311" t="s">
        <v>2296</v>
      </c>
      <c r="F386" s="2311"/>
      <c r="G386" s="2311"/>
      <c r="H386" s="2311"/>
      <c r="I386" s="2311"/>
      <c r="J386" s="2311"/>
      <c r="K386" s="2311"/>
      <c r="L386" s="2311"/>
      <c r="M386" s="2311"/>
      <c r="N386" s="2311"/>
      <c r="O386" s="2311"/>
      <c r="P386" s="2311"/>
      <c r="Q386" s="2311"/>
      <c r="R386" s="2311"/>
      <c r="S386" s="2311"/>
      <c r="T386" s="2311"/>
      <c r="U386" s="2311"/>
      <c r="V386" s="2311"/>
      <c r="W386" s="2311"/>
      <c r="X386" s="2311"/>
      <c r="Y386" s="2311"/>
      <c r="Z386" s="2311"/>
      <c r="AA386" s="2311"/>
      <c r="AB386" s="2311"/>
      <c r="AC386" s="2311"/>
      <c r="AD386" s="2311"/>
      <c r="AE386" s="472"/>
      <c r="AF386" s="2302" t="s">
        <v>2150</v>
      </c>
      <c r="AG386" s="2302"/>
      <c r="AH386" s="2302"/>
      <c r="AI386" s="2302"/>
      <c r="AJ386" s="2302"/>
      <c r="AK386" s="2302"/>
      <c r="AL386" s="2302"/>
      <c r="AM386" s="483"/>
      <c r="AN386" s="611"/>
    </row>
    <row r="387" spans="1:42" s="483" customFormat="1" ht="12.75" customHeight="1">
      <c r="A387" s="612"/>
      <c r="B387" s="469"/>
      <c r="C387" s="894"/>
      <c r="D387" s="596"/>
      <c r="E387" s="2311"/>
      <c r="F387" s="2311"/>
      <c r="G387" s="2311"/>
      <c r="H387" s="2311"/>
      <c r="I387" s="2311"/>
      <c r="J387" s="2311"/>
      <c r="K387" s="2311"/>
      <c r="L387" s="2311"/>
      <c r="M387" s="2311"/>
      <c r="N387" s="2311"/>
      <c r="O387" s="2311"/>
      <c r="P387" s="2311"/>
      <c r="Q387" s="2311"/>
      <c r="R387" s="2311"/>
      <c r="S387" s="2311"/>
      <c r="T387" s="2311"/>
      <c r="U387" s="2311"/>
      <c r="V387" s="2311"/>
      <c r="W387" s="2311"/>
      <c r="X387" s="2311"/>
      <c r="Y387" s="2311"/>
      <c r="Z387" s="2311"/>
      <c r="AA387" s="2311"/>
      <c r="AB387" s="2311"/>
      <c r="AC387" s="2311"/>
      <c r="AD387" s="2311"/>
      <c r="AE387" s="469"/>
      <c r="AF387" s="469"/>
      <c r="AG387" s="469"/>
      <c r="AH387" s="469"/>
      <c r="AI387" s="469"/>
      <c r="AJ387" s="469"/>
      <c r="AK387" s="469"/>
      <c r="AL387" s="469"/>
      <c r="AN387" s="530"/>
    </row>
    <row r="388" spans="1:42" s="483" customFormat="1" ht="12.75" customHeight="1">
      <c r="B388" s="469"/>
      <c r="C388" s="892"/>
      <c r="D388" s="596"/>
      <c r="E388" s="2311"/>
      <c r="F388" s="2311"/>
      <c r="G388" s="2311"/>
      <c r="H388" s="2311"/>
      <c r="I388" s="2311"/>
      <c r="J388" s="2311"/>
      <c r="K388" s="2311"/>
      <c r="L388" s="2311"/>
      <c r="M388" s="2311"/>
      <c r="N388" s="2311"/>
      <c r="O388" s="2311"/>
      <c r="P388" s="2311"/>
      <c r="Q388" s="2311"/>
      <c r="R388" s="2311"/>
      <c r="S388" s="2311"/>
      <c r="T388" s="2311"/>
      <c r="U388" s="2311"/>
      <c r="V388" s="2311"/>
      <c r="W388" s="2311"/>
      <c r="X388" s="2311"/>
      <c r="Y388" s="2311"/>
      <c r="Z388" s="2311"/>
      <c r="AA388" s="2311"/>
      <c r="AB388" s="2311"/>
      <c r="AC388" s="2311"/>
      <c r="AD388" s="2311"/>
      <c r="AE388" s="469"/>
      <c r="AF388" s="469"/>
      <c r="AG388" s="469"/>
      <c r="AH388" s="469"/>
      <c r="AI388" s="469"/>
      <c r="AJ388" s="469"/>
      <c r="AK388" s="469"/>
      <c r="AL388" s="469"/>
      <c r="AN388" s="530"/>
    </row>
    <row r="389" spans="1:42" s="483" customFormat="1" ht="12.75" customHeight="1">
      <c r="B389" s="469"/>
      <c r="C389" s="892"/>
      <c r="D389" s="596"/>
      <c r="E389" s="2311"/>
      <c r="F389" s="2311"/>
      <c r="G389" s="2311"/>
      <c r="H389" s="2311"/>
      <c r="I389" s="2311"/>
      <c r="J389" s="2311"/>
      <c r="K389" s="2311"/>
      <c r="L389" s="2311"/>
      <c r="M389" s="2311"/>
      <c r="N389" s="2311"/>
      <c r="O389" s="2311"/>
      <c r="P389" s="2311"/>
      <c r="Q389" s="2311"/>
      <c r="R389" s="2311"/>
      <c r="S389" s="2311"/>
      <c r="T389" s="2311"/>
      <c r="U389" s="2311"/>
      <c r="V389" s="2311"/>
      <c r="W389" s="2311"/>
      <c r="X389" s="2311"/>
      <c r="Y389" s="2311"/>
      <c r="Z389" s="2311"/>
      <c r="AA389" s="2311"/>
      <c r="AB389" s="2311"/>
      <c r="AC389" s="2311"/>
      <c r="AD389" s="2311"/>
      <c r="AE389" s="469"/>
      <c r="AF389" s="469"/>
      <c r="AG389" s="469"/>
      <c r="AH389" s="469"/>
      <c r="AI389" s="469"/>
      <c r="AJ389" s="469"/>
      <c r="AK389" s="469"/>
      <c r="AL389" s="469"/>
      <c r="AN389" s="530"/>
    </row>
    <row r="390" spans="1:42" s="483" customFormat="1" ht="12.75" customHeight="1">
      <c r="B390" s="469"/>
      <c r="C390" s="892"/>
      <c r="D390" s="596"/>
      <c r="E390" s="2311"/>
      <c r="F390" s="2311"/>
      <c r="G390" s="2311"/>
      <c r="H390" s="2311"/>
      <c r="I390" s="2311"/>
      <c r="J390" s="2311"/>
      <c r="K390" s="2311"/>
      <c r="L390" s="2311"/>
      <c r="M390" s="2311"/>
      <c r="N390" s="2311"/>
      <c r="O390" s="2311"/>
      <c r="P390" s="2311"/>
      <c r="Q390" s="2311"/>
      <c r="R390" s="2311"/>
      <c r="S390" s="2311"/>
      <c r="T390" s="2311"/>
      <c r="U390" s="2311"/>
      <c r="V390" s="2311"/>
      <c r="W390" s="2311"/>
      <c r="X390" s="2311"/>
      <c r="Y390" s="2311"/>
      <c r="Z390" s="2311"/>
      <c r="AA390" s="2311"/>
      <c r="AB390" s="2311"/>
      <c r="AC390" s="2311"/>
      <c r="AD390" s="2311"/>
      <c r="AE390" s="469"/>
      <c r="AF390" s="469"/>
      <c r="AG390" s="469"/>
      <c r="AH390" s="469"/>
      <c r="AI390" s="469"/>
      <c r="AJ390" s="469"/>
      <c r="AK390" s="469"/>
      <c r="AL390" s="469"/>
      <c r="AN390" s="530"/>
    </row>
    <row r="391" spans="1:42" s="483" customFormat="1" ht="12.75" customHeight="1">
      <c r="B391" s="469"/>
      <c r="C391" s="892"/>
      <c r="D391" s="596"/>
      <c r="E391" s="2311"/>
      <c r="F391" s="2311"/>
      <c r="G391" s="2311"/>
      <c r="H391" s="2311"/>
      <c r="I391" s="2311"/>
      <c r="J391" s="2311"/>
      <c r="K391" s="2311"/>
      <c r="L391" s="2311"/>
      <c r="M391" s="2311"/>
      <c r="N391" s="2311"/>
      <c r="O391" s="2311"/>
      <c r="P391" s="2311"/>
      <c r="Q391" s="2311"/>
      <c r="R391" s="2311"/>
      <c r="S391" s="2311"/>
      <c r="T391" s="2311"/>
      <c r="U391" s="2311"/>
      <c r="V391" s="2311"/>
      <c r="W391" s="2311"/>
      <c r="X391" s="2311"/>
      <c r="Y391" s="2311"/>
      <c r="Z391" s="2311"/>
      <c r="AA391" s="2311"/>
      <c r="AB391" s="2311"/>
      <c r="AC391" s="2311"/>
      <c r="AD391" s="2311"/>
      <c r="AE391" s="469"/>
      <c r="AF391" s="469"/>
      <c r="AG391" s="469"/>
      <c r="AH391" s="469"/>
      <c r="AI391" s="469"/>
      <c r="AJ391" s="469"/>
      <c r="AK391" s="469"/>
      <c r="AL391" s="469"/>
      <c r="AN391" s="530"/>
    </row>
    <row r="392" spans="1:42" s="483" customFormat="1" ht="12.75" customHeight="1">
      <c r="A392" s="570"/>
      <c r="B392" s="549"/>
      <c r="C392" s="901"/>
      <c r="D392" s="596"/>
      <c r="E392" s="2311"/>
      <c r="F392" s="2311"/>
      <c r="G392" s="2311"/>
      <c r="H392" s="2311"/>
      <c r="I392" s="2311"/>
      <c r="J392" s="2311"/>
      <c r="K392" s="2311"/>
      <c r="L392" s="2311"/>
      <c r="M392" s="2311"/>
      <c r="N392" s="2311"/>
      <c r="O392" s="2311"/>
      <c r="P392" s="2311"/>
      <c r="Q392" s="2311"/>
      <c r="R392" s="2311"/>
      <c r="S392" s="2311"/>
      <c r="T392" s="2311"/>
      <c r="U392" s="2311"/>
      <c r="V392" s="2311"/>
      <c r="W392" s="2311"/>
      <c r="X392" s="2311"/>
      <c r="Y392" s="2311"/>
      <c r="Z392" s="2311"/>
      <c r="AA392" s="2311"/>
      <c r="AB392" s="2311"/>
      <c r="AC392" s="2311"/>
      <c r="AD392" s="2311"/>
      <c r="AE392" s="549"/>
      <c r="AF392" s="549"/>
      <c r="AG392" s="549"/>
      <c r="AH392" s="549"/>
      <c r="AI392" s="549"/>
      <c r="AJ392" s="549"/>
      <c r="AK392" s="469"/>
      <c r="AL392" s="469"/>
      <c r="AN392" s="530"/>
    </row>
    <row r="393" spans="1:42" s="483" customFormat="1" ht="12.75" customHeight="1">
      <c r="B393" s="549"/>
      <c r="C393" s="901"/>
      <c r="D393" s="596"/>
      <c r="E393" s="2311"/>
      <c r="F393" s="2311"/>
      <c r="G393" s="2311"/>
      <c r="H393" s="2311"/>
      <c r="I393" s="2311"/>
      <c r="J393" s="2311"/>
      <c r="K393" s="2311"/>
      <c r="L393" s="2311"/>
      <c r="M393" s="2311"/>
      <c r="N393" s="2311"/>
      <c r="O393" s="2311"/>
      <c r="P393" s="2311"/>
      <c r="Q393" s="2311"/>
      <c r="R393" s="2311"/>
      <c r="S393" s="2311"/>
      <c r="T393" s="2311"/>
      <c r="U393" s="2311"/>
      <c r="V393" s="2311"/>
      <c r="W393" s="2311"/>
      <c r="X393" s="2311"/>
      <c r="Y393" s="2311"/>
      <c r="Z393" s="2311"/>
      <c r="AA393" s="2311"/>
      <c r="AB393" s="2311"/>
      <c r="AC393" s="2311"/>
      <c r="AD393" s="2311"/>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2297</v>
      </c>
      <c r="F395" s="902"/>
      <c r="G395" s="902"/>
      <c r="H395" s="902"/>
      <c r="I395" s="902"/>
      <c r="J395" s="902"/>
      <c r="K395" s="902"/>
      <c r="L395" s="902"/>
      <c r="M395" s="902"/>
      <c r="N395" s="902"/>
      <c r="O395" s="902"/>
      <c r="P395" s="902"/>
      <c r="Q395" s="902"/>
      <c r="R395" s="902"/>
      <c r="U395" s="902"/>
      <c r="V395" s="902"/>
      <c r="W395" s="902"/>
      <c r="X395" s="2310" t="s">
        <v>299</v>
      </c>
      <c r="Y395" s="2310"/>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2298</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302" t="s">
        <v>2299</v>
      </c>
      <c r="AG397" s="2302"/>
      <c r="AH397" s="2302"/>
      <c r="AI397" s="2302"/>
      <c r="AJ397" s="2302"/>
      <c r="AK397" s="2302"/>
      <c r="AL397" s="2302"/>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2275</v>
      </c>
      <c r="AP398" s="613">
        <v>4</v>
      </c>
    </row>
    <row r="399" spans="1:42" s="483" customFormat="1" ht="12.75" customHeight="1">
      <c r="B399" s="469"/>
      <c r="C399" s="892"/>
      <c r="D399" s="469" t="s">
        <v>2286</v>
      </c>
      <c r="E399" s="897"/>
      <c r="F399" s="897"/>
      <c r="G399" s="897"/>
      <c r="H399" s="2214" t="s">
        <v>21</v>
      </c>
      <c r="I399" s="2214"/>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2278</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2300</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2301</v>
      </c>
      <c r="AJ401" s="2198">
        <f>VLOOKUP($H$399,$AO$366:$AP$368,2,FALSE)</f>
        <v>3</v>
      </c>
      <c r="AK401" s="2200"/>
      <c r="AL401" s="528"/>
      <c r="AN401" s="530"/>
      <c r="AO401" s="544" t="s">
        <v>2302</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2303</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2304</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302" t="s">
        <v>2150</v>
      </c>
      <c r="AG405" s="2302"/>
      <c r="AH405" s="2302"/>
      <c r="AI405" s="2302"/>
      <c r="AJ405" s="2302"/>
      <c r="AK405" s="2302"/>
      <c r="AL405" s="2302"/>
      <c r="AN405" s="530"/>
    </row>
    <row r="406" spans="1:42" s="483" customFormat="1" ht="12.75" customHeight="1">
      <c r="B406" s="469"/>
      <c r="C406" s="469"/>
      <c r="D406" s="596"/>
      <c r="E406" s="549" t="s">
        <v>2305</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2306</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302" t="s">
        <v>2299</v>
      </c>
      <c r="AG408" s="2302"/>
      <c r="AH408" s="2302"/>
      <c r="AI408" s="2302"/>
      <c r="AJ408" s="2302"/>
      <c r="AK408" s="2302"/>
      <c r="AL408" s="2302"/>
      <c r="AN408" s="530"/>
    </row>
    <row r="409" spans="1:42" s="483" customFormat="1" ht="12.75" customHeight="1">
      <c r="B409" s="469"/>
      <c r="C409" s="892"/>
      <c r="D409" s="596"/>
      <c r="E409" s="549" t="s">
        <v>2307</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2286</v>
      </c>
      <c r="E411" s="897"/>
      <c r="F411" s="897"/>
      <c r="G411" s="897"/>
      <c r="H411" s="2214" t="s">
        <v>299</v>
      </c>
      <c r="I411" s="2214"/>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2308</v>
      </c>
      <c r="AJ413" s="2198">
        <f>VLOOKUP(H411,AT366:AU368,2,FALSE)</f>
        <v>0</v>
      </c>
      <c r="AK413" s="2200"/>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2309</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2310</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191" t="s">
        <v>2311</v>
      </c>
      <c r="F418" s="2191"/>
      <c r="G418" s="2191"/>
      <c r="H418" s="2191"/>
      <c r="I418" s="2191"/>
      <c r="J418" s="2191"/>
      <c r="K418" s="2191"/>
      <c r="L418" s="2191"/>
      <c r="M418" s="2191"/>
      <c r="N418" s="2191"/>
      <c r="O418" s="2191"/>
      <c r="P418" s="2191"/>
      <c r="Q418" s="2191"/>
      <c r="R418" s="2191"/>
      <c r="S418" s="2191"/>
      <c r="T418" s="2191"/>
      <c r="U418" s="2191"/>
      <c r="V418" s="2191"/>
      <c r="W418" s="2191"/>
      <c r="X418" s="2191"/>
      <c r="Y418" s="2191"/>
      <c r="Z418" s="2191"/>
      <c r="AA418" s="2191"/>
      <c r="AB418" s="2191"/>
      <c r="AC418" s="2191"/>
      <c r="AD418" s="469"/>
      <c r="AE418" s="469"/>
      <c r="AF418" s="2302" t="s">
        <v>2277</v>
      </c>
      <c r="AG418" s="2302"/>
      <c r="AH418" s="2302"/>
      <c r="AI418" s="2302"/>
      <c r="AJ418" s="2302"/>
      <c r="AK418" s="2302"/>
      <c r="AL418" s="2302"/>
      <c r="AN418" s="530"/>
    </row>
    <row r="419" spans="1:42" s="483" customFormat="1" ht="12.75" customHeight="1">
      <c r="B419" s="469"/>
      <c r="C419" s="472"/>
      <c r="D419" s="469"/>
      <c r="E419" s="2191"/>
      <c r="F419" s="2191"/>
      <c r="G419" s="2191"/>
      <c r="H419" s="2191"/>
      <c r="I419" s="2191"/>
      <c r="J419" s="2191"/>
      <c r="K419" s="2191"/>
      <c r="L419" s="2191"/>
      <c r="M419" s="2191"/>
      <c r="N419" s="2191"/>
      <c r="O419" s="2191"/>
      <c r="P419" s="2191"/>
      <c r="Q419" s="2191"/>
      <c r="R419" s="2191"/>
      <c r="S419" s="2191"/>
      <c r="T419" s="2191"/>
      <c r="U419" s="2191"/>
      <c r="V419" s="2191"/>
      <c r="W419" s="2191"/>
      <c r="X419" s="2191"/>
      <c r="Y419" s="2191"/>
      <c r="Z419" s="2191"/>
      <c r="AA419" s="2191"/>
      <c r="AB419" s="2191"/>
      <c r="AC419" s="2191"/>
      <c r="AD419" s="469"/>
      <c r="AE419" s="469"/>
      <c r="AF419" s="469"/>
      <c r="AG419" s="469"/>
      <c r="AH419" s="469"/>
      <c r="AI419" s="469"/>
      <c r="AJ419" s="469"/>
      <c r="AK419" s="469"/>
      <c r="AL419" s="469"/>
      <c r="AN419" s="530"/>
    </row>
    <row r="420" spans="1:42" s="483" customFormat="1" ht="12.75" customHeight="1">
      <c r="B420" s="469"/>
      <c r="C420" s="472"/>
      <c r="D420" s="596"/>
      <c r="E420" s="2191"/>
      <c r="F420" s="2191"/>
      <c r="G420" s="2191"/>
      <c r="H420" s="2191"/>
      <c r="I420" s="2191"/>
      <c r="J420" s="2191"/>
      <c r="K420" s="2191"/>
      <c r="L420" s="2191"/>
      <c r="M420" s="2191"/>
      <c r="N420" s="2191"/>
      <c r="O420" s="2191"/>
      <c r="P420" s="2191"/>
      <c r="Q420" s="2191"/>
      <c r="R420" s="2191"/>
      <c r="S420" s="2191"/>
      <c r="T420" s="2191"/>
      <c r="U420" s="2191"/>
      <c r="V420" s="2191"/>
      <c r="W420" s="2191"/>
      <c r="X420" s="2191"/>
      <c r="Y420" s="2191"/>
      <c r="Z420" s="2191"/>
      <c r="AA420" s="2191"/>
      <c r="AB420" s="2191"/>
      <c r="AC420" s="2191"/>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191" t="s">
        <v>2312</v>
      </c>
      <c r="F422" s="2191"/>
      <c r="G422" s="2191"/>
      <c r="H422" s="2191"/>
      <c r="I422" s="2191"/>
      <c r="J422" s="2191"/>
      <c r="K422" s="2191"/>
      <c r="L422" s="2191"/>
      <c r="M422" s="2191"/>
      <c r="N422" s="2191"/>
      <c r="O422" s="2191"/>
      <c r="P422" s="2191"/>
      <c r="Q422" s="2191"/>
      <c r="R422" s="2191"/>
      <c r="S422" s="2191"/>
      <c r="T422" s="2191"/>
      <c r="U422" s="2191"/>
      <c r="V422" s="2191"/>
      <c r="W422" s="2191"/>
      <c r="X422" s="2191"/>
      <c r="Y422" s="2191"/>
      <c r="Z422" s="2191"/>
      <c r="AA422" s="2191"/>
      <c r="AB422" s="2191"/>
      <c r="AC422" s="2191"/>
      <c r="AD422" s="469"/>
      <c r="AE422" s="469"/>
      <c r="AF422" s="2302" t="s">
        <v>2280</v>
      </c>
      <c r="AG422" s="2302"/>
      <c r="AH422" s="2302"/>
      <c r="AI422" s="2302"/>
      <c r="AJ422" s="2302"/>
      <c r="AK422" s="2302"/>
      <c r="AL422" s="2302"/>
      <c r="AN422" s="530"/>
    </row>
    <row r="423" spans="1:42" s="483" customFormat="1" ht="12.75" customHeight="1">
      <c r="B423" s="469"/>
      <c r="C423" s="472"/>
      <c r="D423" s="469"/>
      <c r="E423" s="2191"/>
      <c r="F423" s="2191"/>
      <c r="G423" s="2191"/>
      <c r="H423" s="2191"/>
      <c r="I423" s="2191"/>
      <c r="J423" s="2191"/>
      <c r="K423" s="2191"/>
      <c r="L423" s="2191"/>
      <c r="M423" s="2191"/>
      <c r="N423" s="2191"/>
      <c r="O423" s="2191"/>
      <c r="P423" s="2191"/>
      <c r="Q423" s="2191"/>
      <c r="R423" s="2191"/>
      <c r="S423" s="2191"/>
      <c r="T423" s="2191"/>
      <c r="U423" s="2191"/>
      <c r="V423" s="2191"/>
      <c r="W423" s="2191"/>
      <c r="X423" s="2191"/>
      <c r="Y423" s="2191"/>
      <c r="Z423" s="2191"/>
      <c r="AA423" s="2191"/>
      <c r="AB423" s="2191"/>
      <c r="AC423" s="2191"/>
      <c r="AD423" s="469"/>
      <c r="AE423" s="469"/>
      <c r="AF423" s="469"/>
      <c r="AG423" s="469"/>
      <c r="AH423" s="469"/>
      <c r="AI423" s="469"/>
      <c r="AJ423" s="469"/>
      <c r="AK423" s="469"/>
      <c r="AL423" s="469"/>
      <c r="AN423" s="530"/>
    </row>
    <row r="424" spans="1:42" s="483" customFormat="1" ht="15" customHeight="1">
      <c r="B424" s="469"/>
      <c r="C424" s="472"/>
      <c r="D424" s="596"/>
      <c r="E424" s="2191"/>
      <c r="F424" s="2191"/>
      <c r="G424" s="2191"/>
      <c r="H424" s="2191"/>
      <c r="I424" s="2191"/>
      <c r="J424" s="2191"/>
      <c r="K424" s="2191"/>
      <c r="L424" s="2191"/>
      <c r="M424" s="2191"/>
      <c r="N424" s="2191"/>
      <c r="O424" s="2191"/>
      <c r="P424" s="2191"/>
      <c r="Q424" s="2191"/>
      <c r="R424" s="2191"/>
      <c r="S424" s="2191"/>
      <c r="T424" s="2191"/>
      <c r="U424" s="2191"/>
      <c r="V424" s="2191"/>
      <c r="W424" s="2191"/>
      <c r="X424" s="2191"/>
      <c r="Y424" s="2191"/>
      <c r="Z424" s="2191"/>
      <c r="AA424" s="2191"/>
      <c r="AB424" s="2191"/>
      <c r="AC424" s="2191"/>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191" t="s">
        <v>2313</v>
      </c>
      <c r="F426" s="2191"/>
      <c r="G426" s="2191"/>
      <c r="H426" s="2191"/>
      <c r="I426" s="2191"/>
      <c r="J426" s="2191"/>
      <c r="K426" s="2191"/>
      <c r="L426" s="2191"/>
      <c r="M426" s="2191"/>
      <c r="N426" s="2191"/>
      <c r="O426" s="2191"/>
      <c r="P426" s="2191"/>
      <c r="Q426" s="2191"/>
      <c r="R426" s="2191"/>
      <c r="S426" s="2191"/>
      <c r="T426" s="2191"/>
      <c r="U426" s="2191"/>
      <c r="V426" s="2191"/>
      <c r="W426" s="2191"/>
      <c r="X426" s="2191"/>
      <c r="Y426" s="2191"/>
      <c r="Z426" s="2191"/>
      <c r="AA426" s="2191"/>
      <c r="AB426" s="2191"/>
      <c r="AC426" s="2191"/>
      <c r="AD426" s="469"/>
      <c r="AE426" s="469"/>
      <c r="AF426" s="2302" t="s">
        <v>2150</v>
      </c>
      <c r="AG426" s="2302"/>
      <c r="AH426" s="2302"/>
      <c r="AI426" s="2302"/>
      <c r="AJ426" s="2302"/>
      <c r="AK426" s="2302"/>
      <c r="AL426" s="2302"/>
      <c r="AN426" s="530"/>
    </row>
    <row r="427" spans="1:42" s="483" customFormat="1" ht="12.75" customHeight="1">
      <c r="B427" s="469"/>
      <c r="C427" s="892"/>
      <c r="D427" s="469"/>
      <c r="E427" s="2191"/>
      <c r="F427" s="2191"/>
      <c r="G427" s="2191"/>
      <c r="H427" s="2191"/>
      <c r="I427" s="2191"/>
      <c r="J427" s="2191"/>
      <c r="K427" s="2191"/>
      <c r="L427" s="2191"/>
      <c r="M427" s="2191"/>
      <c r="N427" s="2191"/>
      <c r="O427" s="2191"/>
      <c r="P427" s="2191"/>
      <c r="Q427" s="2191"/>
      <c r="R427" s="2191"/>
      <c r="S427" s="2191"/>
      <c r="T427" s="2191"/>
      <c r="U427" s="2191"/>
      <c r="V427" s="2191"/>
      <c r="W427" s="2191"/>
      <c r="X427" s="2191"/>
      <c r="Y427" s="2191"/>
      <c r="Z427" s="2191"/>
      <c r="AA427" s="2191"/>
      <c r="AB427" s="2191"/>
      <c r="AC427" s="2191"/>
      <c r="AD427" s="469"/>
      <c r="AE427" s="2302"/>
      <c r="AF427" s="2302"/>
      <c r="AG427" s="2302"/>
      <c r="AH427" s="2302"/>
      <c r="AI427" s="2302"/>
      <c r="AJ427" s="2302"/>
      <c r="AK427" s="2302"/>
      <c r="AL427" s="527"/>
      <c r="AN427" s="530"/>
      <c r="AO427" s="483" t="s">
        <v>299</v>
      </c>
      <c r="AP427" s="606">
        <v>0</v>
      </c>
    </row>
    <row r="428" spans="1:42" s="483" customFormat="1" ht="12.75" customHeight="1">
      <c r="A428" s="612"/>
      <c r="B428" s="469"/>
      <c r="C428" s="469"/>
      <c r="D428" s="596"/>
      <c r="E428" s="2191"/>
      <c r="F428" s="2191"/>
      <c r="G428" s="2191"/>
      <c r="H428" s="2191"/>
      <c r="I428" s="2191"/>
      <c r="J428" s="2191"/>
      <c r="K428" s="2191"/>
      <c r="L428" s="2191"/>
      <c r="M428" s="2191"/>
      <c r="N428" s="2191"/>
      <c r="O428" s="2191"/>
      <c r="P428" s="2191"/>
      <c r="Q428" s="2191"/>
      <c r="R428" s="2191"/>
      <c r="S428" s="2191"/>
      <c r="T428" s="2191"/>
      <c r="U428" s="2191"/>
      <c r="V428" s="2191"/>
      <c r="W428" s="2191"/>
      <c r="X428" s="2191"/>
      <c r="Y428" s="2191"/>
      <c r="Z428" s="2191"/>
      <c r="AA428" s="2191"/>
      <c r="AB428" s="2191"/>
      <c r="AC428" s="2191"/>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2275</v>
      </c>
      <c r="E430" s="2191" t="s">
        <v>2314</v>
      </c>
      <c r="F430" s="2191"/>
      <c r="G430" s="2191"/>
      <c r="H430" s="2191"/>
      <c r="I430" s="2191"/>
      <c r="J430" s="2191"/>
      <c r="K430" s="2191"/>
      <c r="L430" s="2191"/>
      <c r="M430" s="2191"/>
      <c r="N430" s="2191"/>
      <c r="O430" s="2191"/>
      <c r="P430" s="2191"/>
      <c r="Q430" s="2191"/>
      <c r="R430" s="2191"/>
      <c r="S430" s="2191"/>
      <c r="T430" s="2191"/>
      <c r="U430" s="2191"/>
      <c r="V430" s="2191"/>
      <c r="W430" s="2191"/>
      <c r="X430" s="2191"/>
      <c r="Y430" s="2191"/>
      <c r="Z430" s="2191"/>
      <c r="AA430" s="2191"/>
      <c r="AB430" s="2191"/>
      <c r="AC430" s="2191"/>
      <c r="AD430" s="469"/>
      <c r="AE430" s="469"/>
      <c r="AF430" s="2302" t="s">
        <v>2280</v>
      </c>
      <c r="AG430" s="2302"/>
      <c r="AH430" s="2302"/>
      <c r="AI430" s="2302"/>
      <c r="AJ430" s="2302"/>
      <c r="AK430" s="2302"/>
      <c r="AL430" s="2302"/>
      <c r="AN430" s="530"/>
    </row>
    <row r="431" spans="1:42" s="483" customFormat="1" ht="12.75" customHeight="1">
      <c r="A431" s="603"/>
      <c r="B431" s="469"/>
      <c r="C431" s="908"/>
      <c r="D431" s="596"/>
      <c r="E431" s="2191"/>
      <c r="F431" s="2191"/>
      <c r="G431" s="2191"/>
      <c r="H431" s="2191"/>
      <c r="I431" s="2191"/>
      <c r="J431" s="2191"/>
      <c r="K431" s="2191"/>
      <c r="L431" s="2191"/>
      <c r="M431" s="2191"/>
      <c r="N431" s="2191"/>
      <c r="O431" s="2191"/>
      <c r="P431" s="2191"/>
      <c r="Q431" s="2191"/>
      <c r="R431" s="2191"/>
      <c r="S431" s="2191"/>
      <c r="T431" s="2191"/>
      <c r="U431" s="2191"/>
      <c r="V431" s="2191"/>
      <c r="W431" s="2191"/>
      <c r="X431" s="2191"/>
      <c r="Y431" s="2191"/>
      <c r="Z431" s="2191"/>
      <c r="AA431" s="2191"/>
      <c r="AB431" s="2191"/>
      <c r="AC431" s="2191"/>
      <c r="AD431" s="469"/>
      <c r="AE431" s="527"/>
      <c r="AF431" s="527"/>
      <c r="AG431" s="527"/>
      <c r="AH431" s="527"/>
      <c r="AI431" s="527"/>
      <c r="AJ431" s="527"/>
      <c r="AK431" s="527"/>
      <c r="AL431" s="527"/>
      <c r="AM431" s="529"/>
      <c r="AN431" s="530"/>
    </row>
    <row r="432" spans="1:42" s="483" customFormat="1" ht="12.75" customHeight="1">
      <c r="A432" s="603"/>
      <c r="B432" s="469"/>
      <c r="C432" s="908"/>
      <c r="D432" s="596"/>
      <c r="E432" s="2191"/>
      <c r="F432" s="2191"/>
      <c r="G432" s="2191"/>
      <c r="H432" s="2191"/>
      <c r="I432" s="2191"/>
      <c r="J432" s="2191"/>
      <c r="K432" s="2191"/>
      <c r="L432" s="2191"/>
      <c r="M432" s="2191"/>
      <c r="N432" s="2191"/>
      <c r="O432" s="2191"/>
      <c r="P432" s="2191"/>
      <c r="Q432" s="2191"/>
      <c r="R432" s="2191"/>
      <c r="S432" s="2191"/>
      <c r="T432" s="2191"/>
      <c r="U432" s="2191"/>
      <c r="V432" s="2191"/>
      <c r="W432" s="2191"/>
      <c r="X432" s="2191"/>
      <c r="Y432" s="2191"/>
      <c r="Z432" s="2191"/>
      <c r="AA432" s="2191"/>
      <c r="AB432" s="2191"/>
      <c r="AC432" s="2191"/>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2278</v>
      </c>
      <c r="E434" s="2191" t="s">
        <v>2315</v>
      </c>
      <c r="F434" s="2191"/>
      <c r="G434" s="2191"/>
      <c r="H434" s="2191"/>
      <c r="I434" s="2191"/>
      <c r="J434" s="2191"/>
      <c r="K434" s="2191"/>
      <c r="L434" s="2191"/>
      <c r="M434" s="2191"/>
      <c r="N434" s="2191"/>
      <c r="O434" s="2191"/>
      <c r="P434" s="2191"/>
      <c r="Q434" s="2191"/>
      <c r="R434" s="2191"/>
      <c r="S434" s="2191"/>
      <c r="T434" s="2191"/>
      <c r="U434" s="2191"/>
      <c r="V434" s="2191"/>
      <c r="W434" s="2191"/>
      <c r="X434" s="2191"/>
      <c r="Y434" s="2191"/>
      <c r="Z434" s="2191"/>
      <c r="AA434" s="2191"/>
      <c r="AB434" s="2191"/>
      <c r="AC434" s="2191"/>
      <c r="AD434" s="469"/>
      <c r="AE434" s="469"/>
      <c r="AF434" s="2302" t="s">
        <v>2150</v>
      </c>
      <c r="AG434" s="2302"/>
      <c r="AH434" s="2302"/>
      <c r="AI434" s="2302"/>
      <c r="AJ434" s="2302"/>
      <c r="AK434" s="2302"/>
      <c r="AL434" s="2302"/>
      <c r="AM434" s="529"/>
      <c r="AN434" s="530"/>
    </row>
    <row r="435" spans="1:42" s="483" customFormat="1" ht="12.75" customHeight="1">
      <c r="B435" s="469"/>
      <c r="C435" s="892"/>
      <c r="D435" s="596"/>
      <c r="E435" s="2191"/>
      <c r="F435" s="2191"/>
      <c r="G435" s="2191"/>
      <c r="H435" s="2191"/>
      <c r="I435" s="2191"/>
      <c r="J435" s="2191"/>
      <c r="K435" s="2191"/>
      <c r="L435" s="2191"/>
      <c r="M435" s="2191"/>
      <c r="N435" s="2191"/>
      <c r="O435" s="2191"/>
      <c r="P435" s="2191"/>
      <c r="Q435" s="2191"/>
      <c r="R435" s="2191"/>
      <c r="S435" s="2191"/>
      <c r="T435" s="2191"/>
      <c r="U435" s="2191"/>
      <c r="V435" s="2191"/>
      <c r="W435" s="2191"/>
      <c r="X435" s="2191"/>
      <c r="Y435" s="2191"/>
      <c r="Z435" s="2191"/>
      <c r="AA435" s="2191"/>
      <c r="AB435" s="2191"/>
      <c r="AC435" s="2191"/>
      <c r="AD435" s="469"/>
      <c r="AE435" s="469"/>
      <c r="AF435" s="469"/>
      <c r="AG435" s="469"/>
      <c r="AH435" s="469"/>
      <c r="AI435" s="469"/>
      <c r="AJ435" s="469"/>
      <c r="AK435" s="469"/>
      <c r="AL435" s="469"/>
      <c r="AM435" s="529"/>
      <c r="AN435" s="530"/>
    </row>
    <row r="436" spans="1:42" s="483" customFormat="1" ht="12.75" customHeight="1">
      <c r="B436" s="469"/>
      <c r="C436" s="892"/>
      <c r="D436" s="596"/>
      <c r="E436" s="2191"/>
      <c r="F436" s="2191"/>
      <c r="G436" s="2191"/>
      <c r="H436" s="2191"/>
      <c r="I436" s="2191"/>
      <c r="J436" s="2191"/>
      <c r="K436" s="2191"/>
      <c r="L436" s="2191"/>
      <c r="M436" s="2191"/>
      <c r="N436" s="2191"/>
      <c r="O436" s="2191"/>
      <c r="P436" s="2191"/>
      <c r="Q436" s="2191"/>
      <c r="R436" s="2191"/>
      <c r="S436" s="2191"/>
      <c r="T436" s="2191"/>
      <c r="U436" s="2191"/>
      <c r="V436" s="2191"/>
      <c r="W436" s="2191"/>
      <c r="X436" s="2191"/>
      <c r="Y436" s="2191"/>
      <c r="Z436" s="2191"/>
      <c r="AA436" s="2191"/>
      <c r="AB436" s="2191"/>
      <c r="AC436" s="2191"/>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2300</v>
      </c>
      <c r="E438" s="2191" t="s">
        <v>2316</v>
      </c>
      <c r="F438" s="2191"/>
      <c r="G438" s="2191"/>
      <c r="H438" s="2191"/>
      <c r="I438" s="2191"/>
      <c r="J438" s="2191"/>
      <c r="K438" s="2191"/>
      <c r="L438" s="2191"/>
      <c r="M438" s="2191"/>
      <c r="N438" s="2191"/>
      <c r="O438" s="2191"/>
      <c r="P438" s="2191"/>
      <c r="Q438" s="2191"/>
      <c r="R438" s="2191"/>
      <c r="S438" s="2191"/>
      <c r="T438" s="2191"/>
      <c r="U438" s="2191"/>
      <c r="V438" s="2191"/>
      <c r="W438" s="2191"/>
      <c r="X438" s="2191"/>
      <c r="Y438" s="2191"/>
      <c r="Z438" s="2191"/>
      <c r="AA438" s="2191"/>
      <c r="AB438" s="2191"/>
      <c r="AC438" s="2191"/>
      <c r="AD438" s="469"/>
      <c r="AE438" s="469"/>
      <c r="AF438" s="2302" t="s">
        <v>2299</v>
      </c>
      <c r="AG438" s="2302"/>
      <c r="AH438" s="2302"/>
      <c r="AI438" s="2302"/>
      <c r="AJ438" s="2302"/>
      <c r="AK438" s="2302"/>
      <c r="AL438" s="2302"/>
      <c r="AM438" s="529"/>
      <c r="AN438" s="530"/>
    </row>
    <row r="439" spans="1:42" s="483" customFormat="1" ht="12.75" customHeight="1">
      <c r="A439" s="612"/>
      <c r="B439" s="469"/>
      <c r="C439" s="892"/>
      <c r="D439" s="596"/>
      <c r="E439" s="2191"/>
      <c r="F439" s="2191"/>
      <c r="G439" s="2191"/>
      <c r="H439" s="2191"/>
      <c r="I439" s="2191"/>
      <c r="J439" s="2191"/>
      <c r="K439" s="2191"/>
      <c r="L439" s="2191"/>
      <c r="M439" s="2191"/>
      <c r="N439" s="2191"/>
      <c r="O439" s="2191"/>
      <c r="P439" s="2191"/>
      <c r="Q439" s="2191"/>
      <c r="R439" s="2191"/>
      <c r="S439" s="2191"/>
      <c r="T439" s="2191"/>
      <c r="U439" s="2191"/>
      <c r="V439" s="2191"/>
      <c r="W439" s="2191"/>
      <c r="X439" s="2191"/>
      <c r="Y439" s="2191"/>
      <c r="Z439" s="2191"/>
      <c r="AA439" s="2191"/>
      <c r="AB439" s="2191"/>
      <c r="AC439" s="2191"/>
      <c r="AD439" s="469"/>
      <c r="AE439" s="469"/>
      <c r="AF439" s="527"/>
      <c r="AG439" s="527"/>
      <c r="AH439" s="527"/>
      <c r="AI439" s="527"/>
      <c r="AJ439" s="527"/>
      <c r="AK439" s="527"/>
      <c r="AL439" s="527"/>
      <c r="AM439" s="529"/>
      <c r="AN439" s="530"/>
    </row>
    <row r="440" spans="1:42" s="483" customFormat="1" ht="12.75" customHeight="1">
      <c r="A440" s="612"/>
      <c r="B440" s="469"/>
      <c r="C440" s="892"/>
      <c r="D440" s="596"/>
      <c r="E440" s="2191"/>
      <c r="F440" s="2191"/>
      <c r="G440" s="2191"/>
      <c r="H440" s="2191"/>
      <c r="I440" s="2191"/>
      <c r="J440" s="2191"/>
      <c r="K440" s="2191"/>
      <c r="L440" s="2191"/>
      <c r="M440" s="2191"/>
      <c r="N440" s="2191"/>
      <c r="O440" s="2191"/>
      <c r="P440" s="2191"/>
      <c r="Q440" s="2191"/>
      <c r="R440" s="2191"/>
      <c r="S440" s="2191"/>
      <c r="T440" s="2191"/>
      <c r="U440" s="2191"/>
      <c r="V440" s="2191"/>
      <c r="W440" s="2191"/>
      <c r="X440" s="2191"/>
      <c r="Y440" s="2191"/>
      <c r="Z440" s="2191"/>
      <c r="AA440" s="2191"/>
      <c r="AB440" s="2191"/>
      <c r="AC440" s="2191"/>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2302</v>
      </c>
      <c r="E442" s="2191" t="s">
        <v>2317</v>
      </c>
      <c r="F442" s="2191"/>
      <c r="G442" s="2191"/>
      <c r="H442" s="2191"/>
      <c r="I442" s="2191"/>
      <c r="J442" s="2191"/>
      <c r="K442" s="2191"/>
      <c r="L442" s="2191"/>
      <c r="M442" s="2191"/>
      <c r="N442" s="2191"/>
      <c r="O442" s="2191"/>
      <c r="P442" s="2191"/>
      <c r="Q442" s="2191"/>
      <c r="R442" s="2191"/>
      <c r="S442" s="2191"/>
      <c r="T442" s="2191"/>
      <c r="U442" s="2191"/>
      <c r="V442" s="2191"/>
      <c r="W442" s="2191"/>
      <c r="X442" s="2191"/>
      <c r="Y442" s="2191"/>
      <c r="Z442" s="2191"/>
      <c r="AA442" s="2191"/>
      <c r="AB442" s="2191"/>
      <c r="AC442" s="2191"/>
      <c r="AD442" s="469"/>
      <c r="AE442" s="469"/>
      <c r="AF442" s="2302" t="s">
        <v>2318</v>
      </c>
      <c r="AG442" s="2302"/>
      <c r="AH442" s="2302"/>
      <c r="AI442" s="2302"/>
      <c r="AJ442" s="2302"/>
      <c r="AK442" s="2302"/>
      <c r="AL442" s="2302"/>
      <c r="AM442" s="529"/>
      <c r="AN442" s="530"/>
      <c r="AO442" s="544" t="s">
        <v>21</v>
      </c>
      <c r="AP442" s="483">
        <v>3</v>
      </c>
    </row>
    <row r="443" spans="1:42" s="483" customFormat="1" ht="12.75" customHeight="1">
      <c r="A443" s="612"/>
      <c r="B443" s="469"/>
      <c r="C443" s="892"/>
      <c r="D443" s="596"/>
      <c r="E443" s="2191"/>
      <c r="F443" s="2191"/>
      <c r="G443" s="2191"/>
      <c r="H443" s="2191"/>
      <c r="I443" s="2191"/>
      <c r="J443" s="2191"/>
      <c r="K443" s="2191"/>
      <c r="L443" s="2191"/>
      <c r="M443" s="2191"/>
      <c r="N443" s="2191"/>
      <c r="O443" s="2191"/>
      <c r="P443" s="2191"/>
      <c r="Q443" s="2191"/>
      <c r="R443" s="2191"/>
      <c r="S443" s="2191"/>
      <c r="T443" s="2191"/>
      <c r="U443" s="2191"/>
      <c r="V443" s="2191"/>
      <c r="W443" s="2191"/>
      <c r="X443" s="2191"/>
      <c r="Y443" s="2191"/>
      <c r="Z443" s="2191"/>
      <c r="AA443" s="2191"/>
      <c r="AB443" s="2191"/>
      <c r="AC443" s="2191"/>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191"/>
      <c r="F444" s="2191"/>
      <c r="G444" s="2191"/>
      <c r="H444" s="2191"/>
      <c r="I444" s="2191"/>
      <c r="J444" s="2191"/>
      <c r="K444" s="2191"/>
      <c r="L444" s="2191"/>
      <c r="M444" s="2191"/>
      <c r="N444" s="2191"/>
      <c r="O444" s="2191"/>
      <c r="P444" s="2191"/>
      <c r="Q444" s="2191"/>
      <c r="R444" s="2191"/>
      <c r="S444" s="2191"/>
      <c r="T444" s="2191"/>
      <c r="U444" s="2191"/>
      <c r="V444" s="2191"/>
      <c r="W444" s="2191"/>
      <c r="X444" s="2191"/>
      <c r="Y444" s="2191"/>
      <c r="Z444" s="2191"/>
      <c r="AA444" s="2191"/>
      <c r="AB444" s="2191"/>
      <c r="AC444" s="2191"/>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2286</v>
      </c>
      <c r="E446" s="897"/>
      <c r="F446" s="897"/>
      <c r="G446" s="897"/>
      <c r="H446" s="2214" t="s">
        <v>299</v>
      </c>
      <c r="I446" s="2214"/>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2319</v>
      </c>
      <c r="AJ448" s="2198">
        <f>VLOOKUP($H$446,$AO$394:$AP$401,2,FALSE)</f>
        <v>0</v>
      </c>
      <c r="AK448" s="2200"/>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2320</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191" t="s">
        <v>2321</v>
      </c>
      <c r="F452" s="2191"/>
      <c r="G452" s="2191"/>
      <c r="H452" s="2191"/>
      <c r="I452" s="2191"/>
      <c r="J452" s="2191"/>
      <c r="K452" s="2191"/>
      <c r="L452" s="2191"/>
      <c r="M452" s="2191"/>
      <c r="N452" s="2191"/>
      <c r="O452" s="2191"/>
      <c r="P452" s="2191"/>
      <c r="Q452" s="2191"/>
      <c r="R452" s="2191"/>
      <c r="S452" s="2191"/>
      <c r="T452" s="2191"/>
      <c r="U452" s="2191"/>
      <c r="V452" s="2191"/>
      <c r="W452" s="2191"/>
      <c r="X452" s="2191"/>
      <c r="Y452" s="2191"/>
      <c r="Z452" s="2191"/>
      <c r="AA452" s="2191"/>
      <c r="AB452" s="2191"/>
      <c r="AC452" s="469"/>
      <c r="AD452" s="469"/>
      <c r="AE452" s="469"/>
      <c r="AF452" s="2302" t="s">
        <v>2150</v>
      </c>
      <c r="AG452" s="2302"/>
      <c r="AH452" s="2302"/>
      <c r="AI452" s="2302"/>
      <c r="AJ452" s="2302"/>
      <c r="AK452" s="2302"/>
      <c r="AL452" s="2302"/>
      <c r="AN452" s="530"/>
    </row>
    <row r="453" spans="1:42" s="483" customFormat="1" ht="12.75" customHeight="1">
      <c r="B453" s="469"/>
      <c r="C453" s="901"/>
      <c r="D453" s="596"/>
      <c r="E453" s="2191"/>
      <c r="F453" s="2191"/>
      <c r="G453" s="2191"/>
      <c r="H453" s="2191"/>
      <c r="I453" s="2191"/>
      <c r="J453" s="2191"/>
      <c r="K453" s="2191"/>
      <c r="L453" s="2191"/>
      <c r="M453" s="2191"/>
      <c r="N453" s="2191"/>
      <c r="O453" s="2191"/>
      <c r="P453" s="2191"/>
      <c r="Q453" s="2191"/>
      <c r="R453" s="2191"/>
      <c r="S453" s="2191"/>
      <c r="T453" s="2191"/>
      <c r="U453" s="2191"/>
      <c r="V453" s="2191"/>
      <c r="W453" s="2191"/>
      <c r="X453" s="2191"/>
      <c r="Y453" s="2191"/>
      <c r="Z453" s="2191"/>
      <c r="AA453" s="2191"/>
      <c r="AB453" s="2191"/>
      <c r="AC453" s="469"/>
      <c r="AD453" s="469"/>
      <c r="AE453" s="549"/>
      <c r="AF453" s="469"/>
      <c r="AG453" s="469"/>
      <c r="AH453" s="469"/>
      <c r="AI453" s="469"/>
      <c r="AJ453" s="469"/>
      <c r="AK453" s="469"/>
      <c r="AL453" s="469"/>
      <c r="AN453" s="530"/>
      <c r="AO453" s="2205"/>
      <c r="AP453" s="2205"/>
    </row>
    <row r="454" spans="1:42" s="483" customFormat="1" ht="12.75" customHeight="1">
      <c r="B454" s="469"/>
      <c r="C454" s="901"/>
      <c r="D454" s="596"/>
      <c r="E454" s="2191"/>
      <c r="F454" s="2191"/>
      <c r="G454" s="2191"/>
      <c r="H454" s="2191"/>
      <c r="I454" s="2191"/>
      <c r="J454" s="2191"/>
      <c r="K454" s="2191"/>
      <c r="L454" s="2191"/>
      <c r="M454" s="2191"/>
      <c r="N454" s="2191"/>
      <c r="O454" s="2191"/>
      <c r="P454" s="2191"/>
      <c r="Q454" s="2191"/>
      <c r="R454" s="2191"/>
      <c r="S454" s="2191"/>
      <c r="T454" s="2191"/>
      <c r="U454" s="2191"/>
      <c r="V454" s="2191"/>
      <c r="W454" s="2191"/>
      <c r="X454" s="2191"/>
      <c r="Y454" s="2191"/>
      <c r="Z454" s="2191"/>
      <c r="AA454" s="2191"/>
      <c r="AB454" s="2191"/>
      <c r="AC454" s="469"/>
      <c r="AD454" s="469"/>
      <c r="AE454" s="549"/>
      <c r="AF454" s="549"/>
      <c r="AG454" s="549"/>
      <c r="AH454" s="549"/>
      <c r="AI454" s="549"/>
      <c r="AJ454" s="549"/>
      <c r="AK454" s="549"/>
      <c r="AL454" s="549"/>
      <c r="AN454" s="530"/>
    </row>
    <row r="455" spans="1:42" s="483" customFormat="1" ht="12.75" customHeight="1">
      <c r="B455" s="469"/>
      <c r="C455" s="901"/>
      <c r="D455" s="596"/>
      <c r="E455" s="2191"/>
      <c r="F455" s="2191"/>
      <c r="G455" s="2191"/>
      <c r="H455" s="2191"/>
      <c r="I455" s="2191"/>
      <c r="J455" s="2191"/>
      <c r="K455" s="2191"/>
      <c r="L455" s="2191"/>
      <c r="M455" s="2191"/>
      <c r="N455" s="2191"/>
      <c r="O455" s="2191"/>
      <c r="P455" s="2191"/>
      <c r="Q455" s="2191"/>
      <c r="R455" s="2191"/>
      <c r="S455" s="2191"/>
      <c r="T455" s="2191"/>
      <c r="U455" s="2191"/>
      <c r="V455" s="2191"/>
      <c r="W455" s="2191"/>
      <c r="X455" s="2191"/>
      <c r="Y455" s="2191"/>
      <c r="Z455" s="2191"/>
      <c r="AA455" s="2191"/>
      <c r="AB455" s="2191"/>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191" t="s">
        <v>2322</v>
      </c>
      <c r="F457" s="2191"/>
      <c r="G457" s="2191"/>
      <c r="H457" s="2191"/>
      <c r="I457" s="2191"/>
      <c r="J457" s="2191"/>
      <c r="K457" s="2191"/>
      <c r="L457" s="2191"/>
      <c r="M457" s="2191"/>
      <c r="N457" s="2191"/>
      <c r="O457" s="2191"/>
      <c r="P457" s="2191"/>
      <c r="Q457" s="2191"/>
      <c r="R457" s="2191"/>
      <c r="S457" s="2191"/>
      <c r="T457" s="2191"/>
      <c r="U457" s="2191"/>
      <c r="V457" s="2191"/>
      <c r="W457" s="2191"/>
      <c r="X457" s="2191"/>
      <c r="Y457" s="2191"/>
      <c r="Z457" s="2191"/>
      <c r="AA457" s="2191"/>
      <c r="AB457" s="2191"/>
      <c r="AC457" s="469"/>
      <c r="AD457" s="469"/>
      <c r="AE457" s="469"/>
      <c r="AF457" s="2302" t="s">
        <v>2299</v>
      </c>
      <c r="AG457" s="2302"/>
      <c r="AH457" s="2302"/>
      <c r="AI457" s="2302"/>
      <c r="AJ457" s="2302"/>
      <c r="AK457" s="2302"/>
      <c r="AL457" s="2302"/>
      <c r="AN457" s="530"/>
      <c r="AO457" s="544" t="s">
        <v>26</v>
      </c>
      <c r="AP457" s="483">
        <v>1</v>
      </c>
    </row>
    <row r="458" spans="1:42" s="483" customFormat="1" ht="12" customHeight="1">
      <c r="B458" s="469"/>
      <c r="C458" s="892"/>
      <c r="D458" s="469"/>
      <c r="E458" s="2191"/>
      <c r="F458" s="2191"/>
      <c r="G458" s="2191"/>
      <c r="H458" s="2191"/>
      <c r="I458" s="2191"/>
      <c r="J458" s="2191"/>
      <c r="K458" s="2191"/>
      <c r="L458" s="2191"/>
      <c r="M458" s="2191"/>
      <c r="N458" s="2191"/>
      <c r="O458" s="2191"/>
      <c r="P458" s="2191"/>
      <c r="Q458" s="2191"/>
      <c r="R458" s="2191"/>
      <c r="S458" s="2191"/>
      <c r="T458" s="2191"/>
      <c r="U458" s="2191"/>
      <c r="V458" s="2191"/>
      <c r="W458" s="2191"/>
      <c r="X458" s="2191"/>
      <c r="Y458" s="2191"/>
      <c r="Z458" s="2191"/>
      <c r="AA458" s="2191"/>
      <c r="AB458" s="2191"/>
      <c r="AC458" s="469"/>
      <c r="AD458" s="469"/>
      <c r="AE458" s="549"/>
      <c r="AF458" s="469"/>
      <c r="AG458" s="469"/>
      <c r="AH458" s="469"/>
      <c r="AI458" s="469"/>
      <c r="AJ458" s="469"/>
      <c r="AK458" s="469"/>
      <c r="AL458" s="469"/>
      <c r="AN458" s="530"/>
    </row>
    <row r="459" spans="1:42" s="483" customFormat="1" ht="12" customHeight="1">
      <c r="B459" s="469"/>
      <c r="C459" s="892"/>
      <c r="D459" s="469"/>
      <c r="E459" s="2191"/>
      <c r="F459" s="2191"/>
      <c r="G459" s="2191"/>
      <c r="H459" s="2191"/>
      <c r="I459" s="2191"/>
      <c r="J459" s="2191"/>
      <c r="K459" s="2191"/>
      <c r="L459" s="2191"/>
      <c r="M459" s="2191"/>
      <c r="N459" s="2191"/>
      <c r="O459" s="2191"/>
      <c r="P459" s="2191"/>
      <c r="Q459" s="2191"/>
      <c r="R459" s="2191"/>
      <c r="S459" s="2191"/>
      <c r="T459" s="2191"/>
      <c r="U459" s="2191"/>
      <c r="V459" s="2191"/>
      <c r="W459" s="2191"/>
      <c r="X459" s="2191"/>
      <c r="Y459" s="2191"/>
      <c r="Z459" s="2191"/>
      <c r="AA459" s="2191"/>
      <c r="AB459" s="2191"/>
      <c r="AC459" s="469"/>
      <c r="AD459" s="469"/>
      <c r="AE459" s="549"/>
      <c r="AF459" s="469"/>
      <c r="AG459" s="469"/>
      <c r="AH459" s="469"/>
      <c r="AI459" s="469"/>
      <c r="AJ459" s="469"/>
      <c r="AK459" s="469"/>
      <c r="AL459" s="469"/>
      <c r="AN459" s="530"/>
    </row>
    <row r="460" spans="1:42" s="503" customFormat="1" ht="12" customHeight="1">
      <c r="A460" s="483"/>
      <c r="B460" s="469"/>
      <c r="C460" s="892"/>
      <c r="D460" s="469"/>
      <c r="E460" s="2191"/>
      <c r="F460" s="2191"/>
      <c r="G460" s="2191"/>
      <c r="H460" s="2191"/>
      <c r="I460" s="2191"/>
      <c r="J460" s="2191"/>
      <c r="K460" s="2191"/>
      <c r="L460" s="2191"/>
      <c r="M460" s="2191"/>
      <c r="N460" s="2191"/>
      <c r="O460" s="2191"/>
      <c r="P460" s="2191"/>
      <c r="Q460" s="2191"/>
      <c r="R460" s="2191"/>
      <c r="S460" s="2191"/>
      <c r="T460" s="2191"/>
      <c r="U460" s="2191"/>
      <c r="V460" s="2191"/>
      <c r="W460" s="2191"/>
      <c r="X460" s="2191"/>
      <c r="Y460" s="2191"/>
      <c r="Z460" s="2191"/>
      <c r="AA460" s="2191"/>
      <c r="AB460" s="2191"/>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191" t="s">
        <v>2323</v>
      </c>
      <c r="F462" s="2191"/>
      <c r="G462" s="2191"/>
      <c r="H462" s="2191"/>
      <c r="I462" s="2191"/>
      <c r="J462" s="2191"/>
      <c r="K462" s="2191"/>
      <c r="L462" s="2191"/>
      <c r="M462" s="2191"/>
      <c r="N462" s="2191"/>
      <c r="O462" s="2191"/>
      <c r="P462" s="2191"/>
      <c r="Q462" s="2191"/>
      <c r="R462" s="2191"/>
      <c r="S462" s="2191"/>
      <c r="T462" s="2191"/>
      <c r="U462" s="2191"/>
      <c r="V462" s="2191"/>
      <c r="W462" s="2191"/>
      <c r="X462" s="2191"/>
      <c r="Y462" s="2191"/>
      <c r="Z462" s="2191"/>
      <c r="AA462" s="2191"/>
      <c r="AB462" s="2191"/>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191"/>
      <c r="F463" s="2191"/>
      <c r="G463" s="2191"/>
      <c r="H463" s="2191"/>
      <c r="I463" s="2191"/>
      <c r="J463" s="2191"/>
      <c r="K463" s="2191"/>
      <c r="L463" s="2191"/>
      <c r="M463" s="2191"/>
      <c r="N463" s="2191"/>
      <c r="O463" s="2191"/>
      <c r="P463" s="2191"/>
      <c r="Q463" s="2191"/>
      <c r="R463" s="2191"/>
      <c r="S463" s="2191"/>
      <c r="T463" s="2191"/>
      <c r="U463" s="2191"/>
      <c r="V463" s="2191"/>
      <c r="W463" s="2191"/>
      <c r="X463" s="2191"/>
      <c r="Y463" s="2191"/>
      <c r="Z463" s="2191"/>
      <c r="AA463" s="2191"/>
      <c r="AB463" s="2191"/>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191"/>
      <c r="F464" s="2191"/>
      <c r="G464" s="2191"/>
      <c r="H464" s="2191"/>
      <c r="I464" s="2191"/>
      <c r="J464" s="2191"/>
      <c r="K464" s="2191"/>
      <c r="L464" s="2191"/>
      <c r="M464" s="2191"/>
      <c r="N464" s="2191"/>
      <c r="O464" s="2191"/>
      <c r="P464" s="2191"/>
      <c r="Q464" s="2191"/>
      <c r="R464" s="2191"/>
      <c r="S464" s="2191"/>
      <c r="T464" s="2191"/>
      <c r="U464" s="2191"/>
      <c r="V464" s="2191"/>
      <c r="W464" s="2191"/>
      <c r="X464" s="2191"/>
      <c r="Y464" s="2191"/>
      <c r="Z464" s="2191"/>
      <c r="AA464" s="2191"/>
      <c r="AB464" s="2191"/>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2286</v>
      </c>
      <c r="E466" s="897"/>
      <c r="F466" s="897"/>
      <c r="G466" s="897"/>
      <c r="H466" s="2214" t="s">
        <v>299</v>
      </c>
      <c r="I466" s="2214"/>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2324</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2295</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2325</v>
      </c>
      <c r="AJ468" s="2198">
        <f>VLOOKUP($H$466,$AO$413:$AP$415,2,FALSE)</f>
        <v>0</v>
      </c>
      <c r="AK468" s="2200"/>
      <c r="AL468" s="528"/>
      <c r="AM468" s="483"/>
      <c r="AN468" s="617"/>
      <c r="AP468" s="503" t="s">
        <v>2303</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2326</v>
      </c>
    </row>
    <row r="470" spans="1:43" s="503" customFormat="1" ht="12.75" customHeight="1">
      <c r="A470" s="483"/>
      <c r="B470" s="469"/>
      <c r="C470" s="472" t="s">
        <v>2327</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2328</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2329</v>
      </c>
    </row>
    <row r="472" spans="1:43" s="503" customFormat="1" ht="12.75" customHeight="1">
      <c r="A472" s="570"/>
      <c r="B472" s="469"/>
      <c r="C472" s="892"/>
      <c r="D472" s="596" t="s">
        <v>21</v>
      </c>
      <c r="E472" s="2308" t="s">
        <v>2330</v>
      </c>
      <c r="F472" s="2308"/>
      <c r="G472" s="2308"/>
      <c r="H472" s="2308"/>
      <c r="I472" s="2308"/>
      <c r="J472" s="2308"/>
      <c r="K472" s="2308"/>
      <c r="L472" s="2308"/>
      <c r="M472" s="2308"/>
      <c r="N472" s="2308"/>
      <c r="O472" s="2308"/>
      <c r="P472" s="2308"/>
      <c r="Q472" s="2308"/>
      <c r="R472" s="2308"/>
      <c r="S472" s="2308"/>
      <c r="T472" s="2308"/>
      <c r="U472" s="2308"/>
      <c r="V472" s="2308"/>
      <c r="W472" s="2308"/>
      <c r="X472" s="2308"/>
      <c r="Y472" s="2308"/>
      <c r="Z472" s="2308"/>
      <c r="AA472" s="2308"/>
      <c r="AB472" s="2308"/>
      <c r="AC472" s="469"/>
      <c r="AD472" s="469"/>
      <c r="AE472" s="469"/>
      <c r="AF472" s="2302" t="s">
        <v>2150</v>
      </c>
      <c r="AG472" s="2302"/>
      <c r="AH472" s="2302"/>
      <c r="AI472" s="2302"/>
      <c r="AJ472" s="2302"/>
      <c r="AK472" s="2302"/>
      <c r="AL472" s="2302"/>
      <c r="AM472" s="483"/>
      <c r="AN472" s="617"/>
      <c r="AP472" s="503" t="s">
        <v>2331</v>
      </c>
    </row>
    <row r="473" spans="1:43" s="503" customFormat="1" ht="11.85" customHeight="1">
      <c r="A473" s="483"/>
      <c r="B473" s="469"/>
      <c r="C473" s="894"/>
      <c r="D473" s="596"/>
      <c r="E473" s="2308"/>
      <c r="F473" s="2308"/>
      <c r="G473" s="2308"/>
      <c r="H473" s="2308"/>
      <c r="I473" s="2308"/>
      <c r="J473" s="2308"/>
      <c r="K473" s="2308"/>
      <c r="L473" s="2308"/>
      <c r="M473" s="2308"/>
      <c r="N473" s="2308"/>
      <c r="O473" s="2308"/>
      <c r="P473" s="2308"/>
      <c r="Q473" s="2308"/>
      <c r="R473" s="2308"/>
      <c r="S473" s="2308"/>
      <c r="T473" s="2308"/>
      <c r="U473" s="2308"/>
      <c r="V473" s="2308"/>
      <c r="W473" s="2308"/>
      <c r="X473" s="2308"/>
      <c r="Y473" s="2308"/>
      <c r="Z473" s="2308"/>
      <c r="AA473" s="2308"/>
      <c r="AB473" s="2308"/>
      <c r="AC473" s="469"/>
      <c r="AD473" s="469"/>
      <c r="AE473" s="469"/>
      <c r="AF473" s="469"/>
      <c r="AG473" s="469"/>
      <c r="AH473" s="469"/>
      <c r="AI473" s="469"/>
      <c r="AJ473" s="469"/>
      <c r="AK473" s="469"/>
      <c r="AL473" s="469"/>
      <c r="AM473" s="483"/>
      <c r="AN473" s="617"/>
      <c r="AP473" s="503" t="s">
        <v>2332</v>
      </c>
    </row>
    <row r="474" spans="1:43" s="503" customFormat="1" ht="13.9" customHeight="1">
      <c r="A474" s="483"/>
      <c r="B474" s="543"/>
      <c r="C474" s="892"/>
      <c r="D474" s="596"/>
      <c r="E474" s="2308"/>
      <c r="F474" s="2308"/>
      <c r="G474" s="2308"/>
      <c r="H474" s="2308"/>
      <c r="I474" s="2308"/>
      <c r="J474" s="2308"/>
      <c r="K474" s="2308"/>
      <c r="L474" s="2308"/>
      <c r="M474" s="2308"/>
      <c r="N474" s="2308"/>
      <c r="O474" s="2308"/>
      <c r="P474" s="2308"/>
      <c r="Q474" s="2308"/>
      <c r="R474" s="2308"/>
      <c r="S474" s="2308"/>
      <c r="T474" s="2308"/>
      <c r="U474" s="2308"/>
      <c r="V474" s="2308"/>
      <c r="W474" s="2308"/>
      <c r="X474" s="2308"/>
      <c r="Y474" s="2308"/>
      <c r="Z474" s="2308"/>
      <c r="AA474" s="2308"/>
      <c r="AB474" s="2308"/>
      <c r="AC474" s="469"/>
      <c r="AD474" s="469"/>
      <c r="AE474" s="549"/>
      <c r="AF474" s="469"/>
      <c r="AG474" s="469"/>
      <c r="AH474" s="469"/>
      <c r="AI474" s="469"/>
      <c r="AJ474" s="469"/>
      <c r="AK474" s="469"/>
      <c r="AL474" s="469"/>
      <c r="AM474" s="483"/>
      <c r="AN474" s="617"/>
      <c r="AP474" s="503" t="s">
        <v>2333</v>
      </c>
    </row>
    <row r="475" spans="1:43" s="503" customFormat="1" ht="13.9"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2334</v>
      </c>
    </row>
    <row r="476" spans="1:43" s="503" customFormat="1" ht="13.9" customHeight="1">
      <c r="A476" s="483"/>
      <c r="B476" s="469"/>
      <c r="C476" s="892"/>
      <c r="D476" s="596" t="s">
        <v>26</v>
      </c>
      <c r="E476" s="2309" t="s">
        <v>2335</v>
      </c>
      <c r="F476" s="2309"/>
      <c r="G476" s="2309"/>
      <c r="H476" s="2309"/>
      <c r="I476" s="2309"/>
      <c r="J476" s="2309"/>
      <c r="K476" s="2309"/>
      <c r="L476" s="2309"/>
      <c r="M476" s="2309"/>
      <c r="N476" s="2309"/>
      <c r="O476" s="2309"/>
      <c r="P476" s="2309"/>
      <c r="Q476" s="2309"/>
      <c r="R476" s="2309"/>
      <c r="S476" s="2309"/>
      <c r="T476" s="2309"/>
      <c r="U476" s="2309"/>
      <c r="V476" s="2309"/>
      <c r="W476" s="2309"/>
      <c r="X476" s="2309"/>
      <c r="Y476" s="2309"/>
      <c r="Z476" s="2309"/>
      <c r="AA476" s="2309"/>
      <c r="AB476" s="2309"/>
      <c r="AC476" s="469"/>
      <c r="AD476" s="469"/>
      <c r="AE476" s="469"/>
      <c r="AF476" s="2302" t="s">
        <v>2299</v>
      </c>
      <c r="AG476" s="2302"/>
      <c r="AH476" s="2302"/>
      <c r="AI476" s="2302"/>
      <c r="AJ476" s="2302"/>
      <c r="AK476" s="2302"/>
      <c r="AL476" s="2302"/>
      <c r="AM476" s="483"/>
      <c r="AN476" s="618"/>
    </row>
    <row r="477" spans="1:43" s="503" customFormat="1" ht="12.75" customHeight="1">
      <c r="A477" s="483"/>
      <c r="B477" s="469"/>
      <c r="C477" s="894"/>
      <c r="D477" s="469"/>
      <c r="E477" s="2309"/>
      <c r="F477" s="2309"/>
      <c r="G477" s="2309"/>
      <c r="H477" s="2309"/>
      <c r="I477" s="2309"/>
      <c r="J477" s="2309"/>
      <c r="K477" s="2309"/>
      <c r="L477" s="2309"/>
      <c r="M477" s="2309"/>
      <c r="N477" s="2309"/>
      <c r="O477" s="2309"/>
      <c r="P477" s="2309"/>
      <c r="Q477" s="2309"/>
      <c r="R477" s="2309"/>
      <c r="S477" s="2309"/>
      <c r="T477" s="2309"/>
      <c r="U477" s="2309"/>
      <c r="V477" s="2309"/>
      <c r="W477" s="2309"/>
      <c r="X477" s="2309"/>
      <c r="Y477" s="2309"/>
      <c r="Z477" s="2309"/>
      <c r="AA477" s="2309"/>
      <c r="AB477" s="2309"/>
      <c r="AC477" s="469"/>
      <c r="AD477" s="469"/>
      <c r="AE477" s="469"/>
      <c r="AF477" s="469"/>
      <c r="AG477" s="469"/>
      <c r="AH477" s="469"/>
      <c r="AI477" s="469"/>
      <c r="AJ477" s="469"/>
      <c r="AK477" s="469"/>
      <c r="AL477" s="469"/>
      <c r="AM477" s="483"/>
      <c r="AN477" s="617"/>
      <c r="AP477" s="483" t="s">
        <v>299</v>
      </c>
      <c r="AQ477" s="606">
        <v>0</v>
      </c>
    </row>
    <row r="478" spans="1:43" s="503" customFormat="1" ht="13.9" customHeight="1">
      <c r="A478" s="483"/>
      <c r="B478" s="469"/>
      <c r="C478" s="894"/>
      <c r="D478" s="469"/>
      <c r="E478" s="2309"/>
      <c r="F478" s="2309"/>
      <c r="G478" s="2309"/>
      <c r="H478" s="2309"/>
      <c r="I478" s="2309"/>
      <c r="J478" s="2309"/>
      <c r="K478" s="2309"/>
      <c r="L478" s="2309"/>
      <c r="M478" s="2309"/>
      <c r="N478" s="2309"/>
      <c r="O478" s="2309"/>
      <c r="P478" s="2309"/>
      <c r="Q478" s="2309"/>
      <c r="R478" s="2309"/>
      <c r="S478" s="2309"/>
      <c r="T478" s="2309"/>
      <c r="U478" s="2309"/>
      <c r="V478" s="2309"/>
      <c r="W478" s="2309"/>
      <c r="X478" s="2309"/>
      <c r="Y478" s="2309"/>
      <c r="Z478" s="2309"/>
      <c r="AA478" s="2309"/>
      <c r="AB478" s="2309"/>
      <c r="AC478" s="469"/>
      <c r="AD478" s="469"/>
      <c r="AE478" s="469"/>
      <c r="AF478" s="469"/>
      <c r="AG478" s="469"/>
      <c r="AH478" s="469"/>
      <c r="AI478" s="469"/>
      <c r="AJ478" s="469"/>
      <c r="AK478" s="469"/>
      <c r="AL478" s="469"/>
      <c r="AM478" s="483"/>
      <c r="AN478" s="617"/>
      <c r="AP478" s="544" t="s">
        <v>21</v>
      </c>
      <c r="AQ478" s="483">
        <v>2</v>
      </c>
    </row>
    <row r="479" spans="1:43" s="503" customFormat="1" ht="13.9"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 customHeight="1">
      <c r="A480" s="483"/>
      <c r="B480" s="469"/>
      <c r="C480" s="894"/>
      <c r="D480" s="469" t="s">
        <v>2286</v>
      </c>
      <c r="E480" s="897"/>
      <c r="F480" s="897"/>
      <c r="G480" s="897"/>
      <c r="H480" s="2214" t="s">
        <v>299</v>
      </c>
      <c r="I480" s="2214"/>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2336</v>
      </c>
      <c r="AJ482" s="2198">
        <f>VLOOKUP($H$480,$AO$413:$AP$415,2,FALSE)</f>
        <v>0</v>
      </c>
      <c r="AK482" s="2200"/>
      <c r="AL482" s="528"/>
      <c r="AM482" s="483"/>
      <c r="AN482" s="617"/>
      <c r="AP482" s="2198"/>
      <c r="AQ482" s="2200"/>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2337</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191" t="s">
        <v>2338</v>
      </c>
      <c r="F486" s="2191"/>
      <c r="G486" s="2191"/>
      <c r="H486" s="2191"/>
      <c r="I486" s="2191"/>
      <c r="J486" s="2191"/>
      <c r="K486" s="2191"/>
      <c r="L486" s="2191"/>
      <c r="M486" s="2191"/>
      <c r="N486" s="2191"/>
      <c r="O486" s="2191"/>
      <c r="P486" s="2191"/>
      <c r="Q486" s="2191"/>
      <c r="R486" s="2191"/>
      <c r="S486" s="2191"/>
      <c r="T486" s="2191"/>
      <c r="U486" s="2191"/>
      <c r="V486" s="2191"/>
      <c r="W486" s="2191"/>
      <c r="X486" s="2191"/>
      <c r="Y486" s="2191"/>
      <c r="Z486" s="2191"/>
      <c r="AA486" s="2191"/>
      <c r="AB486" s="2191"/>
      <c r="AC486" s="469"/>
      <c r="AD486" s="469"/>
      <c r="AE486" s="469"/>
      <c r="AF486" s="2302" t="s">
        <v>2150</v>
      </c>
      <c r="AG486" s="2302"/>
      <c r="AH486" s="2302"/>
      <c r="AI486" s="2302"/>
      <c r="AJ486" s="2302"/>
      <c r="AK486" s="2302"/>
      <c r="AL486" s="2302"/>
      <c r="AM486" s="483"/>
      <c r="AN486" s="617"/>
      <c r="AT486" s="14"/>
      <c r="AU486" s="14"/>
      <c r="AV486" s="14"/>
      <c r="AW486" s="14"/>
      <c r="AX486" s="14"/>
      <c r="AY486" s="14"/>
      <c r="AZ486" s="14"/>
    </row>
    <row r="487" spans="1:81" s="503" customFormat="1">
      <c r="A487" s="483"/>
      <c r="B487" s="469"/>
      <c r="C487" s="894"/>
      <c r="D487" s="596"/>
      <c r="E487" s="2191"/>
      <c r="F487" s="2191"/>
      <c r="G487" s="2191"/>
      <c r="H487" s="2191"/>
      <c r="I487" s="2191"/>
      <c r="J487" s="2191"/>
      <c r="K487" s="2191"/>
      <c r="L487" s="2191"/>
      <c r="M487" s="2191"/>
      <c r="N487" s="2191"/>
      <c r="O487" s="2191"/>
      <c r="P487" s="2191"/>
      <c r="Q487" s="2191"/>
      <c r="R487" s="2191"/>
      <c r="S487" s="2191"/>
      <c r="T487" s="2191"/>
      <c r="U487" s="2191"/>
      <c r="V487" s="2191"/>
      <c r="W487" s="2191"/>
      <c r="X487" s="2191"/>
      <c r="Y487" s="2191"/>
      <c r="Z487" s="2191"/>
      <c r="AA487" s="2191"/>
      <c r="AB487" s="2191"/>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191" t="s">
        <v>2339</v>
      </c>
      <c r="F489" s="2191"/>
      <c r="G489" s="2191"/>
      <c r="H489" s="2191"/>
      <c r="I489" s="2191"/>
      <c r="J489" s="2191"/>
      <c r="K489" s="2191"/>
      <c r="L489" s="2191"/>
      <c r="M489" s="2191"/>
      <c r="N489" s="2191"/>
      <c r="O489" s="2191"/>
      <c r="P489" s="2191"/>
      <c r="Q489" s="2191"/>
      <c r="R489" s="2191"/>
      <c r="S489" s="2191"/>
      <c r="T489" s="2191"/>
      <c r="U489" s="2191"/>
      <c r="V489" s="2191"/>
      <c r="W489" s="2191"/>
      <c r="X489" s="2191"/>
      <c r="Y489" s="2191"/>
      <c r="Z489" s="2191"/>
      <c r="AA489" s="2191"/>
      <c r="AB489" s="2191"/>
      <c r="AC489" s="469"/>
      <c r="AD489" s="469"/>
      <c r="AE489" s="469"/>
      <c r="AF489" s="2302" t="s">
        <v>2299</v>
      </c>
      <c r="AG489" s="2302"/>
      <c r="AH489" s="2302"/>
      <c r="AI489" s="2302"/>
      <c r="AJ489" s="2302"/>
      <c r="AK489" s="2302"/>
      <c r="AL489" s="2302"/>
      <c r="AM489" s="483"/>
      <c r="AN489" s="617"/>
      <c r="AT489" s="14"/>
      <c r="AU489" s="14"/>
      <c r="AV489" s="14"/>
      <c r="AW489" s="14"/>
      <c r="AX489" s="14"/>
      <c r="AY489" s="14"/>
      <c r="AZ489" s="14"/>
    </row>
    <row r="490" spans="1:81" s="503" customFormat="1">
      <c r="A490" s="483"/>
      <c r="B490" s="469"/>
      <c r="C490" s="894"/>
      <c r="D490" s="469"/>
      <c r="E490" s="2191"/>
      <c r="F490" s="2191"/>
      <c r="G490" s="2191"/>
      <c r="H490" s="2191"/>
      <c r="I490" s="2191"/>
      <c r="J490" s="2191"/>
      <c r="K490" s="2191"/>
      <c r="L490" s="2191"/>
      <c r="M490" s="2191"/>
      <c r="N490" s="2191"/>
      <c r="O490" s="2191"/>
      <c r="P490" s="2191"/>
      <c r="Q490" s="2191"/>
      <c r="R490" s="2191"/>
      <c r="S490" s="2191"/>
      <c r="T490" s="2191"/>
      <c r="U490" s="2191"/>
      <c r="V490" s="2191"/>
      <c r="W490" s="2191"/>
      <c r="X490" s="2191"/>
      <c r="Y490" s="2191"/>
      <c r="Z490" s="2191"/>
      <c r="AA490" s="2191"/>
      <c r="AB490" s="2191"/>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2286</v>
      </c>
      <c r="E492" s="897"/>
      <c r="F492" s="897"/>
      <c r="G492" s="897"/>
      <c r="H492" s="2214" t="s">
        <v>299</v>
      </c>
      <c r="I492" s="2214"/>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2340</v>
      </c>
      <c r="AJ494" s="2198">
        <f>VLOOKUP($H$492,$AO$427:$AP$429,2,FALSE)</f>
        <v>0</v>
      </c>
      <c r="AK494" s="2200"/>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2341</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191" t="s">
        <v>2342</v>
      </c>
      <c r="F498" s="2191"/>
      <c r="G498" s="2191"/>
      <c r="H498" s="2191"/>
      <c r="I498" s="2191"/>
      <c r="J498" s="2191"/>
      <c r="K498" s="2191"/>
      <c r="L498" s="2191"/>
      <c r="M498" s="2191"/>
      <c r="N498" s="2191"/>
      <c r="O498" s="2191"/>
      <c r="P498" s="2191"/>
      <c r="Q498" s="2191"/>
      <c r="R498" s="2191"/>
      <c r="S498" s="2191"/>
      <c r="T498" s="2191"/>
      <c r="U498" s="2191"/>
      <c r="V498" s="2191"/>
      <c r="W498" s="2191"/>
      <c r="X498" s="2191"/>
      <c r="Y498" s="2191"/>
      <c r="Z498" s="2191"/>
      <c r="AA498" s="2191"/>
      <c r="AB498" s="2191"/>
      <c r="AC498" s="469"/>
      <c r="AD498" s="469"/>
      <c r="AE498" s="469"/>
      <c r="AF498" s="2302" t="s">
        <v>2150</v>
      </c>
      <c r="AG498" s="2302"/>
      <c r="AH498" s="2302"/>
      <c r="AI498" s="2302"/>
      <c r="AJ498" s="2302"/>
      <c r="AK498" s="2302"/>
      <c r="AL498" s="2302"/>
      <c r="AM498" s="483"/>
      <c r="AN498" s="617"/>
      <c r="AT498" s="14"/>
      <c r="AU498" s="14"/>
      <c r="AV498" s="14"/>
      <c r="AW498" s="14"/>
      <c r="AX498" s="14"/>
      <c r="AY498" s="14"/>
      <c r="AZ498" s="14"/>
    </row>
    <row r="499" spans="1:81" s="503" customFormat="1">
      <c r="A499" s="483"/>
      <c r="B499" s="469"/>
      <c r="C499" s="892"/>
      <c r="D499" s="596"/>
      <c r="E499" s="2191"/>
      <c r="F499" s="2191"/>
      <c r="G499" s="2191"/>
      <c r="H499" s="2191"/>
      <c r="I499" s="2191"/>
      <c r="J499" s="2191"/>
      <c r="K499" s="2191"/>
      <c r="L499" s="2191"/>
      <c r="M499" s="2191"/>
      <c r="N499" s="2191"/>
      <c r="O499" s="2191"/>
      <c r="P499" s="2191"/>
      <c r="Q499" s="2191"/>
      <c r="R499" s="2191"/>
      <c r="S499" s="2191"/>
      <c r="T499" s="2191"/>
      <c r="U499" s="2191"/>
      <c r="V499" s="2191"/>
      <c r="W499" s="2191"/>
      <c r="X499" s="2191"/>
      <c r="Y499" s="2191"/>
      <c r="Z499" s="2191"/>
      <c r="AA499" s="2191"/>
      <c r="AB499" s="2191"/>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191"/>
      <c r="F500" s="2191"/>
      <c r="G500" s="2191"/>
      <c r="H500" s="2191"/>
      <c r="I500" s="2191"/>
      <c r="J500" s="2191"/>
      <c r="K500" s="2191"/>
      <c r="L500" s="2191"/>
      <c r="M500" s="2191"/>
      <c r="N500" s="2191"/>
      <c r="O500" s="2191"/>
      <c r="P500" s="2191"/>
      <c r="Q500" s="2191"/>
      <c r="R500" s="2191"/>
      <c r="S500" s="2191"/>
      <c r="T500" s="2191"/>
      <c r="U500" s="2191"/>
      <c r="V500" s="2191"/>
      <c r="W500" s="2191"/>
      <c r="X500" s="2191"/>
      <c r="Y500" s="2191"/>
      <c r="Z500" s="2191"/>
      <c r="AA500" s="2191"/>
      <c r="AB500" s="2191"/>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191"/>
      <c r="F501" s="2191"/>
      <c r="G501" s="2191"/>
      <c r="H501" s="2191"/>
      <c r="I501" s="2191"/>
      <c r="J501" s="2191"/>
      <c r="K501" s="2191"/>
      <c r="L501" s="2191"/>
      <c r="M501" s="2191"/>
      <c r="N501" s="2191"/>
      <c r="O501" s="2191"/>
      <c r="P501" s="2191"/>
      <c r="Q501" s="2191"/>
      <c r="R501" s="2191"/>
      <c r="S501" s="2191"/>
      <c r="T501" s="2191"/>
      <c r="U501" s="2191"/>
      <c r="V501" s="2191"/>
      <c r="W501" s="2191"/>
      <c r="X501" s="2191"/>
      <c r="Y501" s="2191"/>
      <c r="Z501" s="2191"/>
      <c r="AA501" s="2191"/>
      <c r="AB501" s="2191"/>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191" t="s">
        <v>2343</v>
      </c>
      <c r="F503" s="2191"/>
      <c r="G503" s="2191"/>
      <c r="H503" s="2191"/>
      <c r="I503" s="2191"/>
      <c r="J503" s="2191"/>
      <c r="K503" s="2191"/>
      <c r="L503" s="2191"/>
      <c r="M503" s="2191"/>
      <c r="N503" s="2191"/>
      <c r="O503" s="2191"/>
      <c r="P503" s="2191"/>
      <c r="Q503" s="2191"/>
      <c r="R503" s="2191"/>
      <c r="S503" s="2191"/>
      <c r="T503" s="2191"/>
      <c r="U503" s="2191"/>
      <c r="V503" s="2191"/>
      <c r="W503" s="2191"/>
      <c r="X503" s="2191"/>
      <c r="Y503" s="2191"/>
      <c r="Z503" s="2191"/>
      <c r="AA503" s="2191"/>
      <c r="AB503" s="508"/>
      <c r="AC503" s="469"/>
      <c r="AD503" s="469"/>
      <c r="AE503" s="469"/>
      <c r="AF503" s="2302" t="s">
        <v>2299</v>
      </c>
      <c r="AG503" s="2302"/>
      <c r="AH503" s="2302"/>
      <c r="AI503" s="2302"/>
      <c r="AJ503" s="2302"/>
      <c r="AK503" s="2302"/>
      <c r="AL503" s="2302"/>
      <c r="AM503" s="483"/>
      <c r="AN503" s="617"/>
      <c r="AO503" s="26"/>
      <c r="AP503" s="14"/>
    </row>
    <row r="504" spans="1:81" s="503" customFormat="1">
      <c r="A504" s="483"/>
      <c r="B504" s="469"/>
      <c r="C504" s="892"/>
      <c r="D504" s="596"/>
      <c r="E504" s="2191"/>
      <c r="F504" s="2191"/>
      <c r="G504" s="2191"/>
      <c r="H504" s="2191"/>
      <c r="I504" s="2191"/>
      <c r="J504" s="2191"/>
      <c r="K504" s="2191"/>
      <c r="L504" s="2191"/>
      <c r="M504" s="2191"/>
      <c r="N504" s="2191"/>
      <c r="O504" s="2191"/>
      <c r="P504" s="2191"/>
      <c r="Q504" s="2191"/>
      <c r="R504" s="2191"/>
      <c r="S504" s="2191"/>
      <c r="T504" s="2191"/>
      <c r="U504" s="2191"/>
      <c r="V504" s="2191"/>
      <c r="W504" s="2191"/>
      <c r="X504" s="2191"/>
      <c r="Y504" s="2191"/>
      <c r="Z504" s="2191"/>
      <c r="AA504" s="2191"/>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191"/>
      <c r="F505" s="2191"/>
      <c r="G505" s="2191"/>
      <c r="H505" s="2191"/>
      <c r="I505" s="2191"/>
      <c r="J505" s="2191"/>
      <c r="K505" s="2191"/>
      <c r="L505" s="2191"/>
      <c r="M505" s="2191"/>
      <c r="N505" s="2191"/>
      <c r="O505" s="2191"/>
      <c r="P505" s="2191"/>
      <c r="Q505" s="2191"/>
      <c r="R505" s="2191"/>
      <c r="S505" s="2191"/>
      <c r="T505" s="2191"/>
      <c r="U505" s="2191"/>
      <c r="V505" s="2191"/>
      <c r="W505" s="2191"/>
      <c r="X505" s="2191"/>
      <c r="Y505" s="2191"/>
      <c r="Z505" s="2191"/>
      <c r="AA505" s="2191"/>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191"/>
      <c r="F506" s="2191"/>
      <c r="G506" s="2191"/>
      <c r="H506" s="2191"/>
      <c r="I506" s="2191"/>
      <c r="J506" s="2191"/>
      <c r="K506" s="2191"/>
      <c r="L506" s="2191"/>
      <c r="M506" s="2191"/>
      <c r="N506" s="2191"/>
      <c r="O506" s="2191"/>
      <c r="P506" s="2191"/>
      <c r="Q506" s="2191"/>
      <c r="R506" s="2191"/>
      <c r="S506" s="2191"/>
      <c r="T506" s="2191"/>
      <c r="U506" s="2191"/>
      <c r="V506" s="2191"/>
      <c r="W506" s="2191"/>
      <c r="X506" s="2191"/>
      <c r="Y506" s="2191"/>
      <c r="Z506" s="2191"/>
      <c r="AA506" s="2191"/>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2286</v>
      </c>
      <c r="E508" s="897"/>
      <c r="F508" s="897"/>
      <c r="G508" s="897"/>
      <c r="H508" s="2214" t="s">
        <v>299</v>
      </c>
      <c r="I508" s="2214"/>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2344</v>
      </c>
      <c r="AJ510" s="2198">
        <f>VLOOKUP($H$508,$AO$441:$AP$443,2,FALSE)</f>
        <v>0</v>
      </c>
      <c r="AK510" s="2200"/>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2333</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191" t="s">
        <v>2345</v>
      </c>
      <c r="F514" s="2191"/>
      <c r="G514" s="2191"/>
      <c r="H514" s="2191"/>
      <c r="I514" s="2191"/>
      <c r="J514" s="2191"/>
      <c r="K514" s="2191"/>
      <c r="L514" s="2191"/>
      <c r="M514" s="2191"/>
      <c r="N514" s="2191"/>
      <c r="O514" s="2191"/>
      <c r="P514" s="2191"/>
      <c r="Q514" s="2191"/>
      <c r="R514" s="2191"/>
      <c r="S514" s="2191"/>
      <c r="T514" s="2191"/>
      <c r="U514" s="2191"/>
      <c r="V514" s="2191"/>
      <c r="W514" s="2191"/>
      <c r="X514" s="2191"/>
      <c r="Y514" s="2191"/>
      <c r="Z514" s="2191"/>
      <c r="AA514" s="2191"/>
      <c r="AB514" s="2191"/>
      <c r="AC514" s="469"/>
      <c r="AD514" s="469"/>
      <c r="AE514" s="469"/>
      <c r="AF514" s="2302" t="s">
        <v>2299</v>
      </c>
      <c r="AG514" s="2302"/>
      <c r="AH514" s="2302"/>
      <c r="AI514" s="2302"/>
      <c r="AJ514" s="2302"/>
      <c r="AK514" s="2302"/>
      <c r="AL514" s="2302"/>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191"/>
      <c r="F515" s="2191"/>
      <c r="G515" s="2191"/>
      <c r="H515" s="2191"/>
      <c r="I515" s="2191"/>
      <c r="J515" s="2191"/>
      <c r="K515" s="2191"/>
      <c r="L515" s="2191"/>
      <c r="M515" s="2191"/>
      <c r="N515" s="2191"/>
      <c r="O515" s="2191"/>
      <c r="P515" s="2191"/>
      <c r="Q515" s="2191"/>
      <c r="R515" s="2191"/>
      <c r="S515" s="2191"/>
      <c r="T515" s="2191"/>
      <c r="U515" s="2191"/>
      <c r="V515" s="2191"/>
      <c r="W515" s="2191"/>
      <c r="X515" s="2191"/>
      <c r="Y515" s="2191"/>
      <c r="Z515" s="2191"/>
      <c r="AA515" s="2191"/>
      <c r="AB515" s="2191"/>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191" t="s">
        <v>2346</v>
      </c>
      <c r="F517" s="2191"/>
      <c r="G517" s="2191"/>
      <c r="H517" s="2191"/>
      <c r="I517" s="2191"/>
      <c r="J517" s="2191"/>
      <c r="K517" s="2191"/>
      <c r="L517" s="2191"/>
      <c r="M517" s="2191"/>
      <c r="N517" s="2191"/>
      <c r="O517" s="2191"/>
      <c r="P517" s="2191"/>
      <c r="Q517" s="2191"/>
      <c r="R517" s="2191"/>
      <c r="S517" s="2191"/>
      <c r="T517" s="2191"/>
      <c r="U517" s="2191"/>
      <c r="V517" s="2191"/>
      <c r="W517" s="2191"/>
      <c r="X517" s="2191"/>
      <c r="Y517" s="2191"/>
      <c r="Z517" s="2191"/>
      <c r="AA517" s="2191"/>
      <c r="AB517" s="2191"/>
      <c r="AC517" s="469"/>
      <c r="AD517" s="469"/>
      <c r="AE517" s="469"/>
      <c r="AF517" s="2302" t="s">
        <v>2318</v>
      </c>
      <c r="AG517" s="2302"/>
      <c r="AH517" s="2302"/>
      <c r="AI517" s="2302"/>
      <c r="AJ517" s="2302"/>
      <c r="AK517" s="2302"/>
      <c r="AL517" s="2302"/>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191"/>
      <c r="F518" s="2191"/>
      <c r="G518" s="2191"/>
      <c r="H518" s="2191"/>
      <c r="I518" s="2191"/>
      <c r="J518" s="2191"/>
      <c r="K518" s="2191"/>
      <c r="L518" s="2191"/>
      <c r="M518" s="2191"/>
      <c r="N518" s="2191"/>
      <c r="O518" s="2191"/>
      <c r="P518" s="2191"/>
      <c r="Q518" s="2191"/>
      <c r="R518" s="2191"/>
      <c r="S518" s="2191"/>
      <c r="T518" s="2191"/>
      <c r="U518" s="2191"/>
      <c r="V518" s="2191"/>
      <c r="W518" s="2191"/>
      <c r="X518" s="2191"/>
      <c r="Y518" s="2191"/>
      <c r="Z518" s="2191"/>
      <c r="AA518" s="2191"/>
      <c r="AB518" s="2191"/>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2286</v>
      </c>
      <c r="E520" s="897"/>
      <c r="F520" s="897"/>
      <c r="G520" s="897"/>
      <c r="H520" s="2214" t="s">
        <v>299</v>
      </c>
      <c r="I520" s="2214"/>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2347</v>
      </c>
      <c r="AJ522" s="2198">
        <f>VLOOKUP($H$520,$AO$455:$AP$457,2,FALSE)</f>
        <v>0</v>
      </c>
      <c r="AK522" s="2200"/>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2334</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 customHeight="1">
      <c r="A526" s="483"/>
      <c r="B526" s="549"/>
      <c r="C526" s="901"/>
      <c r="D526" s="596" t="s">
        <v>21</v>
      </c>
      <c r="E526" s="2191" t="s">
        <v>2348</v>
      </c>
      <c r="F526" s="2191"/>
      <c r="G526" s="2191"/>
      <c r="H526" s="2191"/>
      <c r="I526" s="2191"/>
      <c r="J526" s="2191"/>
      <c r="K526" s="2191"/>
      <c r="L526" s="2191"/>
      <c r="M526" s="2191"/>
      <c r="N526" s="2191"/>
      <c r="O526" s="2191"/>
      <c r="P526" s="2191"/>
      <c r="Q526" s="2191"/>
      <c r="R526" s="2191"/>
      <c r="S526" s="2191"/>
      <c r="T526" s="2191"/>
      <c r="U526" s="2191"/>
      <c r="V526" s="2191"/>
      <c r="W526" s="2191"/>
      <c r="X526" s="2191"/>
      <c r="Y526" s="2191"/>
      <c r="Z526" s="2191"/>
      <c r="AA526" s="2191"/>
      <c r="AB526" s="2191"/>
      <c r="AC526" s="2191"/>
      <c r="AD526" s="2191"/>
      <c r="AE526" s="469"/>
      <c r="AF526" s="2302" t="s">
        <v>2299</v>
      </c>
      <c r="AG526" s="2302"/>
      <c r="AH526" s="2302"/>
      <c r="AI526" s="2302"/>
      <c r="AJ526" s="2302"/>
      <c r="AK526" s="2302"/>
      <c r="AL526" s="2302"/>
      <c r="AM526" s="546"/>
      <c r="AN526" s="617"/>
    </row>
    <row r="527" spans="1:74" s="503" customFormat="1" ht="13.7" customHeight="1">
      <c r="A527" s="483"/>
      <c r="B527" s="549"/>
      <c r="C527" s="901"/>
      <c r="D527" s="596"/>
      <c r="E527" s="2191"/>
      <c r="F527" s="2191"/>
      <c r="G527" s="2191"/>
      <c r="H527" s="2191"/>
      <c r="I527" s="2191"/>
      <c r="J527" s="2191"/>
      <c r="K527" s="2191"/>
      <c r="L527" s="2191"/>
      <c r="M527" s="2191"/>
      <c r="N527" s="2191"/>
      <c r="O527" s="2191"/>
      <c r="P527" s="2191"/>
      <c r="Q527" s="2191"/>
      <c r="R527" s="2191"/>
      <c r="S527" s="2191"/>
      <c r="T527" s="2191"/>
      <c r="U527" s="2191"/>
      <c r="V527" s="2191"/>
      <c r="W527" s="2191"/>
      <c r="X527" s="2191"/>
      <c r="Y527" s="2191"/>
      <c r="Z527" s="2191"/>
      <c r="AA527" s="2191"/>
      <c r="AB527" s="2191"/>
      <c r="AC527" s="2191"/>
      <c r="AD527" s="2191"/>
      <c r="AE527" s="469"/>
      <c r="AF527" s="527"/>
      <c r="AG527" s="527"/>
      <c r="AH527" s="527"/>
      <c r="AI527" s="527"/>
      <c r="AJ527" s="527"/>
      <c r="AK527" s="527"/>
      <c r="AL527" s="527"/>
      <c r="AM527" s="546"/>
      <c r="AN527" s="617"/>
    </row>
    <row r="528" spans="1:74" s="503" customFormat="1">
      <c r="A528" s="483"/>
      <c r="B528" s="549"/>
      <c r="C528" s="901"/>
      <c r="D528" s="596"/>
      <c r="E528" s="2191"/>
      <c r="F528" s="2191"/>
      <c r="G528" s="2191"/>
      <c r="H528" s="2191"/>
      <c r="I528" s="2191"/>
      <c r="J528" s="2191"/>
      <c r="K528" s="2191"/>
      <c r="L528" s="2191"/>
      <c r="M528" s="2191"/>
      <c r="N528" s="2191"/>
      <c r="O528" s="2191"/>
      <c r="P528" s="2191"/>
      <c r="Q528" s="2191"/>
      <c r="R528" s="2191"/>
      <c r="S528" s="2191"/>
      <c r="T528" s="2191"/>
      <c r="U528" s="2191"/>
      <c r="V528" s="2191"/>
      <c r="W528" s="2191"/>
      <c r="X528" s="2191"/>
      <c r="Y528" s="2191"/>
      <c r="Z528" s="2191"/>
      <c r="AA528" s="2191"/>
      <c r="AB528" s="2191"/>
      <c r="AC528" s="2191"/>
      <c r="AD528" s="2191"/>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191"/>
      <c r="F529" s="2191"/>
      <c r="G529" s="2191"/>
      <c r="H529" s="2191"/>
      <c r="I529" s="2191"/>
      <c r="J529" s="2191"/>
      <c r="K529" s="2191"/>
      <c r="L529" s="2191"/>
      <c r="M529" s="2191"/>
      <c r="N529" s="2191"/>
      <c r="O529" s="2191"/>
      <c r="P529" s="2191"/>
      <c r="Q529" s="2191"/>
      <c r="R529" s="2191"/>
      <c r="S529" s="2191"/>
      <c r="T529" s="2191"/>
      <c r="U529" s="2191"/>
      <c r="V529" s="2191"/>
      <c r="W529" s="2191"/>
      <c r="X529" s="2191"/>
      <c r="Y529" s="2191"/>
      <c r="Z529" s="2191"/>
      <c r="AA529" s="2191"/>
      <c r="AB529" s="2191"/>
      <c r="AC529" s="2191"/>
      <c r="AD529" s="2191"/>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307" t="s">
        <v>2349</v>
      </c>
      <c r="F531" s="2307"/>
      <c r="G531" s="2307"/>
      <c r="H531" s="2307"/>
      <c r="I531" s="2307"/>
      <c r="J531" s="2307"/>
      <c r="K531" s="2307"/>
      <c r="L531" s="2307"/>
      <c r="M531" s="2307"/>
      <c r="N531" s="2307"/>
      <c r="O531" s="2307"/>
      <c r="P531" s="2307"/>
      <c r="Q531" s="2307"/>
      <c r="R531" s="2307"/>
      <c r="S531" s="2307"/>
      <c r="T531" s="2307"/>
      <c r="U531" s="2307"/>
      <c r="V531" s="2307"/>
      <c r="W531" s="2307"/>
      <c r="X531" s="2307"/>
      <c r="Y531" s="2307"/>
      <c r="Z531" s="2307"/>
      <c r="AA531" s="2307"/>
      <c r="AB531" s="2307"/>
      <c r="AC531" s="2307"/>
      <c r="AD531" s="2307"/>
      <c r="AE531" s="469"/>
      <c r="AF531" s="2302" t="s">
        <v>2150</v>
      </c>
      <c r="AG531" s="2302"/>
      <c r="AH531" s="2302"/>
      <c r="AI531" s="2302"/>
      <c r="AJ531" s="2302"/>
      <c r="AK531" s="2302"/>
      <c r="AL531" s="2302"/>
      <c r="AM531" s="546"/>
      <c r="AN531" s="530"/>
    </row>
    <row r="532" spans="1:81" s="483" customFormat="1" ht="12.75" customHeight="1">
      <c r="B532" s="549"/>
      <c r="C532" s="901"/>
      <c r="D532" s="596"/>
      <c r="E532" s="2307"/>
      <c r="F532" s="2307"/>
      <c r="G532" s="2307"/>
      <c r="H532" s="2307"/>
      <c r="I532" s="2307"/>
      <c r="J532" s="2307"/>
      <c r="K532" s="2307"/>
      <c r="L532" s="2307"/>
      <c r="M532" s="2307"/>
      <c r="N532" s="2307"/>
      <c r="O532" s="2307"/>
      <c r="P532" s="2307"/>
      <c r="Q532" s="2307"/>
      <c r="R532" s="2307"/>
      <c r="S532" s="2307"/>
      <c r="T532" s="2307"/>
      <c r="U532" s="2307"/>
      <c r="V532" s="2307"/>
      <c r="W532" s="2307"/>
      <c r="X532" s="2307"/>
      <c r="Y532" s="2307"/>
      <c r="Z532" s="2307"/>
      <c r="AA532" s="2307"/>
      <c r="AB532" s="2307"/>
      <c r="AC532" s="2307"/>
      <c r="AD532" s="2307"/>
      <c r="AE532" s="527"/>
      <c r="AF532" s="527"/>
      <c r="AG532" s="527"/>
      <c r="AH532" s="527"/>
      <c r="AI532" s="527"/>
      <c r="AJ532" s="527"/>
      <c r="AK532" s="527"/>
      <c r="AL532" s="527"/>
      <c r="AM532" s="546"/>
      <c r="AN532" s="530"/>
    </row>
    <row r="533" spans="1:81" s="483" customFormat="1" ht="12.75" customHeight="1">
      <c r="B533" s="549"/>
      <c r="C533" s="901"/>
      <c r="D533" s="596"/>
      <c r="E533" s="2307"/>
      <c r="F533" s="2307"/>
      <c r="G533" s="2307"/>
      <c r="H533" s="2307"/>
      <c r="I533" s="2307"/>
      <c r="J533" s="2307"/>
      <c r="K533" s="2307"/>
      <c r="L533" s="2307"/>
      <c r="M533" s="2307"/>
      <c r="N533" s="2307"/>
      <c r="O533" s="2307"/>
      <c r="P533" s="2307"/>
      <c r="Q533" s="2307"/>
      <c r="R533" s="2307"/>
      <c r="S533" s="2307"/>
      <c r="T533" s="2307"/>
      <c r="U533" s="2307"/>
      <c r="V533" s="2307"/>
      <c r="W533" s="2307"/>
      <c r="X533" s="2307"/>
      <c r="Y533" s="2307"/>
      <c r="Z533" s="2307"/>
      <c r="AA533" s="2307"/>
      <c r="AB533" s="2307"/>
      <c r="AC533" s="2307"/>
      <c r="AD533" s="2307"/>
      <c r="AE533" s="527"/>
      <c r="AF533" s="527"/>
      <c r="AG533" s="527"/>
      <c r="AH533" s="527"/>
      <c r="AI533" s="527"/>
      <c r="AJ533" s="527"/>
      <c r="AK533" s="527"/>
      <c r="AL533" s="527"/>
      <c r="AM533" s="546"/>
      <c r="AN533" s="530"/>
    </row>
    <row r="534" spans="1:81" s="483" customFormat="1" ht="12.75" customHeight="1">
      <c r="B534" s="549"/>
      <c r="C534" s="901"/>
      <c r="D534" s="596"/>
      <c r="E534" s="2307"/>
      <c r="F534" s="2307"/>
      <c r="G534" s="2307"/>
      <c r="H534" s="2307"/>
      <c r="I534" s="2307"/>
      <c r="J534" s="2307"/>
      <c r="K534" s="2307"/>
      <c r="L534" s="2307"/>
      <c r="M534" s="2307"/>
      <c r="N534" s="2307"/>
      <c r="O534" s="2307"/>
      <c r="P534" s="2307"/>
      <c r="Q534" s="2307"/>
      <c r="R534" s="2307"/>
      <c r="S534" s="2307"/>
      <c r="T534" s="2307"/>
      <c r="U534" s="2307"/>
      <c r="V534" s="2307"/>
      <c r="W534" s="2307"/>
      <c r="X534" s="2307"/>
      <c r="Y534" s="2307"/>
      <c r="Z534" s="2307"/>
      <c r="AA534" s="2307"/>
      <c r="AB534" s="2307"/>
      <c r="AC534" s="2307"/>
      <c r="AD534" s="2307"/>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2286</v>
      </c>
      <c r="E536" s="897"/>
      <c r="F536" s="897"/>
      <c r="G536" s="897"/>
      <c r="H536" s="2214" t="s">
        <v>21</v>
      </c>
      <c r="I536" s="2214"/>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2350</v>
      </c>
      <c r="AJ538" s="2198">
        <f>VLOOKUP($H$536,$AP$477:$AQ$479,2,FALSE)</f>
        <v>2</v>
      </c>
      <c r="AK538" s="2200"/>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2351</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 customHeight="1">
      <c r="A542" s="483"/>
      <c r="B542" s="549"/>
      <c r="C542" s="901"/>
      <c r="D542" s="596" t="s">
        <v>21</v>
      </c>
      <c r="E542" s="2191" t="s">
        <v>2352</v>
      </c>
      <c r="F542" s="2191"/>
      <c r="G542" s="2191"/>
      <c r="H542" s="2191"/>
      <c r="I542" s="2191"/>
      <c r="J542" s="2191"/>
      <c r="K542" s="2191"/>
      <c r="L542" s="2191"/>
      <c r="M542" s="2191"/>
      <c r="N542" s="2191"/>
      <c r="O542" s="2191"/>
      <c r="P542" s="2191"/>
      <c r="Q542" s="2191"/>
      <c r="R542" s="2191"/>
      <c r="S542" s="2191"/>
      <c r="T542" s="2191"/>
      <c r="U542" s="2191"/>
      <c r="V542" s="2191"/>
      <c r="W542" s="2191"/>
      <c r="X542" s="2191"/>
      <c r="Y542" s="2191"/>
      <c r="Z542" s="2191"/>
      <c r="AA542" s="2191"/>
      <c r="AB542" s="2191"/>
      <c r="AC542" s="2191"/>
      <c r="AD542" s="2191"/>
      <c r="AE542" s="469"/>
      <c r="AF542" s="2302" t="s">
        <v>2353</v>
      </c>
      <c r="AG542" s="2302"/>
      <c r="AH542" s="2302"/>
      <c r="AI542" s="2302"/>
      <c r="AJ542" s="2302"/>
      <c r="AK542" s="2302"/>
      <c r="AL542" s="2302"/>
      <c r="AM542" s="546"/>
      <c r="AN542" s="617"/>
      <c r="AO542" s="544" t="s">
        <v>825</v>
      </c>
      <c r="AP542" s="483">
        <v>8</v>
      </c>
      <c r="AT542" s="607"/>
      <c r="AU542" s="607"/>
      <c r="AV542" s="607"/>
      <c r="AW542" s="607"/>
      <c r="AX542" s="607"/>
      <c r="AY542" s="607"/>
      <c r="AZ542" s="607"/>
    </row>
    <row r="543" spans="1:81" s="503" customFormat="1" ht="13.7" customHeight="1">
      <c r="A543" s="483"/>
      <c r="B543" s="549"/>
      <c r="C543" s="901"/>
      <c r="D543" s="596"/>
      <c r="E543" s="2191"/>
      <c r="F543" s="2191"/>
      <c r="G543" s="2191"/>
      <c r="H543" s="2191"/>
      <c r="I543" s="2191"/>
      <c r="J543" s="2191"/>
      <c r="K543" s="2191"/>
      <c r="L543" s="2191"/>
      <c r="M543" s="2191"/>
      <c r="N543" s="2191"/>
      <c r="O543" s="2191"/>
      <c r="P543" s="2191"/>
      <c r="Q543" s="2191"/>
      <c r="R543" s="2191"/>
      <c r="S543" s="2191"/>
      <c r="T543" s="2191"/>
      <c r="U543" s="2191"/>
      <c r="V543" s="2191"/>
      <c r="W543" s="2191"/>
      <c r="X543" s="2191"/>
      <c r="Y543" s="2191"/>
      <c r="Z543" s="2191"/>
      <c r="AA543" s="2191"/>
      <c r="AB543" s="2191"/>
      <c r="AC543" s="2191"/>
      <c r="AD543" s="2191"/>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191"/>
      <c r="F544" s="2191"/>
      <c r="G544" s="2191"/>
      <c r="H544" s="2191"/>
      <c r="I544" s="2191"/>
      <c r="J544" s="2191"/>
      <c r="K544" s="2191"/>
      <c r="L544" s="2191"/>
      <c r="M544" s="2191"/>
      <c r="N544" s="2191"/>
      <c r="O544" s="2191"/>
      <c r="P544" s="2191"/>
      <c r="Q544" s="2191"/>
      <c r="R544" s="2191"/>
      <c r="S544" s="2191"/>
      <c r="T544" s="2191"/>
      <c r="U544" s="2191"/>
      <c r="V544" s="2191"/>
      <c r="W544" s="2191"/>
      <c r="X544" s="2191"/>
      <c r="Y544" s="2191"/>
      <c r="Z544" s="2191"/>
      <c r="AA544" s="2191"/>
      <c r="AB544" s="2191"/>
      <c r="AC544" s="2191"/>
      <c r="AD544" s="2191"/>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191"/>
      <c r="F545" s="2191"/>
      <c r="G545" s="2191"/>
      <c r="H545" s="2191"/>
      <c r="I545" s="2191"/>
      <c r="J545" s="2191"/>
      <c r="K545" s="2191"/>
      <c r="L545" s="2191"/>
      <c r="M545" s="2191"/>
      <c r="N545" s="2191"/>
      <c r="O545" s="2191"/>
      <c r="P545" s="2191"/>
      <c r="Q545" s="2191"/>
      <c r="R545" s="2191"/>
      <c r="S545" s="2191"/>
      <c r="T545" s="2191"/>
      <c r="U545" s="2191"/>
      <c r="V545" s="2191"/>
      <c r="W545" s="2191"/>
      <c r="X545" s="2191"/>
      <c r="Y545" s="2191"/>
      <c r="Z545" s="2191"/>
      <c r="AA545" s="2191"/>
      <c r="AB545" s="2191"/>
      <c r="AC545" s="2191"/>
      <c r="AD545" s="2191"/>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2286</v>
      </c>
      <c r="E547" s="897"/>
      <c r="F547" s="897"/>
      <c r="G547" s="897"/>
      <c r="H547" s="2214" t="s">
        <v>299</v>
      </c>
      <c r="I547" s="2214"/>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2354</v>
      </c>
      <c r="AJ549" s="2198">
        <f>VLOOKUP($H$547,$AO$541:$AP$542,2,FALSE)</f>
        <v>0</v>
      </c>
      <c r="AK549" s="2200"/>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2355</v>
      </c>
      <c r="AK551" s="2198">
        <f>IF(($AJ$382+$AJ$401+$AJ$413+$AJ$448+$AJ$468+$AJ$482+$AJ$494+$AJ$510+$AJ$522+$AJ$538+AJ549)&gt;10,10,($AJ$382+$AJ$401+$AJ$413+$AJ$448+$AJ$468+$AJ$482+$AJ$494+$AJ$510+$AJ$522+$AJ$538+AJ549))</f>
        <v>10</v>
      </c>
      <c r="AL551" s="2199"/>
      <c r="AM551" s="2200"/>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2356</v>
      </c>
      <c r="AK553" s="2198">
        <f>IF((AK320+AK551)&gt;20,20,(AK320+AK551))</f>
        <v>19</v>
      </c>
      <c r="AL553" s="2199"/>
      <c r="AM553" s="2200"/>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2357</v>
      </c>
      <c r="B556" s="472" t="s">
        <v>2358</v>
      </c>
      <c r="C556" s="469"/>
      <c r="AC556" s="472"/>
      <c r="AE556" s="2276" t="s">
        <v>2092</v>
      </c>
      <c r="AF556" s="2276"/>
      <c r="AG556" s="2276"/>
      <c r="AH556" s="2276"/>
      <c r="AI556" s="2276"/>
      <c r="AJ556" s="2276"/>
      <c r="AK556" s="2276"/>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07" t="s">
        <v>2359</v>
      </c>
      <c r="D558" s="2207"/>
      <c r="E558" s="2207"/>
      <c r="F558" s="2207"/>
      <c r="G558" s="2207"/>
      <c r="H558" s="2207"/>
      <c r="I558" s="2207"/>
      <c r="J558" s="2207"/>
      <c r="K558" s="2207"/>
      <c r="L558" s="2207"/>
      <c r="M558" s="2207"/>
      <c r="N558" s="2207"/>
      <c r="O558" s="2207"/>
      <c r="P558" s="2207"/>
      <c r="Q558" s="2207"/>
      <c r="R558" s="2207"/>
      <c r="S558" s="2207"/>
      <c r="T558" s="2207"/>
      <c r="U558" s="2207"/>
      <c r="V558" s="2207"/>
      <c r="W558" s="2207"/>
      <c r="X558" s="2207"/>
      <c r="Y558" s="2207"/>
      <c r="Z558" s="2207"/>
      <c r="AA558" s="2207"/>
      <c r="AB558" s="2207"/>
      <c r="AC558" s="2207"/>
      <c r="AD558" s="2207"/>
      <c r="AE558" s="2207"/>
      <c r="AF558" s="2207"/>
      <c r="AG558" s="2207"/>
      <c r="AH558" s="2207"/>
      <c r="AI558" s="2207"/>
      <c r="AJ558" s="2207"/>
      <c r="AK558" s="536"/>
      <c r="AL558" s="536"/>
      <c r="AM558" s="536"/>
      <c r="AN558" s="530"/>
    </row>
    <row r="559" spans="1:81" s="483" customFormat="1" ht="12.75" customHeight="1">
      <c r="A559" s="536"/>
      <c r="B559" s="544"/>
      <c r="C559" s="2207"/>
      <c r="D559" s="2207"/>
      <c r="E559" s="2207"/>
      <c r="F559" s="2207"/>
      <c r="G559" s="2207"/>
      <c r="H559" s="2207"/>
      <c r="I559" s="2207"/>
      <c r="J559" s="2207"/>
      <c r="K559" s="2207"/>
      <c r="L559" s="2207"/>
      <c r="M559" s="2207"/>
      <c r="N559" s="2207"/>
      <c r="O559" s="2207"/>
      <c r="P559" s="2207"/>
      <c r="Q559" s="2207"/>
      <c r="R559" s="2207"/>
      <c r="S559" s="2207"/>
      <c r="T559" s="2207"/>
      <c r="U559" s="2207"/>
      <c r="V559" s="2207"/>
      <c r="W559" s="2207"/>
      <c r="X559" s="2207"/>
      <c r="Y559" s="2207"/>
      <c r="Z559" s="2207"/>
      <c r="AA559" s="2207"/>
      <c r="AB559" s="2207"/>
      <c r="AC559" s="2207"/>
      <c r="AD559" s="2207"/>
      <c r="AE559" s="2207"/>
      <c r="AF559" s="2207"/>
      <c r="AG559" s="2207"/>
      <c r="AH559" s="2207"/>
      <c r="AI559" s="2207"/>
      <c r="AJ559" s="2207"/>
      <c r="AK559" s="536"/>
      <c r="AL559" s="536"/>
      <c r="AM559" s="536"/>
      <c r="AN559" s="530"/>
    </row>
    <row r="560" spans="1:81" s="483" customFormat="1" ht="12.75" customHeight="1">
      <c r="A560" s="536"/>
      <c r="B560" s="544"/>
      <c r="C560" s="2207"/>
      <c r="D560" s="2207"/>
      <c r="E560" s="2207"/>
      <c r="F560" s="2207"/>
      <c r="G560" s="2207"/>
      <c r="H560" s="2207"/>
      <c r="I560" s="2207"/>
      <c r="J560" s="2207"/>
      <c r="K560" s="2207"/>
      <c r="L560" s="2207"/>
      <c r="M560" s="2207"/>
      <c r="N560" s="2207"/>
      <c r="O560" s="2207"/>
      <c r="P560" s="2207"/>
      <c r="Q560" s="2207"/>
      <c r="R560" s="2207"/>
      <c r="S560" s="2207"/>
      <c r="T560" s="2207"/>
      <c r="U560" s="2207"/>
      <c r="V560" s="2207"/>
      <c r="W560" s="2207"/>
      <c r="X560" s="2207"/>
      <c r="Y560" s="2207"/>
      <c r="Z560" s="2207"/>
      <c r="AA560" s="2207"/>
      <c r="AB560" s="2207"/>
      <c r="AC560" s="2207"/>
      <c r="AD560" s="2207"/>
      <c r="AE560" s="2207"/>
      <c r="AF560" s="2207"/>
      <c r="AG560" s="2207"/>
      <c r="AH560" s="2207"/>
      <c r="AI560" s="2207"/>
      <c r="AJ560" s="2207"/>
      <c r="AK560" s="536"/>
      <c r="AL560" s="536"/>
      <c r="AM560" s="536"/>
      <c r="AN560" s="530"/>
      <c r="AQ560" s="503"/>
    </row>
    <row r="561" spans="1:46" s="483" customFormat="1" ht="12.75" customHeight="1">
      <c r="A561" s="536"/>
      <c r="B561" s="544"/>
      <c r="C561" s="2207"/>
      <c r="D561" s="2207"/>
      <c r="E561" s="2207"/>
      <c r="F561" s="2207"/>
      <c r="G561" s="2207"/>
      <c r="H561" s="2207"/>
      <c r="I561" s="2207"/>
      <c r="J561" s="2207"/>
      <c r="K561" s="2207"/>
      <c r="L561" s="2207"/>
      <c r="M561" s="2207"/>
      <c r="N561" s="2207"/>
      <c r="O561" s="2207"/>
      <c r="P561" s="2207"/>
      <c r="Q561" s="2207"/>
      <c r="R561" s="2207"/>
      <c r="S561" s="2207"/>
      <c r="T561" s="2207"/>
      <c r="U561" s="2207"/>
      <c r="V561" s="2207"/>
      <c r="W561" s="2207"/>
      <c r="X561" s="2207"/>
      <c r="Y561" s="2207"/>
      <c r="Z561" s="2207"/>
      <c r="AA561" s="2207"/>
      <c r="AB561" s="2207"/>
      <c r="AC561" s="2207"/>
      <c r="AD561" s="2207"/>
      <c r="AE561" s="2207"/>
      <c r="AF561" s="2207"/>
      <c r="AG561" s="2207"/>
      <c r="AH561" s="2207"/>
      <c r="AI561" s="2207"/>
      <c r="AJ561" s="2207"/>
      <c r="AK561" s="536"/>
      <c r="AL561" s="536"/>
      <c r="AM561" s="536"/>
      <c r="AN561" s="530"/>
      <c r="AQ561" s="503"/>
    </row>
    <row r="562" spans="1:46" s="483" customFormat="1" ht="12.4" customHeight="1">
      <c r="A562" s="536"/>
      <c r="B562" s="544"/>
      <c r="C562" s="2207"/>
      <c r="D562" s="2207"/>
      <c r="E562" s="2207"/>
      <c r="F562" s="2207"/>
      <c r="G562" s="2207"/>
      <c r="H562" s="2207"/>
      <c r="I562" s="2207"/>
      <c r="J562" s="2207"/>
      <c r="K562" s="2207"/>
      <c r="L562" s="2207"/>
      <c r="M562" s="2207"/>
      <c r="N562" s="2207"/>
      <c r="O562" s="2207"/>
      <c r="P562" s="2207"/>
      <c r="Q562" s="2207"/>
      <c r="R562" s="2207"/>
      <c r="S562" s="2207"/>
      <c r="T562" s="2207"/>
      <c r="U562" s="2207"/>
      <c r="V562" s="2207"/>
      <c r="W562" s="2207"/>
      <c r="X562" s="2207"/>
      <c r="Y562" s="2207"/>
      <c r="Z562" s="2207"/>
      <c r="AA562" s="2207"/>
      <c r="AB562" s="2207"/>
      <c r="AC562" s="2207"/>
      <c r="AD562" s="2207"/>
      <c r="AE562" s="2207"/>
      <c r="AF562" s="2207"/>
      <c r="AG562" s="2207"/>
      <c r="AH562" s="2207"/>
      <c r="AI562" s="2207"/>
      <c r="AJ562" s="2207"/>
      <c r="AK562" s="536"/>
      <c r="AL562" s="536"/>
      <c r="AM562" s="536"/>
      <c r="AN562" s="530"/>
      <c r="AQ562" s="503"/>
      <c r="AR562" s="503"/>
    </row>
    <row r="563" spans="1:46" s="483" customFormat="1" ht="24.95" customHeight="1">
      <c r="A563" s="536"/>
      <c r="B563" s="544"/>
      <c r="C563" s="2207" t="s">
        <v>2360</v>
      </c>
      <c r="D563" s="2207"/>
      <c r="E563" s="2207"/>
      <c r="F563" s="2207"/>
      <c r="G563" s="2207"/>
      <c r="H563" s="2207"/>
      <c r="I563" s="2207"/>
      <c r="J563" s="2207"/>
      <c r="K563" s="2207"/>
      <c r="L563" s="2207"/>
      <c r="M563" s="2207"/>
      <c r="N563" s="2207"/>
      <c r="O563" s="2207"/>
      <c r="P563" s="2207"/>
      <c r="Q563" s="2207"/>
      <c r="R563" s="2207"/>
      <c r="S563" s="2207"/>
      <c r="T563" s="2207"/>
      <c r="U563" s="2207"/>
      <c r="V563" s="2207"/>
      <c r="W563" s="2207"/>
      <c r="X563" s="2207"/>
      <c r="Y563" s="2207"/>
      <c r="Z563" s="2207"/>
      <c r="AA563" s="2207"/>
      <c r="AB563" s="2207"/>
      <c r="AC563" s="2207"/>
      <c r="AD563" s="2207"/>
      <c r="AE563" s="2207"/>
      <c r="AF563" s="2207"/>
      <c r="AG563" s="2207"/>
      <c r="AH563" s="2207"/>
      <c r="AI563" s="2207"/>
      <c r="AJ563" s="2207"/>
      <c r="AK563" s="536"/>
      <c r="AL563" s="536"/>
      <c r="AM563" s="536"/>
      <c r="AN563" s="530"/>
      <c r="AQ563" s="503"/>
      <c r="AR563" s="503"/>
    </row>
    <row r="564" spans="1:46" s="483" customFormat="1" ht="12.4"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07" t="s">
        <v>2361</v>
      </c>
      <c r="D565" s="2207"/>
      <c r="E565" s="2207"/>
      <c r="F565" s="2207"/>
      <c r="G565" s="2207"/>
      <c r="H565" s="2207"/>
      <c r="I565" s="2207"/>
      <c r="J565" s="2207"/>
      <c r="K565" s="2207"/>
      <c r="L565" s="2207"/>
      <c r="M565" s="2207"/>
      <c r="N565" s="2207"/>
      <c r="O565" s="2207"/>
      <c r="P565" s="2207"/>
      <c r="Q565" s="2207"/>
      <c r="R565" s="2207"/>
      <c r="S565" s="2207"/>
      <c r="T565" s="2207"/>
      <c r="U565" s="2207"/>
      <c r="V565" s="2207"/>
      <c r="W565" s="2207"/>
      <c r="X565" s="2207"/>
      <c r="Y565" s="2207"/>
      <c r="Z565" s="2207"/>
      <c r="AA565" s="2207"/>
      <c r="AB565" s="2207"/>
      <c r="AC565" s="2207"/>
      <c r="AD565" s="2207"/>
      <c r="AE565" s="2207"/>
      <c r="AF565" s="2207"/>
      <c r="AG565" s="2207"/>
      <c r="AH565" s="2207"/>
      <c r="AI565" s="2207"/>
      <c r="AJ565" s="2207"/>
      <c r="AK565" s="536"/>
      <c r="AL565" s="536"/>
      <c r="AM565" s="536"/>
      <c r="AN565" s="530"/>
      <c r="AQ565" s="503"/>
      <c r="AR565" s="503"/>
    </row>
    <row r="566" spans="1:46" s="483" customFormat="1" ht="30" customHeight="1">
      <c r="A566" s="536"/>
      <c r="B566" s="544"/>
      <c r="C566" s="2207"/>
      <c r="D566" s="2207"/>
      <c r="E566" s="2207"/>
      <c r="F566" s="2207"/>
      <c r="G566" s="2207"/>
      <c r="H566" s="2207"/>
      <c r="I566" s="2207"/>
      <c r="J566" s="2207"/>
      <c r="K566" s="2207"/>
      <c r="L566" s="2207"/>
      <c r="M566" s="2207"/>
      <c r="N566" s="2207"/>
      <c r="O566" s="2207"/>
      <c r="P566" s="2207"/>
      <c r="Q566" s="2207"/>
      <c r="R566" s="2207"/>
      <c r="S566" s="2207"/>
      <c r="T566" s="2207"/>
      <c r="U566" s="2207"/>
      <c r="V566" s="2207"/>
      <c r="W566" s="2207"/>
      <c r="X566" s="2207"/>
      <c r="Y566" s="2207"/>
      <c r="Z566" s="2207"/>
      <c r="AA566" s="2207"/>
      <c r="AB566" s="2207"/>
      <c r="AC566" s="2207"/>
      <c r="AD566" s="2207"/>
      <c r="AE566" s="2207"/>
      <c r="AF566" s="2207"/>
      <c r="AG566" s="2207"/>
      <c r="AH566" s="2207"/>
      <c r="AI566" s="2207"/>
      <c r="AJ566" s="2207"/>
      <c r="AK566" s="536"/>
      <c r="AL566" s="536"/>
      <c r="AM566" s="536"/>
      <c r="AN566" s="530"/>
      <c r="AR566" s="503"/>
    </row>
    <row r="567" spans="1:46" s="483" customFormat="1" ht="12.75" customHeight="1">
      <c r="A567" s="536"/>
      <c r="B567" s="544"/>
      <c r="C567" s="2207"/>
      <c r="D567" s="2207"/>
      <c r="E567" s="2207"/>
      <c r="F567" s="2207"/>
      <c r="G567" s="2207"/>
      <c r="H567" s="2207"/>
      <c r="I567" s="2207"/>
      <c r="J567" s="2207"/>
      <c r="K567" s="2207"/>
      <c r="L567" s="2207"/>
      <c r="M567" s="2207"/>
      <c r="N567" s="2207"/>
      <c r="O567" s="2207"/>
      <c r="P567" s="2207"/>
      <c r="Q567" s="2207"/>
      <c r="R567" s="2207"/>
      <c r="S567" s="2207"/>
      <c r="T567" s="2207"/>
      <c r="U567" s="2207"/>
      <c r="V567" s="2207"/>
      <c r="W567" s="2207"/>
      <c r="X567" s="2207"/>
      <c r="Y567" s="2207"/>
      <c r="Z567" s="2207"/>
      <c r="AA567" s="2207"/>
      <c r="AB567" s="2207"/>
      <c r="AC567" s="2207"/>
      <c r="AD567" s="2207"/>
      <c r="AE567" s="2207"/>
      <c r="AF567" s="2207"/>
      <c r="AG567" s="2207"/>
      <c r="AH567" s="2207"/>
      <c r="AI567" s="2207"/>
      <c r="AJ567" s="2207"/>
      <c r="AK567" s="536"/>
      <c r="AL567" s="536"/>
      <c r="AM567" s="536"/>
      <c r="AN567" s="530"/>
      <c r="AR567" s="503"/>
    </row>
    <row r="568" spans="1:46" s="483" customFormat="1" ht="12.75" customHeight="1">
      <c r="A568" s="536"/>
      <c r="B568" s="544"/>
      <c r="C568" s="2207" t="s">
        <v>2362</v>
      </c>
      <c r="D568" s="2207"/>
      <c r="E568" s="2207"/>
      <c r="F568" s="2207"/>
      <c r="G568" s="2207"/>
      <c r="H568" s="2207"/>
      <c r="I568" s="2207"/>
      <c r="J568" s="2207"/>
      <c r="K568" s="2207"/>
      <c r="L568" s="2207"/>
      <c r="M568" s="2207"/>
      <c r="N568" s="2207"/>
      <c r="O568" s="2207"/>
      <c r="P568" s="2207"/>
      <c r="Q568" s="2207"/>
      <c r="R568" s="2207"/>
      <c r="S568" s="2207"/>
      <c r="T568" s="2207"/>
      <c r="U568" s="2207"/>
      <c r="V568" s="2207"/>
      <c r="W568" s="2207"/>
      <c r="X568" s="2207"/>
      <c r="Y568" s="2207"/>
      <c r="Z568" s="2207"/>
      <c r="AA568" s="2207"/>
      <c r="AB568" s="2207"/>
      <c r="AC568" s="2207"/>
      <c r="AD568" s="2207"/>
      <c r="AE568" s="2207"/>
      <c r="AF568" s="2207"/>
      <c r="AG568" s="2207"/>
      <c r="AH568" s="2207"/>
      <c r="AI568" s="2207"/>
      <c r="AJ568" s="2207"/>
      <c r="AK568" s="536"/>
      <c r="AL568" s="536"/>
      <c r="AM568" s="536"/>
      <c r="AN568" s="530"/>
      <c r="AQ568" s="503"/>
      <c r="AR568" s="503"/>
    </row>
    <row r="569" spans="1:46" s="483" customFormat="1" ht="12.75" customHeight="1">
      <c r="A569" s="536"/>
      <c r="B569" s="544"/>
      <c r="C569" s="2207"/>
      <c r="D569" s="2207"/>
      <c r="E569" s="2207"/>
      <c r="F569" s="2207"/>
      <c r="G569" s="2207"/>
      <c r="H569" s="2207"/>
      <c r="I569" s="2207"/>
      <c r="J569" s="2207"/>
      <c r="K569" s="2207"/>
      <c r="L569" s="2207"/>
      <c r="M569" s="2207"/>
      <c r="N569" s="2207"/>
      <c r="O569" s="2207"/>
      <c r="P569" s="2207"/>
      <c r="Q569" s="2207"/>
      <c r="R569" s="2207"/>
      <c r="S569" s="2207"/>
      <c r="T569" s="2207"/>
      <c r="U569" s="2207"/>
      <c r="V569" s="2207"/>
      <c r="W569" s="2207"/>
      <c r="X569" s="2207"/>
      <c r="Y569" s="2207"/>
      <c r="Z569" s="2207"/>
      <c r="AA569" s="2207"/>
      <c r="AB569" s="2207"/>
      <c r="AC569" s="2207"/>
      <c r="AD569" s="2207"/>
      <c r="AE569" s="2207"/>
      <c r="AF569" s="2207"/>
      <c r="AG569" s="2207"/>
      <c r="AH569" s="2207"/>
      <c r="AI569" s="2207"/>
      <c r="AJ569" s="2207"/>
      <c r="AK569" s="536"/>
      <c r="AL569" s="536"/>
      <c r="AM569" s="536"/>
      <c r="AN569" s="530"/>
      <c r="AQ569" s="503"/>
      <c r="AR569" s="503"/>
    </row>
    <row r="570" spans="1:46" s="483" customFormat="1" ht="13.15" customHeight="1">
      <c r="A570" s="536"/>
      <c r="B570" s="544"/>
      <c r="C570" s="2207"/>
      <c r="D570" s="2207"/>
      <c r="E570" s="2207"/>
      <c r="F570" s="2207"/>
      <c r="G570" s="2207"/>
      <c r="H570" s="2207"/>
      <c r="I570" s="2207"/>
      <c r="J570" s="2207"/>
      <c r="K570" s="2207"/>
      <c r="L570" s="2207"/>
      <c r="M570" s="2207"/>
      <c r="N570" s="2207"/>
      <c r="O570" s="2207"/>
      <c r="P570" s="2207"/>
      <c r="Q570" s="2207"/>
      <c r="R570" s="2207"/>
      <c r="S570" s="2207"/>
      <c r="T570" s="2207"/>
      <c r="U570" s="2207"/>
      <c r="V570" s="2207"/>
      <c r="W570" s="2207"/>
      <c r="X570" s="2207"/>
      <c r="Y570" s="2207"/>
      <c r="Z570" s="2207"/>
      <c r="AA570" s="2207"/>
      <c r="AB570" s="2207"/>
      <c r="AC570" s="2207"/>
      <c r="AD570" s="2207"/>
      <c r="AE570" s="2207"/>
      <c r="AF570" s="2207"/>
      <c r="AG570" s="2207"/>
      <c r="AH570" s="2207"/>
      <c r="AI570" s="2207"/>
      <c r="AJ570" s="2207"/>
      <c r="AK570" s="536"/>
      <c r="AL570" s="536"/>
      <c r="AM570" s="536"/>
      <c r="AN570" s="530"/>
      <c r="AQ570" s="503"/>
      <c r="AR570" s="503"/>
    </row>
    <row r="571" spans="1:46" s="483" customFormat="1" ht="12.75" customHeight="1">
      <c r="A571" s="536"/>
      <c r="B571" s="544"/>
      <c r="C571" s="2207"/>
      <c r="D571" s="2207"/>
      <c r="E571" s="2207"/>
      <c r="F571" s="2207"/>
      <c r="G571" s="2207"/>
      <c r="H571" s="2207"/>
      <c r="I571" s="2207"/>
      <c r="J571" s="2207"/>
      <c r="K571" s="2207"/>
      <c r="L571" s="2207"/>
      <c r="M571" s="2207"/>
      <c r="N571" s="2207"/>
      <c r="O571" s="2207"/>
      <c r="P571" s="2207"/>
      <c r="Q571" s="2207"/>
      <c r="R571" s="2207"/>
      <c r="S571" s="2207"/>
      <c r="T571" s="2207"/>
      <c r="U571" s="2207"/>
      <c r="V571" s="2207"/>
      <c r="W571" s="2207"/>
      <c r="X571" s="2207"/>
      <c r="Y571" s="2207"/>
      <c r="Z571" s="2207"/>
      <c r="AA571" s="2207"/>
      <c r="AB571" s="2207"/>
      <c r="AC571" s="2207"/>
      <c r="AD571" s="2207"/>
      <c r="AE571" s="2207"/>
      <c r="AF571" s="2207"/>
      <c r="AG571" s="2207"/>
      <c r="AH571" s="2207"/>
      <c r="AI571" s="2207"/>
      <c r="AJ571" s="2207"/>
      <c r="AK571" s="536"/>
      <c r="AL571" s="536"/>
      <c r="AM571" s="536"/>
      <c r="AN571" s="530"/>
      <c r="AO571" s="627"/>
      <c r="AP571" s="627"/>
      <c r="AQ571" s="503"/>
    </row>
    <row r="572" spans="1:46" s="483" customFormat="1" ht="11.85" customHeight="1">
      <c r="A572" s="536"/>
      <c r="B572" s="544"/>
      <c r="C572" s="2207"/>
      <c r="D572" s="2207"/>
      <c r="E572" s="2207"/>
      <c r="F572" s="2207"/>
      <c r="G572" s="2207"/>
      <c r="H572" s="2207"/>
      <c r="I572" s="2207"/>
      <c r="J572" s="2207"/>
      <c r="K572" s="2207"/>
      <c r="L572" s="2207"/>
      <c r="M572" s="2207"/>
      <c r="N572" s="2207"/>
      <c r="O572" s="2207"/>
      <c r="P572" s="2207"/>
      <c r="Q572" s="2207"/>
      <c r="R572" s="2207"/>
      <c r="S572" s="2207"/>
      <c r="T572" s="2207"/>
      <c r="U572" s="2207"/>
      <c r="V572" s="2207"/>
      <c r="W572" s="2207"/>
      <c r="X572" s="2207"/>
      <c r="Y572" s="2207"/>
      <c r="Z572" s="2207"/>
      <c r="AA572" s="2207"/>
      <c r="AB572" s="2207"/>
      <c r="AC572" s="2207"/>
      <c r="AD572" s="2207"/>
      <c r="AE572" s="2207"/>
      <c r="AF572" s="2207"/>
      <c r="AG572" s="2207"/>
      <c r="AH572" s="2207"/>
      <c r="AI572" s="2207"/>
      <c r="AJ572" s="2207"/>
      <c r="AK572" s="536"/>
      <c r="AL572" s="536"/>
      <c r="AM572" s="536"/>
      <c r="AN572" s="530"/>
      <c r="AO572" s="628" t="s">
        <v>17</v>
      </c>
      <c r="AP572" s="629">
        <f>IF(C596="Yes",5,0)</f>
        <v>0</v>
      </c>
      <c r="AS572" s="472" t="s">
        <v>2363</v>
      </c>
    </row>
    <row r="573" spans="1:46" s="483" customFormat="1" ht="12.75" customHeight="1">
      <c r="A573" s="536"/>
      <c r="B573" s="544"/>
      <c r="C573" s="2207"/>
      <c r="D573" s="2207"/>
      <c r="E573" s="2207"/>
      <c r="F573" s="2207"/>
      <c r="G573" s="2207"/>
      <c r="H573" s="2207"/>
      <c r="I573" s="2207"/>
      <c r="J573" s="2207"/>
      <c r="K573" s="2207"/>
      <c r="L573" s="2207"/>
      <c r="M573" s="2207"/>
      <c r="N573" s="2207"/>
      <c r="O573" s="2207"/>
      <c r="P573" s="2207"/>
      <c r="Q573" s="2207"/>
      <c r="R573" s="2207"/>
      <c r="S573" s="2207"/>
      <c r="T573" s="2207"/>
      <c r="U573" s="2207"/>
      <c r="V573" s="2207"/>
      <c r="W573" s="2207"/>
      <c r="X573" s="2207"/>
      <c r="Y573" s="2207"/>
      <c r="Z573" s="2207"/>
      <c r="AA573" s="2207"/>
      <c r="AB573" s="2207"/>
      <c r="AC573" s="2207"/>
      <c r="AD573" s="2207"/>
      <c r="AE573" s="2207"/>
      <c r="AF573" s="2207"/>
      <c r="AG573" s="2207"/>
      <c r="AH573" s="2207"/>
      <c r="AI573" s="2207"/>
      <c r="AJ573" s="2207"/>
      <c r="AK573" s="536"/>
      <c r="AL573" s="536"/>
      <c r="AM573" s="536"/>
      <c r="AN573" s="530"/>
      <c r="AO573" s="628" t="s">
        <v>30</v>
      </c>
      <c r="AP573" s="629">
        <f>IF(C604="Yes",5,0)</f>
        <v>5</v>
      </c>
      <c r="AS573" s="2173">
        <f>IF(Application!D210="Non-Targeted",(SUM(AQ581+AQ590)),AS577)</f>
        <v>10</v>
      </c>
      <c r="AT573" s="2173"/>
    </row>
    <row r="574" spans="1:46" s="483" customFormat="1" ht="12.75" customHeight="1">
      <c r="A574" s="536"/>
      <c r="B574" s="544"/>
      <c r="C574" s="2207"/>
      <c r="D574" s="2207"/>
      <c r="E574" s="2207"/>
      <c r="F574" s="2207"/>
      <c r="G574" s="2207"/>
      <c r="H574" s="2207"/>
      <c r="I574" s="2207"/>
      <c r="J574" s="2207"/>
      <c r="K574" s="2207"/>
      <c r="L574" s="2207"/>
      <c r="M574" s="2207"/>
      <c r="N574" s="2207"/>
      <c r="O574" s="2207"/>
      <c r="P574" s="2207"/>
      <c r="Q574" s="2207"/>
      <c r="R574" s="2207"/>
      <c r="S574" s="2207"/>
      <c r="T574" s="2207"/>
      <c r="U574" s="2207"/>
      <c r="V574" s="2207"/>
      <c r="W574" s="2207"/>
      <c r="X574" s="2207"/>
      <c r="Y574" s="2207"/>
      <c r="Z574" s="2207"/>
      <c r="AA574" s="2207"/>
      <c r="AB574" s="2207"/>
      <c r="AC574" s="2207"/>
      <c r="AD574" s="2207"/>
      <c r="AE574" s="2207"/>
      <c r="AF574" s="2207"/>
      <c r="AG574" s="2207"/>
      <c r="AH574" s="2207"/>
      <c r="AI574" s="2207"/>
      <c r="AJ574" s="2207"/>
      <c r="AK574" s="536"/>
      <c r="AL574" s="536"/>
      <c r="AM574" s="536"/>
      <c r="AN574" s="530"/>
      <c r="AO574" s="628" t="s">
        <v>38</v>
      </c>
      <c r="AP574" s="629">
        <f>IF(C612="Yes",7,0)</f>
        <v>0</v>
      </c>
      <c r="AS574" s="472" t="s">
        <v>2364</v>
      </c>
    </row>
    <row r="575" spans="1:46" s="483" customFormat="1" ht="12.75" customHeight="1">
      <c r="A575" s="536"/>
      <c r="B575" s="544"/>
      <c r="C575" s="2207"/>
      <c r="D575" s="2207"/>
      <c r="E575" s="2207"/>
      <c r="F575" s="2207"/>
      <c r="G575" s="2207"/>
      <c r="H575" s="2207"/>
      <c r="I575" s="2207"/>
      <c r="J575" s="2207"/>
      <c r="K575" s="2207"/>
      <c r="L575" s="2207"/>
      <c r="M575" s="2207"/>
      <c r="N575" s="2207"/>
      <c r="O575" s="2207"/>
      <c r="P575" s="2207"/>
      <c r="Q575" s="2207"/>
      <c r="R575" s="2207"/>
      <c r="S575" s="2207"/>
      <c r="T575" s="2207"/>
      <c r="U575" s="2207"/>
      <c r="V575" s="2207"/>
      <c r="W575" s="2207"/>
      <c r="X575" s="2207"/>
      <c r="Y575" s="2207"/>
      <c r="Z575" s="2207"/>
      <c r="AA575" s="2207"/>
      <c r="AB575" s="2207"/>
      <c r="AC575" s="2207"/>
      <c r="AD575" s="2207"/>
      <c r="AE575" s="2207"/>
      <c r="AF575" s="2207"/>
      <c r="AG575" s="2207"/>
      <c r="AH575" s="2207"/>
      <c r="AI575" s="2207"/>
      <c r="AJ575" s="2207"/>
      <c r="AK575" s="536"/>
      <c r="AL575" s="536"/>
      <c r="AM575" s="536"/>
      <c r="AN575" s="530"/>
      <c r="AO575" s="530"/>
      <c r="AP575" s="629">
        <f>IF(C614="Yes",5,0)</f>
        <v>0</v>
      </c>
      <c r="AS575" s="2173">
        <f>IF(AND(AQ581&gt;0,AQ590&gt;0),(AQ581+AQ590)/2,0)</f>
        <v>0</v>
      </c>
      <c r="AT575" s="2173"/>
    </row>
    <row r="576" spans="1:46" s="483" customFormat="1" ht="12.75" customHeight="1">
      <c r="A576" s="536"/>
      <c r="B576" s="544"/>
      <c r="C576" s="2207"/>
      <c r="D576" s="2207"/>
      <c r="E576" s="2207"/>
      <c r="F576" s="2207"/>
      <c r="G576" s="2207"/>
      <c r="H576" s="2207"/>
      <c r="I576" s="2207"/>
      <c r="J576" s="2207"/>
      <c r="K576" s="2207"/>
      <c r="L576" s="2207"/>
      <c r="M576" s="2207"/>
      <c r="N576" s="2207"/>
      <c r="O576" s="2207"/>
      <c r="P576" s="2207"/>
      <c r="Q576" s="2207"/>
      <c r="R576" s="2207"/>
      <c r="S576" s="2207"/>
      <c r="T576" s="2207"/>
      <c r="U576" s="2207"/>
      <c r="V576" s="2207"/>
      <c r="W576" s="2207"/>
      <c r="X576" s="2207"/>
      <c r="Y576" s="2207"/>
      <c r="Z576" s="2207"/>
      <c r="AA576" s="2207"/>
      <c r="AB576" s="2207"/>
      <c r="AC576" s="2207"/>
      <c r="AD576" s="2207"/>
      <c r="AE576" s="2207"/>
      <c r="AF576" s="2207"/>
      <c r="AG576" s="2207"/>
      <c r="AH576" s="2207"/>
      <c r="AI576" s="2207"/>
      <c r="AJ576" s="2207"/>
      <c r="AK576" s="536"/>
      <c r="AL576" s="536"/>
      <c r="AM576" s="536"/>
      <c r="AN576" s="530"/>
      <c r="AO576" s="628" t="s">
        <v>81</v>
      </c>
      <c r="AP576" s="629">
        <f>IF(C622="Yes",5,0)</f>
        <v>0</v>
      </c>
      <c r="AS576" s="472" t="s">
        <v>2365</v>
      </c>
    </row>
    <row r="577" spans="1:81" s="483" customFormat="1" ht="12.75" customHeight="1">
      <c r="A577" s="536"/>
      <c r="B577" s="544"/>
      <c r="C577" s="2306" t="s">
        <v>2366</v>
      </c>
      <c r="D577" s="2306"/>
      <c r="E577" s="2306"/>
      <c r="F577" s="2306"/>
      <c r="G577" s="2306"/>
      <c r="H577" s="2306"/>
      <c r="I577" s="2306"/>
      <c r="J577" s="2306"/>
      <c r="K577" s="2306"/>
      <c r="L577" s="2306"/>
      <c r="M577" s="2306"/>
      <c r="N577" s="2306"/>
      <c r="O577" s="2306"/>
      <c r="P577" s="2306"/>
      <c r="Q577" s="2306"/>
      <c r="R577" s="2306"/>
      <c r="S577" s="2306"/>
      <c r="T577" s="2306"/>
      <c r="U577" s="2306"/>
      <c r="V577" s="2306"/>
      <c r="W577" s="2306"/>
      <c r="X577" s="2306"/>
      <c r="Y577" s="2306"/>
      <c r="Z577" s="2306"/>
      <c r="AA577" s="2306"/>
      <c r="AB577" s="2306"/>
      <c r="AC577" s="2306"/>
      <c r="AD577" s="2306"/>
      <c r="AE577" s="2306"/>
      <c r="AF577" s="2306"/>
      <c r="AG577" s="2306"/>
      <c r="AH577" s="2306"/>
      <c r="AI577" s="2306"/>
      <c r="AJ577" s="2306"/>
      <c r="AK577" s="536"/>
      <c r="AL577" s="536"/>
      <c r="AM577" s="536"/>
      <c r="AN577" s="530"/>
      <c r="AO577" s="530"/>
      <c r="AP577" s="629">
        <f>IF(C624="Yes",3,0)</f>
        <v>0</v>
      </c>
      <c r="AS577" s="2173">
        <f>IF(AQ581=0,AQ590,AQ581)</f>
        <v>10</v>
      </c>
      <c r="AT577" s="2173"/>
    </row>
    <row r="578" spans="1:81" s="483" customFormat="1" ht="12.75" customHeight="1">
      <c r="A578" s="536"/>
      <c r="B578" s="544"/>
      <c r="C578" s="2306"/>
      <c r="D578" s="2306"/>
      <c r="E578" s="2306"/>
      <c r="F578" s="2306"/>
      <c r="G578" s="2306"/>
      <c r="H578" s="2306"/>
      <c r="I578" s="2306"/>
      <c r="J578" s="2306"/>
      <c r="K578" s="2306"/>
      <c r="L578" s="2306"/>
      <c r="M578" s="2306"/>
      <c r="N578" s="2306"/>
      <c r="O578" s="2306"/>
      <c r="P578" s="2306"/>
      <c r="Q578" s="2306"/>
      <c r="R578" s="2306"/>
      <c r="S578" s="2306"/>
      <c r="T578" s="2306"/>
      <c r="U578" s="2306"/>
      <c r="V578" s="2306"/>
      <c r="W578" s="2306"/>
      <c r="X578" s="2306"/>
      <c r="Y578" s="2306"/>
      <c r="Z578" s="2306"/>
      <c r="AA578" s="2306"/>
      <c r="AB578" s="2306"/>
      <c r="AC578" s="2306"/>
      <c r="AD578" s="2306"/>
      <c r="AE578" s="2306"/>
      <c r="AF578" s="2306"/>
      <c r="AG578" s="2306"/>
      <c r="AH578" s="2306"/>
      <c r="AI578" s="2306"/>
      <c r="AJ578" s="2306"/>
      <c r="AK578" s="536"/>
      <c r="AL578" s="536"/>
      <c r="AM578" s="536"/>
      <c r="AN578" s="530"/>
      <c r="AO578" s="628" t="s">
        <v>85</v>
      </c>
      <c r="AP578" s="629">
        <f>IF(C627="Yes",5,0)</f>
        <v>0</v>
      </c>
    </row>
    <row r="579" spans="1:81" s="483" customFormat="1" ht="12.75" customHeight="1">
      <c r="A579" s="536"/>
      <c r="B579" s="544"/>
      <c r="C579" s="2306"/>
      <c r="D579" s="2306"/>
      <c r="E579" s="2306"/>
      <c r="F579" s="2306"/>
      <c r="G579" s="2306"/>
      <c r="H579" s="2306"/>
      <c r="I579" s="2306"/>
      <c r="J579" s="2306"/>
      <c r="K579" s="2306"/>
      <c r="L579" s="2306"/>
      <c r="M579" s="2306"/>
      <c r="N579" s="2306"/>
      <c r="O579" s="2306"/>
      <c r="P579" s="2306"/>
      <c r="Q579" s="2306"/>
      <c r="R579" s="2306"/>
      <c r="S579" s="2306"/>
      <c r="T579" s="2306"/>
      <c r="U579" s="2306"/>
      <c r="V579" s="2306"/>
      <c r="W579" s="2306"/>
      <c r="X579" s="2306"/>
      <c r="Y579" s="2306"/>
      <c r="Z579" s="2306"/>
      <c r="AA579" s="2306"/>
      <c r="AB579" s="2306"/>
      <c r="AC579" s="2306"/>
      <c r="AD579" s="2306"/>
      <c r="AE579" s="2306"/>
      <c r="AF579" s="2306"/>
      <c r="AG579" s="2306"/>
      <c r="AH579" s="2306"/>
      <c r="AI579" s="2306"/>
      <c r="AJ579" s="2306"/>
      <c r="AK579" s="536"/>
      <c r="AL579" s="536"/>
      <c r="AM579" s="536"/>
      <c r="AN579" s="530"/>
      <c r="AO579" s="628" t="s">
        <v>1461</v>
      </c>
      <c r="AP579" s="629">
        <f>IF(C636="Yes",5,0)</f>
        <v>5</v>
      </c>
    </row>
    <row r="580" spans="1:81" s="483" customFormat="1" ht="11.85" customHeight="1">
      <c r="A580" s="536"/>
      <c r="B580" s="544"/>
      <c r="C580" s="2306"/>
      <c r="D580" s="2306"/>
      <c r="E580" s="2306"/>
      <c r="F580" s="2306"/>
      <c r="G580" s="2306"/>
      <c r="H580" s="2306"/>
      <c r="I580" s="2306"/>
      <c r="J580" s="2306"/>
      <c r="K580" s="2306"/>
      <c r="L580" s="2306"/>
      <c r="M580" s="2306"/>
      <c r="N580" s="2306"/>
      <c r="O580" s="2306"/>
      <c r="P580" s="2306"/>
      <c r="Q580" s="2306"/>
      <c r="R580" s="2306"/>
      <c r="S580" s="2306"/>
      <c r="T580" s="2306"/>
      <c r="U580" s="2306"/>
      <c r="V580" s="2306"/>
      <c r="W580" s="2306"/>
      <c r="X580" s="2306"/>
      <c r="Y580" s="2306"/>
      <c r="Z580" s="2306"/>
      <c r="AA580" s="2306"/>
      <c r="AB580" s="2306"/>
      <c r="AC580" s="2306"/>
      <c r="AD580" s="2306"/>
      <c r="AE580" s="2306"/>
      <c r="AF580" s="2306"/>
      <c r="AG580" s="2306"/>
      <c r="AH580" s="2306"/>
      <c r="AI580" s="2306"/>
      <c r="AJ580" s="2306"/>
      <c r="AK580" s="536"/>
      <c r="AL580" s="536"/>
      <c r="AM580" s="536"/>
      <c r="AN580" s="530"/>
      <c r="AO580" s="630"/>
      <c r="AP580" s="631">
        <f>IF(C638="Yes",3,0)</f>
        <v>0</v>
      </c>
    </row>
    <row r="581" spans="1:81" s="483" customFormat="1" ht="12.4" customHeight="1">
      <c r="A581" s="536"/>
      <c r="B581" s="544"/>
      <c r="C581" s="2306"/>
      <c r="D581" s="2306"/>
      <c r="E581" s="2306"/>
      <c r="F581" s="2306"/>
      <c r="G581" s="2306"/>
      <c r="H581" s="2306"/>
      <c r="I581" s="2306"/>
      <c r="J581" s="2306"/>
      <c r="K581" s="2306"/>
      <c r="L581" s="2306"/>
      <c r="M581" s="2306"/>
      <c r="N581" s="2306"/>
      <c r="O581" s="2306"/>
      <c r="P581" s="2306"/>
      <c r="Q581" s="2306"/>
      <c r="R581" s="2306"/>
      <c r="S581" s="2306"/>
      <c r="T581" s="2306"/>
      <c r="U581" s="2306"/>
      <c r="V581" s="2306"/>
      <c r="W581" s="2306"/>
      <c r="X581" s="2306"/>
      <c r="Y581" s="2306"/>
      <c r="Z581" s="2306"/>
      <c r="AA581" s="2306"/>
      <c r="AB581" s="2306"/>
      <c r="AC581" s="2306"/>
      <c r="AD581" s="2306"/>
      <c r="AE581" s="2306"/>
      <c r="AF581" s="2306"/>
      <c r="AG581" s="2306"/>
      <c r="AH581" s="2306"/>
      <c r="AI581" s="2306"/>
      <c r="AJ581" s="2306"/>
      <c r="AK581" s="536"/>
      <c r="AL581" s="536"/>
      <c r="AM581" s="536"/>
      <c r="AN581" s="530"/>
      <c r="AO581" s="632" t="s">
        <v>2367</v>
      </c>
      <c r="AP581" s="633">
        <f>SUM(AP572:AP580)</f>
        <v>10</v>
      </c>
      <c r="AQ581" s="2210">
        <f>IF(AP581&gt;0,AP581,0)</f>
        <v>10</v>
      </c>
      <c r="AR581" s="2210"/>
    </row>
    <row r="582" spans="1:81" s="483" customFormat="1" ht="12.75" customHeight="1">
      <c r="A582" s="536"/>
      <c r="B582" s="544"/>
      <c r="C582" s="2306"/>
      <c r="D582" s="2306"/>
      <c r="E582" s="2306"/>
      <c r="F582" s="2306"/>
      <c r="G582" s="2306"/>
      <c r="H582" s="2306"/>
      <c r="I582" s="2306"/>
      <c r="J582" s="2306"/>
      <c r="K582" s="2306"/>
      <c r="L582" s="2306"/>
      <c r="M582" s="2306"/>
      <c r="N582" s="2306"/>
      <c r="O582" s="2306"/>
      <c r="P582" s="2306"/>
      <c r="Q582" s="2306"/>
      <c r="R582" s="2306"/>
      <c r="S582" s="2306"/>
      <c r="T582" s="2306"/>
      <c r="U582" s="2306"/>
      <c r="V582" s="2306"/>
      <c r="W582" s="2306"/>
      <c r="X582" s="2306"/>
      <c r="Y582" s="2306"/>
      <c r="Z582" s="2306"/>
      <c r="AA582" s="2306"/>
      <c r="AB582" s="2306"/>
      <c r="AC582" s="2306"/>
      <c r="AD582" s="2306"/>
      <c r="AE582" s="2306"/>
      <c r="AF582" s="2306"/>
      <c r="AG582" s="2306"/>
      <c r="AH582" s="2306"/>
      <c r="AI582" s="2306"/>
      <c r="AJ582" s="2306"/>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1463</v>
      </c>
      <c r="AP583" s="629">
        <f>IF(C645="Yes",5,0)</f>
        <v>0</v>
      </c>
    </row>
    <row r="584" spans="1:81" s="483" customFormat="1" ht="12.75" customHeight="1">
      <c r="A584" s="536"/>
      <c r="B584" s="544"/>
      <c r="C584" s="2207" t="s">
        <v>2368</v>
      </c>
      <c r="D584" s="2207"/>
      <c r="E584" s="2207"/>
      <c r="F584" s="2207"/>
      <c r="G584" s="2207"/>
      <c r="H584" s="2207"/>
      <c r="I584" s="2207"/>
      <c r="J584" s="2207"/>
      <c r="K584" s="2207"/>
      <c r="L584" s="2207"/>
      <c r="M584" s="2207"/>
      <c r="N584" s="2207"/>
      <c r="O584" s="2207"/>
      <c r="P584" s="2207"/>
      <c r="Q584" s="2207"/>
      <c r="R584" s="2207"/>
      <c r="S584" s="2207"/>
      <c r="T584" s="2207"/>
      <c r="U584" s="2207"/>
      <c r="V584" s="2207"/>
      <c r="W584" s="2207"/>
      <c r="X584" s="2207"/>
      <c r="Y584" s="2207"/>
      <c r="Z584" s="2207"/>
      <c r="AA584" s="2207"/>
      <c r="AB584" s="2207"/>
      <c r="AC584" s="2207"/>
      <c r="AD584" s="2207"/>
      <c r="AE584" s="2207"/>
      <c r="AF584" s="2207"/>
      <c r="AG584" s="2207"/>
      <c r="AH584" s="2207"/>
      <c r="AI584" s="2207"/>
      <c r="AJ584" s="2207"/>
      <c r="AK584" s="536"/>
      <c r="AL584" s="536"/>
      <c r="AM584" s="536"/>
      <c r="AN584" s="530"/>
      <c r="AO584" s="628" t="s">
        <v>1465</v>
      </c>
      <c r="AP584" s="629">
        <f>IF(C657="Yes",5,0)</f>
        <v>0</v>
      </c>
    </row>
    <row r="585" spans="1:81" s="483" customFormat="1" ht="12.75" customHeight="1">
      <c r="A585" s="536"/>
      <c r="B585" s="544"/>
      <c r="C585" s="2207"/>
      <c r="D585" s="2207"/>
      <c r="E585" s="2207"/>
      <c r="F585" s="2207"/>
      <c r="G585" s="2207"/>
      <c r="H585" s="2207"/>
      <c r="I585" s="2207"/>
      <c r="J585" s="2207"/>
      <c r="K585" s="2207"/>
      <c r="L585" s="2207"/>
      <c r="M585" s="2207"/>
      <c r="N585" s="2207"/>
      <c r="O585" s="2207"/>
      <c r="P585" s="2207"/>
      <c r="Q585" s="2207"/>
      <c r="R585" s="2207"/>
      <c r="S585" s="2207"/>
      <c r="T585" s="2207"/>
      <c r="U585" s="2207"/>
      <c r="V585" s="2207"/>
      <c r="W585" s="2207"/>
      <c r="X585" s="2207"/>
      <c r="Y585" s="2207"/>
      <c r="Z585" s="2207"/>
      <c r="AA585" s="2207"/>
      <c r="AB585" s="2207"/>
      <c r="AC585" s="2207"/>
      <c r="AD585" s="2207"/>
      <c r="AE585" s="2207"/>
      <c r="AF585" s="2207"/>
      <c r="AG585" s="2207"/>
      <c r="AH585" s="2207"/>
      <c r="AI585" s="2207"/>
      <c r="AJ585" s="2207"/>
      <c r="AK585" s="536"/>
      <c r="AL585" s="536"/>
      <c r="AM585" s="536"/>
      <c r="AN585" s="530"/>
      <c r="AO585" s="628" t="s">
        <v>1467</v>
      </c>
      <c r="AP585" s="629">
        <f>IF(C664="Yes",5,0)</f>
        <v>0</v>
      </c>
    </row>
    <row r="586" spans="1:81" s="483" customFormat="1" ht="68.099999999999994" customHeight="1">
      <c r="A586" s="536"/>
      <c r="B586" s="544"/>
      <c r="C586" s="2207"/>
      <c r="D586" s="2207"/>
      <c r="E586" s="2207"/>
      <c r="F586" s="2207"/>
      <c r="G586" s="2207"/>
      <c r="H586" s="2207"/>
      <c r="I586" s="2207"/>
      <c r="J586" s="2207"/>
      <c r="K586" s="2207"/>
      <c r="L586" s="2207"/>
      <c r="M586" s="2207"/>
      <c r="N586" s="2207"/>
      <c r="O586" s="2207"/>
      <c r="P586" s="2207"/>
      <c r="Q586" s="2207"/>
      <c r="R586" s="2207"/>
      <c r="S586" s="2207"/>
      <c r="T586" s="2207"/>
      <c r="U586" s="2207"/>
      <c r="V586" s="2207"/>
      <c r="W586" s="2207"/>
      <c r="X586" s="2207"/>
      <c r="Y586" s="2207"/>
      <c r="Z586" s="2207"/>
      <c r="AA586" s="2207"/>
      <c r="AB586" s="2207"/>
      <c r="AC586" s="2207"/>
      <c r="AD586" s="2207"/>
      <c r="AE586" s="2207"/>
      <c r="AF586" s="2207"/>
      <c r="AG586" s="2207"/>
      <c r="AH586" s="2207"/>
      <c r="AI586" s="2207"/>
      <c r="AJ586" s="2207"/>
      <c r="AK586" s="536"/>
      <c r="AL586" s="536"/>
      <c r="AM586" s="536"/>
      <c r="AN586" s="530"/>
      <c r="AO586" s="628" t="s">
        <v>1469</v>
      </c>
      <c r="AP586" s="634">
        <f>IF(C668="Yes",5,0)</f>
        <v>0</v>
      </c>
    </row>
    <row r="587" spans="1:81" s="483" customFormat="1" ht="12.4" customHeight="1">
      <c r="A587" s="536"/>
      <c r="B587" s="544"/>
      <c r="C587" s="483" t="s">
        <v>2369</v>
      </c>
      <c r="AF587" s="536"/>
      <c r="AG587" s="536"/>
      <c r="AH587" s="536"/>
      <c r="AI587" s="536"/>
      <c r="AJ587" s="536"/>
      <c r="AK587" s="536"/>
      <c r="AL587" s="536"/>
      <c r="AM587" s="536"/>
      <c r="AN587" s="530"/>
      <c r="AO587" s="628" t="s">
        <v>1470</v>
      </c>
      <c r="AP587" s="629">
        <f>IF(C672="Yes",5,0)</f>
        <v>0</v>
      </c>
    </row>
    <row r="588" spans="1:81" s="483" customFormat="1" ht="12.75" customHeight="1">
      <c r="A588" s="536"/>
      <c r="B588" s="544"/>
      <c r="C588" s="635" t="s">
        <v>2370</v>
      </c>
      <c r="D588" s="636"/>
      <c r="E588" s="636"/>
      <c r="F588" s="636"/>
      <c r="G588" s="636"/>
      <c r="H588" s="636"/>
      <c r="I588" s="636"/>
      <c r="J588" s="636"/>
      <c r="K588" s="636"/>
      <c r="L588" s="636"/>
      <c r="M588" s="600"/>
      <c r="N588" s="600"/>
      <c r="O588" s="637"/>
      <c r="P588" s="636"/>
      <c r="Q588" s="636"/>
      <c r="R588" s="600"/>
      <c r="S588" s="600"/>
      <c r="T588" s="636"/>
      <c r="U588" s="2208">
        <f>Application!CS663-U589</f>
        <v>214</v>
      </c>
      <c r="V588" s="2208"/>
      <c r="W588" s="2208"/>
      <c r="X588" s="636"/>
      <c r="Y588" s="636"/>
      <c r="Z588" s="636"/>
      <c r="AA588" s="638"/>
      <c r="AB588" s="639"/>
      <c r="AC588" s="639"/>
      <c r="AD588" s="639"/>
      <c r="AE588" s="536"/>
      <c r="AF588" s="536"/>
      <c r="AG588" s="536"/>
      <c r="AH588" s="536"/>
      <c r="AI588" s="536"/>
      <c r="AJ588" s="536"/>
      <c r="AK588" s="536"/>
      <c r="AL588" s="536"/>
      <c r="AM588" s="536"/>
      <c r="AN588" s="530"/>
      <c r="AO588" s="628" t="s">
        <v>1471</v>
      </c>
      <c r="AP588" s="629">
        <f>IF(C681="Yes",5,0)</f>
        <v>0</v>
      </c>
    </row>
    <row r="589" spans="1:81" s="483" customFormat="1" ht="12.75" customHeight="1">
      <c r="A589" s="536"/>
      <c r="B589" s="544"/>
      <c r="C589" s="640" t="s">
        <v>2371</v>
      </c>
      <c r="D589" s="627"/>
      <c r="E589" s="627"/>
      <c r="F589" s="627"/>
      <c r="G589" s="627"/>
      <c r="H589" s="627"/>
      <c r="I589" s="627"/>
      <c r="J589" s="627"/>
      <c r="K589" s="627"/>
      <c r="L589" s="627"/>
      <c r="M589" s="627"/>
      <c r="N589" s="627"/>
      <c r="O589" s="627"/>
      <c r="P589" s="627"/>
      <c r="Q589" s="627"/>
      <c r="R589" s="627"/>
      <c r="S589" s="627"/>
      <c r="T589" s="627"/>
      <c r="U589" s="2209">
        <f>Application!AG756</f>
        <v>0</v>
      </c>
      <c r="V589" s="2209"/>
      <c r="W589" s="2209"/>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2367</v>
      </c>
      <c r="AP590" s="644">
        <f>SUM(AP583:AP588)</f>
        <v>0</v>
      </c>
      <c r="AQ590" s="2210">
        <f>IF(AP590&gt;0,AP590,0)</f>
        <v>0</v>
      </c>
      <c r="AR590" s="2210"/>
    </row>
    <row r="591" spans="1:81" s="483" customFormat="1" ht="12.75" customHeight="1">
      <c r="A591" s="536"/>
      <c r="B591" s="14"/>
      <c r="C591" s="645" t="s">
        <v>2372</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2094</v>
      </c>
      <c r="F592" s="2202" t="s">
        <v>2373</v>
      </c>
      <c r="G592" s="2202"/>
      <c r="H592" s="2202"/>
      <c r="I592" s="2202"/>
      <c r="J592" s="2202"/>
      <c r="K592" s="2202"/>
      <c r="L592" s="2202"/>
      <c r="M592" s="2202"/>
      <c r="N592" s="2202"/>
      <c r="O592" s="2202"/>
      <c r="P592" s="2202"/>
      <c r="Q592" s="2202"/>
      <c r="R592" s="2202"/>
      <c r="S592" s="2202"/>
      <c r="T592" s="2202"/>
      <c r="U592" s="2202"/>
      <c r="V592" s="2202"/>
      <c r="W592" s="2202"/>
      <c r="X592" s="2202"/>
      <c r="Y592" s="2202"/>
      <c r="Z592" s="2202"/>
      <c r="AA592" s="2202"/>
      <c r="AB592" s="2202"/>
      <c r="AC592" s="2202"/>
      <c r="AD592" s="2202"/>
      <c r="AE592" s="2202"/>
      <c r="AF592" s="2202"/>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03"/>
      <c r="G593" s="2203"/>
      <c r="H593" s="2203"/>
      <c r="I593" s="2203"/>
      <c r="J593" s="2203"/>
      <c r="K593" s="2203"/>
      <c r="L593" s="2203"/>
      <c r="M593" s="2203"/>
      <c r="N593" s="2203"/>
      <c r="O593" s="2203"/>
      <c r="P593" s="2203"/>
      <c r="Q593" s="2203"/>
      <c r="R593" s="2203"/>
      <c r="S593" s="2203"/>
      <c r="T593" s="2203"/>
      <c r="U593" s="2203"/>
      <c r="V593" s="2203"/>
      <c r="W593" s="2203"/>
      <c r="X593" s="2203"/>
      <c r="Y593" s="2203"/>
      <c r="Z593" s="2203"/>
      <c r="AA593" s="2203"/>
      <c r="AB593" s="2203"/>
      <c r="AC593" s="2203"/>
      <c r="AD593" s="2203"/>
      <c r="AE593" s="2203"/>
      <c r="AF593" s="2203"/>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03"/>
      <c r="G594" s="2203"/>
      <c r="H594" s="2203"/>
      <c r="I594" s="2203"/>
      <c r="J594" s="2203"/>
      <c r="K594" s="2203"/>
      <c r="L594" s="2203"/>
      <c r="M594" s="2203"/>
      <c r="N594" s="2203"/>
      <c r="O594" s="2203"/>
      <c r="P594" s="2203"/>
      <c r="Q594" s="2203"/>
      <c r="R594" s="2203"/>
      <c r="S594" s="2203"/>
      <c r="T594" s="2203"/>
      <c r="U594" s="2203"/>
      <c r="V594" s="2203"/>
      <c r="W594" s="2203"/>
      <c r="X594" s="2203"/>
      <c r="Y594" s="2203"/>
      <c r="Z594" s="2203"/>
      <c r="AA594" s="2203"/>
      <c r="AB594" s="2203"/>
      <c r="AC594" s="2203"/>
      <c r="AD594" s="2203"/>
      <c r="AE594" s="2203"/>
      <c r="AF594" s="2203"/>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03"/>
      <c r="G595" s="2203"/>
      <c r="H595" s="2203"/>
      <c r="I595" s="2203"/>
      <c r="J595" s="2203"/>
      <c r="K595" s="2203"/>
      <c r="L595" s="2203"/>
      <c r="M595" s="2203"/>
      <c r="N595" s="2203"/>
      <c r="O595" s="2203"/>
      <c r="P595" s="2203"/>
      <c r="Q595" s="2203"/>
      <c r="R595" s="2203"/>
      <c r="S595" s="2203"/>
      <c r="T595" s="2203"/>
      <c r="U595" s="2203"/>
      <c r="V595" s="2203"/>
      <c r="W595" s="2203"/>
      <c r="X595" s="2203"/>
      <c r="Y595" s="2203"/>
      <c r="Z595" s="2203"/>
      <c r="AA595" s="2203"/>
      <c r="AB595" s="2203"/>
      <c r="AC595" s="2203"/>
      <c r="AD595" s="2203"/>
      <c r="AE595" s="2203"/>
      <c r="AF595" s="2203"/>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11" t="s">
        <v>299</v>
      </c>
      <c r="D596" s="2212"/>
      <c r="E596" s="652"/>
      <c r="F596" s="654" t="s">
        <v>2374</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01" t="s">
        <v>2375</v>
      </c>
      <c r="AG596" s="2201"/>
      <c r="AH596" s="2201"/>
      <c r="AI596" s="2201"/>
      <c r="AJ596" s="2201"/>
      <c r="AK596" s="2201"/>
      <c r="AL596" s="2213"/>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2097</v>
      </c>
      <c r="F599" s="2202" t="s">
        <v>2376</v>
      </c>
      <c r="G599" s="2202"/>
      <c r="H599" s="2202"/>
      <c r="I599" s="2202"/>
      <c r="J599" s="2202"/>
      <c r="K599" s="2202"/>
      <c r="L599" s="2202"/>
      <c r="M599" s="2202"/>
      <c r="N599" s="2202"/>
      <c r="O599" s="2202"/>
      <c r="P599" s="2202"/>
      <c r="Q599" s="2202"/>
      <c r="R599" s="2202"/>
      <c r="S599" s="2202"/>
      <c r="T599" s="2202"/>
      <c r="U599" s="2202"/>
      <c r="V599" s="2202"/>
      <c r="W599" s="2202"/>
      <c r="X599" s="2202"/>
      <c r="Y599" s="2202"/>
      <c r="Z599" s="2202"/>
      <c r="AA599" s="2202"/>
      <c r="AB599" s="2202"/>
      <c r="AC599" s="2202"/>
      <c r="AD599" s="2202"/>
      <c r="AE599" s="2202"/>
      <c r="AF599" s="2202"/>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03"/>
      <c r="G600" s="2203"/>
      <c r="H600" s="2203"/>
      <c r="I600" s="2203"/>
      <c r="J600" s="2203"/>
      <c r="K600" s="2203"/>
      <c r="L600" s="2203"/>
      <c r="M600" s="2203"/>
      <c r="N600" s="2203"/>
      <c r="O600" s="2203"/>
      <c r="P600" s="2203"/>
      <c r="Q600" s="2203"/>
      <c r="R600" s="2203"/>
      <c r="S600" s="2203"/>
      <c r="T600" s="2203"/>
      <c r="U600" s="2203"/>
      <c r="V600" s="2203"/>
      <c r="W600" s="2203"/>
      <c r="X600" s="2203"/>
      <c r="Y600" s="2203"/>
      <c r="Z600" s="2203"/>
      <c r="AA600" s="2203"/>
      <c r="AB600" s="2203"/>
      <c r="AC600" s="2203"/>
      <c r="AD600" s="2203"/>
      <c r="AE600" s="2203"/>
      <c r="AF600" s="2203"/>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03"/>
      <c r="G601" s="2203"/>
      <c r="H601" s="2203"/>
      <c r="I601" s="2203"/>
      <c r="J601" s="2203"/>
      <c r="K601" s="2203"/>
      <c r="L601" s="2203"/>
      <c r="M601" s="2203"/>
      <c r="N601" s="2203"/>
      <c r="O601" s="2203"/>
      <c r="P601" s="2203"/>
      <c r="Q601" s="2203"/>
      <c r="R601" s="2203"/>
      <c r="S601" s="2203"/>
      <c r="T601" s="2203"/>
      <c r="U601" s="2203"/>
      <c r="V601" s="2203"/>
      <c r="W601" s="2203"/>
      <c r="X601" s="2203"/>
      <c r="Y601" s="2203"/>
      <c r="Z601" s="2203"/>
      <c r="AA601" s="2203"/>
      <c r="AB601" s="2203"/>
      <c r="AC601" s="2203"/>
      <c r="AD601" s="2203"/>
      <c r="AE601" s="2203"/>
      <c r="AF601" s="2203"/>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03"/>
      <c r="G602" s="2203"/>
      <c r="H602" s="2203"/>
      <c r="I602" s="2203"/>
      <c r="J602" s="2203"/>
      <c r="K602" s="2203"/>
      <c r="L602" s="2203"/>
      <c r="M602" s="2203"/>
      <c r="N602" s="2203"/>
      <c r="O602" s="2203"/>
      <c r="P602" s="2203"/>
      <c r="Q602" s="2203"/>
      <c r="R602" s="2203"/>
      <c r="S602" s="2203"/>
      <c r="T602" s="2203"/>
      <c r="U602" s="2203"/>
      <c r="V602" s="2203"/>
      <c r="W602" s="2203"/>
      <c r="X602" s="2203"/>
      <c r="Y602" s="2203"/>
      <c r="Z602" s="2203"/>
      <c r="AA602" s="2203"/>
      <c r="AB602" s="2203"/>
      <c r="AC602" s="2203"/>
      <c r="AD602" s="2203"/>
      <c r="AE602" s="2203"/>
      <c r="AF602" s="2203"/>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03"/>
      <c r="G603" s="2203"/>
      <c r="H603" s="2203"/>
      <c r="I603" s="2203"/>
      <c r="J603" s="2203"/>
      <c r="K603" s="2203"/>
      <c r="L603" s="2203"/>
      <c r="M603" s="2203"/>
      <c r="N603" s="2203"/>
      <c r="O603" s="2203"/>
      <c r="P603" s="2203"/>
      <c r="Q603" s="2203"/>
      <c r="R603" s="2203"/>
      <c r="S603" s="2203"/>
      <c r="T603" s="2203"/>
      <c r="U603" s="2203"/>
      <c r="V603" s="2203"/>
      <c r="W603" s="2203"/>
      <c r="X603" s="2203"/>
      <c r="Y603" s="2203"/>
      <c r="Z603" s="2203"/>
      <c r="AA603" s="2203"/>
      <c r="AB603" s="2203"/>
      <c r="AC603" s="2203"/>
      <c r="AD603" s="2203"/>
      <c r="AE603" s="2203"/>
      <c r="AF603" s="2203"/>
      <c r="AL603" s="665"/>
      <c r="AN603" s="530"/>
      <c r="BS603" s="26"/>
      <c r="BT603" s="26"/>
      <c r="BU603" s="14"/>
      <c r="BV603" s="14"/>
      <c r="BW603" s="14"/>
      <c r="BX603" s="14"/>
      <c r="BY603" s="14"/>
      <c r="BZ603" s="14"/>
      <c r="CA603" s="14"/>
      <c r="CB603" s="14"/>
      <c r="CC603" s="14"/>
    </row>
    <row r="604" spans="1:81" s="483" customFormat="1" ht="12.75" customHeight="1">
      <c r="A604" s="469"/>
      <c r="B604" s="14"/>
      <c r="C604" s="2211" t="s">
        <v>825</v>
      </c>
      <c r="D604" s="2212"/>
      <c r="E604" s="624"/>
      <c r="F604" s="654" t="s">
        <v>2377</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01" t="s">
        <v>2375</v>
      </c>
      <c r="AG604" s="2201"/>
      <c r="AH604" s="2201"/>
      <c r="AI604" s="2201"/>
      <c r="AJ604" s="2201"/>
      <c r="AK604" s="2201"/>
      <c r="AL604" s="2213"/>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2103</v>
      </c>
      <c r="F607" s="2202" t="s">
        <v>2378</v>
      </c>
      <c r="G607" s="2202"/>
      <c r="H607" s="2202"/>
      <c r="I607" s="2202"/>
      <c r="J607" s="2202"/>
      <c r="K607" s="2202"/>
      <c r="L607" s="2202"/>
      <c r="M607" s="2202"/>
      <c r="N607" s="2202"/>
      <c r="O607" s="2202"/>
      <c r="P607" s="2202"/>
      <c r="Q607" s="2202"/>
      <c r="R607" s="2202"/>
      <c r="S607" s="2202"/>
      <c r="T607" s="2202"/>
      <c r="U607" s="2202"/>
      <c r="V607" s="2202"/>
      <c r="W607" s="2202"/>
      <c r="X607" s="2202"/>
      <c r="Y607" s="2202"/>
      <c r="Z607" s="2202"/>
      <c r="AA607" s="2202"/>
      <c r="AB607" s="2202"/>
      <c r="AC607" s="2202"/>
      <c r="AD607" s="2202"/>
      <c r="AE607" s="2202"/>
      <c r="AF607" s="2202"/>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03"/>
      <c r="G608" s="2203"/>
      <c r="H608" s="2203"/>
      <c r="I608" s="2203"/>
      <c r="J608" s="2203"/>
      <c r="K608" s="2203"/>
      <c r="L608" s="2203"/>
      <c r="M608" s="2203"/>
      <c r="N608" s="2203"/>
      <c r="O608" s="2203"/>
      <c r="P608" s="2203"/>
      <c r="Q608" s="2203"/>
      <c r="R608" s="2203"/>
      <c r="S608" s="2203"/>
      <c r="T608" s="2203"/>
      <c r="U608" s="2203"/>
      <c r="V608" s="2203"/>
      <c r="W608" s="2203"/>
      <c r="X608" s="2203"/>
      <c r="Y608" s="2203"/>
      <c r="Z608" s="2203"/>
      <c r="AA608" s="2203"/>
      <c r="AB608" s="2203"/>
      <c r="AC608" s="2203"/>
      <c r="AD608" s="2203"/>
      <c r="AE608" s="2203"/>
      <c r="AF608" s="2203"/>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03"/>
      <c r="G609" s="2203"/>
      <c r="H609" s="2203"/>
      <c r="I609" s="2203"/>
      <c r="J609" s="2203"/>
      <c r="K609" s="2203"/>
      <c r="L609" s="2203"/>
      <c r="M609" s="2203"/>
      <c r="N609" s="2203"/>
      <c r="O609" s="2203"/>
      <c r="P609" s="2203"/>
      <c r="Q609" s="2203"/>
      <c r="R609" s="2203"/>
      <c r="S609" s="2203"/>
      <c r="T609" s="2203"/>
      <c r="U609" s="2203"/>
      <c r="V609" s="2203"/>
      <c r="W609" s="2203"/>
      <c r="X609" s="2203"/>
      <c r="Y609" s="2203"/>
      <c r="Z609" s="2203"/>
      <c r="AA609" s="2203"/>
      <c r="AB609" s="2203"/>
      <c r="AC609" s="2203"/>
      <c r="AD609" s="2203"/>
      <c r="AE609" s="2203"/>
      <c r="AF609" s="2203"/>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03"/>
      <c r="G610" s="2203"/>
      <c r="H610" s="2203"/>
      <c r="I610" s="2203"/>
      <c r="J610" s="2203"/>
      <c r="K610" s="2203"/>
      <c r="L610" s="2203"/>
      <c r="M610" s="2203"/>
      <c r="N610" s="2203"/>
      <c r="O610" s="2203"/>
      <c r="P610" s="2203"/>
      <c r="Q610" s="2203"/>
      <c r="R610" s="2203"/>
      <c r="S610" s="2203"/>
      <c r="T610" s="2203"/>
      <c r="U610" s="2203"/>
      <c r="V610" s="2203"/>
      <c r="W610" s="2203"/>
      <c r="X610" s="2203"/>
      <c r="Y610" s="2203"/>
      <c r="Z610" s="2203"/>
      <c r="AA610" s="2203"/>
      <c r="AB610" s="2203"/>
      <c r="AC610" s="2203"/>
      <c r="AD610" s="2203"/>
      <c r="AE610" s="2203"/>
      <c r="AF610" s="2203"/>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03"/>
      <c r="G611" s="2203"/>
      <c r="H611" s="2203"/>
      <c r="I611" s="2203"/>
      <c r="J611" s="2203"/>
      <c r="K611" s="2203"/>
      <c r="L611" s="2203"/>
      <c r="M611" s="2203"/>
      <c r="N611" s="2203"/>
      <c r="O611" s="2203"/>
      <c r="P611" s="2203"/>
      <c r="Q611" s="2203"/>
      <c r="R611" s="2203"/>
      <c r="S611" s="2203"/>
      <c r="T611" s="2203"/>
      <c r="U611" s="2203"/>
      <c r="V611" s="2203"/>
      <c r="W611" s="2203"/>
      <c r="X611" s="2203"/>
      <c r="Y611" s="2203"/>
      <c r="Z611" s="2203"/>
      <c r="AA611" s="2203"/>
      <c r="AB611" s="2203"/>
      <c r="AC611" s="2203"/>
      <c r="AD611" s="2203"/>
      <c r="AE611" s="2203"/>
      <c r="AF611" s="2203"/>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11" t="s">
        <v>299</v>
      </c>
      <c r="D612" s="2212"/>
      <c r="E612" s="624"/>
      <c r="F612" s="654" t="s">
        <v>2379</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01" t="s">
        <v>2380</v>
      </c>
      <c r="AG612" s="2201"/>
      <c r="AH612" s="2201"/>
      <c r="AI612" s="2201"/>
      <c r="AJ612" s="2201"/>
      <c r="AK612" s="2201"/>
      <c r="AL612" s="2213"/>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11" t="s">
        <v>299</v>
      </c>
      <c r="D614" s="2212"/>
      <c r="E614" s="624"/>
      <c r="F614" s="671" t="s">
        <v>2381</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01" t="s">
        <v>2375</v>
      </c>
      <c r="AG614" s="2201"/>
      <c r="AH614" s="2201"/>
      <c r="AI614" s="2201"/>
      <c r="AJ614" s="2201"/>
      <c r="AK614" s="2201"/>
      <c r="AL614" s="2213"/>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2382</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2383</v>
      </c>
      <c r="F618" s="2202" t="s">
        <v>2384</v>
      </c>
      <c r="G618" s="2202"/>
      <c r="H618" s="2202"/>
      <c r="I618" s="2202"/>
      <c r="J618" s="2202"/>
      <c r="K618" s="2202"/>
      <c r="L618" s="2202"/>
      <c r="M618" s="2202"/>
      <c r="N618" s="2202"/>
      <c r="O618" s="2202"/>
      <c r="P618" s="2202"/>
      <c r="Q618" s="2202"/>
      <c r="R618" s="2202"/>
      <c r="S618" s="2202"/>
      <c r="T618" s="2202"/>
      <c r="U618" s="2202"/>
      <c r="V618" s="2202"/>
      <c r="W618" s="2202"/>
      <c r="X618" s="2202"/>
      <c r="Y618" s="2202"/>
      <c r="Z618" s="2202"/>
      <c r="AA618" s="2202"/>
      <c r="AB618" s="2202"/>
      <c r="AC618" s="2202"/>
      <c r="AD618" s="2202"/>
      <c r="AE618" s="2202"/>
      <c r="AF618" s="2202"/>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03"/>
      <c r="G619" s="2203"/>
      <c r="H619" s="2203"/>
      <c r="I619" s="2203"/>
      <c r="J619" s="2203"/>
      <c r="K619" s="2203"/>
      <c r="L619" s="2203"/>
      <c r="M619" s="2203"/>
      <c r="N619" s="2203"/>
      <c r="O619" s="2203"/>
      <c r="P619" s="2203"/>
      <c r="Q619" s="2203"/>
      <c r="R619" s="2203"/>
      <c r="S619" s="2203"/>
      <c r="T619" s="2203"/>
      <c r="U619" s="2203"/>
      <c r="V619" s="2203"/>
      <c r="W619" s="2203"/>
      <c r="X619" s="2203"/>
      <c r="Y619" s="2203"/>
      <c r="Z619" s="2203"/>
      <c r="AA619" s="2203"/>
      <c r="AB619" s="2203"/>
      <c r="AC619" s="2203"/>
      <c r="AD619" s="2203"/>
      <c r="AE619" s="2203"/>
      <c r="AF619" s="2203"/>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03"/>
      <c r="G620" s="2203"/>
      <c r="H620" s="2203"/>
      <c r="I620" s="2203"/>
      <c r="J620" s="2203"/>
      <c r="K620" s="2203"/>
      <c r="L620" s="2203"/>
      <c r="M620" s="2203"/>
      <c r="N620" s="2203"/>
      <c r="O620" s="2203"/>
      <c r="P620" s="2203"/>
      <c r="Q620" s="2203"/>
      <c r="R620" s="2203"/>
      <c r="S620" s="2203"/>
      <c r="T620" s="2203"/>
      <c r="U620" s="2203"/>
      <c r="V620" s="2203"/>
      <c r="W620" s="2203"/>
      <c r="X620" s="2203"/>
      <c r="Y620" s="2203"/>
      <c r="Z620" s="2203"/>
      <c r="AA620" s="2203"/>
      <c r="AB620" s="2203"/>
      <c r="AC620" s="2203"/>
      <c r="AD620" s="2203"/>
      <c r="AE620" s="2203"/>
      <c r="AF620" s="2203"/>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03"/>
      <c r="G621" s="2203"/>
      <c r="H621" s="2203"/>
      <c r="I621" s="2203"/>
      <c r="J621" s="2203"/>
      <c r="K621" s="2203"/>
      <c r="L621" s="2203"/>
      <c r="M621" s="2203"/>
      <c r="N621" s="2203"/>
      <c r="O621" s="2203"/>
      <c r="P621" s="2203"/>
      <c r="Q621" s="2203"/>
      <c r="R621" s="2203"/>
      <c r="S621" s="2203"/>
      <c r="T621" s="2203"/>
      <c r="U621" s="2203"/>
      <c r="V621" s="2203"/>
      <c r="W621" s="2203"/>
      <c r="X621" s="2203"/>
      <c r="Y621" s="2203"/>
      <c r="Z621" s="2203"/>
      <c r="AA621" s="2203"/>
      <c r="AB621" s="2203"/>
      <c r="AC621" s="2203"/>
      <c r="AD621" s="2203"/>
      <c r="AE621" s="2203"/>
      <c r="AF621" s="2203"/>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11" t="s">
        <v>299</v>
      </c>
      <c r="D622" s="2212"/>
      <c r="E622" s="624"/>
      <c r="F622" s="654" t="s">
        <v>2385</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01" t="s">
        <v>2375</v>
      </c>
      <c r="AG622" s="2201"/>
      <c r="AH622" s="2201"/>
      <c r="AI622" s="2201"/>
      <c r="AJ622" s="2201"/>
      <c r="AK622" s="2201"/>
      <c r="AL622" s="2213"/>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11" t="s">
        <v>299</v>
      </c>
      <c r="D624" s="2212"/>
      <c r="E624" s="652"/>
      <c r="F624" s="654" t="s">
        <v>2386</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01" t="s">
        <v>2387</v>
      </c>
      <c r="AG624" s="2201"/>
      <c r="AH624" s="2201"/>
      <c r="AI624" s="2201"/>
      <c r="AJ624" s="2201"/>
      <c r="AK624" s="2201"/>
      <c r="AL624" s="2213"/>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11" t="s">
        <v>299</v>
      </c>
      <c r="D627" s="2212"/>
      <c r="E627" s="648" t="s">
        <v>2388</v>
      </c>
      <c r="F627" s="2202" t="s">
        <v>2389</v>
      </c>
      <c r="G627" s="2202"/>
      <c r="H627" s="2202"/>
      <c r="I627" s="2202"/>
      <c r="J627" s="2202"/>
      <c r="K627" s="2202"/>
      <c r="L627" s="2202"/>
      <c r="M627" s="2202"/>
      <c r="N627" s="2202"/>
      <c r="O627" s="2202"/>
      <c r="P627" s="2202"/>
      <c r="Q627" s="2202"/>
      <c r="R627" s="2202"/>
      <c r="S627" s="2202"/>
      <c r="T627" s="2202"/>
      <c r="U627" s="2202"/>
      <c r="V627" s="2202"/>
      <c r="W627" s="2202"/>
      <c r="X627" s="2202"/>
      <c r="Y627" s="2202"/>
      <c r="Z627" s="2202"/>
      <c r="AA627" s="2202"/>
      <c r="AB627" s="2202"/>
      <c r="AC627" s="2202"/>
      <c r="AD627" s="2202"/>
      <c r="AE627" s="2202"/>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03"/>
      <c r="G628" s="2203"/>
      <c r="H628" s="2203"/>
      <c r="I628" s="2203"/>
      <c r="J628" s="2203"/>
      <c r="K628" s="2203"/>
      <c r="L628" s="2203"/>
      <c r="M628" s="2203"/>
      <c r="N628" s="2203"/>
      <c r="O628" s="2203"/>
      <c r="P628" s="2203"/>
      <c r="Q628" s="2203"/>
      <c r="R628" s="2203"/>
      <c r="S628" s="2203"/>
      <c r="T628" s="2203"/>
      <c r="U628" s="2203"/>
      <c r="V628" s="2203"/>
      <c r="W628" s="2203"/>
      <c r="X628" s="2203"/>
      <c r="Y628" s="2203"/>
      <c r="Z628" s="2203"/>
      <c r="AA628" s="2203"/>
      <c r="AB628" s="2203"/>
      <c r="AC628" s="2203"/>
      <c r="AD628" s="2203"/>
      <c r="AE628" s="2203"/>
      <c r="AF628" s="2302" t="s">
        <v>2375</v>
      </c>
      <c r="AG628" s="2302"/>
      <c r="AH628" s="2302"/>
      <c r="AI628" s="2302"/>
      <c r="AJ628" s="2302"/>
      <c r="AK628" s="2302"/>
      <c r="AL628" s="2303"/>
      <c r="AM628" s="503"/>
      <c r="AN628" s="530"/>
      <c r="BS628" s="503"/>
      <c r="BT628" s="503"/>
      <c r="BY628" s="503"/>
      <c r="BZ628" s="503"/>
      <c r="CA628" s="503"/>
      <c r="CB628" s="503"/>
      <c r="CC628" s="503"/>
    </row>
    <row r="629" spans="1:81" s="483" customFormat="1" ht="12.75" customHeight="1">
      <c r="A629" s="469"/>
      <c r="B629" s="14"/>
      <c r="C629" s="664"/>
      <c r="D629" s="14"/>
      <c r="E629" s="624"/>
      <c r="F629" s="2203"/>
      <c r="G629" s="2203"/>
      <c r="H629" s="2203"/>
      <c r="I629" s="2203"/>
      <c r="J629" s="2203"/>
      <c r="K629" s="2203"/>
      <c r="L629" s="2203"/>
      <c r="M629" s="2203"/>
      <c r="N629" s="2203"/>
      <c r="O629" s="2203"/>
      <c r="P629" s="2203"/>
      <c r="Q629" s="2203"/>
      <c r="R629" s="2203"/>
      <c r="S629" s="2203"/>
      <c r="T629" s="2203"/>
      <c r="U629" s="2203"/>
      <c r="V629" s="2203"/>
      <c r="W629" s="2203"/>
      <c r="X629" s="2203"/>
      <c r="Y629" s="2203"/>
      <c r="Z629" s="2203"/>
      <c r="AA629" s="2203"/>
      <c r="AB629" s="2203"/>
      <c r="AC629" s="2203"/>
      <c r="AD629" s="2203"/>
      <c r="AE629" s="2203"/>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0"/>
      <c r="G630" s="2290"/>
      <c r="H630" s="2290"/>
      <c r="I630" s="2290"/>
      <c r="J630" s="2290"/>
      <c r="K630" s="2290"/>
      <c r="L630" s="2290"/>
      <c r="M630" s="2290"/>
      <c r="N630" s="2290"/>
      <c r="O630" s="2290"/>
      <c r="P630" s="2290"/>
      <c r="Q630" s="2290"/>
      <c r="R630" s="2290"/>
      <c r="S630" s="2290"/>
      <c r="T630" s="2290"/>
      <c r="U630" s="2290"/>
      <c r="V630" s="2290"/>
      <c r="W630" s="2290"/>
      <c r="X630" s="2290"/>
      <c r="Y630" s="2290"/>
      <c r="Z630" s="2290"/>
      <c r="AA630" s="2290"/>
      <c r="AB630" s="2290"/>
      <c r="AC630" s="2290"/>
      <c r="AD630" s="2290"/>
      <c r="AE630" s="2290"/>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2390</v>
      </c>
      <c r="F632" s="2202" t="s">
        <v>2391</v>
      </c>
      <c r="G632" s="2202"/>
      <c r="H632" s="2202"/>
      <c r="I632" s="2202"/>
      <c r="J632" s="2202"/>
      <c r="K632" s="2202"/>
      <c r="L632" s="2202"/>
      <c r="M632" s="2202"/>
      <c r="N632" s="2202"/>
      <c r="O632" s="2202"/>
      <c r="P632" s="2202"/>
      <c r="Q632" s="2202"/>
      <c r="R632" s="2202"/>
      <c r="S632" s="2202"/>
      <c r="T632" s="2202"/>
      <c r="U632" s="2202"/>
      <c r="V632" s="2202"/>
      <c r="W632" s="2202"/>
      <c r="X632" s="2202"/>
      <c r="Y632" s="2202"/>
      <c r="Z632" s="2202"/>
      <c r="AA632" s="2202"/>
      <c r="AB632" s="2202"/>
      <c r="AC632" s="2202"/>
      <c r="AD632" s="2202"/>
      <c r="AE632" s="2202"/>
      <c r="AF632" s="680"/>
      <c r="AG632" s="680"/>
      <c r="AH632" s="680"/>
      <c r="AI632" s="680"/>
      <c r="AJ632" s="680"/>
      <c r="AK632" s="680"/>
      <c r="AL632" s="681"/>
      <c r="AM632" s="503"/>
    </row>
    <row r="633" spans="1:81">
      <c r="A633" s="469"/>
      <c r="C633" s="664"/>
      <c r="E633" s="624"/>
      <c r="F633" s="2203"/>
      <c r="G633" s="2203"/>
      <c r="H633" s="2203"/>
      <c r="I633" s="2203"/>
      <c r="J633" s="2203"/>
      <c r="K633" s="2203"/>
      <c r="L633" s="2203"/>
      <c r="M633" s="2203"/>
      <c r="N633" s="2203"/>
      <c r="O633" s="2203"/>
      <c r="P633" s="2203"/>
      <c r="Q633" s="2203"/>
      <c r="R633" s="2203"/>
      <c r="S633" s="2203"/>
      <c r="T633" s="2203"/>
      <c r="U633" s="2203"/>
      <c r="V633" s="2203"/>
      <c r="W633" s="2203"/>
      <c r="X633" s="2203"/>
      <c r="Y633" s="2203"/>
      <c r="Z633" s="2203"/>
      <c r="AA633" s="2203"/>
      <c r="AB633" s="2203"/>
      <c r="AC633" s="2203"/>
      <c r="AD633" s="2203"/>
      <c r="AE633" s="2203"/>
      <c r="AF633" s="472"/>
      <c r="AG633" s="469"/>
      <c r="AH633" s="483"/>
      <c r="AI633" s="483"/>
      <c r="AJ633" s="483"/>
      <c r="AK633" s="483"/>
      <c r="AL633" s="665"/>
      <c r="AM633" s="503"/>
    </row>
    <row r="634" spans="1:81" s="483" customFormat="1" ht="12.75" customHeight="1">
      <c r="A634" s="469"/>
      <c r="B634" s="14"/>
      <c r="C634" s="664"/>
      <c r="D634" s="14"/>
      <c r="E634" s="624"/>
      <c r="F634" s="2203"/>
      <c r="G634" s="2203"/>
      <c r="H634" s="2203"/>
      <c r="I634" s="2203"/>
      <c r="J634" s="2203"/>
      <c r="K634" s="2203"/>
      <c r="L634" s="2203"/>
      <c r="M634" s="2203"/>
      <c r="N634" s="2203"/>
      <c r="O634" s="2203"/>
      <c r="P634" s="2203"/>
      <c r="Q634" s="2203"/>
      <c r="R634" s="2203"/>
      <c r="S634" s="2203"/>
      <c r="T634" s="2203"/>
      <c r="U634" s="2203"/>
      <c r="V634" s="2203"/>
      <c r="W634" s="2203"/>
      <c r="X634" s="2203"/>
      <c r="Y634" s="2203"/>
      <c r="Z634" s="2203"/>
      <c r="AA634" s="2203"/>
      <c r="AB634" s="2203"/>
      <c r="AC634" s="2203"/>
      <c r="AD634" s="2203"/>
      <c r="AE634" s="2203"/>
      <c r="AL634" s="665"/>
      <c r="AM634" s="503"/>
      <c r="AN634" s="530"/>
    </row>
    <row r="635" spans="1:81" s="483" customFormat="1" ht="12.75" customHeight="1">
      <c r="A635" s="469"/>
      <c r="B635" s="14"/>
      <c r="C635" s="672"/>
      <c r="F635" s="2203"/>
      <c r="G635" s="2203"/>
      <c r="H635" s="2203"/>
      <c r="I635" s="2203"/>
      <c r="J635" s="2203"/>
      <c r="K635" s="2203"/>
      <c r="L635" s="2203"/>
      <c r="M635" s="2203"/>
      <c r="N635" s="2203"/>
      <c r="O635" s="2203"/>
      <c r="P635" s="2203"/>
      <c r="Q635" s="2203"/>
      <c r="R635" s="2203"/>
      <c r="S635" s="2203"/>
      <c r="T635" s="2203"/>
      <c r="U635" s="2203"/>
      <c r="V635" s="2203"/>
      <c r="W635" s="2203"/>
      <c r="X635" s="2203"/>
      <c r="Y635" s="2203"/>
      <c r="Z635" s="2203"/>
      <c r="AA635" s="2203"/>
      <c r="AB635" s="2203"/>
      <c r="AC635" s="2203"/>
      <c r="AD635" s="2203"/>
      <c r="AE635" s="2203"/>
      <c r="AL635" s="665"/>
      <c r="AM635" s="503"/>
      <c r="AN635" s="530"/>
    </row>
    <row r="636" spans="1:81" s="483" customFormat="1" ht="12.75" customHeight="1">
      <c r="A636" s="469"/>
      <c r="B636" s="14"/>
      <c r="C636" s="2211" t="s">
        <v>825</v>
      </c>
      <c r="D636" s="2212"/>
      <c r="E636" s="624"/>
      <c r="F636" s="654" t="s">
        <v>2392</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302" t="s">
        <v>2375</v>
      </c>
      <c r="AG636" s="2302"/>
      <c r="AH636" s="2302"/>
      <c r="AI636" s="2302"/>
      <c r="AJ636" s="2302"/>
      <c r="AK636" s="2302"/>
      <c r="AL636" s="2303"/>
      <c r="AM636" s="503"/>
      <c r="AN636" s="530"/>
    </row>
    <row r="637" spans="1:81" s="483" customFormat="1" ht="12.75" customHeight="1">
      <c r="A637" s="469"/>
      <c r="B637" s="14"/>
      <c r="C637" s="672"/>
      <c r="AL637" s="665"/>
      <c r="AM637" s="503"/>
      <c r="AN637" s="530"/>
    </row>
    <row r="638" spans="1:81" s="483" customFormat="1" ht="12.75" customHeight="1">
      <c r="A638" s="469"/>
      <c r="B638" s="14"/>
      <c r="C638" s="2211" t="s">
        <v>299</v>
      </c>
      <c r="D638" s="2212"/>
      <c r="E638" s="652"/>
      <c r="F638" s="654" t="s">
        <v>2393</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302" t="s">
        <v>2387</v>
      </c>
      <c r="AG638" s="2302"/>
      <c r="AH638" s="2302"/>
      <c r="AI638" s="2302"/>
      <c r="AJ638" s="2302"/>
      <c r="AK638" s="2302"/>
      <c r="AL638" s="2303"/>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2394</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2395</v>
      </c>
      <c r="F642" s="2202" t="s">
        <v>2396</v>
      </c>
      <c r="G642" s="2202"/>
      <c r="H642" s="2202"/>
      <c r="I642" s="2202"/>
      <c r="J642" s="2202"/>
      <c r="K642" s="2202"/>
      <c r="L642" s="2202"/>
      <c r="M642" s="2202"/>
      <c r="N642" s="2202"/>
      <c r="O642" s="2202"/>
      <c r="P642" s="2202"/>
      <c r="Q642" s="2202"/>
      <c r="R642" s="2202"/>
      <c r="S642" s="2202"/>
      <c r="T642" s="2202"/>
      <c r="U642" s="2202"/>
      <c r="V642" s="2202"/>
      <c r="W642" s="2202"/>
      <c r="X642" s="2202"/>
      <c r="Y642" s="2202"/>
      <c r="Z642" s="2202"/>
      <c r="AA642" s="2202"/>
      <c r="AB642" s="2202"/>
      <c r="AC642" s="2202"/>
      <c r="AD642" s="2202"/>
      <c r="AE642" s="2202"/>
      <c r="AF642" s="647"/>
      <c r="AG642" s="647"/>
      <c r="AH642" s="647"/>
      <c r="AI642" s="647"/>
      <c r="AJ642" s="647"/>
      <c r="AK642" s="647"/>
      <c r="AL642" s="678"/>
      <c r="AM642" s="503"/>
      <c r="AN642" s="530"/>
    </row>
    <row r="643" spans="1:60" s="483" customFormat="1" ht="12.75" customHeight="1">
      <c r="A643" s="469"/>
      <c r="B643" s="14"/>
      <c r="C643" s="664"/>
      <c r="D643" s="14"/>
      <c r="E643" s="624"/>
      <c r="F643" s="2203"/>
      <c r="G643" s="2203"/>
      <c r="H643" s="2203"/>
      <c r="I643" s="2203"/>
      <c r="J643" s="2203"/>
      <c r="K643" s="2203"/>
      <c r="L643" s="2203"/>
      <c r="M643" s="2203"/>
      <c r="N643" s="2203"/>
      <c r="O643" s="2203"/>
      <c r="P643" s="2203"/>
      <c r="Q643" s="2203"/>
      <c r="R643" s="2203"/>
      <c r="S643" s="2203"/>
      <c r="T643" s="2203"/>
      <c r="U643" s="2203"/>
      <c r="V643" s="2203"/>
      <c r="W643" s="2203"/>
      <c r="X643" s="2203"/>
      <c r="Y643" s="2203"/>
      <c r="Z643" s="2203"/>
      <c r="AA643" s="2203"/>
      <c r="AB643" s="2203"/>
      <c r="AC643" s="2203"/>
      <c r="AD643" s="2203"/>
      <c r="AE643" s="2203"/>
      <c r="AF643" s="472"/>
      <c r="AG643" s="469"/>
      <c r="AL643" s="665"/>
      <c r="AM643" s="503"/>
      <c r="AN643" s="530"/>
    </row>
    <row r="644" spans="1:60" s="483" customFormat="1" ht="12.4" customHeight="1">
      <c r="A644" s="469"/>
      <c r="B644" s="14"/>
      <c r="C644" s="664"/>
      <c r="D644" s="14"/>
      <c r="E644" s="624"/>
      <c r="F644" s="2203"/>
      <c r="G644" s="2203"/>
      <c r="H644" s="2203"/>
      <c r="I644" s="2203"/>
      <c r="J644" s="2203"/>
      <c r="K644" s="2203"/>
      <c r="L644" s="2203"/>
      <c r="M644" s="2203"/>
      <c r="N644" s="2203"/>
      <c r="O644" s="2203"/>
      <c r="P644" s="2203"/>
      <c r="Q644" s="2203"/>
      <c r="R644" s="2203"/>
      <c r="S644" s="2203"/>
      <c r="T644" s="2203"/>
      <c r="U644" s="2203"/>
      <c r="V644" s="2203"/>
      <c r="W644" s="2203"/>
      <c r="X644" s="2203"/>
      <c r="Y644" s="2203"/>
      <c r="Z644" s="2203"/>
      <c r="AA644" s="2203"/>
      <c r="AB644" s="2203"/>
      <c r="AC644" s="2203"/>
      <c r="AD644" s="2203"/>
      <c r="AE644" s="2203"/>
      <c r="AL644" s="665"/>
      <c r="AM644" s="503"/>
      <c r="AN644" s="530"/>
    </row>
    <row r="645" spans="1:60" s="483" customFormat="1" ht="12.75" customHeight="1">
      <c r="A645" s="469"/>
      <c r="B645" s="14"/>
      <c r="C645" s="2211" t="s">
        <v>299</v>
      </c>
      <c r="D645" s="2212"/>
      <c r="E645" s="624"/>
      <c r="F645" s="654" t="s">
        <v>2397</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302" t="s">
        <v>2375</v>
      </c>
      <c r="AG645" s="2302"/>
      <c r="AH645" s="2302"/>
      <c r="AI645" s="2302"/>
      <c r="AJ645" s="2302"/>
      <c r="AK645" s="2302"/>
      <c r="AL645" s="2303"/>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15" customHeight="1">
      <c r="A648" s="469"/>
      <c r="C648" s="679"/>
      <c r="D648" s="680"/>
      <c r="E648" s="648" t="s">
        <v>2398</v>
      </c>
      <c r="F648" s="2202" t="s">
        <v>2399</v>
      </c>
      <c r="G648" s="2202"/>
      <c r="H648" s="2202"/>
      <c r="I648" s="2202"/>
      <c r="J648" s="2202"/>
      <c r="K648" s="2202"/>
      <c r="L648" s="2202"/>
      <c r="M648" s="2202"/>
      <c r="N648" s="2202"/>
      <c r="O648" s="2202"/>
      <c r="P648" s="2202"/>
      <c r="Q648" s="2202"/>
      <c r="R648" s="2202"/>
      <c r="S648" s="2202"/>
      <c r="T648" s="2202"/>
      <c r="U648" s="2202"/>
      <c r="V648" s="2202"/>
      <c r="W648" s="2202"/>
      <c r="X648" s="2202"/>
      <c r="Y648" s="2202"/>
      <c r="Z648" s="2202"/>
      <c r="AA648" s="2202"/>
      <c r="AB648" s="2202"/>
      <c r="AC648" s="2202"/>
      <c r="AD648" s="2202"/>
      <c r="AE648" s="2202"/>
      <c r="AF648" s="680"/>
      <c r="AG648" s="680"/>
      <c r="AH648" s="680"/>
      <c r="AI648" s="680"/>
      <c r="AJ648" s="680"/>
      <c r="AK648" s="680"/>
      <c r="AL648" s="681"/>
      <c r="AM648" s="503"/>
      <c r="AO648" s="483"/>
      <c r="AP648" s="483"/>
      <c r="BD648" s="14"/>
      <c r="BE648" s="14"/>
      <c r="BF648" s="14"/>
      <c r="BG648" s="14"/>
      <c r="BH648" s="14"/>
    </row>
    <row r="649" spans="1:60">
      <c r="A649" s="469"/>
      <c r="C649" s="664"/>
      <c r="E649" s="624"/>
      <c r="F649" s="2203"/>
      <c r="G649" s="2203"/>
      <c r="H649" s="2203"/>
      <c r="I649" s="2203"/>
      <c r="J649" s="2203"/>
      <c r="K649" s="2203"/>
      <c r="L649" s="2203"/>
      <c r="M649" s="2203"/>
      <c r="N649" s="2203"/>
      <c r="O649" s="2203"/>
      <c r="P649" s="2203"/>
      <c r="Q649" s="2203"/>
      <c r="R649" s="2203"/>
      <c r="S649" s="2203"/>
      <c r="T649" s="2203"/>
      <c r="U649" s="2203"/>
      <c r="V649" s="2203"/>
      <c r="W649" s="2203"/>
      <c r="X649" s="2203"/>
      <c r="Y649" s="2203"/>
      <c r="Z649" s="2203"/>
      <c r="AA649" s="2203"/>
      <c r="AB649" s="2203"/>
      <c r="AC649" s="2203"/>
      <c r="AD649" s="2203"/>
      <c r="AE649" s="2203"/>
      <c r="AF649" s="527"/>
      <c r="AG649" s="527"/>
      <c r="AH649" s="527"/>
      <c r="AI649" s="527"/>
      <c r="AJ649" s="527"/>
      <c r="AK649" s="527"/>
      <c r="AL649" s="684"/>
      <c r="AM649" s="503"/>
      <c r="AO649" s="483"/>
      <c r="AP649" s="483"/>
    </row>
    <row r="650" spans="1:60" s="483" customFormat="1" ht="12.75" customHeight="1">
      <c r="A650" s="469"/>
      <c r="B650" s="14"/>
      <c r="C650" s="664"/>
      <c r="D650" s="14"/>
      <c r="E650" s="624"/>
      <c r="F650" s="2203"/>
      <c r="G650" s="2203"/>
      <c r="H650" s="2203"/>
      <c r="I650" s="2203"/>
      <c r="J650" s="2203"/>
      <c r="K650" s="2203"/>
      <c r="L650" s="2203"/>
      <c r="M650" s="2203"/>
      <c r="N650" s="2203"/>
      <c r="O650" s="2203"/>
      <c r="P650" s="2203"/>
      <c r="Q650" s="2203"/>
      <c r="R650" s="2203"/>
      <c r="S650" s="2203"/>
      <c r="T650" s="2203"/>
      <c r="U650" s="2203"/>
      <c r="V650" s="2203"/>
      <c r="W650" s="2203"/>
      <c r="X650" s="2203"/>
      <c r="Y650" s="2203"/>
      <c r="Z650" s="2203"/>
      <c r="AA650" s="2203"/>
      <c r="AB650" s="2203"/>
      <c r="AC650" s="2203"/>
      <c r="AD650" s="2203"/>
      <c r="AE650" s="2203"/>
      <c r="AF650" s="527"/>
      <c r="AG650" s="527"/>
      <c r="AH650" s="527"/>
      <c r="AI650" s="527"/>
      <c r="AJ650" s="527"/>
      <c r="AK650" s="527"/>
      <c r="AL650" s="684"/>
      <c r="AM650" s="503"/>
      <c r="AN650" s="530"/>
    </row>
    <row r="651" spans="1:60" s="483" customFormat="1" ht="12.75" customHeight="1">
      <c r="A651" s="469"/>
      <c r="B651" s="14"/>
      <c r="C651" s="685"/>
      <c r="D651" s="663"/>
      <c r="E651" s="652"/>
      <c r="F651" s="2203"/>
      <c r="G651" s="2203"/>
      <c r="H651" s="2203"/>
      <c r="I651" s="2203"/>
      <c r="J651" s="2203"/>
      <c r="K651" s="2203"/>
      <c r="L651" s="2203"/>
      <c r="M651" s="2203"/>
      <c r="N651" s="2203"/>
      <c r="O651" s="2203"/>
      <c r="P651" s="2203"/>
      <c r="Q651" s="2203"/>
      <c r="R651" s="2203"/>
      <c r="S651" s="2203"/>
      <c r="T651" s="2203"/>
      <c r="U651" s="2203"/>
      <c r="V651" s="2203"/>
      <c r="W651" s="2203"/>
      <c r="X651" s="2203"/>
      <c r="Y651" s="2203"/>
      <c r="Z651" s="2203"/>
      <c r="AA651" s="2203"/>
      <c r="AB651" s="2203"/>
      <c r="AC651" s="2203"/>
      <c r="AD651" s="2203"/>
      <c r="AE651" s="2203"/>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03"/>
      <c r="G652" s="2203"/>
      <c r="H652" s="2203"/>
      <c r="I652" s="2203"/>
      <c r="J652" s="2203"/>
      <c r="K652" s="2203"/>
      <c r="L652" s="2203"/>
      <c r="M652" s="2203"/>
      <c r="N652" s="2203"/>
      <c r="O652" s="2203"/>
      <c r="P652" s="2203"/>
      <c r="Q652" s="2203"/>
      <c r="R652" s="2203"/>
      <c r="S652" s="2203"/>
      <c r="T652" s="2203"/>
      <c r="U652" s="2203"/>
      <c r="V652" s="2203"/>
      <c r="W652" s="2203"/>
      <c r="X652" s="2203"/>
      <c r="Y652" s="2203"/>
      <c r="Z652" s="2203"/>
      <c r="AA652" s="2203"/>
      <c r="AB652" s="2203"/>
      <c r="AC652" s="2203"/>
      <c r="AD652" s="2203"/>
      <c r="AE652" s="2203"/>
      <c r="AF652" s="527"/>
      <c r="AG652" s="527"/>
      <c r="AH652" s="527"/>
      <c r="AI652" s="527"/>
      <c r="AJ652" s="527"/>
      <c r="AK652" s="527"/>
      <c r="AL652" s="684"/>
      <c r="AM652" s="503"/>
      <c r="AN652" s="530"/>
    </row>
    <row r="653" spans="1:60" s="483" customFormat="1" ht="12.75" customHeight="1">
      <c r="A653" s="469"/>
      <c r="B653" s="14"/>
      <c r="C653" s="685"/>
      <c r="D653" s="663"/>
      <c r="E653" s="652"/>
      <c r="F653" s="2203"/>
      <c r="G653" s="2203"/>
      <c r="H653" s="2203"/>
      <c r="I653" s="2203"/>
      <c r="J653" s="2203"/>
      <c r="K653" s="2203"/>
      <c r="L653" s="2203"/>
      <c r="M653" s="2203"/>
      <c r="N653" s="2203"/>
      <c r="O653" s="2203"/>
      <c r="P653" s="2203"/>
      <c r="Q653" s="2203"/>
      <c r="R653" s="2203"/>
      <c r="S653" s="2203"/>
      <c r="T653" s="2203"/>
      <c r="U653" s="2203"/>
      <c r="V653" s="2203"/>
      <c r="W653" s="2203"/>
      <c r="X653" s="2203"/>
      <c r="Y653" s="2203"/>
      <c r="Z653" s="2203"/>
      <c r="AA653" s="2203"/>
      <c r="AB653" s="2203"/>
      <c r="AC653" s="2203"/>
      <c r="AD653" s="2203"/>
      <c r="AE653" s="2203"/>
      <c r="AF653" s="527"/>
      <c r="AG653" s="527"/>
      <c r="AH653" s="527"/>
      <c r="AI653" s="527"/>
      <c r="AJ653" s="527"/>
      <c r="AK653" s="527"/>
      <c r="AL653" s="684"/>
      <c r="AM653" s="503"/>
      <c r="AN653" s="530"/>
    </row>
    <row r="654" spans="1:60" s="483" customFormat="1" ht="12.75" customHeight="1">
      <c r="A654" s="469"/>
      <c r="B654" s="14"/>
      <c r="C654" s="685"/>
      <c r="D654" s="663"/>
      <c r="E654" s="652"/>
      <c r="F654" s="2203"/>
      <c r="G654" s="2203"/>
      <c r="H654" s="2203"/>
      <c r="I654" s="2203"/>
      <c r="J654" s="2203"/>
      <c r="K654" s="2203"/>
      <c r="L654" s="2203"/>
      <c r="M654" s="2203"/>
      <c r="N654" s="2203"/>
      <c r="O654" s="2203"/>
      <c r="P654" s="2203"/>
      <c r="Q654" s="2203"/>
      <c r="R654" s="2203"/>
      <c r="S654" s="2203"/>
      <c r="T654" s="2203"/>
      <c r="U654" s="2203"/>
      <c r="V654" s="2203"/>
      <c r="W654" s="2203"/>
      <c r="X654" s="2203"/>
      <c r="Y654" s="2203"/>
      <c r="Z654" s="2203"/>
      <c r="AA654" s="2203"/>
      <c r="AB654" s="2203"/>
      <c r="AC654" s="2203"/>
      <c r="AD654" s="2203"/>
      <c r="AE654" s="2203"/>
      <c r="AF654" s="527"/>
      <c r="AG654" s="527"/>
      <c r="AH654" s="527"/>
      <c r="AI654" s="527"/>
      <c r="AJ654" s="527"/>
      <c r="AK654" s="527"/>
      <c r="AL654" s="684"/>
      <c r="AM654" s="503"/>
      <c r="AN654" s="530"/>
    </row>
    <row r="655" spans="1:60" s="483" customFormat="1" ht="12.75" customHeight="1">
      <c r="A655" s="469"/>
      <c r="B655" s="14"/>
      <c r="C655" s="685"/>
      <c r="D655" s="663"/>
      <c r="E655" s="652"/>
      <c r="F655" s="2203"/>
      <c r="G655" s="2203"/>
      <c r="H655" s="2203"/>
      <c r="I655" s="2203"/>
      <c r="J655" s="2203"/>
      <c r="K655" s="2203"/>
      <c r="L655" s="2203"/>
      <c r="M655" s="2203"/>
      <c r="N655" s="2203"/>
      <c r="O655" s="2203"/>
      <c r="P655" s="2203"/>
      <c r="Q655" s="2203"/>
      <c r="R655" s="2203"/>
      <c r="S655" s="2203"/>
      <c r="T655" s="2203"/>
      <c r="U655" s="2203"/>
      <c r="V655" s="2203"/>
      <c r="W655" s="2203"/>
      <c r="X655" s="2203"/>
      <c r="Y655" s="2203"/>
      <c r="Z655" s="2203"/>
      <c r="AA655" s="2203"/>
      <c r="AB655" s="2203"/>
      <c r="AC655" s="2203"/>
      <c r="AD655" s="2203"/>
      <c r="AE655" s="2203"/>
      <c r="AF655" s="527"/>
      <c r="AG655" s="527"/>
      <c r="AH655" s="527"/>
      <c r="AI655" s="527"/>
      <c r="AJ655" s="527"/>
      <c r="AK655" s="527"/>
      <c r="AL655" s="684"/>
      <c r="AM655" s="503"/>
      <c r="AN655" s="530"/>
    </row>
    <row r="656" spans="1:60" s="483" customFormat="1" ht="17.25" customHeight="1">
      <c r="A656" s="469"/>
      <c r="B656" s="14"/>
      <c r="C656" s="685"/>
      <c r="D656" s="663"/>
      <c r="E656" s="652"/>
      <c r="F656" s="2203"/>
      <c r="G656" s="2203"/>
      <c r="H656" s="2203"/>
      <c r="I656" s="2203"/>
      <c r="J656" s="2203"/>
      <c r="K656" s="2203"/>
      <c r="L656" s="2203"/>
      <c r="M656" s="2203"/>
      <c r="N656" s="2203"/>
      <c r="O656" s="2203"/>
      <c r="P656" s="2203"/>
      <c r="Q656" s="2203"/>
      <c r="R656" s="2203"/>
      <c r="S656" s="2203"/>
      <c r="T656" s="2203"/>
      <c r="U656" s="2203"/>
      <c r="V656" s="2203"/>
      <c r="W656" s="2203"/>
      <c r="X656" s="2203"/>
      <c r="Y656" s="2203"/>
      <c r="Z656" s="2203"/>
      <c r="AA656" s="2203"/>
      <c r="AB656" s="2203"/>
      <c r="AC656" s="2203"/>
      <c r="AD656" s="2203"/>
      <c r="AE656" s="2203"/>
      <c r="AL656" s="665"/>
      <c r="AM656" s="503"/>
      <c r="AN656" s="530"/>
    </row>
    <row r="657" spans="1:54" s="483" customFormat="1" ht="12.75" customHeight="1">
      <c r="A657" s="469"/>
      <c r="B657" s="14"/>
      <c r="C657" s="2211" t="s">
        <v>299</v>
      </c>
      <c r="D657" s="2212"/>
      <c r="E657" s="652"/>
      <c r="F657" s="529" t="s">
        <v>2400</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302" t="s">
        <v>2375</v>
      </c>
      <c r="AG657" s="2302"/>
      <c r="AH657" s="2302"/>
      <c r="AI657" s="2302"/>
      <c r="AJ657" s="2302"/>
      <c r="AK657" s="2302"/>
      <c r="AL657" s="2303"/>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2401</v>
      </c>
      <c r="F660" s="2202" t="s">
        <v>2402</v>
      </c>
      <c r="G660" s="2202"/>
      <c r="H660" s="2202"/>
      <c r="I660" s="2202"/>
      <c r="J660" s="2202"/>
      <c r="K660" s="2202"/>
      <c r="L660" s="2202"/>
      <c r="M660" s="2202"/>
      <c r="N660" s="2202"/>
      <c r="O660" s="2202"/>
      <c r="P660" s="2202"/>
      <c r="Q660" s="2202"/>
      <c r="R660" s="2202"/>
      <c r="S660" s="2202"/>
      <c r="T660" s="2202"/>
      <c r="U660" s="2202"/>
      <c r="V660" s="2202"/>
      <c r="W660" s="2202"/>
      <c r="X660" s="2202"/>
      <c r="Y660" s="2202"/>
      <c r="Z660" s="2202"/>
      <c r="AA660" s="2202"/>
      <c r="AB660" s="2202"/>
      <c r="AC660" s="2202"/>
      <c r="AD660" s="2202"/>
      <c r="AE660" s="2202"/>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03"/>
      <c r="G661" s="2203"/>
      <c r="H661" s="2203"/>
      <c r="I661" s="2203"/>
      <c r="J661" s="2203"/>
      <c r="K661" s="2203"/>
      <c r="L661" s="2203"/>
      <c r="M661" s="2203"/>
      <c r="N661" s="2203"/>
      <c r="O661" s="2203"/>
      <c r="P661" s="2203"/>
      <c r="Q661" s="2203"/>
      <c r="R661" s="2203"/>
      <c r="S661" s="2203"/>
      <c r="T661" s="2203"/>
      <c r="U661" s="2203"/>
      <c r="V661" s="2203"/>
      <c r="W661" s="2203"/>
      <c r="X661" s="2203"/>
      <c r="Y661" s="2203"/>
      <c r="Z661" s="2203"/>
      <c r="AA661" s="2203"/>
      <c r="AB661" s="2203"/>
      <c r="AC661" s="2203"/>
      <c r="AD661" s="2203"/>
      <c r="AE661" s="2203"/>
      <c r="AF661" s="524"/>
      <c r="AG661" s="524"/>
      <c r="AH661" s="524"/>
      <c r="AI661" s="524"/>
      <c r="AJ661" s="524"/>
      <c r="AK661" s="524"/>
      <c r="AL661" s="653"/>
      <c r="AM661" s="503"/>
      <c r="AN661" s="530"/>
      <c r="AO661" s="483" t="s">
        <v>2403</v>
      </c>
      <c r="AP661" s="483">
        <v>5</v>
      </c>
      <c r="AQ661" s="686"/>
    </row>
    <row r="662" spans="1:54" s="483" customFormat="1" ht="12.75" customHeight="1">
      <c r="A662" s="469"/>
      <c r="B662" s="14"/>
      <c r="C662" s="685"/>
      <c r="D662" s="663"/>
      <c r="E662" s="652"/>
      <c r="F662" s="2203"/>
      <c r="G662" s="2203"/>
      <c r="H662" s="2203"/>
      <c r="I662" s="2203"/>
      <c r="J662" s="2203"/>
      <c r="K662" s="2203"/>
      <c r="L662" s="2203"/>
      <c r="M662" s="2203"/>
      <c r="N662" s="2203"/>
      <c r="O662" s="2203"/>
      <c r="P662" s="2203"/>
      <c r="Q662" s="2203"/>
      <c r="R662" s="2203"/>
      <c r="S662" s="2203"/>
      <c r="T662" s="2203"/>
      <c r="U662" s="2203"/>
      <c r="V662" s="2203"/>
      <c r="W662" s="2203"/>
      <c r="X662" s="2203"/>
      <c r="Y662" s="2203"/>
      <c r="Z662" s="2203"/>
      <c r="AA662" s="2203"/>
      <c r="AB662" s="2203"/>
      <c r="AC662" s="2203"/>
      <c r="AD662" s="2203"/>
      <c r="AE662" s="2203"/>
      <c r="AF662" s="524"/>
      <c r="AG662" s="524"/>
      <c r="AH662" s="524"/>
      <c r="AI662" s="524"/>
      <c r="AJ662" s="524"/>
      <c r="AK662" s="524"/>
      <c r="AL662" s="653"/>
      <c r="AM662" s="503"/>
      <c r="AN662" s="530"/>
      <c r="AO662" s="483" t="s">
        <v>2404</v>
      </c>
      <c r="AP662" s="483">
        <v>5</v>
      </c>
      <c r="AQ662" s="686"/>
    </row>
    <row r="663" spans="1:54" s="483" customFormat="1" ht="12.75" customHeight="1">
      <c r="A663" s="469"/>
      <c r="B663" s="14"/>
      <c r="C663" s="685"/>
      <c r="D663" s="663"/>
      <c r="E663" s="652"/>
      <c r="F663" s="2203"/>
      <c r="G663" s="2203"/>
      <c r="H663" s="2203"/>
      <c r="I663" s="2203"/>
      <c r="J663" s="2203"/>
      <c r="K663" s="2203"/>
      <c r="L663" s="2203"/>
      <c r="M663" s="2203"/>
      <c r="N663" s="2203"/>
      <c r="O663" s="2203"/>
      <c r="P663" s="2203"/>
      <c r="Q663" s="2203"/>
      <c r="R663" s="2203"/>
      <c r="S663" s="2203"/>
      <c r="T663" s="2203"/>
      <c r="U663" s="2203"/>
      <c r="V663" s="2203"/>
      <c r="W663" s="2203"/>
      <c r="X663" s="2203"/>
      <c r="Y663" s="2203"/>
      <c r="Z663" s="2203"/>
      <c r="AA663" s="2203"/>
      <c r="AB663" s="2203"/>
      <c r="AC663" s="2203"/>
      <c r="AD663" s="2203"/>
      <c r="AE663" s="2203"/>
      <c r="AL663" s="665"/>
      <c r="AM663" s="503"/>
      <c r="AN663" s="530"/>
      <c r="AO663" s="483" t="s">
        <v>2405</v>
      </c>
      <c r="AP663" s="483">
        <v>5</v>
      </c>
      <c r="AQ663" s="469"/>
    </row>
    <row r="664" spans="1:54" s="483" customFormat="1" ht="12.75" customHeight="1">
      <c r="A664" s="469"/>
      <c r="B664" s="14"/>
      <c r="C664" s="2211" t="s">
        <v>299</v>
      </c>
      <c r="D664" s="2212"/>
      <c r="E664" s="652"/>
      <c r="F664" s="654" t="s">
        <v>2406</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302" t="s">
        <v>2375</v>
      </c>
      <c r="AG664" s="2302"/>
      <c r="AH664" s="2302"/>
      <c r="AI664" s="2302"/>
      <c r="AJ664" s="2302"/>
      <c r="AK664" s="2302"/>
      <c r="AL664" s="2303"/>
      <c r="AM664" s="503"/>
      <c r="AN664" s="687"/>
      <c r="AO664" s="483" t="s">
        <v>2407</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2408</v>
      </c>
      <c r="AP665" s="483">
        <v>5</v>
      </c>
    </row>
    <row r="666" spans="1:54" s="483" customFormat="1" ht="12.75" customHeight="1">
      <c r="A666" s="469"/>
      <c r="B666" s="14"/>
      <c r="C666" s="673"/>
      <c r="D666" s="666"/>
      <c r="E666" s="667"/>
      <c r="F666" s="660" t="s">
        <v>2382</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2409</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2410</v>
      </c>
      <c r="AP667" s="483">
        <v>5</v>
      </c>
    </row>
    <row r="668" spans="1:54" s="483" customFormat="1" ht="12.75" customHeight="1">
      <c r="A668" s="469"/>
      <c r="B668" s="14"/>
      <c r="C668" s="2304" t="s">
        <v>299</v>
      </c>
      <c r="D668" s="2305"/>
      <c r="E668" s="648" t="s">
        <v>2411</v>
      </c>
      <c r="F668" s="2202" t="s">
        <v>2412</v>
      </c>
      <c r="G668" s="2202"/>
      <c r="H668" s="2202"/>
      <c r="I668" s="2202"/>
      <c r="J668" s="2202"/>
      <c r="K668" s="2202"/>
      <c r="L668" s="2202"/>
      <c r="M668" s="2202"/>
      <c r="N668" s="2202"/>
      <c r="O668" s="2202"/>
      <c r="P668" s="2202"/>
      <c r="Q668" s="2202"/>
      <c r="R668" s="2202"/>
      <c r="S668" s="2202"/>
      <c r="T668" s="2202"/>
      <c r="U668" s="2202"/>
      <c r="V668" s="2202"/>
      <c r="W668" s="2202"/>
      <c r="X668" s="2202"/>
      <c r="Y668" s="2202"/>
      <c r="Z668" s="2202"/>
      <c r="AA668" s="2202"/>
      <c r="AB668" s="2202"/>
      <c r="AC668" s="2202"/>
      <c r="AD668" s="2202"/>
      <c r="AE668" s="2202"/>
      <c r="AF668" s="2300" t="s">
        <v>2375</v>
      </c>
      <c r="AG668" s="2300"/>
      <c r="AH668" s="2300"/>
      <c r="AI668" s="2300"/>
      <c r="AJ668" s="2300"/>
      <c r="AK668" s="2300"/>
      <c r="AL668" s="2301"/>
      <c r="AM668" s="503"/>
      <c r="AN668" s="687"/>
      <c r="AO668" s="483" t="s">
        <v>2413</v>
      </c>
      <c r="AP668" s="483">
        <v>1</v>
      </c>
    </row>
    <row r="669" spans="1:54" s="483" customFormat="1" ht="12.75" customHeight="1">
      <c r="A669" s="469"/>
      <c r="B669" s="14"/>
      <c r="C669" s="685"/>
      <c r="D669" s="663"/>
      <c r="E669" s="652"/>
      <c r="F669" s="2203"/>
      <c r="G669" s="2203"/>
      <c r="H669" s="2203"/>
      <c r="I669" s="2203"/>
      <c r="J669" s="2203"/>
      <c r="K669" s="2203"/>
      <c r="L669" s="2203"/>
      <c r="M669" s="2203"/>
      <c r="N669" s="2203"/>
      <c r="O669" s="2203"/>
      <c r="P669" s="2203"/>
      <c r="Q669" s="2203"/>
      <c r="R669" s="2203"/>
      <c r="S669" s="2203"/>
      <c r="T669" s="2203"/>
      <c r="U669" s="2203"/>
      <c r="V669" s="2203"/>
      <c r="W669" s="2203"/>
      <c r="X669" s="2203"/>
      <c r="Y669" s="2203"/>
      <c r="Z669" s="2203"/>
      <c r="AA669" s="2203"/>
      <c r="AB669" s="2203"/>
      <c r="AC669" s="2203"/>
      <c r="AD669" s="2203"/>
      <c r="AE669" s="2203"/>
      <c r="AF669" s="524"/>
      <c r="AG669" s="524"/>
      <c r="AH669" s="524"/>
      <c r="AI669" s="524"/>
      <c r="AJ669" s="524"/>
      <c r="AK669" s="524"/>
      <c r="AL669" s="653"/>
      <c r="AM669" s="503"/>
      <c r="AN669" s="688"/>
      <c r="AS669" s="689"/>
      <c r="AW669" s="689" t="s">
        <v>2414</v>
      </c>
      <c r="BA669" s="689" t="s">
        <v>2415</v>
      </c>
    </row>
    <row r="670" spans="1:54" s="483" customFormat="1" ht="17.649999999999999" customHeight="1">
      <c r="A670" s="469"/>
      <c r="B670" s="14"/>
      <c r="C670" s="690"/>
      <c r="D670" s="656"/>
      <c r="E670" s="657"/>
      <c r="F670" s="2290"/>
      <c r="G670" s="2290"/>
      <c r="H670" s="2290"/>
      <c r="I670" s="2290"/>
      <c r="J670" s="2290"/>
      <c r="K670" s="2290"/>
      <c r="L670" s="2290"/>
      <c r="M670" s="2290"/>
      <c r="N670" s="2290"/>
      <c r="O670" s="2290"/>
      <c r="P670" s="2290"/>
      <c r="Q670" s="2290"/>
      <c r="R670" s="2290"/>
      <c r="S670" s="2290"/>
      <c r="T670" s="2290"/>
      <c r="U670" s="2290"/>
      <c r="V670" s="2290"/>
      <c r="W670" s="2290"/>
      <c r="X670" s="2290"/>
      <c r="Y670" s="2290"/>
      <c r="Z670" s="2290"/>
      <c r="AA670" s="2290"/>
      <c r="AB670" s="2290"/>
      <c r="AC670" s="2290"/>
      <c r="AD670" s="2290"/>
      <c r="AE670" s="2290"/>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2416</v>
      </c>
      <c r="AS671" s="570">
        <v>3</v>
      </c>
      <c r="AT671" s="526"/>
      <c r="AW671" s="692">
        <v>0.4</v>
      </c>
      <c r="AX671" s="526">
        <v>3</v>
      </c>
      <c r="BA671" s="692">
        <v>0.4</v>
      </c>
      <c r="BB671" s="526">
        <v>4</v>
      </c>
    </row>
    <row r="672" spans="1:54" s="483" customFormat="1" ht="12.75" customHeight="1">
      <c r="A672" s="469"/>
      <c r="B672" s="14"/>
      <c r="C672" s="2211" t="s">
        <v>299</v>
      </c>
      <c r="D672" s="2212"/>
      <c r="E672" s="648" t="s">
        <v>2417</v>
      </c>
      <c r="F672" s="2202" t="s">
        <v>2418</v>
      </c>
      <c r="G672" s="2202"/>
      <c r="H672" s="2202"/>
      <c r="I672" s="2202"/>
      <c r="J672" s="2202"/>
      <c r="K672" s="2202"/>
      <c r="L672" s="2202"/>
      <c r="M672" s="2202"/>
      <c r="N672" s="2202"/>
      <c r="O672" s="2202"/>
      <c r="P672" s="2202"/>
      <c r="Q672" s="2202"/>
      <c r="R672" s="2202"/>
      <c r="S672" s="2202"/>
      <c r="T672" s="2202"/>
      <c r="U672" s="2202"/>
      <c r="V672" s="2202"/>
      <c r="W672" s="2202"/>
      <c r="X672" s="2202"/>
      <c r="Y672" s="2202"/>
      <c r="Z672" s="2202"/>
      <c r="AA672" s="2202"/>
      <c r="AB672" s="2202"/>
      <c r="AC672" s="2202"/>
      <c r="AD672" s="2202"/>
      <c r="AE672" s="2202"/>
      <c r="AF672" s="2300" t="s">
        <v>2375</v>
      </c>
      <c r="AG672" s="2300"/>
      <c r="AH672" s="2300"/>
      <c r="AI672" s="2300"/>
      <c r="AJ672" s="2300"/>
      <c r="AK672" s="2300"/>
      <c r="AL672" s="2301"/>
      <c r="AM672" s="503"/>
      <c r="AN672" s="468"/>
      <c r="AO672" s="692">
        <v>0.12</v>
      </c>
      <c r="AP672" s="570">
        <v>5</v>
      </c>
      <c r="AR672" s="483" t="s">
        <v>2419</v>
      </c>
      <c r="AS672" s="570">
        <v>5</v>
      </c>
      <c r="AT672" s="526"/>
      <c r="AW672" s="692">
        <v>0.6</v>
      </c>
      <c r="AX672" s="526">
        <v>4</v>
      </c>
      <c r="BA672" s="692">
        <v>0.6</v>
      </c>
      <c r="BB672" s="526">
        <v>5</v>
      </c>
    </row>
    <row r="673" spans="1:54" s="483" customFormat="1" ht="12.75" customHeight="1">
      <c r="A673" s="469"/>
      <c r="B673" s="14"/>
      <c r="C673" s="664"/>
      <c r="D673" s="14"/>
      <c r="E673" s="624"/>
      <c r="F673" s="2203"/>
      <c r="G673" s="2203"/>
      <c r="H673" s="2203"/>
      <c r="I673" s="2203"/>
      <c r="J673" s="2203"/>
      <c r="K673" s="2203"/>
      <c r="L673" s="2203"/>
      <c r="M673" s="2203"/>
      <c r="N673" s="2203"/>
      <c r="O673" s="2203"/>
      <c r="P673" s="2203"/>
      <c r="Q673" s="2203"/>
      <c r="R673" s="2203"/>
      <c r="S673" s="2203"/>
      <c r="T673" s="2203"/>
      <c r="U673" s="2203"/>
      <c r="V673" s="2203"/>
      <c r="W673" s="2203"/>
      <c r="X673" s="2203"/>
      <c r="Y673" s="2203"/>
      <c r="Z673" s="2203"/>
      <c r="AA673" s="2203"/>
      <c r="AB673" s="2203"/>
      <c r="AC673" s="2203"/>
      <c r="AD673" s="2203"/>
      <c r="AE673" s="2203"/>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03"/>
      <c r="G674" s="2203"/>
      <c r="H674" s="2203"/>
      <c r="I674" s="2203"/>
      <c r="J674" s="2203"/>
      <c r="K674" s="2203"/>
      <c r="L674" s="2203"/>
      <c r="M674" s="2203"/>
      <c r="N674" s="2203"/>
      <c r="O674" s="2203"/>
      <c r="P674" s="2203"/>
      <c r="Q674" s="2203"/>
      <c r="R674" s="2203"/>
      <c r="S674" s="2203"/>
      <c r="T674" s="2203"/>
      <c r="U674" s="2203"/>
      <c r="V674" s="2203"/>
      <c r="W674" s="2203"/>
      <c r="X674" s="2203"/>
      <c r="Y674" s="2203"/>
      <c r="Z674" s="2203"/>
      <c r="AA674" s="2203"/>
      <c r="AB674" s="2203"/>
      <c r="AC674" s="2203"/>
      <c r="AD674" s="2203"/>
      <c r="AE674" s="2203"/>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0"/>
      <c r="G675" s="2290"/>
      <c r="H675" s="2290"/>
      <c r="I675" s="2290"/>
      <c r="J675" s="2290"/>
      <c r="K675" s="2290"/>
      <c r="L675" s="2290"/>
      <c r="M675" s="2290"/>
      <c r="N675" s="2290"/>
      <c r="O675" s="2290"/>
      <c r="P675" s="2290"/>
      <c r="Q675" s="2290"/>
      <c r="R675" s="2290"/>
      <c r="S675" s="2290"/>
      <c r="T675" s="2290"/>
      <c r="U675" s="2290"/>
      <c r="V675" s="2290"/>
      <c r="W675" s="2290"/>
      <c r="X675" s="2290"/>
      <c r="Y675" s="2290"/>
      <c r="Z675" s="2290"/>
      <c r="AA675" s="2290"/>
      <c r="AB675" s="2290"/>
      <c r="AC675" s="2290"/>
      <c r="AD675" s="2290"/>
      <c r="AE675" s="2290"/>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2420</v>
      </c>
      <c r="F677" s="2202" t="s">
        <v>2421</v>
      </c>
      <c r="G677" s="2202"/>
      <c r="H677" s="2202"/>
      <c r="I677" s="2202"/>
      <c r="J677" s="2202"/>
      <c r="K677" s="2202"/>
      <c r="L677" s="2202"/>
      <c r="M677" s="2202"/>
      <c r="N677" s="2202"/>
      <c r="O677" s="2202"/>
      <c r="P677" s="2202"/>
      <c r="Q677" s="2202"/>
      <c r="R677" s="2202"/>
      <c r="S677" s="2202"/>
      <c r="T677" s="2202"/>
      <c r="U677" s="2202"/>
      <c r="V677" s="2202"/>
      <c r="W677" s="2202"/>
      <c r="X677" s="2202"/>
      <c r="Y677" s="2202"/>
      <c r="Z677" s="2202"/>
      <c r="AA677" s="2202"/>
      <c r="AB677" s="2202"/>
      <c r="AC677" s="2202"/>
      <c r="AD677" s="2202"/>
      <c r="AE677" s="2202"/>
      <c r="AF677" s="2202"/>
      <c r="AG677" s="677"/>
      <c r="AH677" s="647"/>
      <c r="AI677" s="647"/>
      <c r="AJ677" s="647"/>
      <c r="AK677" s="647"/>
      <c r="AL677" s="678"/>
      <c r="AM677" s="503"/>
      <c r="AN677" s="530"/>
    </row>
    <row r="678" spans="1:54" s="483" customFormat="1" ht="12.75" customHeight="1">
      <c r="A678" s="469"/>
      <c r="B678" s="14"/>
      <c r="C678" s="664"/>
      <c r="D678" s="14"/>
      <c r="E678" s="624"/>
      <c r="F678" s="2203"/>
      <c r="G678" s="2203"/>
      <c r="H678" s="2203"/>
      <c r="I678" s="2203"/>
      <c r="J678" s="2203"/>
      <c r="K678" s="2203"/>
      <c r="L678" s="2203"/>
      <c r="M678" s="2203"/>
      <c r="N678" s="2203"/>
      <c r="O678" s="2203"/>
      <c r="P678" s="2203"/>
      <c r="Q678" s="2203"/>
      <c r="R678" s="2203"/>
      <c r="S678" s="2203"/>
      <c r="T678" s="2203"/>
      <c r="U678" s="2203"/>
      <c r="V678" s="2203"/>
      <c r="W678" s="2203"/>
      <c r="X678" s="2203"/>
      <c r="Y678" s="2203"/>
      <c r="Z678" s="2203"/>
      <c r="AA678" s="2203"/>
      <c r="AB678" s="2203"/>
      <c r="AC678" s="2203"/>
      <c r="AD678" s="2203"/>
      <c r="AE678" s="2203"/>
      <c r="AF678" s="2203"/>
      <c r="AL678" s="665"/>
      <c r="AM678" s="503"/>
      <c r="AN678" s="530"/>
    </row>
    <row r="679" spans="1:54" s="483" customFormat="1" ht="12.75" customHeight="1">
      <c r="A679" s="469"/>
      <c r="B679" s="14"/>
      <c r="C679" s="672"/>
      <c r="F679" s="2203"/>
      <c r="G679" s="2203"/>
      <c r="H679" s="2203"/>
      <c r="I679" s="2203"/>
      <c r="J679" s="2203"/>
      <c r="K679" s="2203"/>
      <c r="L679" s="2203"/>
      <c r="M679" s="2203"/>
      <c r="N679" s="2203"/>
      <c r="O679" s="2203"/>
      <c r="P679" s="2203"/>
      <c r="Q679" s="2203"/>
      <c r="R679" s="2203"/>
      <c r="S679" s="2203"/>
      <c r="T679" s="2203"/>
      <c r="U679" s="2203"/>
      <c r="V679" s="2203"/>
      <c r="W679" s="2203"/>
      <c r="X679" s="2203"/>
      <c r="Y679" s="2203"/>
      <c r="Z679" s="2203"/>
      <c r="AA679" s="2203"/>
      <c r="AB679" s="2203"/>
      <c r="AC679" s="2203"/>
      <c r="AD679" s="2203"/>
      <c r="AE679" s="2203"/>
      <c r="AF679" s="2203"/>
      <c r="AL679" s="665"/>
      <c r="AM679" s="503"/>
      <c r="AN679" s="530"/>
    </row>
    <row r="680" spans="1:54" s="483" customFormat="1" ht="12.75" customHeight="1">
      <c r="A680" s="469"/>
      <c r="B680" s="14"/>
      <c r="C680" s="672"/>
      <c r="F680" s="2203"/>
      <c r="G680" s="2203"/>
      <c r="H680" s="2203"/>
      <c r="I680" s="2203"/>
      <c r="J680" s="2203"/>
      <c r="K680" s="2203"/>
      <c r="L680" s="2203"/>
      <c r="M680" s="2203"/>
      <c r="N680" s="2203"/>
      <c r="O680" s="2203"/>
      <c r="P680" s="2203"/>
      <c r="Q680" s="2203"/>
      <c r="R680" s="2203"/>
      <c r="S680" s="2203"/>
      <c r="T680" s="2203"/>
      <c r="U680" s="2203"/>
      <c r="V680" s="2203"/>
      <c r="W680" s="2203"/>
      <c r="X680" s="2203"/>
      <c r="Y680" s="2203"/>
      <c r="Z680" s="2203"/>
      <c r="AA680" s="2203"/>
      <c r="AB680" s="2203"/>
      <c r="AC680" s="2203"/>
      <c r="AD680" s="2203"/>
      <c r="AE680" s="2203"/>
      <c r="AF680" s="2203"/>
      <c r="AL680" s="665"/>
      <c r="AM680" s="503"/>
      <c r="AN680" s="530"/>
    </row>
    <row r="681" spans="1:54" s="483" customFormat="1" ht="12.75" customHeight="1">
      <c r="A681" s="469"/>
      <c r="B681" s="14"/>
      <c r="C681" s="2211" t="s">
        <v>299</v>
      </c>
      <c r="D681" s="2212"/>
      <c r="E681" s="652"/>
      <c r="F681" s="654" t="s">
        <v>2392</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01" t="s">
        <v>2375</v>
      </c>
      <c r="AG681" s="2201"/>
      <c r="AH681" s="2201"/>
      <c r="AI681" s="2201"/>
      <c r="AJ681" s="2201"/>
      <c r="AK681" s="2201"/>
      <c r="AL681" s="2213"/>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2422</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2423</v>
      </c>
      <c r="AK684" s="2198">
        <f>IF(Application!D213="N/A",AS573,AS575)</f>
        <v>10</v>
      </c>
      <c r="AL684" s="2199"/>
      <c r="AM684" s="2200"/>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2424</v>
      </c>
      <c r="C687" s="472"/>
      <c r="E687" s="529"/>
      <c r="AE687" s="2201" t="s">
        <v>2425</v>
      </c>
      <c r="AF687" s="2201"/>
      <c r="AG687" s="2201"/>
      <c r="AH687" s="2201"/>
      <c r="AI687" s="2201"/>
      <c r="AJ687" s="2201"/>
      <c r="AK687" s="2201"/>
      <c r="AL687" s="524"/>
      <c r="AN687" s="530"/>
      <c r="AO687" s="483" t="s">
        <v>2403</v>
      </c>
      <c r="AP687" s="483">
        <v>5</v>
      </c>
    </row>
    <row r="688" spans="1:54" s="483" customFormat="1" ht="12.75" hidden="1" customHeight="1">
      <c r="A688" s="472"/>
      <c r="B688" s="469" t="s">
        <v>2426</v>
      </c>
      <c r="C688" s="472"/>
      <c r="E688" s="529"/>
      <c r="AE688" s="524"/>
      <c r="AF688" s="524"/>
      <c r="AG688" s="524"/>
      <c r="AH688" s="524"/>
      <c r="AI688" s="524"/>
      <c r="AJ688" s="524"/>
      <c r="AK688" s="524"/>
      <c r="AL688" s="524"/>
      <c r="AN688" s="530"/>
      <c r="AO688" s="483" t="s">
        <v>2427</v>
      </c>
      <c r="AP688" s="483">
        <v>5</v>
      </c>
    </row>
    <row r="689" spans="1:50" s="483" customFormat="1" ht="12.75" hidden="1" customHeight="1">
      <c r="A689" s="472"/>
      <c r="B689" s="472" t="s">
        <v>2428</v>
      </c>
      <c r="C689" s="472"/>
      <c r="E689" s="529"/>
      <c r="AE689" s="524"/>
      <c r="AF689" s="524"/>
      <c r="AG689" s="524"/>
      <c r="AH689" s="524"/>
      <c r="AI689" s="524"/>
      <c r="AJ689" s="524"/>
      <c r="AK689" s="524"/>
      <c r="AL689" s="524"/>
      <c r="AN689" s="530"/>
      <c r="AO689" s="483" t="s">
        <v>2405</v>
      </c>
      <c r="AP689" s="483">
        <v>5</v>
      </c>
      <c r="AQ689" s="472"/>
      <c r="AR689" s="472"/>
      <c r="AS689" s="689"/>
      <c r="AW689" s="689"/>
    </row>
    <row r="690" spans="1:50" s="483" customFormat="1" ht="12.75" hidden="1" customHeight="1">
      <c r="A690" s="472"/>
      <c r="B690" s="472" t="s">
        <v>2429</v>
      </c>
      <c r="C690" s="472"/>
      <c r="E690" s="529"/>
      <c r="AE690" s="524"/>
      <c r="AF690" s="524"/>
      <c r="AG690" s="524"/>
      <c r="AH690" s="524"/>
      <c r="AI690" s="524"/>
      <c r="AJ690" s="524"/>
      <c r="AK690" s="524"/>
      <c r="AL690" s="524"/>
      <c r="AN690" s="530"/>
      <c r="AO690" s="483" t="s">
        <v>2407</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2408</v>
      </c>
      <c r="AP691" s="483">
        <v>5</v>
      </c>
      <c r="AQ691" s="472"/>
      <c r="AR691" s="472"/>
      <c r="AW691" s="612"/>
    </row>
    <row r="692" spans="1:50" s="483" customFormat="1" ht="12.75" hidden="1" customHeight="1">
      <c r="A692" s="472"/>
      <c r="C692" s="645" t="s">
        <v>2430</v>
      </c>
      <c r="D692" s="503"/>
      <c r="AE692" s="524"/>
      <c r="AF692" s="524"/>
      <c r="AG692" s="529"/>
      <c r="AH692" s="529"/>
      <c r="AI692" s="529"/>
      <c r="AJ692" s="529"/>
      <c r="AK692" s="529"/>
      <c r="AL692" s="529"/>
      <c r="AN692" s="530"/>
      <c r="AO692" s="483" t="s">
        <v>2409</v>
      </c>
      <c r="AP692" s="483">
        <v>5</v>
      </c>
      <c r="AW692" s="612"/>
    </row>
    <row r="693" spans="1:50" s="483" customFormat="1" ht="12.75" hidden="1" customHeight="1">
      <c r="A693" s="472"/>
      <c r="C693" s="2283" t="s">
        <v>299</v>
      </c>
      <c r="D693" s="2284"/>
      <c r="E693" s="695" t="s">
        <v>50</v>
      </c>
      <c r="F693" s="2291" t="s">
        <v>2431</v>
      </c>
      <c r="G693" s="2291"/>
      <c r="H693" s="2291"/>
      <c r="I693" s="2291"/>
      <c r="J693" s="2291"/>
      <c r="K693" s="2291"/>
      <c r="L693" s="2291"/>
      <c r="M693" s="2291"/>
      <c r="N693" s="2291"/>
      <c r="O693" s="2291"/>
      <c r="P693" s="2291"/>
      <c r="Q693" s="2291"/>
      <c r="R693" s="2291"/>
      <c r="S693" s="2291"/>
      <c r="T693" s="2291"/>
      <c r="U693" s="2291"/>
      <c r="V693" s="2291"/>
      <c r="W693" s="2291"/>
      <c r="X693" s="2291"/>
      <c r="Y693" s="2291"/>
      <c r="Z693" s="2291"/>
      <c r="AA693" s="2291"/>
      <c r="AB693" s="2291"/>
      <c r="AC693" s="2291"/>
      <c r="AD693" s="2291"/>
      <c r="AE693" s="2291"/>
      <c r="AF693" s="647"/>
      <c r="AG693" s="647"/>
      <c r="AH693" s="647"/>
      <c r="AI693" s="647"/>
      <c r="AJ693" s="647"/>
      <c r="AK693" s="678"/>
      <c r="AN693" s="530"/>
      <c r="AO693" s="483" t="s">
        <v>2432</v>
      </c>
      <c r="AP693" s="483">
        <v>5</v>
      </c>
      <c r="AS693" s="692"/>
      <c r="AT693" s="526"/>
      <c r="AW693" s="612"/>
      <c r="AX693" s="570"/>
    </row>
    <row r="694" spans="1:50" s="483" customFormat="1" ht="12.75" hidden="1" customHeight="1">
      <c r="C694" s="696"/>
      <c r="E694" s="697"/>
      <c r="F694" s="2292"/>
      <c r="G694" s="2292"/>
      <c r="H694" s="2292"/>
      <c r="I694" s="2292"/>
      <c r="J694" s="2292"/>
      <c r="K694" s="2292"/>
      <c r="L694" s="2292"/>
      <c r="M694" s="2292"/>
      <c r="N694" s="2292"/>
      <c r="O694" s="2292"/>
      <c r="P694" s="2292"/>
      <c r="Q694" s="2292"/>
      <c r="R694" s="2292"/>
      <c r="S694" s="2292"/>
      <c r="T694" s="2292"/>
      <c r="U694" s="2292"/>
      <c r="V694" s="2292"/>
      <c r="W694" s="2292"/>
      <c r="X694" s="2292"/>
      <c r="Y694" s="2292"/>
      <c r="Z694" s="2292"/>
      <c r="AA694" s="2292"/>
      <c r="AB694" s="2292"/>
      <c r="AC694" s="2292"/>
      <c r="AD694" s="2292"/>
      <c r="AE694" s="2292"/>
      <c r="AG694" s="484"/>
      <c r="AH694" s="484"/>
      <c r="AI694" s="484"/>
      <c r="AJ694" s="484"/>
      <c r="AK694" s="665"/>
      <c r="AN694" s="530"/>
      <c r="AO694" s="483" t="s">
        <v>2413</v>
      </c>
      <c r="AP694" s="483">
        <v>1</v>
      </c>
    </row>
    <row r="695" spans="1:50" s="483" customFormat="1" ht="12.75" hidden="1" customHeight="1">
      <c r="C695" s="698"/>
      <c r="D695" s="660"/>
      <c r="E695" s="699"/>
      <c r="F695" s="2297" t="s">
        <v>299</v>
      </c>
      <c r="G695" s="2297"/>
      <c r="H695" s="2297"/>
      <c r="I695" s="2297"/>
      <c r="J695" s="2297"/>
      <c r="K695" s="2297"/>
      <c r="L695" s="2297"/>
      <c r="M695" s="2297"/>
      <c r="N695" s="2297"/>
      <c r="O695" s="2297"/>
      <c r="P695" s="2297"/>
      <c r="Q695" s="2297"/>
      <c r="R695" s="2297"/>
      <c r="S695" s="2297"/>
      <c r="T695" s="2297"/>
      <c r="U695" s="2297"/>
      <c r="V695" s="2297"/>
      <c r="W695" s="2297"/>
      <c r="X695" s="2297"/>
      <c r="Y695" s="2297"/>
      <c r="Z695" s="2297"/>
      <c r="AA695" s="700"/>
      <c r="AB695" s="591"/>
      <c r="AC695" s="591"/>
      <c r="AD695" s="660"/>
      <c r="AE695" s="660"/>
      <c r="AF695" s="660"/>
      <c r="AG695" s="701">
        <f>IF($C$693="Yes",(VLOOKUP($F$695,$AO$660:$AP$668,2,FALSE)),0)</f>
        <v>0</v>
      </c>
      <c r="AH695" s="702" t="s">
        <v>2112</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298" t="s">
        <v>825</v>
      </c>
      <c r="D697" s="2299"/>
      <c r="E697" s="695" t="s">
        <v>52</v>
      </c>
      <c r="F697" s="703" t="s">
        <v>2433</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2434</v>
      </c>
      <c r="F698" s="705" t="s">
        <v>2435</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2436</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2437</v>
      </c>
      <c r="G700" s="483"/>
      <c r="H700" s="483"/>
      <c r="I700" s="705"/>
      <c r="J700" s="705"/>
      <c r="K700" s="705"/>
      <c r="L700" s="705"/>
      <c r="M700" s="705"/>
      <c r="N700" s="705"/>
      <c r="O700" s="705"/>
      <c r="P700" s="705"/>
      <c r="Q700" s="705"/>
      <c r="R700" s="705"/>
      <c r="S700" s="705"/>
      <c r="T700" s="705"/>
      <c r="U700" s="705"/>
      <c r="V700" s="2206" t="s">
        <v>299</v>
      </c>
      <c r="W700" s="2206"/>
      <c r="X700" s="2206"/>
      <c r="Y700" s="705"/>
      <c r="Z700" s="705"/>
      <c r="AA700" s="705"/>
      <c r="AB700" s="705"/>
      <c r="AC700" s="705"/>
      <c r="AD700" s="542"/>
      <c r="AE700" s="542"/>
      <c r="AF700" s="542"/>
      <c r="AG700" s="546">
        <f>IF(AND($C$697="Yes",$V$702="N/A",$V$707="N/A",$V$711="N/A",$V$713="N/A"),(VLOOKUP(V700,$AR$670:$AS$672,2,FALSE)),0)</f>
        <v>0</v>
      </c>
      <c r="AH700" s="573" t="s">
        <v>2112</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2438</v>
      </c>
      <c r="G702" s="483"/>
      <c r="H702" s="483"/>
      <c r="I702" s="705"/>
      <c r="J702" s="705"/>
      <c r="K702" s="705"/>
      <c r="L702" s="705"/>
      <c r="M702" s="705"/>
      <c r="N702" s="705"/>
      <c r="O702" s="705"/>
      <c r="P702" s="705"/>
      <c r="Q702" s="705"/>
      <c r="R702" s="705"/>
      <c r="S702" s="705"/>
      <c r="T702" s="705"/>
      <c r="U702" s="705"/>
      <c r="V702" s="2206" t="s">
        <v>299</v>
      </c>
      <c r="W702" s="2206"/>
      <c r="X702" s="2206"/>
      <c r="Y702" s="705"/>
      <c r="Z702" s="705"/>
      <c r="AA702" s="705"/>
      <c r="AB702" s="705"/>
      <c r="AC702" s="705"/>
      <c r="AD702" s="542"/>
      <c r="AE702" s="542"/>
      <c r="AF702" s="542"/>
      <c r="AG702" s="546">
        <f>IF(AND($C$697="Yes",$V$700="N/A", $V$707="N/A",$V$711="N/A",$V$713="N/A"),(VLOOKUP(V702,$AO$670:$AP$672,2,FALSE)),0)</f>
        <v>0</v>
      </c>
      <c r="AH702" s="573" t="s">
        <v>2112</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2439</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2440</v>
      </c>
      <c r="AP704" s="570">
        <v>2</v>
      </c>
    </row>
    <row r="705" spans="1:81" s="483" customFormat="1" ht="12.75" hidden="1" customHeight="1">
      <c r="C705" s="696"/>
      <c r="F705" s="542" t="s">
        <v>2441</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2442</v>
      </c>
      <c r="AP705" s="483">
        <v>2</v>
      </c>
    </row>
    <row r="706" spans="1:81" s="529" customFormat="1" ht="12.75" hidden="1" customHeight="1">
      <c r="A706" s="483"/>
      <c r="B706" s="483"/>
      <c r="C706" s="672"/>
      <c r="D706" s="503"/>
      <c r="E706" s="503"/>
      <c r="F706" s="542" t="s">
        <v>2443</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2444</v>
      </c>
      <c r="AP706" s="483">
        <v>2</v>
      </c>
    </row>
    <row r="707" spans="1:81" s="483" customFormat="1" ht="12.75" hidden="1" customHeight="1">
      <c r="C707" s="711"/>
      <c r="F707" s="709" t="s">
        <v>2445</v>
      </c>
      <c r="M707" s="697"/>
      <c r="N707" s="697"/>
      <c r="O707" s="697"/>
      <c r="P707" s="697"/>
      <c r="Q707" s="484"/>
      <c r="R707" s="484"/>
      <c r="S707" s="484"/>
      <c r="T707" s="484"/>
      <c r="U707" s="484"/>
      <c r="V707" s="2206" t="s">
        <v>299</v>
      </c>
      <c r="W707" s="2206"/>
      <c r="X707" s="2206"/>
      <c r="Y707" s="484"/>
      <c r="Z707" s="484"/>
      <c r="AA707" s="484"/>
      <c r="AB707" s="484"/>
      <c r="AC707" s="484"/>
      <c r="AG707" s="546">
        <f>IF(AND($C$697="Yes",$V$700="N/A",$V$702="N/A", $V$711="N/A",$V$713="N/A"),(VLOOKUP($V$707,$AO$674:$AP$676,2,FALSE)),0)</f>
        <v>0</v>
      </c>
      <c r="AH707" s="573" t="s">
        <v>2112</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2446</v>
      </c>
      <c r="D709" s="647"/>
      <c r="E709" s="647"/>
      <c r="F709" s="714" t="s">
        <v>2447</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86"/>
      <c r="E710" s="2286"/>
      <c r="F710" s="705" t="s">
        <v>2448</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2449</v>
      </c>
      <c r="AP710" s="570">
        <v>5</v>
      </c>
      <c r="AQ710" s="472"/>
    </row>
    <row r="711" spans="1:81" s="503" customFormat="1" ht="12.75" hidden="1" customHeight="1">
      <c r="A711" s="612"/>
      <c r="B711" s="483"/>
      <c r="C711" s="696"/>
      <c r="D711" s="483"/>
      <c r="E711" s="483"/>
      <c r="F711" s="716" t="s">
        <v>2437</v>
      </c>
      <c r="G711" s="483"/>
      <c r="H711" s="483"/>
      <c r="I711" s="483"/>
      <c r="J711" s="483"/>
      <c r="K711" s="483"/>
      <c r="L711" s="483"/>
      <c r="M711" s="483"/>
      <c r="N711" s="483"/>
      <c r="O711" s="483"/>
      <c r="P711" s="483"/>
      <c r="Q711" s="483"/>
      <c r="R711" s="483"/>
      <c r="S711" s="483"/>
      <c r="T711" s="483"/>
      <c r="U711" s="483"/>
      <c r="V711" s="2206" t="s">
        <v>299</v>
      </c>
      <c r="W711" s="2206"/>
      <c r="X711" s="2206"/>
      <c r="Y711" s="483"/>
      <c r="Z711" s="483"/>
      <c r="AA711" s="483"/>
      <c r="AB711" s="483"/>
      <c r="AC711" s="483"/>
      <c r="AD711" s="483"/>
      <c r="AE711" s="483"/>
      <c r="AF711" s="483"/>
      <c r="AG711" s="546">
        <f>IF(AND($C$697="Yes",$V$700="N/A",V702="N/A",$V$707="N/A",$V$713="N/A"),(VLOOKUP($V$711,$AW$670:$AX$673,2,FALSE)),0)</f>
        <v>0</v>
      </c>
      <c r="AH711" s="573" t="s">
        <v>2112</v>
      </c>
      <c r="AI711" s="484"/>
      <c r="AJ711" s="483"/>
      <c r="AK711" s="665"/>
      <c r="AL711" s="483"/>
      <c r="AM711" s="483"/>
      <c r="AN711" s="617"/>
      <c r="AO711" s="483" t="s">
        <v>2450</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2451</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2438</v>
      </c>
      <c r="G713" s="700"/>
      <c r="H713" s="700"/>
      <c r="I713" s="660"/>
      <c r="J713" s="660"/>
      <c r="K713" s="660"/>
      <c r="L713" s="660"/>
      <c r="M713" s="660"/>
      <c r="N713" s="660"/>
      <c r="O713" s="660"/>
      <c r="P713" s="660"/>
      <c r="Q713" s="660"/>
      <c r="R713" s="660"/>
      <c r="S713" s="660"/>
      <c r="T713" s="660"/>
      <c r="U713" s="660"/>
      <c r="V713" s="2206" t="s">
        <v>299</v>
      </c>
      <c r="W713" s="2206"/>
      <c r="X713" s="2206"/>
      <c r="Y713" s="660"/>
      <c r="Z713" s="660"/>
      <c r="AA713" s="660"/>
      <c r="AB713" s="660"/>
      <c r="AC713" s="660"/>
      <c r="AD713" s="660"/>
      <c r="AE713" s="660"/>
      <c r="AF713" s="660"/>
      <c r="AG713" s="717">
        <f>IF(AND($C$697="Yes",$V$700="N/A",$V$702="N/A",$V$707="N/A",$V$711="N/A"),(VLOOKUP($V$713,$BA$670:$BB$672,2,FALSE)),0)</f>
        <v>0</v>
      </c>
      <c r="AH713" s="702" t="s">
        <v>2112</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2452</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83" t="s">
        <v>299</v>
      </c>
      <c r="D716" s="2284"/>
      <c r="E716" s="695" t="s">
        <v>50</v>
      </c>
      <c r="F716" s="2291" t="s">
        <v>2431</v>
      </c>
      <c r="G716" s="2291"/>
      <c r="H716" s="2291"/>
      <c r="I716" s="2291"/>
      <c r="J716" s="2291"/>
      <c r="K716" s="2291"/>
      <c r="L716" s="2291"/>
      <c r="M716" s="2291"/>
      <c r="N716" s="2291"/>
      <c r="O716" s="2291"/>
      <c r="P716" s="2291"/>
      <c r="Q716" s="2291"/>
      <c r="R716" s="2291"/>
      <c r="S716" s="2291"/>
      <c r="T716" s="2291"/>
      <c r="U716" s="2291"/>
      <c r="V716" s="2291"/>
      <c r="W716" s="2291"/>
      <c r="X716" s="2291"/>
      <c r="Y716" s="2291"/>
      <c r="Z716" s="2291"/>
      <c r="AA716" s="2291"/>
      <c r="AB716" s="2291"/>
      <c r="AC716" s="2291"/>
      <c r="AD716" s="2291"/>
      <c r="AE716" s="2291"/>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92"/>
      <c r="G717" s="2292"/>
      <c r="H717" s="2292"/>
      <c r="I717" s="2292"/>
      <c r="J717" s="2292"/>
      <c r="K717" s="2292"/>
      <c r="L717" s="2292"/>
      <c r="M717" s="2292"/>
      <c r="N717" s="2292"/>
      <c r="O717" s="2292"/>
      <c r="P717" s="2292"/>
      <c r="Q717" s="2292"/>
      <c r="R717" s="2292"/>
      <c r="S717" s="2292"/>
      <c r="T717" s="2292"/>
      <c r="U717" s="2292"/>
      <c r="V717" s="2292"/>
      <c r="W717" s="2292"/>
      <c r="X717" s="2292"/>
      <c r="Y717" s="2292"/>
      <c r="Z717" s="2292"/>
      <c r="AA717" s="2292"/>
      <c r="AB717" s="2292"/>
      <c r="AC717" s="2292"/>
      <c r="AD717" s="2292"/>
      <c r="AE717" s="2292"/>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93" t="s">
        <v>299</v>
      </c>
      <c r="G718" s="2293"/>
      <c r="H718" s="2293"/>
      <c r="I718" s="2293"/>
      <c r="J718" s="2293"/>
      <c r="K718" s="2293"/>
      <c r="L718" s="2293"/>
      <c r="M718" s="2293"/>
      <c r="N718" s="2293"/>
      <c r="O718" s="2293"/>
      <c r="P718" s="2293"/>
      <c r="Q718" s="2293"/>
      <c r="R718" s="2293"/>
      <c r="S718" s="2293"/>
      <c r="T718" s="2293"/>
      <c r="U718" s="2293"/>
      <c r="V718" s="2293"/>
      <c r="W718" s="2293"/>
      <c r="X718" s="2293"/>
      <c r="Y718" s="2293"/>
      <c r="Z718" s="2293"/>
      <c r="AA718" s="700"/>
      <c r="AB718" s="591"/>
      <c r="AC718" s="591"/>
      <c r="AD718" s="660"/>
      <c r="AE718" s="660"/>
      <c r="AF718" s="660"/>
      <c r="AG718" s="701">
        <f>IF($C$716="Yes",(VLOOKUP($F$718,$AO$686:$AP$694,2,FALSE)),0)</f>
        <v>0</v>
      </c>
      <c r="AH718" s="702" t="s">
        <v>2112</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83" t="s">
        <v>299</v>
      </c>
      <c r="D720" s="2284"/>
      <c r="E720" s="695" t="s">
        <v>52</v>
      </c>
      <c r="F720" s="2294" t="s">
        <v>2453</v>
      </c>
      <c r="G720" s="2294"/>
      <c r="H720" s="2294"/>
      <c r="I720" s="2294"/>
      <c r="J720" s="2294"/>
      <c r="K720" s="2294"/>
      <c r="L720" s="2294"/>
      <c r="M720" s="2294"/>
      <c r="N720" s="2294"/>
      <c r="O720" s="2294"/>
      <c r="P720" s="2294"/>
      <c r="Q720" s="2294"/>
      <c r="R720" s="2294"/>
      <c r="S720" s="2294"/>
      <c r="T720" s="2294"/>
      <c r="U720" s="2294"/>
      <c r="V720" s="2294"/>
      <c r="W720" s="2294"/>
      <c r="X720" s="2294"/>
      <c r="Y720" s="2294"/>
      <c r="Z720" s="2294"/>
      <c r="AA720" s="2294"/>
      <c r="AB720" s="2294"/>
      <c r="AC720" s="2294"/>
      <c r="AD720" s="2294"/>
      <c r="AE720" s="2294"/>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95"/>
      <c r="G721" s="2295"/>
      <c r="H721" s="2295"/>
      <c r="I721" s="2295"/>
      <c r="J721" s="2295"/>
      <c r="K721" s="2295"/>
      <c r="L721" s="2295"/>
      <c r="M721" s="2295"/>
      <c r="N721" s="2295"/>
      <c r="O721" s="2295"/>
      <c r="P721" s="2295"/>
      <c r="Q721" s="2295"/>
      <c r="R721" s="2295"/>
      <c r="S721" s="2295"/>
      <c r="T721" s="2295"/>
      <c r="U721" s="2295"/>
      <c r="V721" s="2295"/>
      <c r="W721" s="2295"/>
      <c r="X721" s="2295"/>
      <c r="Y721" s="2295"/>
      <c r="Z721" s="2295"/>
      <c r="AA721" s="2295"/>
      <c r="AB721" s="2295"/>
      <c r="AC721" s="2295"/>
      <c r="AD721" s="2295"/>
      <c r="AE721" s="2295"/>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2454</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296" t="s">
        <v>299</v>
      </c>
      <c r="G723" s="2296"/>
      <c r="H723" s="2296"/>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2112</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283" t="s">
        <v>299</v>
      </c>
      <c r="D725" s="2284"/>
      <c r="E725" s="695" t="s">
        <v>2455</v>
      </c>
      <c r="F725" s="714" t="s">
        <v>2456</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5"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285"/>
      <c r="D727" s="2286"/>
      <c r="E727" s="706"/>
      <c r="F727" s="484" t="s">
        <v>2457</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2112</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5" hidden="1" thickTop="1">
      <c r="A728" s="483"/>
      <c r="B728" s="483"/>
      <c r="C728" s="696"/>
      <c r="D728" s="483"/>
      <c r="E728" s="697"/>
      <c r="F728" s="484"/>
      <c r="G728" s="2287" t="s">
        <v>299</v>
      </c>
      <c r="H728" s="2287"/>
      <c r="I728" s="2287"/>
      <c r="J728" s="2287"/>
      <c r="K728" s="2287"/>
      <c r="L728" s="2287"/>
      <c r="M728" s="2287"/>
      <c r="N728" s="2287"/>
      <c r="O728" s="2287"/>
      <c r="P728" s="2287"/>
      <c r="Q728" s="2287"/>
      <c r="R728" s="2287"/>
      <c r="S728" s="2287"/>
      <c r="T728" s="2287"/>
      <c r="U728" s="2287"/>
      <c r="V728" s="2287"/>
      <c r="W728" s="2287"/>
      <c r="X728" s="2287"/>
      <c r="Y728" s="2287"/>
      <c r="Z728" s="2287"/>
      <c r="AA728" s="2287"/>
      <c r="AB728" s="2287"/>
      <c r="AC728" s="2287"/>
      <c r="AD728" s="2287"/>
      <c r="AE728" s="2287"/>
      <c r="AF728" s="2287"/>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5"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288" t="s">
        <v>299</v>
      </c>
      <c r="D730" s="2289"/>
      <c r="F730" s="484" t="s">
        <v>2458</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2112</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2459</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2460</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288" t="s">
        <v>299</v>
      </c>
      <c r="D734" s="2289"/>
      <c r="F734" s="729" t="s">
        <v>2461</v>
      </c>
      <c r="G734" s="2203" t="s">
        <v>2462</v>
      </c>
      <c r="H734" s="2203"/>
      <c r="I734" s="2203"/>
      <c r="J734" s="2203"/>
      <c r="K734" s="2203"/>
      <c r="L734" s="2203"/>
      <c r="M734" s="2203"/>
      <c r="N734" s="2203"/>
      <c r="O734" s="2203"/>
      <c r="P734" s="2203"/>
      <c r="Q734" s="2203"/>
      <c r="R734" s="2203"/>
      <c r="S734" s="2203"/>
      <c r="T734" s="2203"/>
      <c r="U734" s="2203"/>
      <c r="V734" s="2203"/>
      <c r="W734" s="2203"/>
      <c r="X734" s="2203"/>
      <c r="Y734" s="2203"/>
      <c r="Z734" s="2203"/>
      <c r="AA734" s="2203"/>
      <c r="AB734" s="2203"/>
      <c r="AC734" s="2203"/>
      <c r="AD734" s="2203"/>
      <c r="AE734" s="2203"/>
      <c r="AF734" s="2203"/>
      <c r="AG734" s="546">
        <f>IF(AND($C$734="Yes",$C$725="Yes"),2,0)</f>
        <v>0</v>
      </c>
      <c r="AH734" s="573" t="s">
        <v>2112</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0"/>
      <c r="H735" s="2290"/>
      <c r="I735" s="2290"/>
      <c r="J735" s="2290"/>
      <c r="K735" s="2290"/>
      <c r="L735" s="2290"/>
      <c r="M735" s="2290"/>
      <c r="N735" s="2290"/>
      <c r="O735" s="2290"/>
      <c r="P735" s="2290"/>
      <c r="Q735" s="2290"/>
      <c r="R735" s="2290"/>
      <c r="S735" s="2290"/>
      <c r="T735" s="2290"/>
      <c r="U735" s="2290"/>
      <c r="V735" s="2290"/>
      <c r="W735" s="2290"/>
      <c r="X735" s="2290"/>
      <c r="Y735" s="2290"/>
      <c r="Z735" s="2290"/>
      <c r="AA735" s="2290"/>
      <c r="AB735" s="2290"/>
      <c r="AC735" s="2290"/>
      <c r="AD735" s="2290"/>
      <c r="AE735" s="2290"/>
      <c r="AF735" s="2290"/>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2463</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72" t="s">
        <v>299</v>
      </c>
      <c r="D738" s="2273"/>
      <c r="E738" s="736" t="s">
        <v>2464</v>
      </c>
      <c r="F738" s="705" t="s">
        <v>2465</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2112</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274" t="s">
        <v>299</v>
      </c>
      <c r="G739" s="2274"/>
      <c r="H739" s="2274"/>
      <c r="I739" s="2274"/>
      <c r="J739" s="2274"/>
      <c r="K739" s="2274"/>
      <c r="L739" s="2274"/>
      <c r="M739" s="2274"/>
      <c r="N739" s="2274"/>
      <c r="O739" s="2274"/>
      <c r="P739" s="2274"/>
      <c r="Q739" s="2274"/>
      <c r="R739" s="2274"/>
      <c r="S739" s="2274"/>
      <c r="T739" s="2274"/>
      <c r="U739" s="2274"/>
      <c r="V739" s="2274"/>
      <c r="W739" s="2274"/>
      <c r="X739" s="2274"/>
      <c r="Y739" s="2274"/>
      <c r="Z739" s="2274"/>
      <c r="AA739" s="2274"/>
      <c r="AB739" s="2274"/>
      <c r="AC739" s="2274"/>
      <c r="AD739" s="2274"/>
      <c r="AE739" s="2274"/>
      <c r="AF739" s="2274"/>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275"/>
      <c r="G740" s="2275"/>
      <c r="H740" s="2275"/>
      <c r="I740" s="2275"/>
      <c r="J740" s="2275"/>
      <c r="K740" s="2275"/>
      <c r="L740" s="2275"/>
      <c r="M740" s="2275"/>
      <c r="N740" s="2275"/>
      <c r="O740" s="2275"/>
      <c r="P740" s="2275"/>
      <c r="Q740" s="2275"/>
      <c r="R740" s="2275"/>
      <c r="S740" s="2275"/>
      <c r="T740" s="2275"/>
      <c r="U740" s="2275"/>
      <c r="V740" s="2275"/>
      <c r="W740" s="2275"/>
      <c r="X740" s="2275"/>
      <c r="Y740" s="2275"/>
      <c r="Z740" s="2275"/>
      <c r="AA740" s="2275"/>
      <c r="AB740" s="2275"/>
      <c r="AC740" s="2275"/>
      <c r="AD740" s="2275"/>
      <c r="AE740" s="2275"/>
      <c r="AF740" s="2275"/>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2466</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2467</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2468</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2469</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2470</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2471</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2472</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2473</v>
      </c>
      <c r="AK750" s="2198">
        <f>SUM(AG694:AG739)</f>
        <v>0</v>
      </c>
      <c r="AL750" s="2199"/>
      <c r="AM750" s="2200"/>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5" thickTop="1"/>
    <row r="753" spans="1:49" s="483" customFormat="1" ht="12.75" customHeight="1">
      <c r="A753" s="472" t="s">
        <v>2474</v>
      </c>
      <c r="B753" s="472" t="s">
        <v>2475</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276" t="s">
        <v>2476</v>
      </c>
      <c r="AF753" s="2276"/>
      <c r="AG753" s="2276"/>
      <c r="AH753" s="2276"/>
      <c r="AI753" s="2276"/>
      <c r="AJ753" s="2276"/>
      <c r="AK753" s="2276"/>
      <c r="AL753" s="528"/>
      <c r="AM753" s="528"/>
      <c r="AN753" s="530"/>
    </row>
    <row r="754" spans="1:49" s="483" customFormat="1" ht="12.75" customHeight="1">
      <c r="A754" s="472"/>
      <c r="B754" s="472" t="s">
        <v>2108</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12" t="s">
        <v>825</v>
      </c>
      <c r="D756" s="2212"/>
      <c r="E756" s="484"/>
      <c r="F756" s="2277" t="s">
        <v>2477</v>
      </c>
      <c r="G756" s="2278"/>
      <c r="H756" s="2278"/>
      <c r="I756" s="2278"/>
      <c r="J756" s="2278"/>
      <c r="K756" s="2278"/>
      <c r="L756" s="2278"/>
      <c r="M756" s="2278"/>
      <c r="N756" s="2278"/>
      <c r="O756" s="2278"/>
      <c r="P756" s="2278"/>
      <c r="Q756" s="2278"/>
      <c r="R756" s="2278"/>
      <c r="S756" s="2278"/>
      <c r="T756" s="2278"/>
      <c r="U756" s="2278"/>
      <c r="V756" s="2278"/>
      <c r="W756" s="2278"/>
      <c r="X756" s="2278"/>
      <c r="Y756" s="2278"/>
      <c r="Z756" s="2278"/>
      <c r="AA756" s="2278"/>
      <c r="AB756" s="2278"/>
      <c r="AC756" s="2278"/>
      <c r="AD756" s="2278"/>
      <c r="AE756" s="2278"/>
      <c r="AF756" s="2278"/>
      <c r="AG756" s="2278"/>
      <c r="AH756" s="2278"/>
      <c r="AI756" s="2278"/>
      <c r="AJ756" s="2278"/>
      <c r="AK756" s="2278"/>
      <c r="AL756" s="2279"/>
      <c r="AM756" s="528"/>
      <c r="AN756" s="530"/>
    </row>
    <row r="757" spans="1:49" s="483" customFormat="1" ht="12.75" customHeight="1">
      <c r="A757" s="472"/>
      <c r="B757" s="472"/>
      <c r="C757" s="484"/>
      <c r="D757" s="484"/>
      <c r="E757" s="484"/>
      <c r="F757" s="2280"/>
      <c r="G757" s="2281"/>
      <c r="H757" s="2281"/>
      <c r="I757" s="2281"/>
      <c r="J757" s="2281"/>
      <c r="K757" s="2281"/>
      <c r="L757" s="2281"/>
      <c r="M757" s="2281"/>
      <c r="N757" s="2281"/>
      <c r="O757" s="2281"/>
      <c r="P757" s="2281"/>
      <c r="Q757" s="2281"/>
      <c r="R757" s="2281"/>
      <c r="S757" s="2281"/>
      <c r="T757" s="2281"/>
      <c r="U757" s="2281"/>
      <c r="V757" s="2281"/>
      <c r="W757" s="2281"/>
      <c r="X757" s="2281"/>
      <c r="Y757" s="2281"/>
      <c r="Z757" s="2281"/>
      <c r="AA757" s="2281"/>
      <c r="AB757" s="2281"/>
      <c r="AC757" s="2281"/>
      <c r="AD757" s="2281"/>
      <c r="AE757" s="2281"/>
      <c r="AF757" s="2281"/>
      <c r="AG757" s="2281"/>
      <c r="AH757" s="2281"/>
      <c r="AI757" s="2281"/>
      <c r="AJ757" s="2281"/>
      <c r="AK757" s="2281"/>
      <c r="AL757" s="2282"/>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12" t="s">
        <v>299</v>
      </c>
      <c r="D759" s="2212"/>
      <c r="E759" s="740"/>
      <c r="F759" s="577" t="s">
        <v>2478</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190" t="s">
        <v>2479</v>
      </c>
      <c r="G760" s="2191"/>
      <c r="H760" s="2191"/>
      <c r="I760" s="2191"/>
      <c r="J760" s="2191"/>
      <c r="K760" s="2191"/>
      <c r="L760" s="2191"/>
      <c r="M760" s="2191"/>
      <c r="N760" s="2191"/>
      <c r="O760" s="2191"/>
      <c r="P760" s="2191"/>
      <c r="Q760" s="2191"/>
      <c r="R760" s="2191"/>
      <c r="S760" s="2191"/>
      <c r="T760" s="2191"/>
      <c r="U760" s="2191"/>
      <c r="V760" s="2191"/>
      <c r="W760" s="2191"/>
      <c r="X760" s="2191"/>
      <c r="Y760" s="2191"/>
      <c r="Z760" s="2191"/>
      <c r="AA760" s="2191"/>
      <c r="AB760" s="2191"/>
      <c r="AC760" s="2191"/>
      <c r="AD760" s="2191"/>
      <c r="AE760" s="2191"/>
      <c r="AF760" s="2191"/>
      <c r="AG760" s="2191"/>
      <c r="AH760" s="2191"/>
      <c r="AI760" s="2191"/>
      <c r="AJ760" s="2191"/>
      <c r="AK760" s="2191"/>
      <c r="AL760" s="2192"/>
      <c r="AM760" s="528"/>
      <c r="AN760" s="530"/>
      <c r="AS760" s="831"/>
      <c r="AT760" s="831"/>
      <c r="AU760" s="831"/>
      <c r="AV760" s="831"/>
      <c r="AW760" s="831"/>
    </row>
    <row r="761" spans="1:49" s="483" customFormat="1" ht="12.75" customHeight="1">
      <c r="B761" s="740"/>
      <c r="C761" s="740"/>
      <c r="D761" s="740"/>
      <c r="E761" s="740"/>
      <c r="F761" s="2190"/>
      <c r="G761" s="2191"/>
      <c r="H761" s="2191"/>
      <c r="I761" s="2191"/>
      <c r="J761" s="2191"/>
      <c r="K761" s="2191"/>
      <c r="L761" s="2191"/>
      <c r="M761" s="2191"/>
      <c r="N761" s="2191"/>
      <c r="O761" s="2191"/>
      <c r="P761" s="2191"/>
      <c r="Q761" s="2191"/>
      <c r="R761" s="2191"/>
      <c r="S761" s="2191"/>
      <c r="T761" s="2191"/>
      <c r="U761" s="2191"/>
      <c r="V761" s="2191"/>
      <c r="W761" s="2191"/>
      <c r="X761" s="2191"/>
      <c r="Y761" s="2191"/>
      <c r="Z761" s="2191"/>
      <c r="AA761" s="2191"/>
      <c r="AB761" s="2191"/>
      <c r="AC761" s="2191"/>
      <c r="AD761" s="2191"/>
      <c r="AE761" s="2191"/>
      <c r="AF761" s="2191"/>
      <c r="AG761" s="2191"/>
      <c r="AH761" s="2191"/>
      <c r="AI761" s="2191"/>
      <c r="AJ761" s="2191"/>
      <c r="AK761" s="2191"/>
      <c r="AL761" s="2192"/>
      <c r="AM761" s="528"/>
      <c r="AN761" s="530"/>
    </row>
    <row r="762" spans="1:49" s="483" customFormat="1" ht="12.75" customHeight="1">
      <c r="B762" s="740"/>
      <c r="C762" s="740"/>
      <c r="D762" s="740"/>
      <c r="E762" s="740"/>
      <c r="F762" s="745" t="s">
        <v>2480</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190" t="s">
        <v>2481</v>
      </c>
      <c r="G763" s="2191"/>
      <c r="H763" s="2191"/>
      <c r="I763" s="2191"/>
      <c r="J763" s="2191"/>
      <c r="K763" s="2191"/>
      <c r="L763" s="2191"/>
      <c r="M763" s="2191"/>
      <c r="N763" s="2191"/>
      <c r="O763" s="2191"/>
      <c r="P763" s="2191"/>
      <c r="Q763" s="2191"/>
      <c r="R763" s="2191"/>
      <c r="S763" s="2191"/>
      <c r="T763" s="2191"/>
      <c r="U763" s="2191"/>
      <c r="V763" s="2191"/>
      <c r="W763" s="2191"/>
      <c r="X763" s="2191"/>
      <c r="Y763" s="2191"/>
      <c r="Z763" s="2191"/>
      <c r="AA763" s="2191"/>
      <c r="AB763" s="2191"/>
      <c r="AC763" s="2191"/>
      <c r="AD763" s="2191"/>
      <c r="AE763" s="2191"/>
      <c r="AF763" s="2191"/>
      <c r="AG763" s="2191"/>
      <c r="AH763" s="2191"/>
      <c r="AI763" s="2191"/>
      <c r="AJ763" s="2191"/>
      <c r="AK763" s="2191"/>
      <c r="AL763" s="747"/>
      <c r="AM763" s="528"/>
      <c r="AN763" s="530"/>
    </row>
    <row r="764" spans="1:49" s="483" customFormat="1" ht="12.75" customHeight="1">
      <c r="B764" s="740"/>
      <c r="C764" s="740"/>
      <c r="D764" s="740"/>
      <c r="E764" s="740"/>
      <c r="F764" s="2193"/>
      <c r="G764" s="2194"/>
      <c r="H764" s="2194"/>
      <c r="I764" s="2194"/>
      <c r="J764" s="2194"/>
      <c r="K764" s="2194"/>
      <c r="L764" s="2194"/>
      <c r="M764" s="2194"/>
      <c r="N764" s="2194"/>
      <c r="O764" s="2194"/>
      <c r="P764" s="2194"/>
      <c r="Q764" s="2194"/>
      <c r="R764" s="2194"/>
      <c r="S764" s="2194"/>
      <c r="T764" s="2194"/>
      <c r="U764" s="2194"/>
      <c r="V764" s="2194"/>
      <c r="W764" s="2194"/>
      <c r="X764" s="2194"/>
      <c r="Y764" s="2194"/>
      <c r="Z764" s="2194"/>
      <c r="AA764" s="2194"/>
      <c r="AB764" s="2194"/>
      <c r="AC764" s="2194"/>
      <c r="AD764" s="2194"/>
      <c r="AE764" s="2194"/>
      <c r="AF764" s="2194"/>
      <c r="AG764" s="2194"/>
      <c r="AH764" s="2194"/>
      <c r="AI764" s="2194"/>
      <c r="AJ764" s="2194"/>
      <c r="AK764" s="2194"/>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185">
        <f>Application!AJ975</f>
        <v>44506344</v>
      </c>
      <c r="AQ765" s="2185"/>
      <c r="AR765" s="2185"/>
    </row>
    <row r="766" spans="1:49" s="483" customFormat="1" ht="12.75" customHeight="1">
      <c r="A766" s="432"/>
      <c r="B766" s="382" t="s">
        <v>2482</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195">
        <f>'Sources and Uses Budget'!S107+'Sources and Uses Budget'!T107</f>
        <v>40768911</v>
      </c>
      <c r="AG766" s="2195"/>
      <c r="AH766" s="2195"/>
      <c r="AI766" s="2195"/>
      <c r="AJ766" s="2195"/>
      <c r="AK766" s="528"/>
      <c r="AL766" s="528"/>
      <c r="AM766" s="528"/>
      <c r="AN766" s="530"/>
    </row>
    <row r="767" spans="1:49" s="483" customFormat="1" ht="12.75" customHeight="1">
      <c r="A767" s="558"/>
      <c r="B767" s="558" t="s">
        <v>2483</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196">
        <f>AP774</f>
        <v>64219104.520000011</v>
      </c>
      <c r="AG767" s="2196"/>
      <c r="AH767" s="2196"/>
      <c r="AI767" s="2196"/>
      <c r="AJ767" s="2196"/>
      <c r="AK767" s="528"/>
      <c r="AL767" s="528"/>
      <c r="AM767" s="528"/>
      <c r="AN767" s="530"/>
      <c r="AP767" s="2185">
        <f>Application!AJ1024</f>
        <v>4895697.84</v>
      </c>
      <c r="AQ767" s="2185"/>
      <c r="AR767" s="2185"/>
    </row>
    <row r="768" spans="1:49" s="483" customFormat="1" ht="12.75" customHeight="1">
      <c r="A768" s="557"/>
      <c r="B768" s="557" t="s">
        <v>1693</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197">
        <f>ROUNDDOWN(IF(C759="YES",((1-(AF766/AF767))*2),(1-(AF766/AF767))),2)</f>
        <v>0.36</v>
      </c>
      <c r="AG768" s="2197"/>
      <c r="AH768" s="2197"/>
      <c r="AI768" s="2197"/>
      <c r="AJ768" s="2197"/>
      <c r="AK768" s="528"/>
      <c r="AL768" s="528"/>
      <c r="AM768" s="528"/>
      <c r="AN768" s="530"/>
      <c r="AP768" s="2186">
        <f>Application!AJ1028</f>
        <v>9791395.6799999997</v>
      </c>
      <c r="AQ768" s="2186"/>
      <c r="AR768" s="2186"/>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204">
        <f>IF(((AP767+AP768)/AP765)&gt;0.8,0.8,((AP767+AP768)/AP765))</f>
        <v>0.33</v>
      </c>
      <c r="AQ769" s="2204"/>
      <c r="AR769" s="2204"/>
    </row>
    <row r="770" spans="1:44" s="483" customFormat="1" ht="12.75" customHeight="1">
      <c r="A770" s="557"/>
      <c r="B770" s="2252" t="s">
        <v>2484</v>
      </c>
      <c r="C770" s="2253"/>
      <c r="D770" s="2253"/>
      <c r="E770" s="2253"/>
      <c r="F770" s="2253"/>
      <c r="G770" s="2253"/>
      <c r="H770" s="2253"/>
      <c r="I770" s="2253"/>
      <c r="J770" s="2253"/>
      <c r="K770" s="2253"/>
      <c r="L770" s="2253"/>
      <c r="M770" s="2253"/>
      <c r="N770" s="2253"/>
      <c r="O770" s="2253"/>
      <c r="P770" s="2253"/>
      <c r="Q770" s="2253"/>
      <c r="R770" s="2253"/>
      <c r="S770" s="2253"/>
      <c r="T770" s="2253"/>
      <c r="U770" s="2253"/>
      <c r="V770" s="2253"/>
      <c r="W770" s="2253"/>
      <c r="X770" s="2253"/>
      <c r="Y770" s="2253"/>
      <c r="Z770" s="2253"/>
      <c r="AA770" s="2253"/>
      <c r="AB770" s="2253"/>
      <c r="AC770" s="2253"/>
      <c r="AD770" s="2253"/>
      <c r="AE770" s="2253"/>
      <c r="AF770" s="2253"/>
      <c r="AG770" s="2253"/>
      <c r="AH770" s="2253"/>
      <c r="AI770" s="2253"/>
      <c r="AJ770" s="2254"/>
      <c r="AK770" s="528"/>
      <c r="AL770" s="528"/>
      <c r="AM770" s="528"/>
      <c r="AN770" s="530"/>
    </row>
    <row r="771" spans="1:44" s="483" customFormat="1" ht="12.75" customHeight="1">
      <c r="A771" s="557"/>
      <c r="B771" s="2255"/>
      <c r="C771" s="2256"/>
      <c r="D771" s="2256"/>
      <c r="E771" s="2256"/>
      <c r="F771" s="2256"/>
      <c r="G771" s="2256"/>
      <c r="H771" s="2256"/>
      <c r="I771" s="2256"/>
      <c r="J771" s="2256"/>
      <c r="K771" s="2256"/>
      <c r="L771" s="2256"/>
      <c r="M771" s="2256"/>
      <c r="N771" s="2256"/>
      <c r="O771" s="2256"/>
      <c r="P771" s="2256"/>
      <c r="Q771" s="2256"/>
      <c r="R771" s="2256"/>
      <c r="S771" s="2256"/>
      <c r="T771" s="2256"/>
      <c r="U771" s="2256"/>
      <c r="V771" s="2256"/>
      <c r="W771" s="2256"/>
      <c r="X771" s="2256"/>
      <c r="Y771" s="2256"/>
      <c r="Z771" s="2256"/>
      <c r="AA771" s="2256"/>
      <c r="AB771" s="2256"/>
      <c r="AC771" s="2256"/>
      <c r="AD771" s="2256"/>
      <c r="AE771" s="2256"/>
      <c r="AF771" s="2256"/>
      <c r="AG771" s="2256"/>
      <c r="AH771" s="2256"/>
      <c r="AI771" s="2256"/>
      <c r="AJ771" s="2257"/>
      <c r="AK771" s="528"/>
      <c r="AL771" s="528"/>
      <c r="AM771" s="528"/>
      <c r="AN771" s="530"/>
      <c r="AP771" s="2185">
        <f>AP772-AP767-AP768</f>
        <v>49532011.000000007</v>
      </c>
      <c r="AQ771" s="2205"/>
      <c r="AR771" s="2205"/>
    </row>
    <row r="772" spans="1:44" s="483" customFormat="1" ht="12.75" customHeight="1">
      <c r="A772" s="557"/>
      <c r="B772" s="2258"/>
      <c r="C772" s="2259"/>
      <c r="D772" s="2259"/>
      <c r="E772" s="2259"/>
      <c r="F772" s="2259"/>
      <c r="G772" s="2259"/>
      <c r="H772" s="2259"/>
      <c r="I772" s="2259"/>
      <c r="J772" s="2259"/>
      <c r="K772" s="2259"/>
      <c r="L772" s="2259"/>
      <c r="M772" s="2259"/>
      <c r="N772" s="2259"/>
      <c r="O772" s="2259"/>
      <c r="P772" s="2259"/>
      <c r="Q772" s="2259"/>
      <c r="R772" s="2259"/>
      <c r="S772" s="2259"/>
      <c r="T772" s="2259"/>
      <c r="U772" s="2259"/>
      <c r="V772" s="2259"/>
      <c r="W772" s="2259"/>
      <c r="X772" s="2259"/>
      <c r="Y772" s="2259"/>
      <c r="Z772" s="2259"/>
      <c r="AA772" s="2259"/>
      <c r="AB772" s="2259"/>
      <c r="AC772" s="2259"/>
      <c r="AD772" s="2259"/>
      <c r="AE772" s="2259"/>
      <c r="AF772" s="2259"/>
      <c r="AG772" s="2259"/>
      <c r="AH772" s="2259"/>
      <c r="AI772" s="2259"/>
      <c r="AJ772" s="2260"/>
      <c r="AK772" s="528"/>
      <c r="AL772" s="528"/>
      <c r="AM772" s="528"/>
      <c r="AN772" s="530"/>
      <c r="AP772" s="2185">
        <f>Application!AJ1032</f>
        <v>64219104.520000003</v>
      </c>
      <c r="AQ772" s="2185"/>
      <c r="AR772" s="2185"/>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2485</v>
      </c>
      <c r="AK774" s="2261">
        <f>IF(AF768=0,0,IF((AF768*100)&gt;12,12,(AF768*100)))</f>
        <v>12</v>
      </c>
      <c r="AL774" s="2261"/>
      <c r="AM774" s="2262"/>
      <c r="AN774" s="530"/>
      <c r="AP774" s="2174">
        <f>AP771+(AP765*AP769)</f>
        <v>64219104.520000011</v>
      </c>
      <c r="AQ774" s="2175"/>
      <c r="AR774" s="2176"/>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263" t="s">
        <v>2486</v>
      </c>
      <c r="B777" s="2264"/>
      <c r="C777" s="2264"/>
      <c r="D777" s="2264"/>
      <c r="E777" s="2264"/>
      <c r="F777" s="2264"/>
      <c r="G777" s="2264"/>
      <c r="H777" s="2264"/>
      <c r="I777" s="2264"/>
      <c r="J777" s="2264"/>
      <c r="K777" s="2264"/>
      <c r="L777" s="2264"/>
      <c r="M777" s="2264"/>
      <c r="N777" s="2264"/>
      <c r="O777" s="2264"/>
      <c r="P777" s="2264"/>
      <c r="Q777" s="2264"/>
      <c r="R777" s="2264"/>
      <c r="S777" s="2264"/>
      <c r="T777" s="2264"/>
      <c r="U777" s="2264"/>
      <c r="V777" s="2264"/>
      <c r="W777" s="2264"/>
      <c r="X777" s="2264"/>
      <c r="Y777" s="2264"/>
      <c r="Z777" s="2264"/>
      <c r="AA777" s="2264"/>
      <c r="AB777" s="2264"/>
      <c r="AC777" s="2264"/>
      <c r="AD777" s="2264"/>
      <c r="AE777" s="2264"/>
      <c r="AF777" s="2264"/>
      <c r="AG777" s="2264"/>
      <c r="AH777" s="2264"/>
      <c r="AI777" s="2264"/>
      <c r="AJ777" s="2264"/>
      <c r="AK777" s="2264"/>
      <c r="AL777" s="2264"/>
      <c r="AM777" s="2264"/>
    </row>
    <row r="778" spans="1:44">
      <c r="A778" s="2265"/>
      <c r="B778" s="2265"/>
      <c r="C778" s="2265"/>
      <c r="D778" s="2265"/>
      <c r="E778" s="2265"/>
      <c r="F778" s="2265"/>
      <c r="G778" s="2265"/>
      <c r="H778" s="2265"/>
      <c r="I778" s="2265"/>
      <c r="J778" s="2265"/>
      <c r="K778" s="2265"/>
      <c r="L778" s="2265"/>
      <c r="M778" s="2265"/>
      <c r="N778" s="2265"/>
      <c r="O778" s="2265"/>
      <c r="P778" s="2265"/>
      <c r="Q778" s="2265"/>
      <c r="R778" s="2265"/>
      <c r="S778" s="2265"/>
      <c r="T778" s="2265"/>
      <c r="U778" s="2265"/>
      <c r="V778" s="2265"/>
      <c r="W778" s="2265"/>
      <c r="X778" s="2265"/>
      <c r="Y778" s="2265"/>
      <c r="Z778" s="2265"/>
      <c r="AA778" s="2265"/>
      <c r="AB778" s="2265"/>
      <c r="AC778" s="2265"/>
      <c r="AD778" s="2265"/>
      <c r="AE778" s="2265"/>
      <c r="AF778" s="2265"/>
      <c r="AG778" s="2265"/>
      <c r="AH778" s="2265"/>
      <c r="AI778" s="2265"/>
      <c r="AJ778" s="2265"/>
      <c r="AK778" s="2265"/>
      <c r="AL778" s="2265"/>
      <c r="AM778" s="2265"/>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01"/>
      <c r="B780" s="2201"/>
      <c r="C780" s="2201"/>
      <c r="D780" s="2201"/>
      <c r="E780" s="2201"/>
      <c r="F780" s="2201"/>
      <c r="G780" s="2201"/>
      <c r="H780" s="2201"/>
      <c r="I780" s="2201"/>
      <c r="J780" s="2201"/>
      <c r="K780" s="2201"/>
      <c r="L780" s="2201"/>
      <c r="M780" s="2201"/>
      <c r="N780" s="2201"/>
      <c r="O780" s="2201"/>
      <c r="P780" s="2201"/>
      <c r="Q780" s="2201"/>
      <c r="R780" s="2201"/>
      <c r="S780" s="2201"/>
      <c r="T780" s="2201"/>
      <c r="U780" s="2201"/>
      <c r="V780" s="2201"/>
      <c r="W780" s="2201"/>
      <c r="X780" s="2201"/>
      <c r="Y780" s="2201"/>
      <c r="Z780" s="2201"/>
      <c r="AA780" s="2201"/>
      <c r="AB780" s="2201"/>
      <c r="AC780" s="2201"/>
      <c r="AD780" s="2201"/>
      <c r="AE780" s="2201"/>
      <c r="AF780" s="2201"/>
      <c r="AG780" s="2201"/>
      <c r="AH780" s="2201"/>
      <c r="AI780" s="2201"/>
      <c r="AJ780" s="2201"/>
      <c r="AK780" s="2201"/>
      <c r="AL780" s="2201"/>
      <c r="AM780" s="2201"/>
      <c r="AP780" s="750"/>
      <c r="AQ780" s="750"/>
    </row>
    <row r="781" spans="1:44">
      <c r="A781" s="2201"/>
      <c r="B781" s="2201"/>
      <c r="C781" s="2201"/>
      <c r="D781" s="2201"/>
      <c r="E781" s="2201"/>
      <c r="F781" s="2201"/>
      <c r="G781" s="2201"/>
      <c r="H781" s="2201"/>
      <c r="I781" s="2201"/>
      <c r="J781" s="2201"/>
      <c r="K781" s="2201"/>
      <c r="L781" s="2201"/>
      <c r="M781" s="2201"/>
      <c r="N781" s="2201"/>
      <c r="O781" s="2201"/>
      <c r="P781" s="2201"/>
      <c r="Q781" s="2201"/>
      <c r="R781" s="2201"/>
      <c r="S781" s="2201"/>
      <c r="T781" s="2201"/>
      <c r="U781" s="2201"/>
      <c r="V781" s="2201"/>
      <c r="W781" s="2201"/>
      <c r="X781" s="2201"/>
      <c r="Y781" s="2201"/>
      <c r="Z781" s="2201"/>
      <c r="AA781" s="2201"/>
      <c r="AB781" s="2201"/>
      <c r="AC781" s="2201"/>
      <c r="AD781" s="2201"/>
      <c r="AE781" s="2201"/>
      <c r="AF781" s="2201"/>
      <c r="AG781" s="2201"/>
      <c r="AH781" s="2201"/>
      <c r="AI781" s="2201"/>
      <c r="AJ781" s="2201"/>
      <c r="AK781" s="2201"/>
      <c r="AL781" s="2201"/>
      <c r="AM781" s="2201"/>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266" t="s">
        <v>2487</v>
      </c>
      <c r="U782" s="2267"/>
      <c r="V782" s="2267"/>
      <c r="W782" s="2267"/>
      <c r="X782" s="2267"/>
      <c r="Y782" s="2268"/>
      <c r="Z782" s="2266" t="s">
        <v>2488</v>
      </c>
      <c r="AA782" s="2267"/>
      <c r="AB782" s="2267"/>
      <c r="AC782" s="2267"/>
      <c r="AD782" s="2267"/>
      <c r="AE782" s="2268"/>
      <c r="AF782" s="2266" t="s">
        <v>2489</v>
      </c>
      <c r="AG782" s="2267"/>
      <c r="AH782" s="2267"/>
      <c r="AI782" s="2267"/>
      <c r="AJ782" s="2267"/>
      <c r="AK782" s="2268"/>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269"/>
      <c r="U783" s="2270"/>
      <c r="V783" s="2270"/>
      <c r="W783" s="2270"/>
      <c r="X783" s="2270"/>
      <c r="Y783" s="2271"/>
      <c r="Z783" s="2269"/>
      <c r="AA783" s="2270"/>
      <c r="AB783" s="2270"/>
      <c r="AC783" s="2270"/>
      <c r="AD783" s="2270"/>
      <c r="AE783" s="2271"/>
      <c r="AF783" s="2269"/>
      <c r="AG783" s="2270"/>
      <c r="AH783" s="2270"/>
      <c r="AI783" s="2270"/>
      <c r="AJ783" s="2270"/>
      <c r="AK783" s="2271"/>
      <c r="AL783" s="752"/>
      <c r="AM783" s="529"/>
      <c r="AO783" s="750"/>
      <c r="AP783" s="750"/>
      <c r="AQ783" s="750"/>
    </row>
    <row r="784" spans="1:44">
      <c r="A784" s="753" t="s">
        <v>52</v>
      </c>
      <c r="B784" s="2221" t="s">
        <v>2069</v>
      </c>
      <c r="C784" s="2221"/>
      <c r="D784" s="2221"/>
      <c r="E784" s="2221"/>
      <c r="F784" s="2221"/>
      <c r="G784" s="2221"/>
      <c r="H784" s="2221"/>
      <c r="I784" s="2221"/>
      <c r="J784" s="2221"/>
      <c r="K784" s="2221"/>
      <c r="L784" s="2221"/>
      <c r="M784" s="2221"/>
      <c r="N784" s="2221"/>
      <c r="O784" s="2221"/>
      <c r="P784" s="2221"/>
      <c r="Q784" s="2221"/>
      <c r="R784" s="2221"/>
      <c r="S784" s="2222"/>
      <c r="T784" s="2251">
        <f>AK51</f>
        <v>0</v>
      </c>
      <c r="U784" s="2225"/>
      <c r="V784" s="2225"/>
      <c r="W784" s="2225"/>
      <c r="X784" s="2225"/>
      <c r="Y784" s="2226"/>
      <c r="Z784" s="2224">
        <v>20</v>
      </c>
      <c r="AA784" s="2225"/>
      <c r="AB784" s="2225"/>
      <c r="AC784" s="2225"/>
      <c r="AD784" s="2225"/>
      <c r="AE784" s="2226"/>
      <c r="AF784" s="2210">
        <f>IF(T784&gt;Z784,Z784,T784)</f>
        <v>0</v>
      </c>
      <c r="AG784" s="2210"/>
      <c r="AH784" s="2210"/>
      <c r="AI784" s="2210"/>
      <c r="AJ784" s="2210"/>
      <c r="AK784" s="2210"/>
      <c r="AL784" s="752"/>
      <c r="AM784" s="529"/>
      <c r="AO784" s="750"/>
      <c r="AP784" s="750"/>
      <c r="AQ784" s="750"/>
    </row>
    <row r="785" spans="1:81">
      <c r="A785" s="753" t="s">
        <v>2455</v>
      </c>
      <c r="B785" s="2221" t="s">
        <v>771</v>
      </c>
      <c r="C785" s="2221"/>
      <c r="D785" s="2221"/>
      <c r="E785" s="2221"/>
      <c r="F785" s="2221"/>
      <c r="G785" s="2221"/>
      <c r="H785" s="2221"/>
      <c r="I785" s="2221"/>
      <c r="J785" s="2221"/>
      <c r="K785" s="2221"/>
      <c r="L785" s="2221"/>
      <c r="M785" s="2221"/>
      <c r="N785" s="2221"/>
      <c r="O785" s="2221"/>
      <c r="P785" s="2221"/>
      <c r="Q785" s="2221"/>
      <c r="R785" s="2221"/>
      <c r="S785" s="2222"/>
      <c r="T785" s="2251">
        <f>AK72</f>
        <v>10</v>
      </c>
      <c r="U785" s="2225"/>
      <c r="V785" s="2225"/>
      <c r="W785" s="2225"/>
      <c r="X785" s="2225"/>
      <c r="Y785" s="2226"/>
      <c r="Z785" s="2224">
        <v>10</v>
      </c>
      <c r="AA785" s="2225"/>
      <c r="AB785" s="2225"/>
      <c r="AC785" s="2225"/>
      <c r="AD785" s="2225"/>
      <c r="AE785" s="2226"/>
      <c r="AF785" s="2210">
        <f>IF(T785&gt;Z785,Z785,T785)</f>
        <v>10</v>
      </c>
      <c r="AG785" s="2210"/>
      <c r="AH785" s="2210"/>
      <c r="AI785" s="2210"/>
      <c r="AJ785" s="2210"/>
      <c r="AK785" s="2210"/>
      <c r="AL785" s="752"/>
      <c r="AM785" s="529"/>
      <c r="AO785" s="750"/>
      <c r="AP785" s="750"/>
      <c r="AQ785" s="750"/>
    </row>
    <row r="786" spans="1:81">
      <c r="A786" s="753" t="s">
        <v>2464</v>
      </c>
      <c r="B786" s="2221" t="s">
        <v>2107</v>
      </c>
      <c r="C786" s="2221"/>
      <c r="D786" s="2221"/>
      <c r="E786" s="2221"/>
      <c r="F786" s="2221"/>
      <c r="G786" s="2221"/>
      <c r="H786" s="2221"/>
      <c r="I786" s="2221"/>
      <c r="J786" s="2221"/>
      <c r="K786" s="2221"/>
      <c r="L786" s="2221"/>
      <c r="M786" s="2221"/>
      <c r="N786" s="2221"/>
      <c r="O786" s="2221"/>
      <c r="P786" s="2221"/>
      <c r="Q786" s="2221"/>
      <c r="R786" s="2221"/>
      <c r="S786" s="2222"/>
      <c r="T786" s="2251">
        <f ca="1">AK97</f>
        <v>20</v>
      </c>
      <c r="U786" s="2225"/>
      <c r="V786" s="2225"/>
      <c r="W786" s="2225"/>
      <c r="X786" s="2225"/>
      <c r="Y786" s="2226"/>
      <c r="Z786" s="2224">
        <v>20</v>
      </c>
      <c r="AA786" s="2225"/>
      <c r="AB786" s="2225"/>
      <c r="AC786" s="2225"/>
      <c r="AD786" s="2225"/>
      <c r="AE786" s="2226"/>
      <c r="AF786" s="2210">
        <f ca="1">IF(T786&gt;Z786,Z786,T786)</f>
        <v>20</v>
      </c>
      <c r="AG786" s="2210"/>
      <c r="AH786" s="2210"/>
      <c r="AI786" s="2210"/>
      <c r="AJ786" s="2210"/>
      <c r="AK786" s="2210"/>
      <c r="AL786" s="752"/>
      <c r="AM786" s="529"/>
      <c r="AO786" s="750"/>
      <c r="AP786" s="750"/>
      <c r="AQ786" s="750"/>
    </row>
    <row r="787" spans="1:81">
      <c r="A787" s="753" t="s">
        <v>2490</v>
      </c>
      <c r="B787" s="2221" t="s">
        <v>2118</v>
      </c>
      <c r="C787" s="2221"/>
      <c r="D787" s="2221"/>
      <c r="E787" s="2221"/>
      <c r="F787" s="2221"/>
      <c r="G787" s="2221"/>
      <c r="H787" s="2221"/>
      <c r="I787" s="2221"/>
      <c r="J787" s="2221"/>
      <c r="K787" s="2221"/>
      <c r="L787" s="2221"/>
      <c r="M787" s="2221"/>
      <c r="N787" s="2221"/>
      <c r="O787" s="2221"/>
      <c r="P787" s="2221"/>
      <c r="Q787" s="2221"/>
      <c r="R787" s="2221"/>
      <c r="S787" s="2222"/>
      <c r="T787" s="2251">
        <f>AK131</f>
        <v>10</v>
      </c>
      <c r="U787" s="2225"/>
      <c r="V787" s="2225"/>
      <c r="W787" s="2225"/>
      <c r="X787" s="2225"/>
      <c r="Y787" s="2226"/>
      <c r="Z787" s="2224">
        <v>10</v>
      </c>
      <c r="AA787" s="2225"/>
      <c r="AB787" s="2225"/>
      <c r="AC787" s="2225"/>
      <c r="AD787" s="2225"/>
      <c r="AE787" s="2226"/>
      <c r="AF787" s="2210">
        <f>IF(T787&gt;Z787,Z787,T787)</f>
        <v>10</v>
      </c>
      <c r="AG787" s="2210"/>
      <c r="AH787" s="2210"/>
      <c r="AI787" s="2210"/>
      <c r="AJ787" s="2210"/>
      <c r="AK787" s="2210"/>
      <c r="AL787" s="752"/>
      <c r="AM787" s="529"/>
      <c r="AO787" s="750"/>
      <c r="AP787" s="750"/>
      <c r="AQ787" s="750"/>
    </row>
    <row r="788" spans="1:81">
      <c r="A788" s="754" t="s">
        <v>2491</v>
      </c>
      <c r="B788" s="2221" t="s">
        <v>2492</v>
      </c>
      <c r="C788" s="2221"/>
      <c r="D788" s="2221"/>
      <c r="E788" s="2221"/>
      <c r="F788" s="2221"/>
      <c r="G788" s="2221"/>
      <c r="H788" s="2221"/>
      <c r="I788" s="2221"/>
      <c r="J788" s="2221"/>
      <c r="K788" s="2221"/>
      <c r="L788" s="2221"/>
      <c r="M788" s="2221"/>
      <c r="N788" s="2221"/>
      <c r="O788" s="2221"/>
      <c r="P788" s="2221"/>
      <c r="Q788" s="2221"/>
      <c r="R788" s="2221"/>
      <c r="S788" s="2222"/>
      <c r="T788" s="2223">
        <f>SUM(T789:Y790)</f>
        <v>10</v>
      </c>
      <c r="U788" s="2223"/>
      <c r="V788" s="2223"/>
      <c r="W788" s="2223"/>
      <c r="X788" s="2223"/>
      <c r="Y788" s="2223"/>
      <c r="Z788" s="2210">
        <v>10</v>
      </c>
      <c r="AA788" s="2210"/>
      <c r="AB788" s="2210"/>
      <c r="AC788" s="2210"/>
      <c r="AD788" s="2210"/>
      <c r="AE788" s="2210"/>
      <c r="AF788" s="2210">
        <f>IF(T788&gt;Z788,Z788,T788)</f>
        <v>10</v>
      </c>
      <c r="AG788" s="2210"/>
      <c r="AH788" s="2210"/>
      <c r="AI788" s="2210"/>
      <c r="AJ788" s="2210"/>
      <c r="AK788" s="2210"/>
      <c r="AL788" s="752"/>
      <c r="AM788" s="529"/>
    </row>
    <row r="789" spans="1:81">
      <c r="A789" s="468"/>
      <c r="B789" s="534"/>
      <c r="C789" s="2227" t="s">
        <v>2493</v>
      </c>
      <c r="D789" s="2227"/>
      <c r="E789" s="2227"/>
      <c r="F789" s="2227"/>
      <c r="G789" s="2227"/>
      <c r="H789" s="2227"/>
      <c r="I789" s="2227"/>
      <c r="J789" s="2227"/>
      <c r="K789" s="2227"/>
      <c r="L789" s="2227"/>
      <c r="M789" s="2227"/>
      <c r="N789" s="2227"/>
      <c r="O789" s="2227"/>
      <c r="P789" s="2227"/>
      <c r="Q789" s="2227"/>
      <c r="R789" s="2227"/>
      <c r="S789" s="2228"/>
      <c r="T789" s="2229">
        <f>AJ149</f>
        <v>7</v>
      </c>
      <c r="U789" s="2229"/>
      <c r="V789" s="2229"/>
      <c r="W789" s="2229"/>
      <c r="X789" s="2229"/>
      <c r="Y789" s="2229"/>
      <c r="Z789" s="2230">
        <v>7</v>
      </c>
      <c r="AA789" s="2230"/>
      <c r="AB789" s="2230"/>
      <c r="AC789" s="2230"/>
      <c r="AD789" s="2230"/>
      <c r="AE789" s="2230"/>
      <c r="AF789" s="2231"/>
      <c r="AG789" s="2231"/>
      <c r="AH789" s="2231"/>
      <c r="AI789" s="2231"/>
      <c r="AJ789" s="2231"/>
      <c r="AK789" s="2231"/>
      <c r="AL789" s="752"/>
      <c r="AM789" s="529"/>
    </row>
    <row r="790" spans="1:81">
      <c r="A790" s="533"/>
      <c r="B790" s="534"/>
      <c r="C790" s="2227" t="s">
        <v>2001</v>
      </c>
      <c r="D790" s="2227"/>
      <c r="E790" s="2227"/>
      <c r="F790" s="2227"/>
      <c r="G790" s="2227"/>
      <c r="H790" s="2227"/>
      <c r="I790" s="2227"/>
      <c r="J790" s="2227"/>
      <c r="K790" s="2227"/>
      <c r="L790" s="2227"/>
      <c r="M790" s="2227"/>
      <c r="N790" s="2227"/>
      <c r="O790" s="2227"/>
      <c r="P790" s="2227"/>
      <c r="Q790" s="2227"/>
      <c r="R790" s="2227"/>
      <c r="S790" s="2228"/>
      <c r="T790" s="2229">
        <f>AJ163</f>
        <v>3</v>
      </c>
      <c r="U790" s="2229"/>
      <c r="V790" s="2229"/>
      <c r="W790" s="2229"/>
      <c r="X790" s="2229"/>
      <c r="Y790" s="2229"/>
      <c r="Z790" s="2230">
        <v>3</v>
      </c>
      <c r="AA790" s="2230"/>
      <c r="AB790" s="2230"/>
      <c r="AC790" s="2230"/>
      <c r="AD790" s="2230"/>
      <c r="AE790" s="2230"/>
      <c r="AF790" s="2231"/>
      <c r="AG790" s="2231"/>
      <c r="AH790" s="2231"/>
      <c r="AI790" s="2231"/>
      <c r="AJ790" s="2231"/>
      <c r="AK790" s="2231"/>
      <c r="AL790" s="752"/>
      <c r="AM790" s="529"/>
      <c r="AO790" s="483"/>
    </row>
    <row r="791" spans="1:81">
      <c r="A791" s="754" t="s">
        <v>2162</v>
      </c>
      <c r="B791" s="2221" t="s">
        <v>2494</v>
      </c>
      <c r="C791" s="2221"/>
      <c r="D791" s="2221"/>
      <c r="E791" s="2221"/>
      <c r="F791" s="2221"/>
      <c r="G791" s="2221"/>
      <c r="H791" s="2221"/>
      <c r="I791" s="2221"/>
      <c r="J791" s="2221"/>
      <c r="K791" s="2221"/>
      <c r="L791" s="2221"/>
      <c r="M791" s="2221"/>
      <c r="N791" s="2221"/>
      <c r="O791" s="2221"/>
      <c r="P791" s="2221"/>
      <c r="Q791" s="2221"/>
      <c r="R791" s="2221"/>
      <c r="S791" s="2222"/>
      <c r="T791" s="2223">
        <f>AK174</f>
        <v>10</v>
      </c>
      <c r="U791" s="2223"/>
      <c r="V791" s="2223"/>
      <c r="W791" s="2223"/>
      <c r="X791" s="2223"/>
      <c r="Y791" s="2223"/>
      <c r="Z791" s="2210">
        <v>10</v>
      </c>
      <c r="AA791" s="2210"/>
      <c r="AB791" s="2210"/>
      <c r="AC791" s="2210"/>
      <c r="AD791" s="2210"/>
      <c r="AE791" s="2210"/>
      <c r="AF791" s="2210">
        <f>IF(T791&gt;Z791,Z791,T791)</f>
        <v>10</v>
      </c>
      <c r="AG791" s="2210"/>
      <c r="AH791" s="2210"/>
      <c r="AI791" s="2210"/>
      <c r="AJ791" s="2210"/>
      <c r="AK791" s="2210"/>
      <c r="AL791" s="752"/>
      <c r="AM791" s="529"/>
    </row>
    <row r="792" spans="1:81">
      <c r="A792" s="753" t="s">
        <v>2172</v>
      </c>
      <c r="B792" s="2221" t="s">
        <v>2173</v>
      </c>
      <c r="C792" s="2221"/>
      <c r="D792" s="2221"/>
      <c r="E792" s="2221"/>
      <c r="F792" s="2221"/>
      <c r="G792" s="2221"/>
      <c r="H792" s="2221"/>
      <c r="I792" s="2221"/>
      <c r="J792" s="2221"/>
      <c r="K792" s="2221"/>
      <c r="L792" s="2221"/>
      <c r="M792" s="2221"/>
      <c r="N792" s="2221"/>
      <c r="O792" s="2221"/>
      <c r="P792" s="2221"/>
      <c r="Q792" s="2221"/>
      <c r="R792" s="2221"/>
      <c r="S792" s="2222"/>
      <c r="T792" s="2223">
        <f>AK256</f>
        <v>8</v>
      </c>
      <c r="U792" s="2223"/>
      <c r="V792" s="2223"/>
      <c r="W792" s="2223"/>
      <c r="X792" s="2223"/>
      <c r="Y792" s="2223"/>
      <c r="Z792" s="2224">
        <v>8</v>
      </c>
      <c r="AA792" s="2225"/>
      <c r="AB792" s="2225"/>
      <c r="AC792" s="2225"/>
      <c r="AD792" s="2225"/>
      <c r="AE792" s="2226"/>
      <c r="AF792" s="2210">
        <f>IF(T792&gt;Z792,Z792,T792)</f>
        <v>8</v>
      </c>
      <c r="AG792" s="2210"/>
      <c r="AH792" s="2210"/>
      <c r="AI792" s="2210"/>
      <c r="AJ792" s="2210"/>
      <c r="AK792" s="2210"/>
      <c r="AL792" s="752"/>
      <c r="AM792" s="529"/>
    </row>
    <row r="793" spans="1:81" s="467" customFormat="1" hidden="1">
      <c r="A793" s="754" t="s">
        <v>1086</v>
      </c>
      <c r="B793" s="2221" t="s">
        <v>2495</v>
      </c>
      <c r="C793" s="2221"/>
      <c r="D793" s="2221"/>
      <c r="E793" s="2221"/>
      <c r="F793" s="2221"/>
      <c r="G793" s="2221"/>
      <c r="H793" s="2221"/>
      <c r="I793" s="2221"/>
      <c r="J793" s="2221"/>
      <c r="K793" s="2221"/>
      <c r="L793" s="2221"/>
      <c r="M793" s="2221"/>
      <c r="N793" s="2221"/>
      <c r="O793" s="2221"/>
      <c r="P793" s="2221"/>
      <c r="Q793" s="2221"/>
      <c r="R793" s="2221"/>
      <c r="S793" s="2222"/>
      <c r="T793" s="2223">
        <f>IF(AK750&gt;5,5,AK750)</f>
        <v>0</v>
      </c>
      <c r="U793" s="2223"/>
      <c r="V793" s="2223"/>
      <c r="W793" s="2223"/>
      <c r="X793" s="2223"/>
      <c r="Y793" s="2223"/>
      <c r="Z793" s="2210">
        <v>5</v>
      </c>
      <c r="AA793" s="2210"/>
      <c r="AB793" s="2210"/>
      <c r="AC793" s="2210"/>
      <c r="AD793" s="2210"/>
      <c r="AE793" s="2210"/>
      <c r="AF793" s="2210">
        <f>IF(T793&gt;Z793,5,T793)</f>
        <v>0</v>
      </c>
      <c r="AG793" s="2210"/>
      <c r="AH793" s="2210"/>
      <c r="AI793" s="2210"/>
      <c r="AJ793" s="2210"/>
      <c r="AK793" s="2210"/>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2223</v>
      </c>
      <c r="B794" s="2221" t="s">
        <v>2496</v>
      </c>
      <c r="C794" s="2221"/>
      <c r="D794" s="2221"/>
      <c r="E794" s="2221"/>
      <c r="F794" s="2221"/>
      <c r="G794" s="2221"/>
      <c r="H794" s="2221"/>
      <c r="I794" s="2221"/>
      <c r="J794" s="2221"/>
      <c r="K794" s="2221"/>
      <c r="L794" s="2221"/>
      <c r="M794" s="2221"/>
      <c r="N794" s="2221"/>
      <c r="O794" s="2221"/>
      <c r="P794" s="2221"/>
      <c r="Q794" s="2221"/>
      <c r="R794" s="2221"/>
      <c r="S794" s="2222"/>
      <c r="T794" s="2223">
        <f>AK267</f>
        <v>10</v>
      </c>
      <c r="U794" s="2223"/>
      <c r="V794" s="2223"/>
      <c r="W794" s="2223"/>
      <c r="X794" s="2223"/>
      <c r="Y794" s="2223"/>
      <c r="Z794" s="2210">
        <v>10</v>
      </c>
      <c r="AA794" s="2210"/>
      <c r="AB794" s="2210"/>
      <c r="AC794" s="2210"/>
      <c r="AD794" s="2210"/>
      <c r="AE794" s="2210"/>
      <c r="AF794" s="2232">
        <f>IF(T794&gt;Z794,Z794,T794)</f>
        <v>10</v>
      </c>
      <c r="AG794" s="2233"/>
      <c r="AH794" s="2233"/>
      <c r="AI794" s="2233"/>
      <c r="AJ794" s="2233"/>
      <c r="AK794" s="2234"/>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2227</v>
      </c>
      <c r="B795" s="2221" t="s">
        <v>2497</v>
      </c>
      <c r="C795" s="2221"/>
      <c r="D795" s="2221"/>
      <c r="E795" s="2221"/>
      <c r="F795" s="2221"/>
      <c r="G795" s="2221"/>
      <c r="H795" s="2221"/>
      <c r="I795" s="2221"/>
      <c r="J795" s="2221"/>
      <c r="K795" s="2221"/>
      <c r="L795" s="2221"/>
      <c r="M795" s="2221"/>
      <c r="N795" s="2221"/>
      <c r="O795" s="2221"/>
      <c r="P795" s="2221"/>
      <c r="Q795" s="2221"/>
      <c r="R795" s="2221"/>
      <c r="S795" s="2222"/>
      <c r="T795" s="2223">
        <f>AK553</f>
        <v>19</v>
      </c>
      <c r="U795" s="2223"/>
      <c r="V795" s="2223"/>
      <c r="W795" s="2223"/>
      <c r="X795" s="2223"/>
      <c r="Y795" s="2223"/>
      <c r="Z795" s="2232">
        <v>20</v>
      </c>
      <c r="AA795" s="2233"/>
      <c r="AB795" s="2233"/>
      <c r="AC795" s="2233"/>
      <c r="AD795" s="2233"/>
      <c r="AE795" s="2234"/>
      <c r="AF795" s="2232">
        <f>IF(T795&gt;Z795,Z795,T795)</f>
        <v>19</v>
      </c>
      <c r="AG795" s="2235"/>
      <c r="AH795" s="2235"/>
      <c r="AI795" s="2235"/>
      <c r="AJ795" s="2235"/>
      <c r="AK795" s="2236"/>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2498</v>
      </c>
      <c r="D796" s="757"/>
      <c r="E796" s="757"/>
      <c r="F796" s="757"/>
      <c r="G796" s="757"/>
      <c r="H796" s="757"/>
      <c r="I796" s="757"/>
      <c r="J796" s="757"/>
      <c r="K796" s="757"/>
      <c r="L796" s="757"/>
      <c r="M796" s="757"/>
      <c r="N796" s="757"/>
      <c r="O796" s="757"/>
      <c r="P796" s="757"/>
      <c r="Q796" s="757"/>
      <c r="R796" s="755"/>
      <c r="S796" s="758"/>
      <c r="T796" s="2229">
        <f>AK320</f>
        <v>9</v>
      </c>
      <c r="U796" s="2229"/>
      <c r="V796" s="2229"/>
      <c r="W796" s="2229"/>
      <c r="X796" s="2229"/>
      <c r="Y796" s="2229"/>
      <c r="Z796" s="2198">
        <v>20</v>
      </c>
      <c r="AA796" s="2199"/>
      <c r="AB796" s="2199"/>
      <c r="AC796" s="2199"/>
      <c r="AD796" s="2199"/>
      <c r="AE796" s="2200"/>
      <c r="AF796" s="2231"/>
      <c r="AG796" s="2231"/>
      <c r="AH796" s="2231"/>
      <c r="AI796" s="2231"/>
      <c r="AJ796" s="2231"/>
      <c r="AK796" s="2231"/>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2499</v>
      </c>
      <c r="D797" s="756"/>
      <c r="E797" s="756"/>
      <c r="F797" s="756"/>
      <c r="G797" s="756"/>
      <c r="H797" s="756"/>
      <c r="I797" s="756"/>
      <c r="J797" s="756"/>
      <c r="K797" s="756"/>
      <c r="L797" s="756"/>
      <c r="M797" s="756"/>
      <c r="N797" s="756"/>
      <c r="O797" s="756"/>
      <c r="P797" s="756"/>
      <c r="Q797" s="756"/>
      <c r="R797" s="755"/>
      <c r="S797" s="758"/>
      <c r="T797" s="2229">
        <f>AK551</f>
        <v>10</v>
      </c>
      <c r="U797" s="2229"/>
      <c r="V797" s="2229"/>
      <c r="W797" s="2229"/>
      <c r="X797" s="2229"/>
      <c r="Y797" s="2229"/>
      <c r="Z797" s="2198">
        <v>10</v>
      </c>
      <c r="AA797" s="2199"/>
      <c r="AB797" s="2199"/>
      <c r="AC797" s="2199"/>
      <c r="AD797" s="2199"/>
      <c r="AE797" s="2200"/>
      <c r="AF797" s="2231"/>
      <c r="AG797" s="2231"/>
      <c r="AH797" s="2231"/>
      <c r="AI797" s="2231"/>
      <c r="AJ797" s="2231"/>
      <c r="AK797" s="2231"/>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2357</v>
      </c>
      <c r="B798" s="2221" t="s">
        <v>2358</v>
      </c>
      <c r="C798" s="2221"/>
      <c r="D798" s="2221"/>
      <c r="E798" s="2221"/>
      <c r="F798" s="2221"/>
      <c r="G798" s="2221"/>
      <c r="H798" s="2221"/>
      <c r="I798" s="2221"/>
      <c r="J798" s="2221"/>
      <c r="K798" s="2221"/>
      <c r="L798" s="2221"/>
      <c r="M798" s="2221"/>
      <c r="N798" s="2221"/>
      <c r="O798" s="2221"/>
      <c r="P798" s="2221"/>
      <c r="Q798" s="2221"/>
      <c r="R798" s="2221"/>
      <c r="S798" s="2222"/>
      <c r="T798" s="2223">
        <f>AK684</f>
        <v>10</v>
      </c>
      <c r="U798" s="2223"/>
      <c r="V798" s="2223"/>
      <c r="W798" s="2223"/>
      <c r="X798" s="2223"/>
      <c r="Y798" s="2223"/>
      <c r="Z798" s="2232">
        <v>10</v>
      </c>
      <c r="AA798" s="2233"/>
      <c r="AB798" s="2233"/>
      <c r="AC798" s="2233"/>
      <c r="AD798" s="2233"/>
      <c r="AE798" s="2234"/>
      <c r="AF798" s="2210">
        <f>IF(T798&gt;Z798,Z798,T798)</f>
        <v>10</v>
      </c>
      <c r="AG798" s="2210"/>
      <c r="AH798" s="2210"/>
      <c r="AI798" s="2210"/>
      <c r="AJ798" s="2210"/>
      <c r="AK798" s="2210"/>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2474</v>
      </c>
      <c r="B799" s="2221" t="s">
        <v>2475</v>
      </c>
      <c r="C799" s="2221"/>
      <c r="D799" s="2221"/>
      <c r="E799" s="2221"/>
      <c r="F799" s="2221"/>
      <c r="G799" s="2221"/>
      <c r="H799" s="2221"/>
      <c r="I799" s="2221"/>
      <c r="J799" s="2221"/>
      <c r="K799" s="2221"/>
      <c r="L799" s="2221"/>
      <c r="M799" s="2221"/>
      <c r="N799" s="2221"/>
      <c r="O799" s="2221"/>
      <c r="P799" s="2221"/>
      <c r="Q799" s="2221"/>
      <c r="R799" s="2221"/>
      <c r="S799" s="2222"/>
      <c r="T799" s="2223">
        <f>AK774</f>
        <v>12</v>
      </c>
      <c r="U799" s="2223"/>
      <c r="V799" s="2223"/>
      <c r="W799" s="2223"/>
      <c r="X799" s="2223"/>
      <c r="Y799" s="2223"/>
      <c r="Z799" s="2232">
        <v>12</v>
      </c>
      <c r="AA799" s="2233"/>
      <c r="AB799" s="2233"/>
      <c r="AC799" s="2233"/>
      <c r="AD799" s="2233"/>
      <c r="AE799" s="2234"/>
      <c r="AF799" s="2210">
        <f>IF(T799&gt;Z799,Z799,T799)</f>
        <v>12</v>
      </c>
      <c r="AG799" s="2210"/>
      <c r="AH799" s="2210"/>
      <c r="AI799" s="2210"/>
      <c r="AJ799" s="2210"/>
      <c r="AK799" s="2210"/>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237" t="s">
        <v>2500</v>
      </c>
      <c r="B800" s="2221"/>
      <c r="C800" s="2221"/>
      <c r="D800" s="2221"/>
      <c r="E800" s="2221"/>
      <c r="F800" s="2221"/>
      <c r="G800" s="2221"/>
      <c r="H800" s="2221"/>
      <c r="I800" s="2221"/>
      <c r="J800" s="2221"/>
      <c r="K800" s="2221"/>
      <c r="L800" s="2221"/>
      <c r="M800" s="2221"/>
      <c r="N800" s="2221"/>
      <c r="O800" s="2221"/>
      <c r="P800" s="2221"/>
      <c r="Q800" s="2221"/>
      <c r="R800" s="2221"/>
      <c r="S800" s="2222"/>
      <c r="T800" s="2238"/>
      <c r="U800" s="2238"/>
      <c r="V800" s="2238"/>
      <c r="W800" s="2238"/>
      <c r="X800" s="2238"/>
      <c r="Y800" s="2238"/>
      <c r="Z800" s="2230" t="s">
        <v>2501</v>
      </c>
      <c r="AA800" s="2230"/>
      <c r="AB800" s="2230"/>
      <c r="AC800" s="2230"/>
      <c r="AD800" s="2230"/>
      <c r="AE800" s="2230"/>
      <c r="AF800" s="2232">
        <f>IF(T800&gt;0,T800,0)</f>
        <v>0</v>
      </c>
      <c r="AG800" s="2233"/>
      <c r="AH800" s="2233"/>
      <c r="AI800" s="2233"/>
      <c r="AJ800" s="2233"/>
      <c r="AK800" s="2234"/>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75">
      <c r="A801" s="2239" t="s">
        <v>2502</v>
      </c>
      <c r="B801" s="2240"/>
      <c r="C801" s="2240"/>
      <c r="D801" s="2240"/>
      <c r="E801" s="2240"/>
      <c r="F801" s="2240"/>
      <c r="G801" s="2240"/>
      <c r="H801" s="2240"/>
      <c r="I801" s="2240"/>
      <c r="J801" s="2240"/>
      <c r="K801" s="2240"/>
      <c r="L801" s="2240"/>
      <c r="M801" s="2240"/>
      <c r="N801" s="2240"/>
      <c r="O801" s="2240"/>
      <c r="P801" s="2240"/>
      <c r="Q801" s="2240"/>
      <c r="R801" s="2240"/>
      <c r="S801" s="2240"/>
      <c r="T801" s="2240"/>
      <c r="U801" s="2240"/>
      <c r="V801" s="2240"/>
      <c r="W801" s="2240"/>
      <c r="X801" s="2240"/>
      <c r="Y801" s="2240"/>
      <c r="Z801" s="2240"/>
      <c r="AA801" s="2240"/>
      <c r="AB801" s="2240"/>
      <c r="AC801" s="2240"/>
      <c r="AD801" s="2240"/>
      <c r="AE801" s="2241"/>
      <c r="AF801" s="2245">
        <f ca="1">SUM(AF784:AK799)-AF800</f>
        <v>119</v>
      </c>
      <c r="AG801" s="2246"/>
      <c r="AH801" s="2246"/>
      <c r="AI801" s="2246"/>
      <c r="AJ801" s="2246"/>
      <c r="AK801" s="2247"/>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75">
      <c r="A802" s="2242"/>
      <c r="B802" s="2243"/>
      <c r="C802" s="2243"/>
      <c r="D802" s="2243"/>
      <c r="E802" s="2243"/>
      <c r="F802" s="2243"/>
      <c r="G802" s="2243"/>
      <c r="H802" s="2243"/>
      <c r="I802" s="2243"/>
      <c r="J802" s="2243"/>
      <c r="K802" s="2243"/>
      <c r="L802" s="2243"/>
      <c r="M802" s="2243"/>
      <c r="N802" s="2243"/>
      <c r="O802" s="2243"/>
      <c r="P802" s="2243"/>
      <c r="Q802" s="2243"/>
      <c r="R802" s="2243"/>
      <c r="S802" s="2243"/>
      <c r="T802" s="2243"/>
      <c r="U802" s="2243"/>
      <c r="V802" s="2243"/>
      <c r="W802" s="2243"/>
      <c r="X802" s="2243"/>
      <c r="Y802" s="2243"/>
      <c r="Z802" s="2243"/>
      <c r="AA802" s="2243"/>
      <c r="AB802" s="2243"/>
      <c r="AC802" s="2243"/>
      <c r="AD802" s="2243"/>
      <c r="AE802" s="2244"/>
      <c r="AF802" s="2248"/>
      <c r="AG802" s="2249"/>
      <c r="AH802" s="2249"/>
      <c r="AI802" s="2249"/>
      <c r="AJ802" s="2249"/>
      <c r="AK802" s="2250"/>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761" customWidth="1"/>
    <col min="2" max="2" width="1.7109375" style="761" customWidth="1"/>
    <col min="3" max="3" width="2.7109375" style="761" customWidth="1"/>
    <col min="4" max="4" width="40.7109375" style="761" customWidth="1"/>
    <col min="5" max="5" width="13.42578125" style="761" customWidth="1"/>
    <col min="6" max="6" width="2.7109375" style="761" customWidth="1"/>
    <col min="7" max="7" width="10.7109375" style="761" customWidth="1"/>
    <col min="8" max="8" width="2.7109375" style="761" customWidth="1"/>
    <col min="9" max="9" width="10.7109375" style="761" customWidth="1"/>
    <col min="10" max="10" width="1.5703125" style="761" customWidth="1"/>
    <col min="11" max="11" width="47.42578125" style="762" customWidth="1"/>
    <col min="12" max="16384" width="9.140625" style="761"/>
  </cols>
  <sheetData>
    <row r="1" spans="1:11" ht="30" customHeight="1">
      <c r="A1" s="2411" t="s">
        <v>2503</v>
      </c>
      <c r="B1" s="2411"/>
      <c r="C1" s="2411"/>
      <c r="D1" s="2411"/>
      <c r="E1" s="2411"/>
      <c r="F1" s="2411"/>
      <c r="G1" s="2411"/>
      <c r="H1" s="2411"/>
      <c r="I1" s="2411"/>
    </row>
    <row r="2" spans="1:11" ht="15">
      <c r="A2" s="763"/>
      <c r="B2" s="763"/>
      <c r="I2" s="764"/>
      <c r="K2" s="765"/>
    </row>
    <row r="3" spans="1:11">
      <c r="A3" s="766" t="s">
        <v>2094</v>
      </c>
      <c r="B3" s="766"/>
      <c r="C3" s="761" t="s">
        <v>2504</v>
      </c>
      <c r="E3" s="980">
        <f ca="1">ROUND(Application!AM564+'Basis &amp; Credits'!AB77,0)</f>
        <v>26978619</v>
      </c>
      <c r="F3" s="767"/>
      <c r="K3" s="761"/>
    </row>
    <row r="4" spans="1:11" s="768" customFormat="1" ht="15" customHeight="1">
      <c r="C4" s="768" t="s">
        <v>2505</v>
      </c>
      <c r="E4" s="819">
        <f>Application!AD1037</f>
        <v>-3.9175257731958762E-2</v>
      </c>
      <c r="F4" s="769"/>
      <c r="K4" s="889"/>
    </row>
    <row r="5" spans="1:11" s="768" customFormat="1" ht="15" customHeight="1">
      <c r="A5" s="2412"/>
      <c r="B5" s="2412"/>
      <c r="D5" s="768" t="s">
        <v>2506</v>
      </c>
      <c r="E5" s="770">
        <f>IF('Points System'!C274="Yes",0.2,0)</f>
        <v>0</v>
      </c>
      <c r="F5" s="769"/>
      <c r="K5" s="890"/>
    </row>
    <row r="6" spans="1:11" s="768" customFormat="1" ht="15" customHeight="1">
      <c r="A6" s="838"/>
      <c r="B6" s="838"/>
      <c r="D6" s="768" t="s">
        <v>2507</v>
      </c>
      <c r="E6" s="770" t="str">
        <f>IF(AND((Application!W464&gt;=(0.5*Application!G753)),Application!D210="Special Needs",(OR(Application!M354="Yes",Application!M355="Yes"))),0.2," ")</f>
        <v xml:space="preserve"> </v>
      </c>
      <c r="F6" s="769"/>
      <c r="K6" s="890"/>
    </row>
    <row r="7" spans="1:11" ht="15">
      <c r="A7" s="763"/>
      <c r="B7" s="763"/>
      <c r="C7" s="761" t="s">
        <v>2508</v>
      </c>
      <c r="E7" s="818">
        <f ca="1">E3-(E3*(E4+(MAX(E5,E6))))</f>
        <v>28035513.352577321</v>
      </c>
      <c r="F7" s="767"/>
      <c r="I7" s="771"/>
      <c r="K7" s="891"/>
    </row>
    <row r="8" spans="1:11" ht="15">
      <c r="A8" s="763"/>
      <c r="B8" s="763"/>
      <c r="E8" s="771"/>
      <c r="F8" s="771"/>
      <c r="G8" s="772"/>
      <c r="H8" s="772"/>
      <c r="I8" s="771"/>
    </row>
    <row r="9" spans="1:11" ht="15" customHeight="1">
      <c r="A9" s="773"/>
      <c r="B9" s="773"/>
      <c r="C9" s="774"/>
      <c r="E9" s="775" t="s">
        <v>1940</v>
      </c>
      <c r="F9" s="775"/>
      <c r="G9" s="772" t="s">
        <v>2509</v>
      </c>
      <c r="H9" s="772"/>
      <c r="I9" s="772" t="s">
        <v>2510</v>
      </c>
    </row>
    <row r="10" spans="1:11">
      <c r="A10" s="766" t="s">
        <v>2097</v>
      </c>
      <c r="B10" s="766"/>
      <c r="C10" s="761" t="s">
        <v>2190</v>
      </c>
      <c r="E10" s="776" t="s">
        <v>2511</v>
      </c>
      <c r="F10" s="772"/>
      <c r="G10" s="776" t="s">
        <v>2512</v>
      </c>
      <c r="H10" s="772"/>
      <c r="I10" s="776" t="s">
        <v>2511</v>
      </c>
    </row>
    <row r="11" spans="1:11" ht="15">
      <c r="A11" s="763"/>
      <c r="B11" s="763"/>
      <c r="C11" s="777" t="s">
        <v>2123</v>
      </c>
      <c r="D11" s="777"/>
      <c r="E11" s="816">
        <f>Application!BN635+Application!BN644+Application!CS658</f>
        <v>0</v>
      </c>
      <c r="G11" s="778">
        <v>0.9</v>
      </c>
      <c r="H11" s="778"/>
      <c r="I11" s="779">
        <f>E11*G11</f>
        <v>0</v>
      </c>
    </row>
    <row r="12" spans="1:11" ht="15">
      <c r="A12" s="763"/>
      <c r="B12" s="763"/>
      <c r="C12" s="761" t="s">
        <v>2513</v>
      </c>
      <c r="E12" s="816">
        <f>Application!BS635+Application!BS644+Application!CX658</f>
        <v>56</v>
      </c>
      <c r="G12" s="778">
        <v>1</v>
      </c>
      <c r="H12" s="778"/>
      <c r="I12" s="779">
        <f>E12*G12</f>
        <v>56</v>
      </c>
    </row>
    <row r="13" spans="1:11" ht="15">
      <c r="A13" s="763"/>
      <c r="B13" s="763"/>
      <c r="C13" s="761" t="s">
        <v>2514</v>
      </c>
      <c r="E13" s="816">
        <f>Application!BX635+Application!BX644+Application!DC658</f>
        <v>32</v>
      </c>
      <c r="G13" s="778">
        <v>1.25</v>
      </c>
      <c r="H13" s="778"/>
      <c r="I13" s="779">
        <f>E13*G13</f>
        <v>40</v>
      </c>
    </row>
    <row r="14" spans="1:11" ht="15">
      <c r="A14" s="763"/>
      <c r="B14" s="763"/>
      <c r="C14" s="761" t="s">
        <v>2515</v>
      </c>
      <c r="E14" s="816">
        <f>Application!CC635+Application!CC644+Application!DH658</f>
        <v>32</v>
      </c>
      <c r="G14" s="778">
        <f>1.5+0.25*0</f>
        <v>1.5</v>
      </c>
      <c r="H14" s="778"/>
      <c r="I14" s="779">
        <f>IF(E14/E16&lt;=30%,E14*G14,TRUNC(0.3*E16)*G14+(E14-TRUNC(0.3*E16))*G13)</f>
        <v>48</v>
      </c>
    </row>
    <row r="15" spans="1:11" ht="15">
      <c r="A15" s="763"/>
      <c r="B15" s="763"/>
      <c r="C15" s="761" t="s">
        <v>2516</v>
      </c>
      <c r="E15" s="817">
        <f>Application!CH635+Application!CM635+Application!CH644+Application!CM644+Application!DM658+Application!DR658</f>
        <v>0</v>
      </c>
      <c r="G15" s="778">
        <f>1.75+0.25*0</f>
        <v>1.75</v>
      </c>
      <c r="H15" s="778"/>
      <c r="I15" s="780">
        <f>IF(E15/E16&lt;=10%,E15*G15,TRUNC(0.1*E16)*G15+(E15-TRUNC(0.1*E16))*G13)</f>
        <v>0</v>
      </c>
    </row>
    <row r="16" spans="1:11" ht="15">
      <c r="A16" s="763"/>
      <c r="B16" s="763"/>
      <c r="E16" s="761">
        <f>SUM(E11:E15)</f>
        <v>120</v>
      </c>
      <c r="I16" s="779">
        <f>SUM(I11:I15)</f>
        <v>144</v>
      </c>
    </row>
    <row r="17" spans="1:9" ht="15">
      <c r="A17" s="763"/>
      <c r="B17" s="763"/>
      <c r="I17" s="781"/>
    </row>
    <row r="18" spans="1:9" ht="15">
      <c r="A18" s="766" t="s">
        <v>2103</v>
      </c>
      <c r="B18" s="766"/>
      <c r="C18" s="763" t="s">
        <v>2517</v>
      </c>
      <c r="E18" s="782">
        <f ca="1">E7/I16</f>
        <v>194691.06494845363</v>
      </c>
      <c r="F18" s="782"/>
      <c r="G18" s="783"/>
      <c r="H18" s="784"/>
      <c r="I18" s="781"/>
    </row>
    <row r="21" spans="1:9" ht="14.25" customHeight="1">
      <c r="A21" s="2413" t="s">
        <v>2518</v>
      </c>
      <c r="B21" s="2413"/>
      <c r="C21" s="2413"/>
      <c r="D21" s="2413"/>
      <c r="E21" s="2413"/>
      <c r="F21" s="2413"/>
      <c r="G21" s="2413"/>
      <c r="H21" s="2413"/>
      <c r="I21" s="2413"/>
    </row>
    <row r="22" spans="1:9">
      <c r="A22" s="2413"/>
      <c r="B22" s="2413"/>
      <c r="C22" s="2413"/>
      <c r="D22" s="2413"/>
      <c r="E22" s="2413"/>
      <c r="F22" s="2413"/>
      <c r="G22" s="2413"/>
      <c r="H22" s="2413"/>
      <c r="I22" s="2413"/>
    </row>
    <row r="23" spans="1:9">
      <c r="A23" s="2413"/>
      <c r="B23" s="2413"/>
      <c r="C23" s="2413"/>
      <c r="D23" s="2413"/>
      <c r="E23" s="2413"/>
      <c r="F23" s="2413"/>
      <c r="G23" s="2413"/>
      <c r="H23" s="2413"/>
      <c r="I23" s="2413"/>
    </row>
    <row r="25" spans="1:9" ht="20.100000000000001" customHeight="1">
      <c r="A25" s="761" t="s">
        <v>2519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8" zoomScaleNormal="100" zoomScaleSheetLayoutView="100" workbookViewId="0">
      <selection activeCell="AB71" sqref="AB71:AF71"/>
    </sheetView>
  </sheetViews>
  <sheetFormatPr defaultColWidth="0" defaultRowHeight="0" customHeight="1" zeroHeight="1"/>
  <cols>
    <col min="1" max="1" width="1.5703125" style="333" customWidth="1"/>
    <col min="2" max="2" width="0.85546875" style="333" customWidth="1"/>
    <col min="3" max="18" width="2.5703125" style="333" customWidth="1"/>
    <col min="19" max="19" width="4" style="333" customWidth="1"/>
    <col min="20" max="39" width="2.7109375" style="333" customWidth="1"/>
    <col min="40" max="40" width="1.5703125" style="333" customWidth="1"/>
    <col min="41" max="256" width="2.5703125" style="333" hidden="1"/>
    <col min="257" max="257" width="1.5703125" style="333" hidden="1" customWidth="1"/>
    <col min="258" max="258" width="0.8554687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8554687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8554687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8554687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8554687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8554687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8554687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8554687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8554687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8554687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8554687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8554687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8554687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8554687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8554687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8554687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8554687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8554687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8554687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8554687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8554687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8554687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8554687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8554687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8554687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8554687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8554687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8554687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8554687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8554687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8554687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8554687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8554687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8554687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8554687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8554687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8554687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8554687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8554687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8554687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8554687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8554687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8554687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8554687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8554687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8554687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8554687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8554687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8554687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8554687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8554687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8554687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8554687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8554687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8554687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8554687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8554687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8554687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8554687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8554687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8554687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8554687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8554687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47" t="s">
        <v>2520</v>
      </c>
      <c r="B1" s="2447"/>
      <c r="C1" s="2447"/>
      <c r="D1" s="2447"/>
      <c r="E1" s="2447"/>
      <c r="F1" s="2447"/>
      <c r="G1" s="2447"/>
      <c r="H1" s="2447"/>
      <c r="I1" s="2447"/>
      <c r="J1" s="2447"/>
      <c r="K1" s="2447"/>
      <c r="L1" s="2447"/>
      <c r="M1" s="2447"/>
      <c r="N1" s="2447"/>
      <c r="O1" s="2447"/>
      <c r="P1" s="2447"/>
      <c r="Q1" s="2447"/>
      <c r="R1" s="2447"/>
      <c r="S1" s="2447"/>
      <c r="T1" s="2447"/>
      <c r="U1" s="2447"/>
      <c r="V1" s="2447"/>
      <c r="W1" s="2447"/>
      <c r="X1" s="2447"/>
      <c r="Y1" s="2447"/>
      <c r="Z1" s="2447"/>
      <c r="AA1" s="2447"/>
      <c r="AB1" s="2447"/>
      <c r="AC1" s="2447"/>
      <c r="AD1" s="2447"/>
      <c r="AE1" s="2447"/>
      <c r="AF1" s="2447"/>
      <c r="AG1" s="2447"/>
      <c r="AH1" s="2447"/>
      <c r="AI1" s="2447"/>
      <c r="AJ1" s="2447"/>
      <c r="AK1" s="2447"/>
      <c r="AL1" s="2447"/>
      <c r="AM1" s="2447"/>
      <c r="AN1" s="2447"/>
    </row>
    <row r="2" spans="1:40" ht="13.5" thickBot="1">
      <c r="A2" s="2448"/>
      <c r="B2" s="2448"/>
      <c r="C2" s="2448"/>
      <c r="D2" s="2448"/>
      <c r="E2" s="2448"/>
      <c r="F2" s="2448"/>
      <c r="G2" s="2448"/>
      <c r="H2" s="2448"/>
      <c r="I2" s="2448"/>
      <c r="J2" s="2448"/>
      <c r="K2" s="2448"/>
      <c r="L2" s="2448"/>
      <c r="M2" s="2448"/>
      <c r="N2" s="2448"/>
      <c r="O2" s="2448"/>
      <c r="P2" s="2448"/>
      <c r="Q2" s="2448"/>
      <c r="R2" s="2448"/>
      <c r="S2" s="2448"/>
      <c r="T2" s="2448"/>
      <c r="U2" s="2448"/>
      <c r="V2" s="2448"/>
      <c r="W2" s="2448"/>
      <c r="X2" s="2448"/>
      <c r="Y2" s="2448"/>
      <c r="Z2" s="2448"/>
      <c r="AA2" s="2448"/>
      <c r="AB2" s="2448"/>
      <c r="AC2" s="2448"/>
      <c r="AD2" s="2448"/>
      <c r="AE2" s="2448"/>
      <c r="AF2" s="2448"/>
      <c r="AG2" s="2448"/>
      <c r="AH2" s="2448"/>
      <c r="AI2" s="2448"/>
      <c r="AJ2" s="2448"/>
      <c r="AK2" s="2448"/>
      <c r="AL2" s="2448"/>
      <c r="AM2" s="2448"/>
      <c r="AN2" s="2448"/>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2.75">
      <c r="A4" s="335"/>
    </row>
    <row r="5" spans="1:40" ht="12.75">
      <c r="A5" s="335" t="s">
        <v>956</v>
      </c>
      <c r="C5" s="335" t="s">
        <v>269</v>
      </c>
      <c r="F5" s="335"/>
    </row>
    <row r="6" spans="1:40" ht="12.75">
      <c r="A6" s="335"/>
      <c r="C6" s="333" t="s">
        <v>2521</v>
      </c>
    </row>
    <row r="7" spans="1:40" ht="13.15" customHeight="1">
      <c r="B7" s="336"/>
      <c r="C7" s="337"/>
      <c r="D7" s="337"/>
      <c r="E7" s="337"/>
      <c r="F7" s="337"/>
      <c r="G7" s="337"/>
      <c r="H7" s="337"/>
      <c r="I7" s="337"/>
      <c r="J7" s="337"/>
      <c r="K7" s="337"/>
      <c r="L7" s="337"/>
      <c r="M7" s="337"/>
      <c r="N7" s="337"/>
      <c r="O7" s="337"/>
      <c r="P7" s="337"/>
      <c r="Q7" s="337"/>
      <c r="R7" s="337"/>
      <c r="S7" s="337"/>
      <c r="T7" s="2449" t="str">
        <f xml:space="preserve"> IF(T25=100%,'Sources and Basis Breakdown'!G2,'Sources and Basis Breakdown'!F2)</f>
        <v>30% PVC for New Const/
Rehabilitation
NON-DDA/
NON-QCT Building(s)</v>
      </c>
      <c r="U7" s="2449"/>
      <c r="V7" s="2449"/>
      <c r="W7" s="2449"/>
      <c r="X7" s="2449"/>
      <c r="Y7" s="2449" t="str">
        <f>IF(T25=100%," ",'Sources and Basis Breakdown'!G2)</f>
        <v xml:space="preserve"> </v>
      </c>
      <c r="Z7" s="2449"/>
      <c r="AA7" s="2449"/>
      <c r="AB7" s="2449"/>
      <c r="AC7" s="2449"/>
      <c r="AD7" s="2449" t="str">
        <f xml:space="preserve"> IF(T25=100%, 'Sources and Basis Breakdown'!J2,'Sources and Basis Breakdown'!I2)</f>
        <v>30% PVC for Acquisition
NON-DDA/
NON-QCT Building(s)</v>
      </c>
      <c r="AE7" s="2449"/>
      <c r="AF7" s="2449"/>
      <c r="AG7" s="2449"/>
      <c r="AH7" s="2449"/>
      <c r="AI7" s="2449" t="str">
        <f>IF(T25=100%," ",'Sources and Basis Breakdown'!J2)</f>
        <v xml:space="preserve"> </v>
      </c>
      <c r="AJ7" s="2449"/>
      <c r="AK7" s="2449"/>
      <c r="AL7" s="2449"/>
      <c r="AM7" s="2449"/>
    </row>
    <row r="8" spans="1:40" ht="12.75" customHeight="1">
      <c r="B8" s="338"/>
      <c r="T8" s="2449"/>
      <c r="U8" s="2449"/>
      <c r="V8" s="2449"/>
      <c r="W8" s="2449"/>
      <c r="X8" s="2449"/>
      <c r="Y8" s="2449"/>
      <c r="Z8" s="2449"/>
      <c r="AA8" s="2449"/>
      <c r="AB8" s="2449"/>
      <c r="AC8" s="2449"/>
      <c r="AD8" s="2449"/>
      <c r="AE8" s="2449"/>
      <c r="AF8" s="2449"/>
      <c r="AG8" s="2449"/>
      <c r="AH8" s="2449"/>
      <c r="AI8" s="2449"/>
      <c r="AJ8" s="2449"/>
      <c r="AK8" s="2449"/>
      <c r="AL8" s="2449"/>
      <c r="AM8" s="2449"/>
    </row>
    <row r="9" spans="1:40" ht="12.75">
      <c r="B9" s="338"/>
      <c r="T9" s="2449"/>
      <c r="U9" s="2449"/>
      <c r="V9" s="2449"/>
      <c r="W9" s="2449"/>
      <c r="X9" s="2449"/>
      <c r="Y9" s="2449"/>
      <c r="Z9" s="2449"/>
      <c r="AA9" s="2449"/>
      <c r="AB9" s="2449"/>
      <c r="AC9" s="2449"/>
      <c r="AD9" s="2449"/>
      <c r="AE9" s="2449"/>
      <c r="AF9" s="2449"/>
      <c r="AG9" s="2449"/>
      <c r="AH9" s="2449"/>
      <c r="AI9" s="2449"/>
      <c r="AJ9" s="2449"/>
      <c r="AK9" s="2449"/>
      <c r="AL9" s="2449"/>
      <c r="AM9" s="2449"/>
    </row>
    <row r="10" spans="1:40" ht="44.65" customHeight="1">
      <c r="B10" s="339"/>
      <c r="C10" s="340"/>
      <c r="D10" s="340"/>
      <c r="E10" s="340"/>
      <c r="F10" s="340"/>
      <c r="G10" s="340"/>
      <c r="H10" s="340"/>
      <c r="I10" s="340"/>
      <c r="J10" s="340"/>
      <c r="K10" s="340"/>
      <c r="L10" s="340"/>
      <c r="M10" s="340"/>
      <c r="N10" s="340"/>
      <c r="O10" s="340"/>
      <c r="P10" s="340"/>
      <c r="Q10" s="340"/>
      <c r="R10" s="340"/>
      <c r="S10" s="340"/>
      <c r="T10" s="2449"/>
      <c r="U10" s="2449"/>
      <c r="V10" s="2449"/>
      <c r="W10" s="2449"/>
      <c r="X10" s="2449"/>
      <c r="Y10" s="2449"/>
      <c r="Z10" s="2449"/>
      <c r="AA10" s="2449"/>
      <c r="AB10" s="2449"/>
      <c r="AC10" s="2449"/>
      <c r="AD10" s="2449"/>
      <c r="AE10" s="2449"/>
      <c r="AF10" s="2449"/>
      <c r="AG10" s="2449"/>
      <c r="AH10" s="2449"/>
      <c r="AI10" s="2449"/>
      <c r="AJ10" s="2449"/>
      <c r="AK10" s="2449"/>
      <c r="AL10" s="2449"/>
      <c r="AM10" s="2449"/>
    </row>
    <row r="11" spans="1:40" ht="12.75">
      <c r="B11" s="2426" t="s">
        <v>1922</v>
      </c>
      <c r="C11" s="2427"/>
      <c r="D11" s="2427"/>
      <c r="E11" s="2427"/>
      <c r="F11" s="2427"/>
      <c r="G11" s="2427"/>
      <c r="H11" s="2427"/>
      <c r="I11" s="2427"/>
      <c r="J11" s="2427"/>
      <c r="K11" s="2427"/>
      <c r="L11" s="2427"/>
      <c r="M11" s="2427"/>
      <c r="N11" s="2427"/>
      <c r="O11" s="2427"/>
      <c r="P11" s="2427"/>
      <c r="Q11" s="2427"/>
      <c r="R11" s="2427"/>
      <c r="S11" s="2428"/>
      <c r="T11" s="2450">
        <f>IF('Sources and Basis Breakdown'!F107=0,'Sources and Basis Breakdown'!E107,'Sources and Basis Breakdown'!F107)</f>
        <v>40768911</v>
      </c>
      <c r="U11" s="2451"/>
      <c r="V11" s="2451"/>
      <c r="W11" s="2451"/>
      <c r="X11" s="2451"/>
      <c r="Y11" s="2450">
        <f>IF(Y7=" ",0,IF('Sources and Basis Breakdown'!G107+'Sources and Basis Breakdown'!F107='Sources and Basis Breakdown'!E107,'Sources and Basis Breakdown'!G107,0))</f>
        <v>0</v>
      </c>
      <c r="Z11" s="2451"/>
      <c r="AA11" s="2451"/>
      <c r="AB11" s="2451"/>
      <c r="AC11" s="2451"/>
      <c r="AD11" s="2451">
        <f>IF('Sources and Basis Breakdown'!I107=0,'Sources and Basis Breakdown'!H107,'Sources and Basis Breakdown'!I107)</f>
        <v>0</v>
      </c>
      <c r="AE11" s="2451"/>
      <c r="AF11" s="2451"/>
      <c r="AG11" s="2451"/>
      <c r="AH11" s="2451"/>
      <c r="AI11" s="2451">
        <f>IF(Y7=" ",0,IF('Sources and Basis Breakdown'!I107+'Sources and Basis Breakdown'!J107='Sources and Basis Breakdown'!H107,'Sources and Basis Breakdown'!J107,0))</f>
        <v>0</v>
      </c>
      <c r="AJ11" s="2451"/>
      <c r="AK11" s="2451"/>
      <c r="AL11" s="2451"/>
      <c r="AM11" s="2451"/>
    </row>
    <row r="12" spans="1:40" ht="12.75">
      <c r="B12" s="2443" t="s">
        <v>2522</v>
      </c>
      <c r="C12" s="1145"/>
      <c r="D12" s="1145"/>
      <c r="E12" s="1145"/>
      <c r="F12" s="1145"/>
      <c r="G12" s="1145"/>
      <c r="H12" s="1145"/>
      <c r="I12" s="1145"/>
      <c r="J12" s="1145"/>
      <c r="K12" s="1145"/>
      <c r="L12" s="1145"/>
      <c r="M12" s="1145"/>
      <c r="N12" s="1145"/>
      <c r="O12" s="1145"/>
      <c r="P12" s="1145"/>
      <c r="Q12" s="1145"/>
      <c r="R12" s="1145"/>
      <c r="S12" s="2444"/>
      <c r="T12" s="2414"/>
      <c r="U12" s="2415"/>
      <c r="V12" s="2415"/>
      <c r="W12" s="2415"/>
      <c r="X12" s="2416"/>
      <c r="Y12" s="2414"/>
      <c r="Z12" s="2415"/>
      <c r="AA12" s="2415"/>
      <c r="AB12" s="2415"/>
      <c r="AC12" s="2416"/>
      <c r="AD12" s="2414"/>
      <c r="AE12" s="2415"/>
      <c r="AF12" s="2415"/>
      <c r="AG12" s="2415"/>
      <c r="AH12" s="2416"/>
      <c r="AI12" s="2414"/>
      <c r="AJ12" s="2415"/>
      <c r="AK12" s="2415"/>
      <c r="AL12" s="2415"/>
      <c r="AM12" s="2416"/>
    </row>
    <row r="13" spans="1:40" ht="12.75">
      <c r="B13" s="368"/>
      <c r="C13" s="2445" t="s">
        <v>2523</v>
      </c>
      <c r="D13" s="2445"/>
      <c r="E13" s="2445"/>
      <c r="F13" s="2445"/>
      <c r="G13" s="2445"/>
      <c r="H13" s="2445"/>
      <c r="I13" s="2445"/>
      <c r="J13" s="2445"/>
      <c r="K13" s="2445"/>
      <c r="L13" s="2445"/>
      <c r="M13" s="2445"/>
      <c r="N13" s="2445"/>
      <c r="O13" s="2445"/>
      <c r="P13" s="2445"/>
      <c r="Q13" s="2445"/>
      <c r="R13" s="2445"/>
      <c r="S13" s="2446"/>
      <c r="T13" s="2452"/>
      <c r="U13" s="2453"/>
      <c r="V13" s="2453"/>
      <c r="W13" s="2453"/>
      <c r="X13" s="2453"/>
      <c r="Y13" s="2452"/>
      <c r="Z13" s="2453"/>
      <c r="AA13" s="2453"/>
      <c r="AB13" s="2453"/>
      <c r="AC13" s="2453"/>
      <c r="AD13" s="2453"/>
      <c r="AE13" s="2453"/>
      <c r="AF13" s="2453"/>
      <c r="AG13" s="2453"/>
      <c r="AH13" s="2453"/>
      <c r="AI13" s="2453"/>
      <c r="AJ13" s="2453"/>
      <c r="AK13" s="2453"/>
      <c r="AL13" s="2453"/>
      <c r="AM13" s="2453"/>
    </row>
    <row r="14" spans="1:40" ht="12.75">
      <c r="B14" s="368"/>
      <c r="C14" s="2445" t="s">
        <v>2524</v>
      </c>
      <c r="D14" s="2445"/>
      <c r="E14" s="2445"/>
      <c r="F14" s="2445"/>
      <c r="G14" s="2445"/>
      <c r="H14" s="2445"/>
      <c r="I14" s="2445"/>
      <c r="J14" s="2445"/>
      <c r="K14" s="2445"/>
      <c r="L14" s="2445"/>
      <c r="M14" s="2445"/>
      <c r="N14" s="2445"/>
      <c r="O14" s="2445"/>
      <c r="P14" s="2445"/>
      <c r="Q14" s="2445"/>
      <c r="R14" s="2445"/>
      <c r="S14" s="2446"/>
      <c r="T14" s="2417"/>
      <c r="U14" s="2418"/>
      <c r="V14" s="2418"/>
      <c r="W14" s="2418"/>
      <c r="X14" s="2418"/>
      <c r="Y14" s="2417"/>
      <c r="Z14" s="2418"/>
      <c r="AA14" s="2418"/>
      <c r="AB14" s="2418"/>
      <c r="AC14" s="2418"/>
      <c r="AD14" s="2418"/>
      <c r="AE14" s="2418"/>
      <c r="AF14" s="2418"/>
      <c r="AG14" s="2418"/>
      <c r="AH14" s="2418"/>
      <c r="AI14" s="2418"/>
      <c r="AJ14" s="2418"/>
      <c r="AK14" s="2418"/>
      <c r="AL14" s="2418"/>
      <c r="AM14" s="2418"/>
    </row>
    <row r="15" spans="1:40" ht="12.75">
      <c r="B15" s="368"/>
      <c r="C15" s="2445" t="s">
        <v>2525</v>
      </c>
      <c r="D15" s="2445"/>
      <c r="E15" s="2445"/>
      <c r="F15" s="2445"/>
      <c r="G15" s="2445"/>
      <c r="H15" s="2445"/>
      <c r="I15" s="2445"/>
      <c r="J15" s="2445"/>
      <c r="K15" s="2445"/>
      <c r="L15" s="2445"/>
      <c r="M15" s="2445"/>
      <c r="N15" s="2445"/>
      <c r="O15" s="2445"/>
      <c r="P15" s="2445"/>
      <c r="Q15" s="2445"/>
      <c r="R15" s="2445"/>
      <c r="S15" s="2446"/>
      <c r="T15" s="2417"/>
      <c r="U15" s="2418"/>
      <c r="V15" s="2418"/>
      <c r="W15" s="2418"/>
      <c r="X15" s="2418"/>
      <c r="Y15" s="2417"/>
      <c r="Z15" s="2418"/>
      <c r="AA15" s="2418"/>
      <c r="AB15" s="2418"/>
      <c r="AC15" s="2418"/>
      <c r="AD15" s="2418"/>
      <c r="AE15" s="2418"/>
      <c r="AF15" s="2418"/>
      <c r="AG15" s="2418"/>
      <c r="AH15" s="2418"/>
      <c r="AI15" s="2418"/>
      <c r="AJ15" s="2418"/>
      <c r="AK15" s="2418"/>
      <c r="AL15" s="2418"/>
      <c r="AM15" s="2418"/>
    </row>
    <row r="16" spans="1:40" ht="12.75">
      <c r="B16" s="368"/>
      <c r="C16" s="2445" t="s">
        <v>2526</v>
      </c>
      <c r="D16" s="2445"/>
      <c r="E16" s="2445"/>
      <c r="F16" s="2445"/>
      <c r="G16" s="2445"/>
      <c r="H16" s="2445"/>
      <c r="I16" s="2445"/>
      <c r="J16" s="2445"/>
      <c r="K16" s="2445"/>
      <c r="L16" s="2445"/>
      <c r="M16" s="2445"/>
      <c r="N16" s="2445"/>
      <c r="O16" s="2445"/>
      <c r="P16" s="2445"/>
      <c r="Q16" s="2445"/>
      <c r="R16" s="2445"/>
      <c r="S16" s="2446"/>
      <c r="T16" s="2417"/>
      <c r="U16" s="2418"/>
      <c r="V16" s="2418"/>
      <c r="W16" s="2418"/>
      <c r="X16" s="2418"/>
      <c r="Y16" s="2417"/>
      <c r="Z16" s="2418"/>
      <c r="AA16" s="2418"/>
      <c r="AB16" s="2418"/>
      <c r="AC16" s="2418"/>
      <c r="AD16" s="2418"/>
      <c r="AE16" s="2418"/>
      <c r="AF16" s="2418"/>
      <c r="AG16" s="2418"/>
      <c r="AH16" s="2418"/>
      <c r="AI16" s="2418"/>
      <c r="AJ16" s="2418"/>
      <c r="AK16" s="2418"/>
      <c r="AL16" s="2418"/>
      <c r="AM16" s="2418"/>
    </row>
    <row r="17" spans="1:40" ht="12.75">
      <c r="B17" s="368"/>
      <c r="C17" s="2445" t="s">
        <v>2527</v>
      </c>
      <c r="D17" s="2445"/>
      <c r="E17" s="2445"/>
      <c r="F17" s="2445"/>
      <c r="G17" s="2445"/>
      <c r="H17" s="2445"/>
      <c r="I17" s="2445"/>
      <c r="J17" s="2445"/>
      <c r="K17" s="2445"/>
      <c r="L17" s="2445"/>
      <c r="M17" s="2445"/>
      <c r="N17" s="2445"/>
      <c r="O17" s="2445"/>
      <c r="P17" s="2445"/>
      <c r="Q17" s="2445"/>
      <c r="R17" s="2445"/>
      <c r="S17" s="2446"/>
      <c r="T17" s="2417"/>
      <c r="U17" s="2418"/>
      <c r="V17" s="2418"/>
      <c r="W17" s="2418"/>
      <c r="X17" s="2418"/>
      <c r="Y17" s="2417"/>
      <c r="Z17" s="2418"/>
      <c r="AA17" s="2418"/>
      <c r="AB17" s="2418"/>
      <c r="AC17" s="2418"/>
      <c r="AD17" s="2418"/>
      <c r="AE17" s="2418"/>
      <c r="AF17" s="2418"/>
      <c r="AG17" s="2418"/>
      <c r="AH17" s="2418"/>
      <c r="AI17" s="2418"/>
      <c r="AJ17" s="2418"/>
      <c r="AK17" s="2418"/>
      <c r="AL17" s="2418"/>
      <c r="AM17" s="2418"/>
    </row>
    <row r="18" spans="1:40" ht="12.75">
      <c r="B18" s="369"/>
      <c r="C18" s="2441" t="s">
        <v>2528</v>
      </c>
      <c r="D18" s="2441"/>
      <c r="E18" s="2441"/>
      <c r="F18" s="2441"/>
      <c r="G18" s="2441"/>
      <c r="H18" s="2441"/>
      <c r="I18" s="2441"/>
      <c r="J18" s="2441"/>
      <c r="K18" s="2441"/>
      <c r="L18" s="2441"/>
      <c r="M18" s="2441"/>
      <c r="N18" s="2441"/>
      <c r="O18" s="2441"/>
      <c r="P18" s="2441"/>
      <c r="Q18" s="2441"/>
      <c r="R18" s="2441"/>
      <c r="S18" s="2442"/>
      <c r="T18" s="2417"/>
      <c r="U18" s="2418"/>
      <c r="V18" s="2418"/>
      <c r="W18" s="2418"/>
      <c r="X18" s="2418"/>
      <c r="Y18" s="2417"/>
      <c r="Z18" s="2418"/>
      <c r="AA18" s="2418"/>
      <c r="AB18" s="2418"/>
      <c r="AC18" s="2418"/>
      <c r="AD18" s="2418"/>
      <c r="AE18" s="2418"/>
      <c r="AF18" s="2418"/>
      <c r="AG18" s="2418"/>
      <c r="AH18" s="2418"/>
      <c r="AI18" s="2418"/>
      <c r="AJ18" s="2418"/>
      <c r="AK18" s="2418"/>
      <c r="AL18" s="2418"/>
      <c r="AM18" s="2418"/>
    </row>
    <row r="19" spans="1:40" ht="12.75">
      <c r="B19" s="369"/>
      <c r="C19" s="2441" t="s">
        <v>2528</v>
      </c>
      <c r="D19" s="2441"/>
      <c r="E19" s="2441"/>
      <c r="F19" s="2441"/>
      <c r="G19" s="2441"/>
      <c r="H19" s="2441"/>
      <c r="I19" s="2441"/>
      <c r="J19" s="2441"/>
      <c r="K19" s="2441"/>
      <c r="L19" s="2441"/>
      <c r="M19" s="2441"/>
      <c r="N19" s="2441"/>
      <c r="O19" s="2441"/>
      <c r="P19" s="2441"/>
      <c r="Q19" s="2441"/>
      <c r="R19" s="2441"/>
      <c r="S19" s="2442"/>
      <c r="T19" s="2417"/>
      <c r="U19" s="2418"/>
      <c r="V19" s="2418"/>
      <c r="W19" s="2418"/>
      <c r="X19" s="2418"/>
      <c r="Y19" s="2417"/>
      <c r="Z19" s="2418"/>
      <c r="AA19" s="2418"/>
      <c r="AB19" s="2418"/>
      <c r="AC19" s="2418"/>
      <c r="AD19" s="2418"/>
      <c r="AE19" s="2418"/>
      <c r="AF19" s="2418"/>
      <c r="AG19" s="2418"/>
      <c r="AH19" s="2418"/>
      <c r="AI19" s="2418"/>
      <c r="AJ19" s="2418"/>
      <c r="AK19" s="2418"/>
      <c r="AL19" s="2418"/>
      <c r="AM19" s="2418"/>
    </row>
    <row r="20" spans="1:40" ht="12.75">
      <c r="B20" s="2426" t="s">
        <v>2529</v>
      </c>
      <c r="C20" s="2427"/>
      <c r="D20" s="2427"/>
      <c r="E20" s="2427"/>
      <c r="F20" s="2427"/>
      <c r="G20" s="2427"/>
      <c r="H20" s="2427"/>
      <c r="I20" s="2427"/>
      <c r="J20" s="2427"/>
      <c r="K20" s="2427"/>
      <c r="L20" s="2427"/>
      <c r="M20" s="2427"/>
      <c r="N20" s="2427"/>
      <c r="O20" s="2427"/>
      <c r="P20" s="2427"/>
      <c r="Q20" s="2427"/>
      <c r="R20" s="2427"/>
      <c r="S20" s="2428"/>
      <c r="T20" s="2419">
        <f>SUM(T13:X19)</f>
        <v>0</v>
      </c>
      <c r="U20" s="2420"/>
      <c r="V20" s="2420"/>
      <c r="W20" s="2420"/>
      <c r="X20" s="2420"/>
      <c r="Y20" s="2419">
        <f>SUM(Y13:AC19)</f>
        <v>0</v>
      </c>
      <c r="Z20" s="2420"/>
      <c r="AA20" s="2420"/>
      <c r="AB20" s="2420"/>
      <c r="AC20" s="2420"/>
      <c r="AD20" s="2421">
        <f>SUM(AD13:AH19)</f>
        <v>0</v>
      </c>
      <c r="AE20" s="2422"/>
      <c r="AF20" s="2422"/>
      <c r="AG20" s="2422"/>
      <c r="AH20" s="2419"/>
      <c r="AI20" s="2421">
        <f>SUM(AI13:AM19)</f>
        <v>0</v>
      </c>
      <c r="AJ20" s="2422"/>
      <c r="AK20" s="2422"/>
      <c r="AL20" s="2422"/>
      <c r="AM20" s="2419"/>
    </row>
    <row r="21" spans="1:40" ht="12.75">
      <c r="B21" s="2426" t="s">
        <v>2530</v>
      </c>
      <c r="C21" s="2427"/>
      <c r="D21" s="2427"/>
      <c r="E21" s="2427"/>
      <c r="F21" s="2427"/>
      <c r="G21" s="2427"/>
      <c r="H21" s="2427"/>
      <c r="I21" s="2427"/>
      <c r="J21" s="2427"/>
      <c r="K21" s="2427"/>
      <c r="L21" s="2427"/>
      <c r="M21" s="2427"/>
      <c r="N21" s="2427"/>
      <c r="O21" s="2427"/>
      <c r="P21" s="2427"/>
      <c r="Q21" s="2427"/>
      <c r="R21" s="2427"/>
      <c r="S21" s="2428"/>
      <c r="T21" s="2417"/>
      <c r="U21" s="2418"/>
      <c r="V21" s="2418"/>
      <c r="W21" s="2418"/>
      <c r="X21" s="2418"/>
      <c r="Y21" s="2417"/>
      <c r="Z21" s="2418"/>
      <c r="AA21" s="2418"/>
      <c r="AB21" s="2418"/>
      <c r="AC21" s="2418"/>
      <c r="AD21" s="2414"/>
      <c r="AE21" s="2415"/>
      <c r="AF21" s="2415"/>
      <c r="AG21" s="2415"/>
      <c r="AH21" s="2416"/>
      <c r="AI21" s="2414"/>
      <c r="AJ21" s="2415"/>
      <c r="AK21" s="2415"/>
      <c r="AL21" s="2415"/>
      <c r="AM21" s="2416"/>
    </row>
    <row r="22" spans="1:40" ht="12.75">
      <c r="B22" s="2426" t="s">
        <v>2531</v>
      </c>
      <c r="C22" s="2427"/>
      <c r="D22" s="2427"/>
      <c r="E22" s="2427"/>
      <c r="F22" s="2427"/>
      <c r="G22" s="2427"/>
      <c r="H22" s="2427"/>
      <c r="I22" s="2427"/>
      <c r="J22" s="2427"/>
      <c r="K22" s="2427"/>
      <c r="L22" s="2427"/>
      <c r="M22" s="2427"/>
      <c r="N22" s="2427"/>
      <c r="O22" s="2427"/>
      <c r="P22" s="2427"/>
      <c r="Q22" s="2427"/>
      <c r="R22" s="2427"/>
      <c r="S22" s="2428"/>
      <c r="T22" s="2454">
        <f>(T20+T21)*-1</f>
        <v>0</v>
      </c>
      <c r="U22" s="2455"/>
      <c r="V22" s="2455"/>
      <c r="W22" s="2455"/>
      <c r="X22" s="2455"/>
      <c r="Y22" s="2454">
        <f>(Y20+Y21)*-1</f>
        <v>0</v>
      </c>
      <c r="Z22" s="2455"/>
      <c r="AA22" s="2455"/>
      <c r="AB22" s="2455"/>
      <c r="AC22" s="2455"/>
      <c r="AD22" s="2456">
        <f>(AD20)*-1</f>
        <v>0</v>
      </c>
      <c r="AE22" s="2457"/>
      <c r="AF22" s="2457"/>
      <c r="AG22" s="2457"/>
      <c r="AH22" s="2454"/>
      <c r="AI22" s="2456">
        <f>(AI20)*-1</f>
        <v>0</v>
      </c>
      <c r="AJ22" s="2457"/>
      <c r="AK22" s="2457"/>
      <c r="AL22" s="2457"/>
      <c r="AM22" s="2454"/>
    </row>
    <row r="23" spans="1:40" ht="12.75">
      <c r="B23" s="2426" t="s">
        <v>2532</v>
      </c>
      <c r="C23" s="2427"/>
      <c r="D23" s="2427"/>
      <c r="E23" s="2427"/>
      <c r="F23" s="2427"/>
      <c r="G23" s="2427"/>
      <c r="H23" s="2427"/>
      <c r="I23" s="2427"/>
      <c r="J23" s="2427"/>
      <c r="K23" s="2427"/>
      <c r="L23" s="2427"/>
      <c r="M23" s="2427"/>
      <c r="N23" s="2427"/>
      <c r="O23" s="2427"/>
      <c r="P23" s="2427"/>
      <c r="Q23" s="2427"/>
      <c r="R23" s="2427"/>
      <c r="S23" s="2428"/>
      <c r="T23" s="2419">
        <f>T11+T22</f>
        <v>40768911</v>
      </c>
      <c r="U23" s="2420"/>
      <c r="V23" s="2420"/>
      <c r="W23" s="2420"/>
      <c r="X23" s="2420"/>
      <c r="Y23" s="2419">
        <f>Y11+Y22</f>
        <v>0</v>
      </c>
      <c r="Z23" s="2420"/>
      <c r="AA23" s="2420"/>
      <c r="AB23" s="2420"/>
      <c r="AC23" s="2420"/>
      <c r="AD23" s="2419">
        <f>AD11+AD22</f>
        <v>0</v>
      </c>
      <c r="AE23" s="2420"/>
      <c r="AF23" s="2420"/>
      <c r="AG23" s="2420"/>
      <c r="AH23" s="2420"/>
      <c r="AI23" s="2419">
        <f>AI11+AI22</f>
        <v>0</v>
      </c>
      <c r="AJ23" s="2420"/>
      <c r="AK23" s="2420"/>
      <c r="AL23" s="2420"/>
      <c r="AM23" s="2420"/>
    </row>
    <row r="24" spans="1:40" ht="12.75">
      <c r="B24" s="2426" t="s">
        <v>2533</v>
      </c>
      <c r="C24" s="2427"/>
      <c r="D24" s="2427"/>
      <c r="E24" s="2427"/>
      <c r="F24" s="2427"/>
      <c r="G24" s="2427"/>
      <c r="H24" s="2427"/>
      <c r="I24" s="2427"/>
      <c r="J24" s="2427"/>
      <c r="K24" s="2427"/>
      <c r="L24" s="2427"/>
      <c r="M24" s="2427"/>
      <c r="N24" s="2427"/>
      <c r="O24" s="2427"/>
      <c r="P24" s="2427"/>
      <c r="Q24" s="2427"/>
      <c r="R24" s="2427"/>
      <c r="S24" s="2428"/>
      <c r="T24" s="2421">
        <f>Application!AJ1032</f>
        <v>64219104.520000003</v>
      </c>
      <c r="U24" s="2422"/>
      <c r="V24" s="2422"/>
      <c r="W24" s="2422"/>
      <c r="X24" s="2422"/>
      <c r="Y24" s="2422"/>
      <c r="Z24" s="2422"/>
      <c r="AA24" s="2422"/>
      <c r="AB24" s="2422"/>
      <c r="AC24" s="2422"/>
      <c r="AD24" s="2422"/>
      <c r="AE24" s="2422"/>
      <c r="AF24" s="2422"/>
      <c r="AG24" s="2422"/>
      <c r="AH24" s="2422"/>
      <c r="AI24" s="2422"/>
      <c r="AJ24" s="2422"/>
      <c r="AK24" s="2422"/>
      <c r="AL24" s="2422"/>
      <c r="AM24" s="2419"/>
    </row>
    <row r="25" spans="1:40" ht="12.75">
      <c r="B25" s="2430" t="s">
        <v>2534</v>
      </c>
      <c r="C25" s="2431"/>
      <c r="D25" s="2431"/>
      <c r="E25" s="2431"/>
      <c r="F25" s="2431"/>
      <c r="G25" s="2431"/>
      <c r="H25" s="2431"/>
      <c r="I25" s="2431"/>
      <c r="J25" s="2431"/>
      <c r="K25" s="2431"/>
      <c r="L25" s="2431"/>
      <c r="M25" s="2431"/>
      <c r="N25" s="2431"/>
      <c r="O25" s="2431"/>
      <c r="P25" s="2431"/>
      <c r="Q25" s="2431"/>
      <c r="R25" s="2431"/>
      <c r="S25" s="2432"/>
      <c r="T25" s="2458">
        <f>IF(OR(Application!T195="yes",Application!T194="yes"),1.3,1)</f>
        <v>1</v>
      </c>
      <c r="U25" s="2459"/>
      <c r="V25" s="2459"/>
      <c r="W25" s="2459"/>
      <c r="X25" s="2459"/>
      <c r="Y25" s="2458">
        <v>1</v>
      </c>
      <c r="Z25" s="2459"/>
      <c r="AA25" s="2459"/>
      <c r="AB25" s="2459"/>
      <c r="AC25" s="2459"/>
      <c r="AD25" s="2458">
        <v>1</v>
      </c>
      <c r="AE25" s="2459"/>
      <c r="AF25" s="2459"/>
      <c r="AG25" s="2459"/>
      <c r="AH25" s="2460"/>
      <c r="AI25" s="2458">
        <v>1</v>
      </c>
      <c r="AJ25" s="2459"/>
      <c r="AK25" s="2459"/>
      <c r="AL25" s="2459"/>
      <c r="AM25" s="2460"/>
    </row>
    <row r="26" spans="1:40" ht="12.75">
      <c r="B26" s="2426" t="s">
        <v>2535</v>
      </c>
      <c r="C26" s="2427"/>
      <c r="D26" s="2427"/>
      <c r="E26" s="2427"/>
      <c r="F26" s="2427"/>
      <c r="G26" s="2427"/>
      <c r="H26" s="2427"/>
      <c r="I26" s="2427"/>
      <c r="J26" s="2427"/>
      <c r="K26" s="2427"/>
      <c r="L26" s="2427"/>
      <c r="M26" s="2427"/>
      <c r="N26" s="2427"/>
      <c r="O26" s="2427"/>
      <c r="P26" s="2427"/>
      <c r="Q26" s="2427"/>
      <c r="R26" s="2427"/>
      <c r="S26" s="2428"/>
      <c r="T26" s="2419">
        <f>T23*T25</f>
        <v>40768911</v>
      </c>
      <c r="U26" s="2420"/>
      <c r="V26" s="2420"/>
      <c r="W26" s="2420"/>
      <c r="X26" s="2420"/>
      <c r="Y26" s="2419">
        <f>Y23*Y25</f>
        <v>0</v>
      </c>
      <c r="Z26" s="2420"/>
      <c r="AA26" s="2420"/>
      <c r="AB26" s="2420"/>
      <c r="AC26" s="2420"/>
      <c r="AD26" s="2419">
        <f>AD23*AD25</f>
        <v>0</v>
      </c>
      <c r="AE26" s="2420"/>
      <c r="AF26" s="2420"/>
      <c r="AG26" s="2420"/>
      <c r="AH26" s="2420"/>
      <c r="AI26" s="2419">
        <f>AI23*AI25</f>
        <v>0</v>
      </c>
      <c r="AJ26" s="2420"/>
      <c r="AK26" s="2420"/>
      <c r="AL26" s="2420"/>
      <c r="AM26" s="2420"/>
    </row>
    <row r="27" spans="1:40" ht="12.75">
      <c r="A27" s="341"/>
      <c r="B27" s="2433" t="s">
        <v>2536</v>
      </c>
      <c r="C27" s="2434"/>
      <c r="D27" s="2434"/>
      <c r="E27" s="2434"/>
      <c r="F27" s="2434"/>
      <c r="G27" s="2434"/>
      <c r="H27" s="2434"/>
      <c r="I27" s="2434"/>
      <c r="J27" s="2434"/>
      <c r="K27" s="2434"/>
      <c r="L27" s="2434"/>
      <c r="M27" s="2434"/>
      <c r="N27" s="2434"/>
      <c r="O27" s="2434"/>
      <c r="P27" s="2434"/>
      <c r="Q27" s="2434"/>
      <c r="R27" s="2434"/>
      <c r="S27" s="2435"/>
      <c r="T27" s="2439">
        <f>Application!$AG$444</f>
        <v>1</v>
      </c>
      <c r="U27" s="2440"/>
      <c r="V27" s="2440"/>
      <c r="W27" s="2440"/>
      <c r="X27" s="2440"/>
      <c r="Y27" s="2439">
        <f>Application!$AG$444</f>
        <v>1</v>
      </c>
      <c r="Z27" s="2440"/>
      <c r="AA27" s="2440"/>
      <c r="AB27" s="2440"/>
      <c r="AC27" s="2440"/>
      <c r="AD27" s="2439">
        <f>Application!$AG$444</f>
        <v>1</v>
      </c>
      <c r="AE27" s="2440"/>
      <c r="AF27" s="2440"/>
      <c r="AG27" s="2440"/>
      <c r="AH27" s="2440"/>
      <c r="AI27" s="2439">
        <f>Application!$AG$444</f>
        <v>1</v>
      </c>
      <c r="AJ27" s="2440"/>
      <c r="AK27" s="2440"/>
      <c r="AL27" s="2440"/>
      <c r="AM27" s="2440"/>
    </row>
    <row r="28" spans="1:40" ht="12.75" customHeight="1">
      <c r="A28" s="335"/>
      <c r="B28" s="2426" t="s">
        <v>2537</v>
      </c>
      <c r="C28" s="2427"/>
      <c r="D28" s="2427"/>
      <c r="E28" s="2427"/>
      <c r="F28" s="2427"/>
      <c r="G28" s="2427"/>
      <c r="H28" s="2427"/>
      <c r="I28" s="2427"/>
      <c r="J28" s="2427"/>
      <c r="K28" s="2427"/>
      <c r="L28" s="2427"/>
      <c r="M28" s="2427"/>
      <c r="N28" s="2427"/>
      <c r="O28" s="2427"/>
      <c r="P28" s="2427"/>
      <c r="Q28" s="2427"/>
      <c r="R28" s="2427"/>
      <c r="S28" s="2428"/>
      <c r="T28" s="2419">
        <f>IF(ISERROR((T26*T27)),0,(T26*T27))</f>
        <v>40768911</v>
      </c>
      <c r="U28" s="2420"/>
      <c r="V28" s="2420"/>
      <c r="W28" s="2420"/>
      <c r="X28" s="2420"/>
      <c r="Y28" s="2419">
        <f>IF(ISERROR((Y26*Y27)),0,(Y26*Y27))</f>
        <v>0</v>
      </c>
      <c r="Z28" s="2420"/>
      <c r="AA28" s="2420"/>
      <c r="AB28" s="2420"/>
      <c r="AC28" s="2420"/>
      <c r="AD28" s="2419">
        <f>IF(ISERROR((AD26*AD27)),0,(AD26*AD27))</f>
        <v>0</v>
      </c>
      <c r="AE28" s="2420"/>
      <c r="AF28" s="2420"/>
      <c r="AG28" s="2420"/>
      <c r="AH28" s="2420"/>
      <c r="AI28" s="2419">
        <f>IF(ISERROR((AI26*AI27)),0,(AI26*AI27))</f>
        <v>0</v>
      </c>
      <c r="AJ28" s="2420"/>
      <c r="AK28" s="2420"/>
      <c r="AL28" s="2420"/>
      <c r="AM28" s="2420"/>
    </row>
    <row r="29" spans="1:40" ht="12.75">
      <c r="B29" s="2426" t="s">
        <v>2538</v>
      </c>
      <c r="C29" s="2427"/>
      <c r="D29" s="2427"/>
      <c r="E29" s="2427"/>
      <c r="F29" s="2427"/>
      <c r="G29" s="2427"/>
      <c r="H29" s="2427"/>
      <c r="I29" s="2427"/>
      <c r="J29" s="2427"/>
      <c r="K29" s="2427"/>
      <c r="L29" s="2427"/>
      <c r="M29" s="2427"/>
      <c r="N29" s="2427"/>
      <c r="O29" s="2427"/>
      <c r="P29" s="2427"/>
      <c r="Q29" s="2427"/>
      <c r="R29" s="2427"/>
      <c r="S29" s="2428"/>
      <c r="T29" s="2421">
        <f>T28+Y28+AD28+AI28</f>
        <v>40768911</v>
      </c>
      <c r="U29" s="2422"/>
      <c r="V29" s="2422"/>
      <c r="W29" s="2422"/>
      <c r="X29" s="2422"/>
      <c r="Y29" s="2422"/>
      <c r="Z29" s="2422"/>
      <c r="AA29" s="2422"/>
      <c r="AB29" s="2422"/>
      <c r="AC29" s="2422"/>
      <c r="AD29" s="2422"/>
      <c r="AE29" s="2422"/>
      <c r="AF29" s="2422"/>
      <c r="AG29" s="2422"/>
      <c r="AH29" s="2422"/>
      <c r="AI29" s="2422"/>
      <c r="AJ29" s="2422"/>
      <c r="AK29" s="2422"/>
      <c r="AL29" s="2422"/>
      <c r="AM29" s="2419"/>
    </row>
    <row r="30" spans="1:40" ht="12.75" customHeight="1">
      <c r="B30" s="2429" t="s">
        <v>2539</v>
      </c>
      <c r="C30" s="2429"/>
      <c r="D30" s="2429"/>
      <c r="E30" s="2429"/>
      <c r="F30" s="2429"/>
      <c r="G30" s="2429"/>
      <c r="H30" s="2429"/>
      <c r="I30" s="2429"/>
      <c r="J30" s="2429"/>
      <c r="K30" s="2429"/>
      <c r="L30" s="2429"/>
      <c r="M30" s="2429"/>
      <c r="N30" s="2429"/>
      <c r="O30" s="2429"/>
      <c r="P30" s="2429"/>
      <c r="Q30" s="2429"/>
      <c r="R30" s="2429"/>
      <c r="S30" s="2429"/>
      <c r="T30" s="2429"/>
      <c r="U30" s="2429"/>
      <c r="V30" s="2429"/>
      <c r="W30" s="2429"/>
      <c r="X30" s="2429"/>
      <c r="Y30" s="2429"/>
      <c r="Z30" s="2429"/>
      <c r="AA30" s="2429"/>
      <c r="AB30" s="2429"/>
      <c r="AC30" s="2429"/>
      <c r="AD30" s="2429"/>
      <c r="AE30" s="2429"/>
      <c r="AF30" s="2429"/>
      <c r="AG30" s="2429"/>
      <c r="AH30" s="2429"/>
      <c r="AI30" s="2429"/>
      <c r="AJ30" s="2429"/>
      <c r="AK30" s="2429"/>
      <c r="AL30" s="2429"/>
      <c r="AM30" s="2429"/>
    </row>
    <row r="31" spans="1:40" ht="12.75" customHeight="1">
      <c r="B31" s="2429" t="s">
        <v>2540</v>
      </c>
      <c r="C31" s="2429"/>
      <c r="D31" s="2429"/>
      <c r="E31" s="2429"/>
      <c r="F31" s="2429"/>
      <c r="G31" s="2429"/>
      <c r="H31" s="2429"/>
      <c r="I31" s="2429"/>
      <c r="J31" s="2429"/>
      <c r="K31" s="2429"/>
      <c r="L31" s="2429"/>
      <c r="M31" s="2429"/>
      <c r="N31" s="2429"/>
      <c r="O31" s="2429"/>
      <c r="P31" s="2429"/>
      <c r="Q31" s="2429"/>
      <c r="R31" s="2429"/>
      <c r="S31" s="2429"/>
      <c r="T31" s="2429"/>
      <c r="U31" s="2429"/>
      <c r="V31" s="2429"/>
      <c r="W31" s="2429"/>
      <c r="X31" s="2429"/>
      <c r="Y31" s="2429"/>
      <c r="Z31" s="2429"/>
      <c r="AA31" s="2429"/>
      <c r="AB31" s="2429"/>
      <c r="AC31" s="2429"/>
      <c r="AD31" s="2429"/>
      <c r="AE31" s="2429"/>
      <c r="AF31" s="2429"/>
      <c r="AG31" s="2429"/>
      <c r="AH31" s="2429"/>
      <c r="AI31" s="2429"/>
      <c r="AJ31" s="2429"/>
      <c r="AK31" s="2429"/>
      <c r="AL31" s="2429"/>
      <c r="AM31" s="2429"/>
      <c r="AN31" s="451"/>
    </row>
    <row r="32" spans="1:40" ht="12.75">
      <c r="B32" s="367"/>
      <c r="C32" s="444" t="s">
        <v>2541</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75"/>
    <row r="34" spans="1:76" ht="12.75">
      <c r="A34" s="335" t="s">
        <v>992</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49" t="s">
        <v>2542</v>
      </c>
      <c r="Z35" s="2449"/>
      <c r="AA35" s="2449"/>
      <c r="AB35" s="2449"/>
      <c r="AC35" s="2449"/>
      <c r="AD35" s="2472" t="s">
        <v>2543</v>
      </c>
      <c r="AE35" s="2472"/>
      <c r="AF35" s="2472"/>
      <c r="AG35" s="2472"/>
      <c r="AH35" s="2472"/>
    </row>
    <row r="36" spans="1:76" ht="12.75" customHeight="1">
      <c r="B36" s="338"/>
      <c r="X36" s="343"/>
      <c r="Y36" s="2449"/>
      <c r="Z36" s="2449"/>
      <c r="AA36" s="2449"/>
      <c r="AB36" s="2449"/>
      <c r="AC36" s="2449"/>
      <c r="AD36" s="2472"/>
      <c r="AE36" s="2472"/>
      <c r="AF36" s="2472"/>
      <c r="AG36" s="2472"/>
      <c r="AH36" s="2472"/>
    </row>
    <row r="37" spans="1:76" ht="12.7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49"/>
      <c r="Z37" s="2449"/>
      <c r="AA37" s="2449"/>
      <c r="AB37" s="2449"/>
      <c r="AC37" s="2449"/>
      <c r="AD37" s="2472"/>
      <c r="AE37" s="2472"/>
      <c r="AF37" s="2472"/>
      <c r="AG37" s="2472"/>
      <c r="AH37" s="2472"/>
    </row>
    <row r="38" spans="1:76" ht="12.75" customHeight="1">
      <c r="A38" s="335"/>
      <c r="B38" s="2426" t="s">
        <v>2537</v>
      </c>
      <c r="C38" s="2427"/>
      <c r="D38" s="2427"/>
      <c r="E38" s="2427"/>
      <c r="F38" s="2427"/>
      <c r="G38" s="2427"/>
      <c r="H38" s="2427"/>
      <c r="I38" s="2427"/>
      <c r="J38" s="2427"/>
      <c r="K38" s="2427"/>
      <c r="L38" s="2427"/>
      <c r="M38" s="2427"/>
      <c r="N38" s="2427"/>
      <c r="O38" s="2427"/>
      <c r="P38" s="2427"/>
      <c r="Q38" s="2427"/>
      <c r="R38" s="2427"/>
      <c r="S38" s="2427"/>
      <c r="T38" s="2427"/>
      <c r="U38" s="2427"/>
      <c r="V38" s="2427"/>
      <c r="W38" s="2427"/>
      <c r="X38" s="2428"/>
      <c r="Y38" s="2420">
        <f>IF(T24&gt;=(T23+Y23+AD23+AI23),T28+Y28,0)</f>
        <v>40768911</v>
      </c>
      <c r="Z38" s="2420"/>
      <c r="AA38" s="2420"/>
      <c r="AB38" s="2420"/>
      <c r="AC38" s="2420"/>
      <c r="AD38" s="2420">
        <f>IF(T24&gt;=(T23+Y23+AD23+AI23),AD28+AI28,0)</f>
        <v>0</v>
      </c>
      <c r="AE38" s="2420"/>
      <c r="AF38" s="2420"/>
      <c r="AG38" s="2420"/>
      <c r="AH38" s="2420"/>
    </row>
    <row r="39" spans="1:76" ht="12.75">
      <c r="B39" s="2426" t="s">
        <v>2544</v>
      </c>
      <c r="C39" s="2427"/>
      <c r="D39" s="2427"/>
      <c r="E39" s="2427"/>
      <c r="F39" s="2427"/>
      <c r="G39" s="2427"/>
      <c r="H39" s="2427"/>
      <c r="I39" s="2427"/>
      <c r="J39" s="2427"/>
      <c r="K39" s="2427"/>
      <c r="L39" s="2427"/>
      <c r="M39" s="2427"/>
      <c r="N39" s="2427"/>
      <c r="O39" s="2427"/>
      <c r="P39" s="2427"/>
      <c r="Q39" s="2427"/>
      <c r="R39" s="2427"/>
      <c r="S39" s="2427"/>
      <c r="T39" s="2427"/>
      <c r="U39" s="2427"/>
      <c r="V39" s="2427"/>
      <c r="W39" s="2427"/>
      <c r="X39" s="2428"/>
      <c r="Y39" s="2473">
        <v>0.04</v>
      </c>
      <c r="Z39" s="2473"/>
      <c r="AA39" s="2473"/>
      <c r="AB39" s="2473"/>
      <c r="AC39" s="2473"/>
      <c r="AD39" s="2473">
        <v>0.04</v>
      </c>
      <c r="AE39" s="2473"/>
      <c r="AF39" s="2473"/>
      <c r="AG39" s="2473"/>
      <c r="AH39" s="2473"/>
    </row>
    <row r="40" spans="1:76" ht="12.75" customHeight="1">
      <c r="A40" s="335"/>
      <c r="B40" s="2426" t="s">
        <v>2545</v>
      </c>
      <c r="C40" s="2427"/>
      <c r="D40" s="2427"/>
      <c r="E40" s="2427"/>
      <c r="F40" s="2427"/>
      <c r="G40" s="2427"/>
      <c r="H40" s="2427"/>
      <c r="I40" s="2427"/>
      <c r="J40" s="2427"/>
      <c r="K40" s="2427"/>
      <c r="L40" s="2427"/>
      <c r="M40" s="2427"/>
      <c r="N40" s="2427"/>
      <c r="O40" s="2427"/>
      <c r="P40" s="2427"/>
      <c r="Q40" s="2427"/>
      <c r="R40" s="2427"/>
      <c r="S40" s="2427"/>
      <c r="T40" s="2427"/>
      <c r="U40" s="2427"/>
      <c r="V40" s="2427"/>
      <c r="W40" s="2427"/>
      <c r="X40" s="2428"/>
      <c r="Y40" s="2420">
        <f>ROUND(Y38*Y39,0)</f>
        <v>1630756</v>
      </c>
      <c r="Z40" s="2420"/>
      <c r="AA40" s="2420"/>
      <c r="AB40" s="2420"/>
      <c r="AC40" s="2420"/>
      <c r="AD40" s="2419">
        <f>ROUND(AD38*AD39,0)</f>
        <v>0</v>
      </c>
      <c r="AE40" s="2420"/>
      <c r="AF40" s="2420"/>
      <c r="AG40" s="2420"/>
      <c r="AH40" s="2420"/>
    </row>
    <row r="41" spans="1:76" ht="12.75">
      <c r="B41" s="2426" t="s">
        <v>2546</v>
      </c>
      <c r="C41" s="2427"/>
      <c r="D41" s="2427"/>
      <c r="E41" s="2427"/>
      <c r="F41" s="2427"/>
      <c r="G41" s="2427"/>
      <c r="H41" s="2427"/>
      <c r="I41" s="2427"/>
      <c r="J41" s="2427"/>
      <c r="K41" s="2427"/>
      <c r="L41" s="2427"/>
      <c r="M41" s="2427"/>
      <c r="N41" s="2427"/>
      <c r="O41" s="2427"/>
      <c r="P41" s="2427"/>
      <c r="Q41" s="2427"/>
      <c r="R41" s="2427"/>
      <c r="S41" s="2427"/>
      <c r="T41" s="2427"/>
      <c r="U41" s="2427"/>
      <c r="V41" s="2427"/>
      <c r="W41" s="2427"/>
      <c r="X41" s="2428"/>
      <c r="Y41" s="2421">
        <f>Y40+AD40</f>
        <v>1630756</v>
      </c>
      <c r="Z41" s="2422"/>
      <c r="AA41" s="2422"/>
      <c r="AB41" s="2422"/>
      <c r="AC41" s="2422"/>
      <c r="AD41" s="2422"/>
      <c r="AE41" s="2422"/>
      <c r="AF41" s="2422"/>
      <c r="AG41" s="2422"/>
      <c r="AH41" s="2419"/>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7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24" t="s">
        <v>2547</v>
      </c>
      <c r="B44" s="2424"/>
      <c r="C44" s="2424"/>
      <c r="D44" s="2424"/>
      <c r="E44" s="2424"/>
      <c r="F44" s="2424"/>
      <c r="G44" s="2424"/>
      <c r="H44" s="2424"/>
      <c r="I44" s="2424"/>
      <c r="J44" s="2424"/>
      <c r="K44" s="2424"/>
      <c r="L44" s="2424"/>
      <c r="M44" s="2424"/>
      <c r="N44" s="2424"/>
      <c r="O44" s="2424"/>
      <c r="P44" s="2424"/>
      <c r="Q44" s="2424"/>
      <c r="R44" s="2424"/>
      <c r="S44" s="2424"/>
      <c r="T44" s="2424"/>
      <c r="U44" s="2424"/>
      <c r="V44" s="2424"/>
      <c r="W44" s="2424"/>
      <c r="X44" s="2424"/>
      <c r="Y44" s="2424"/>
      <c r="Z44" s="2424"/>
      <c r="AA44" s="2424"/>
      <c r="AB44" s="2424"/>
      <c r="AC44" s="2424"/>
      <c r="AD44" s="2424"/>
      <c r="AE44" s="2424"/>
      <c r="AF44" s="2424"/>
      <c r="AG44" s="2424"/>
      <c r="AH44" s="2424"/>
      <c r="AI44" s="2424"/>
      <c r="AJ44" s="2424"/>
      <c r="AK44" s="2424"/>
      <c r="AL44" s="2424"/>
      <c r="AM44" s="2424"/>
      <c r="AN44" s="2424"/>
      <c r="AO44" s="2424"/>
      <c r="AP44" s="2424"/>
      <c r="AQ44" s="2424"/>
      <c r="AR44" s="2424"/>
      <c r="AS44" s="2424"/>
      <c r="AT44" s="2424"/>
      <c r="AU44" s="2424"/>
      <c r="AV44" s="2424"/>
      <c r="AW44" s="2424"/>
      <c r="AX44" s="2424"/>
      <c r="AY44" s="2424"/>
      <c r="AZ44" s="2424"/>
      <c r="BA44" s="2424"/>
      <c r="BB44" s="2424"/>
      <c r="BC44" s="2424"/>
      <c r="BD44" s="2424"/>
      <c r="BE44" s="2424"/>
      <c r="BF44" s="2424"/>
      <c r="BG44" s="2424"/>
      <c r="BH44" s="2424"/>
      <c r="BI44" s="2424"/>
      <c r="BJ44" s="2424"/>
      <c r="BK44" s="2424"/>
      <c r="BL44" s="2424"/>
      <c r="BM44" s="2424"/>
      <c r="BN44" s="2424"/>
      <c r="BO44" s="2424"/>
      <c r="BP44" s="2424"/>
      <c r="BQ44" s="2424"/>
      <c r="BR44" s="2424"/>
      <c r="BS44" s="2424"/>
      <c r="BT44" s="2424"/>
      <c r="BU44" s="2424"/>
      <c r="BV44" s="2424"/>
      <c r="BW44" s="2424"/>
      <c r="BX44" s="2424"/>
    </row>
    <row r="45" spans="1:76" s="143" customFormat="1" ht="12.75" customHeight="1" thickTop="1"/>
    <row r="46" spans="1:76" ht="12.75">
      <c r="A46" s="335" t="s">
        <v>1067</v>
      </c>
      <c r="C46" s="335" t="s">
        <v>281</v>
      </c>
    </row>
    <row r="47" spans="1:76" ht="12.75">
      <c r="D47" s="335" t="s">
        <v>2548</v>
      </c>
      <c r="AB47" s="2436">
        <f>'Sources and Uses Budget'!B105-'Sources and Uses Budget'!B15</f>
        <v>48117710</v>
      </c>
      <c r="AC47" s="2437"/>
      <c r="AD47" s="2437"/>
      <c r="AE47" s="2437"/>
      <c r="AF47" s="2438"/>
    </row>
    <row r="48" spans="1:76" ht="12.75" customHeight="1">
      <c r="D48" s="335" t="s">
        <v>174</v>
      </c>
      <c r="AB48" s="2436">
        <f>Application!AO649-MIN('Sources and Uses Budget'!B15,Application!AG394)</f>
        <v>29458477</v>
      </c>
      <c r="AC48" s="2437"/>
      <c r="AD48" s="2437"/>
      <c r="AE48" s="2437"/>
      <c r="AF48" s="2438"/>
    </row>
    <row r="49" spans="1:76" ht="12.75">
      <c r="D49" s="335" t="s">
        <v>2549</v>
      </c>
      <c r="AB49" s="2436">
        <f>AB47-AB48</f>
        <v>18659233</v>
      </c>
      <c r="AC49" s="2437"/>
      <c r="AD49" s="2437"/>
      <c r="AE49" s="2437"/>
      <c r="AF49" s="2438"/>
    </row>
    <row r="50" spans="1:76" ht="12.75">
      <c r="D50" s="335" t="s">
        <v>2550</v>
      </c>
      <c r="AA50" s="346"/>
      <c r="AB50" s="2465">
        <f ca="1">14742313/(AB56*10)</f>
        <v>0.90401709391227136</v>
      </c>
      <c r="AC50" s="2466"/>
      <c r="AD50" s="2466"/>
      <c r="AE50" s="2466"/>
      <c r="AF50" s="2467"/>
    </row>
    <row r="51" spans="1:76" s="348" customFormat="1" ht="15" customHeight="1">
      <c r="A51" s="333"/>
      <c r="B51" s="333"/>
      <c r="C51" s="333"/>
      <c r="D51" s="333"/>
      <c r="E51" s="2468" t="s">
        <v>2551</v>
      </c>
      <c r="F51" s="2468"/>
      <c r="G51" s="2468"/>
      <c r="H51" s="2468"/>
      <c r="I51" s="2468"/>
      <c r="J51" s="2468"/>
      <c r="K51" s="2468"/>
      <c r="L51" s="2468"/>
      <c r="M51" s="2468"/>
      <c r="N51" s="2468"/>
      <c r="O51" s="2468"/>
      <c r="P51" s="2468"/>
      <c r="Q51" s="2468"/>
      <c r="R51" s="2468"/>
      <c r="S51" s="2468"/>
      <c r="T51" s="2468"/>
      <c r="U51" s="2468"/>
      <c r="V51" s="2468"/>
      <c r="W51" s="2468"/>
      <c r="X51" s="2468"/>
      <c r="Y51" s="2468"/>
      <c r="Z51" s="2468"/>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68"/>
      <c r="F52" s="2468"/>
      <c r="G52" s="2468"/>
      <c r="H52" s="2468"/>
      <c r="I52" s="2468"/>
      <c r="J52" s="2468"/>
      <c r="K52" s="2468"/>
      <c r="L52" s="2468"/>
      <c r="M52" s="2468"/>
      <c r="N52" s="2468"/>
      <c r="O52" s="2468"/>
      <c r="P52" s="2468"/>
      <c r="Q52" s="2468"/>
      <c r="R52" s="2468"/>
      <c r="S52" s="2468"/>
      <c r="T52" s="2468"/>
      <c r="U52" s="2468"/>
      <c r="V52" s="2468"/>
      <c r="W52" s="2468"/>
      <c r="X52" s="2468"/>
      <c r="Y52" s="2468"/>
      <c r="Z52" s="2468"/>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2552</v>
      </c>
      <c r="AB54" s="2436">
        <f ca="1">ROUND(IF(ISERROR((AB49/AB50)),0,(AB49/AB50)),0)</f>
        <v>20640354</v>
      </c>
      <c r="AC54" s="2437"/>
      <c r="AD54" s="2437"/>
      <c r="AE54" s="2437"/>
      <c r="AF54" s="2438"/>
    </row>
    <row r="55" spans="1:76" ht="12.75" customHeight="1">
      <c r="D55" s="335" t="s">
        <v>2553</v>
      </c>
      <c r="AB55" s="2436">
        <f ca="1">(AB54/10)</f>
        <v>2064035.4</v>
      </c>
      <c r="AC55" s="2437"/>
      <c r="AD55" s="2437"/>
      <c r="AE55" s="2437"/>
      <c r="AF55" s="2438"/>
    </row>
    <row r="56" spans="1:76" ht="12.75">
      <c r="D56" s="335" t="s">
        <v>2554</v>
      </c>
      <c r="AB56" s="2469">
        <f ca="1">(IF((Y41&lt;AB55),Y41,AB55))</f>
        <v>1630756</v>
      </c>
      <c r="AC56" s="2470"/>
      <c r="AD56" s="2470"/>
      <c r="AE56" s="2470"/>
      <c r="AF56" s="2471"/>
    </row>
    <row r="57" spans="1:76" ht="12.75">
      <c r="D57" s="335" t="s">
        <v>2555</v>
      </c>
      <c r="AB57" s="2436">
        <f ca="1">ROUND((10*AB56*AB50),0)</f>
        <v>14742313</v>
      </c>
      <c r="AC57" s="2437"/>
      <c r="AD57" s="2437"/>
      <c r="AE57" s="2437"/>
      <c r="AF57" s="2438"/>
    </row>
    <row r="58" spans="1:76" ht="12.75">
      <c r="D58" s="335"/>
      <c r="AB58" s="354"/>
      <c r="AC58" s="354"/>
      <c r="AD58" s="354"/>
      <c r="AE58" s="354"/>
      <c r="AF58" s="354"/>
    </row>
    <row r="59" spans="1:76" ht="12.75" customHeight="1">
      <c r="D59" s="335" t="s">
        <v>2556</v>
      </c>
      <c r="AB59" s="2461">
        <f ca="1">AB49-AB57</f>
        <v>3916920</v>
      </c>
      <c r="AC59" s="2461"/>
      <c r="AD59" s="2461"/>
      <c r="AE59" s="2461"/>
      <c r="AF59" s="2461"/>
    </row>
    <row r="60" spans="1:76" ht="12.75" customHeight="1">
      <c r="D60" s="335"/>
      <c r="AB60" s="354"/>
      <c r="AC60" s="354"/>
      <c r="AD60" s="354"/>
      <c r="AE60" s="354"/>
      <c r="AF60" s="354"/>
    </row>
    <row r="61" spans="1:76" s="143" customFormat="1" ht="13.5" thickBot="1">
      <c r="A61" s="2424" t="str">
        <f>IF(Application!AP204="yes","Farmworker State Credit", "State Credit" )</f>
        <v>State Credit</v>
      </c>
      <c r="B61" s="2424"/>
      <c r="C61" s="2424"/>
      <c r="D61" s="2424"/>
      <c r="E61" s="2424"/>
      <c r="F61" s="2424"/>
      <c r="G61" s="2424"/>
      <c r="H61" s="2424"/>
      <c r="I61" s="2424"/>
      <c r="J61" s="2424"/>
      <c r="K61" s="2424"/>
      <c r="L61" s="2424"/>
      <c r="M61" s="2424"/>
      <c r="N61" s="2424"/>
      <c r="O61" s="2424"/>
      <c r="P61" s="2424"/>
      <c r="Q61" s="2424"/>
      <c r="R61" s="2424"/>
      <c r="S61" s="2424"/>
      <c r="T61" s="2424"/>
      <c r="U61" s="2424"/>
      <c r="V61" s="2424"/>
      <c r="W61" s="2424"/>
      <c r="X61" s="2424"/>
      <c r="Y61" s="2424"/>
      <c r="Z61" s="2424"/>
      <c r="AA61" s="2424"/>
      <c r="AB61" s="2424"/>
      <c r="AC61" s="2424"/>
      <c r="AD61" s="2424"/>
      <c r="AE61" s="2424"/>
      <c r="AF61" s="2424"/>
      <c r="AG61" s="2424"/>
      <c r="AH61" s="2424"/>
      <c r="AI61" s="2424"/>
      <c r="AJ61" s="2424"/>
      <c r="AK61" s="2424"/>
      <c r="AL61" s="2424"/>
      <c r="AM61" s="2424"/>
      <c r="AN61" s="2424"/>
      <c r="AO61" s="2424"/>
      <c r="AP61" s="2424"/>
      <c r="AQ61" s="2424"/>
      <c r="AR61" s="2424"/>
      <c r="AS61" s="2424"/>
      <c r="AT61" s="2424"/>
      <c r="AU61" s="2424"/>
      <c r="AV61" s="2424"/>
      <c r="AW61" s="2424"/>
      <c r="AX61" s="2424"/>
      <c r="AY61" s="2424"/>
      <c r="AZ61" s="2424"/>
      <c r="BA61" s="2424"/>
      <c r="BB61" s="2424"/>
      <c r="BC61" s="2424"/>
      <c r="BD61" s="2424"/>
      <c r="BE61" s="2424"/>
      <c r="BF61" s="2424"/>
      <c r="BG61" s="2424"/>
      <c r="BH61" s="2424"/>
      <c r="BI61" s="2424"/>
      <c r="BJ61" s="2424"/>
      <c r="BK61" s="2424"/>
      <c r="BL61" s="2424"/>
      <c r="BM61" s="2424"/>
      <c r="BN61" s="2424"/>
      <c r="BO61" s="2424"/>
      <c r="BP61" s="2424"/>
      <c r="BQ61" s="2424"/>
      <c r="BR61" s="2424"/>
      <c r="BS61" s="2424"/>
      <c r="BT61" s="2424"/>
      <c r="BU61" s="2424"/>
      <c r="BV61" s="2424"/>
      <c r="BW61" s="2424"/>
      <c r="BX61" s="2424"/>
    </row>
    <row r="62" spans="1:76" s="143" customFormat="1" ht="12.75" customHeight="1" thickTop="1"/>
    <row r="63" spans="1:76" ht="12.75">
      <c r="A63" s="335" t="s">
        <v>1086</v>
      </c>
      <c r="C63" s="144" t="s">
        <v>2557</v>
      </c>
      <c r="Y63" s="2462" t="s">
        <v>2558</v>
      </c>
      <c r="Z63" s="2462"/>
      <c r="AA63" s="2462"/>
      <c r="AB63" s="2462"/>
      <c r="AC63" s="2462"/>
      <c r="AD63" s="2462" t="s">
        <v>2543</v>
      </c>
      <c r="AE63" s="2462"/>
      <c r="AF63" s="2462"/>
      <c r="AG63" s="2462"/>
      <c r="AH63" s="2462"/>
    </row>
    <row r="64" spans="1:76" ht="12.75">
      <c r="C64" s="335"/>
      <c r="D64" s="308" t="s">
        <v>2559</v>
      </c>
      <c r="E64" s="351"/>
      <c r="F64" s="351"/>
      <c r="G64" s="351"/>
      <c r="H64" s="351"/>
      <c r="I64" s="351"/>
      <c r="J64" s="351"/>
      <c r="K64" s="351"/>
      <c r="L64" s="351"/>
      <c r="M64" s="351"/>
      <c r="N64" s="351"/>
      <c r="O64" s="351"/>
      <c r="P64" s="351"/>
      <c r="Q64" s="351"/>
      <c r="R64" s="351"/>
      <c r="S64" s="351"/>
      <c r="T64" s="351"/>
      <c r="U64" s="351"/>
      <c r="V64" s="351"/>
      <c r="W64" s="351"/>
      <c r="X64" s="351"/>
      <c r="Y64" s="2421">
        <f>IF(Application!Z204="(select)",0,((T23*T27)+Y28))</f>
        <v>40768911</v>
      </c>
      <c r="Z64" s="2463"/>
      <c r="AA64" s="2463"/>
      <c r="AB64" s="2463"/>
      <c r="AC64" s="2464"/>
      <c r="AD64" s="2421">
        <f>IF(AND(Application!AP204="yes",Application!M357="yes"),AD28+AI28,0)</f>
        <v>0</v>
      </c>
      <c r="AE64" s="2463"/>
      <c r="AF64" s="2463"/>
      <c r="AG64" s="2463"/>
      <c r="AH64" s="2464"/>
    </row>
    <row r="65" spans="1:36" ht="15" customHeight="1">
      <c r="C65" s="335"/>
      <c r="E65" s="976" t="s">
        <v>2560</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2561</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2.75">
      <c r="C67" s="335"/>
      <c r="D67" s="335" t="s">
        <v>2562</v>
      </c>
      <c r="E67" s="352"/>
      <c r="F67" s="352"/>
      <c r="G67" s="352"/>
      <c r="H67" s="352"/>
      <c r="I67" s="352"/>
      <c r="J67" s="352"/>
      <c r="K67" s="352"/>
      <c r="L67" s="352"/>
      <c r="M67" s="352"/>
      <c r="N67" s="352"/>
      <c r="O67" s="352"/>
      <c r="P67" s="352"/>
      <c r="Q67" s="352"/>
      <c r="R67" s="352"/>
      <c r="S67" s="352"/>
      <c r="T67" s="352"/>
      <c r="U67" s="352"/>
      <c r="V67" s="352"/>
      <c r="W67" s="352"/>
      <c r="X67" s="352"/>
      <c r="Y67" s="2479">
        <f>IF(Application!AP204="yes",0.75,IF(Application!Z203="15% set-aside",0.13,IF(Application!Z203="15% set-aside with qualifying low value rehab",0.95,0.3)))</f>
        <v>0.3</v>
      </c>
      <c r="Z67" s="2479"/>
      <c r="AA67" s="2479"/>
      <c r="AB67" s="2479"/>
      <c r="AC67" s="2479"/>
      <c r="AD67" s="2479">
        <f>IF(Application!AP204="yes",0.75,IF(Application!Z203="15% set-aside with qualifying low value rehab", 0.95,0.13))</f>
        <v>0.13</v>
      </c>
      <c r="AE67" s="2479"/>
      <c r="AF67" s="2479"/>
      <c r="AG67" s="2479"/>
      <c r="AH67" s="2479"/>
    </row>
    <row r="68" spans="1:36" ht="12.75">
      <c r="C68" s="335"/>
      <c r="D68" s="144" t="s">
        <v>2563</v>
      </c>
      <c r="Y68" s="2420">
        <f>ROUND(Y64*Y67,0)</f>
        <v>12230673</v>
      </c>
      <c r="Z68" s="2480"/>
      <c r="AA68" s="2480"/>
      <c r="AB68" s="2480"/>
      <c r="AC68" s="2480"/>
      <c r="AD68" s="2420" t="str">
        <f>IF(Application!D210="At-Risk",AD64*AD67,"$0")</f>
        <v>$0</v>
      </c>
      <c r="AE68" s="2480"/>
      <c r="AF68" s="2480"/>
      <c r="AG68" s="2480"/>
      <c r="AH68" s="2480"/>
    </row>
    <row r="69" spans="1:36" ht="12.75">
      <c r="C69" s="335"/>
      <c r="E69" s="335"/>
      <c r="AB69" s="353"/>
      <c r="AC69" s="353"/>
      <c r="AD69" s="353"/>
      <c r="AE69" s="353"/>
      <c r="AF69" s="353"/>
    </row>
    <row r="70" spans="1:36" ht="12.75">
      <c r="A70" s="335" t="s">
        <v>1098</v>
      </c>
      <c r="C70" s="144" t="s">
        <v>287</v>
      </c>
    </row>
    <row r="71" spans="1:36" ht="12.75">
      <c r="A71" s="335"/>
      <c r="C71" s="335"/>
      <c r="D71" s="144" t="s">
        <v>2564</v>
      </c>
      <c r="AB71" s="2465">
        <f>0.89*0.9999</f>
        <v>0.88991100000000001</v>
      </c>
      <c r="AC71" s="2466"/>
      <c r="AD71" s="2466"/>
      <c r="AE71" s="2466"/>
      <c r="AF71" s="2467"/>
    </row>
    <row r="72" spans="1:36" ht="12.75" customHeight="1">
      <c r="A72" s="335"/>
      <c r="C72" s="335"/>
      <c r="D72" s="335"/>
      <c r="E72" s="2481" t="s">
        <v>2565</v>
      </c>
      <c r="F72" s="2481"/>
      <c r="G72" s="2481"/>
      <c r="H72" s="2481"/>
      <c r="I72" s="2481"/>
      <c r="J72" s="2481"/>
      <c r="K72" s="2481"/>
      <c r="L72" s="2481"/>
      <c r="M72" s="2481"/>
      <c r="N72" s="2481"/>
      <c r="O72" s="2481"/>
      <c r="P72" s="2481"/>
      <c r="Q72" s="2481"/>
      <c r="R72" s="2481"/>
      <c r="S72" s="2481"/>
      <c r="T72" s="2481"/>
      <c r="U72" s="2481"/>
      <c r="V72" s="2481"/>
      <c r="W72" s="2481"/>
      <c r="X72" s="2481"/>
      <c r="Y72" s="2481"/>
      <c r="Z72" s="2481"/>
      <c r="AA72" s="2481"/>
      <c r="AB72" s="373"/>
      <c r="AC72" s="373"/>
    </row>
    <row r="73" spans="1:36" ht="12.75" customHeight="1">
      <c r="A73" s="335"/>
      <c r="C73" s="335"/>
      <c r="D73" s="335"/>
      <c r="E73" s="2481"/>
      <c r="F73" s="2481"/>
      <c r="G73" s="2481"/>
      <c r="H73" s="2481"/>
      <c r="I73" s="2481"/>
      <c r="J73" s="2481"/>
      <c r="K73" s="2481"/>
      <c r="L73" s="2481"/>
      <c r="M73" s="2481"/>
      <c r="N73" s="2481"/>
      <c r="O73" s="2481"/>
      <c r="P73" s="2481"/>
      <c r="Q73" s="2481"/>
      <c r="R73" s="2481"/>
      <c r="S73" s="2481"/>
      <c r="T73" s="2481"/>
      <c r="U73" s="2481"/>
      <c r="V73" s="2481"/>
      <c r="W73" s="2481"/>
      <c r="X73" s="2481"/>
      <c r="Y73" s="2481"/>
      <c r="Z73" s="2481"/>
      <c r="AA73" s="2481"/>
      <c r="AB73" s="373"/>
      <c r="AC73" s="373"/>
    </row>
    <row r="74" spans="1:36" ht="12" customHeight="1">
      <c r="A74" s="335"/>
      <c r="C74" s="335"/>
      <c r="D74" s="335"/>
      <c r="E74" s="2481"/>
      <c r="F74" s="2481"/>
      <c r="G74" s="2481"/>
      <c r="H74" s="2481"/>
      <c r="I74" s="2481"/>
      <c r="J74" s="2481"/>
      <c r="K74" s="2481"/>
      <c r="L74" s="2481"/>
      <c r="M74" s="2481"/>
      <c r="N74" s="2481"/>
      <c r="O74" s="2481"/>
      <c r="P74" s="2481"/>
      <c r="Q74" s="2481"/>
      <c r="R74" s="2481"/>
      <c r="S74" s="2481"/>
      <c r="T74" s="2481"/>
      <c r="U74" s="2481"/>
      <c r="V74" s="2481"/>
      <c r="W74" s="2481"/>
      <c r="X74" s="2481"/>
      <c r="Y74" s="2481"/>
      <c r="Z74" s="2481"/>
      <c r="AA74" s="2481"/>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2566</v>
      </c>
      <c r="AB76" s="2474">
        <f ca="1">ROUND(IF(ISERROR((AB59/AB71)),0,(AB59/AB71)),0)</f>
        <v>4401474</v>
      </c>
      <c r="AC76" s="2474"/>
      <c r="AD76" s="2474"/>
      <c r="AE76" s="2474"/>
      <c r="AF76" s="2474"/>
    </row>
    <row r="77" spans="1:36" ht="12.75" customHeight="1">
      <c r="C77" s="335"/>
      <c r="D77" s="144" t="s">
        <v>2567</v>
      </c>
      <c r="AB77" s="2475">
        <f ca="1">IF((Y68+AD68&lt;AB76),Y68+AD68,AB76)</f>
        <v>4401474</v>
      </c>
      <c r="AC77" s="2476"/>
      <c r="AD77" s="2476"/>
      <c r="AE77" s="2476"/>
      <c r="AF77" s="2477"/>
    </row>
    <row r="78" spans="1:36" ht="12.75" customHeight="1">
      <c r="C78" s="335"/>
      <c r="D78" s="144" t="s">
        <v>2568</v>
      </c>
      <c r="AB78" s="2478">
        <f ca="1">AB77*AB71</f>
        <v>3916920.1288140002</v>
      </c>
      <c r="AC78" s="2478"/>
      <c r="AD78" s="2478"/>
      <c r="AE78" s="2478"/>
      <c r="AF78" s="2478"/>
    </row>
    <row r="79" spans="1:36" ht="12.75" customHeight="1">
      <c r="C79" s="335"/>
      <c r="D79" s="335"/>
      <c r="AB79" s="356"/>
      <c r="AC79" s="356"/>
      <c r="AD79" s="356"/>
      <c r="AE79" s="356"/>
      <c r="AF79" s="356"/>
    </row>
    <row r="80" spans="1:36" ht="12.75" customHeight="1">
      <c r="D80" s="335" t="s">
        <v>2556</v>
      </c>
      <c r="AB80" s="2461">
        <f ca="1">AB49-(AB57+AB78)</f>
        <v>-0.12881400063633919</v>
      </c>
      <c r="AC80" s="2461"/>
      <c r="AD80" s="2461"/>
      <c r="AE80" s="2461"/>
      <c r="AF80" s="2461"/>
    </row>
    <row r="81" spans="1:78" ht="12.75" customHeight="1">
      <c r="F81" s="455"/>
      <c r="J81" s="455" t="str">
        <f ca="1">IF(AB80&gt;0,"FUNDING GAP MUST NOT EXCEED ZERO","")</f>
        <v/>
      </c>
    </row>
    <row r="82" spans="1:78" ht="12.75" customHeight="1">
      <c r="D82" s="456"/>
    </row>
    <row r="83" spans="1:78" ht="13.5" thickBot="1">
      <c r="A83" s="2424"/>
      <c r="B83" s="2424"/>
      <c r="C83" s="2424"/>
      <c r="D83" s="2424"/>
      <c r="E83" s="2424"/>
      <c r="F83" s="2424"/>
      <c r="G83" s="2424"/>
      <c r="H83" s="2424"/>
      <c r="I83" s="2424"/>
      <c r="J83" s="2424"/>
      <c r="K83" s="2424"/>
      <c r="L83" s="2424"/>
      <c r="M83" s="2424"/>
      <c r="N83" s="2424"/>
      <c r="O83" s="2424"/>
      <c r="P83" s="2424"/>
      <c r="Q83" s="2424"/>
      <c r="R83" s="2424"/>
      <c r="S83" s="2424"/>
      <c r="T83" s="2424"/>
      <c r="U83" s="2424"/>
      <c r="V83" s="2424"/>
      <c r="W83" s="2424"/>
      <c r="X83" s="2424"/>
      <c r="Y83" s="2424"/>
      <c r="Z83" s="2424"/>
      <c r="AA83" s="2424"/>
      <c r="AB83" s="2424"/>
      <c r="AC83" s="2424"/>
      <c r="AD83" s="2424"/>
      <c r="AE83" s="2424"/>
      <c r="AF83" s="2424"/>
      <c r="AG83" s="2424"/>
      <c r="AH83" s="2424"/>
      <c r="AI83" s="2424"/>
      <c r="AJ83" s="2424"/>
      <c r="AK83" s="2424"/>
      <c r="AL83" s="2424"/>
      <c r="AM83" s="2424"/>
      <c r="AN83" s="2424"/>
      <c r="AO83" s="2424"/>
      <c r="AP83" s="2424"/>
      <c r="AQ83" s="2424"/>
      <c r="AR83" s="2424"/>
      <c r="AS83" s="2424"/>
      <c r="AT83" s="2424"/>
      <c r="AU83" s="2424"/>
      <c r="AV83" s="2424"/>
      <c r="AW83" s="2424"/>
      <c r="AX83" s="2424"/>
      <c r="AY83" s="2424"/>
      <c r="AZ83" s="2424"/>
      <c r="BA83" s="2424"/>
      <c r="BB83" s="2424"/>
      <c r="BC83" s="2424"/>
      <c r="BD83" s="2424"/>
      <c r="BE83" s="2424"/>
      <c r="BF83" s="2424"/>
      <c r="BG83" s="2424"/>
      <c r="BH83" s="2424"/>
      <c r="BI83" s="2424"/>
      <c r="BJ83" s="2424"/>
      <c r="BK83" s="2424"/>
      <c r="BL83" s="2424"/>
      <c r="BM83" s="2424"/>
      <c r="BN83" s="2424"/>
      <c r="BO83" s="2424"/>
      <c r="BP83" s="2424"/>
      <c r="BQ83" s="2424"/>
      <c r="BR83" s="2424"/>
      <c r="BS83" s="2424"/>
      <c r="BT83" s="2424"/>
      <c r="BU83" s="2424"/>
      <c r="BV83" s="2424"/>
      <c r="BW83" s="2424"/>
      <c r="BX83" s="2424"/>
    </row>
    <row r="84" spans="1:78" ht="13.5" thickTop="1"/>
    <row r="85" spans="1:78" ht="12.75">
      <c r="A85" s="335"/>
      <c r="C85" s="144"/>
    </row>
    <row r="86" spans="1:78" ht="12.75">
      <c r="D86" s="144"/>
      <c r="AB86" s="2425"/>
      <c r="AC86" s="2425"/>
      <c r="AD86" s="2425"/>
      <c r="AE86" s="2425"/>
      <c r="AF86" s="2425"/>
    </row>
    <row r="87" spans="1:78" ht="13.5" thickBot="1">
      <c r="D87" s="144"/>
      <c r="AB87" s="2423"/>
      <c r="AC87" s="2423"/>
      <c r="AD87" s="2423"/>
      <c r="AE87" s="2423"/>
      <c r="AF87" s="2423"/>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1" zoomScaleNormal="100" zoomScaleSheetLayoutView="100" workbookViewId="0">
      <selection activeCell="AH65" sqref="AH65"/>
    </sheetView>
  </sheetViews>
  <sheetFormatPr defaultColWidth="0" defaultRowHeight="12.75"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2569</v>
      </c>
      <c r="B1" s="149"/>
    </row>
    <row r="2" spans="1:34"/>
    <row r="3" spans="1:34" ht="15.75">
      <c r="A3" s="150" t="s">
        <v>2570</v>
      </c>
      <c r="B3" s="150"/>
      <c r="C3" s="175" t="s">
        <v>2571</v>
      </c>
      <c r="D3" s="13"/>
      <c r="E3" s="176" t="s">
        <v>2572</v>
      </c>
      <c r="F3" s="142"/>
      <c r="G3" s="176" t="s">
        <v>2573</v>
      </c>
      <c r="H3" s="142"/>
      <c r="I3" s="176" t="s">
        <v>2574</v>
      </c>
      <c r="J3" s="142"/>
      <c r="K3" s="176" t="s">
        <v>2575</v>
      </c>
      <c r="L3" s="142"/>
      <c r="M3" s="176" t="s">
        <v>2576</v>
      </c>
      <c r="N3" s="142"/>
      <c r="O3" s="176" t="s">
        <v>2577</v>
      </c>
      <c r="P3" s="142"/>
      <c r="Q3" s="176" t="s">
        <v>2578</v>
      </c>
      <c r="R3" s="142"/>
      <c r="S3" s="176" t="s">
        <v>2579</v>
      </c>
      <c r="T3" s="142"/>
      <c r="U3" s="176" t="s">
        <v>2580</v>
      </c>
      <c r="V3" s="142"/>
      <c r="W3" s="176" t="s">
        <v>2581</v>
      </c>
      <c r="X3" s="142"/>
      <c r="Y3" s="176" t="s">
        <v>2582</v>
      </c>
      <c r="Z3" s="142"/>
      <c r="AA3" s="176" t="s">
        <v>2583</v>
      </c>
      <c r="AB3" s="142"/>
      <c r="AC3" s="176" t="s">
        <v>2584</v>
      </c>
      <c r="AD3" s="142"/>
      <c r="AE3" s="176" t="s">
        <v>2585</v>
      </c>
      <c r="AF3" s="142"/>
      <c r="AG3" s="176" t="s">
        <v>2586</v>
      </c>
      <c r="AH3" s="13"/>
    </row>
    <row r="4" spans="1:34" s="160" customFormat="1" ht="14.25">
      <c r="A4" s="160" t="s">
        <v>2587</v>
      </c>
      <c r="C4" s="1122">
        <v>1.0249999999999999</v>
      </c>
      <c r="E4" s="160">
        <f>Application!Y799</f>
        <v>2052577.5599999996</v>
      </c>
      <c r="G4" s="160">
        <f>E4*$C$4</f>
        <v>2103891.9989999994</v>
      </c>
      <c r="I4" s="160">
        <f>G4*$C$4</f>
        <v>2156489.2989749992</v>
      </c>
      <c r="K4" s="160">
        <f>I4*$C$4</f>
        <v>2210401.5314493738</v>
      </c>
      <c r="M4" s="160">
        <f>K4*$C$4</f>
        <v>2265661.5697356081</v>
      </c>
      <c r="O4" s="160">
        <f>M4*$C$4</f>
        <v>2322303.1089789979</v>
      </c>
      <c r="Q4" s="160">
        <f>O4*$C$4</f>
        <v>2380360.6867034729</v>
      </c>
      <c r="S4" s="160">
        <f>Q4*$C$4</f>
        <v>2439869.7038710597</v>
      </c>
      <c r="U4" s="160">
        <f>S4*$C$4</f>
        <v>2500866.4464678359</v>
      </c>
      <c r="W4" s="160">
        <f>U4*$C$4</f>
        <v>2563388.1076295315</v>
      </c>
      <c r="Y4" s="160">
        <f>W4*$C$4</f>
        <v>2627472.8103202698</v>
      </c>
      <c r="AA4" s="160">
        <f>Y4*$C$4</f>
        <v>2693159.6305782762</v>
      </c>
      <c r="AC4" s="160">
        <f>AA4*$C$4</f>
        <v>2760488.621342733</v>
      </c>
      <c r="AE4" s="160">
        <f>AC4*$C$4</f>
        <v>2829500.8368763011</v>
      </c>
      <c r="AG4" s="160">
        <f>AE4*$C$4</f>
        <v>2900238.3577982085</v>
      </c>
    </row>
    <row r="5" spans="1:34" s="148" customFormat="1" ht="14.25">
      <c r="B5" s="148" t="s">
        <v>2207</v>
      </c>
      <c r="C5" s="1123">
        <f>IF(Application!$D$210="Special Needs",0.1,0.05)</f>
        <v>0.05</v>
      </c>
      <c r="E5" s="162">
        <f>-E4*$C$5</f>
        <v>-102628.87799999998</v>
      </c>
      <c r="F5" s="162"/>
      <c r="G5" s="162">
        <f>-G4*$C$5</f>
        <v>-105194.59994999997</v>
      </c>
      <c r="H5" s="162"/>
      <c r="I5" s="162">
        <f>-I4*$C$5</f>
        <v>-107824.46494874997</v>
      </c>
      <c r="J5" s="162"/>
      <c r="K5" s="162">
        <f>-K4*$C$5</f>
        <v>-110520.07657246869</v>
      </c>
      <c r="L5" s="162"/>
      <c r="M5" s="162">
        <f>-M4*$C$5</f>
        <v>-113283.0784867804</v>
      </c>
      <c r="N5" s="162"/>
      <c r="O5" s="162">
        <f>-O4*$C$5</f>
        <v>-116115.1554489499</v>
      </c>
      <c r="P5" s="162"/>
      <c r="Q5" s="162">
        <f>-Q4*$C$5</f>
        <v>-119018.03433517365</v>
      </c>
      <c r="R5" s="162"/>
      <c r="S5" s="162">
        <f>-S4*$C$5</f>
        <v>-121993.48519355299</v>
      </c>
      <c r="T5" s="162"/>
      <c r="U5" s="162">
        <f>-U4*$C$5</f>
        <v>-125043.3223233918</v>
      </c>
      <c r="V5" s="162"/>
      <c r="W5" s="162">
        <f>-W4*$C$5</f>
        <v>-128169.40538147658</v>
      </c>
      <c r="X5" s="162"/>
      <c r="Y5" s="162">
        <f>-Y4*$C$5</f>
        <v>-131373.64051601349</v>
      </c>
      <c r="Z5" s="162"/>
      <c r="AA5" s="162">
        <f>-AA4*$C$5</f>
        <v>-134657.98152891381</v>
      </c>
      <c r="AB5" s="162"/>
      <c r="AC5" s="162">
        <f>-AC4*$C$5</f>
        <v>-138024.43106713667</v>
      </c>
      <c r="AD5" s="162"/>
      <c r="AE5" s="162">
        <f>-AE4*$C$5</f>
        <v>-141475.04184381507</v>
      </c>
      <c r="AF5" s="162"/>
      <c r="AG5" s="162">
        <f>-AG4*$C$5</f>
        <v>-145011.91788991043</v>
      </c>
    </row>
    <row r="6" spans="1:34" s="148" customFormat="1" ht="14.25">
      <c r="A6" s="148" t="s">
        <v>2588</v>
      </c>
      <c r="C6" s="1122">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4.25">
      <c r="B7" s="148" t="s">
        <v>2207</v>
      </c>
      <c r="C7" s="1123">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4.25">
      <c r="A8" s="148" t="s">
        <v>214</v>
      </c>
      <c r="C8" s="1122">
        <v>1.0249999999999999</v>
      </c>
      <c r="E8" s="163">
        <f>Application!Z815</f>
        <v>28800</v>
      </c>
      <c r="F8" s="163"/>
      <c r="G8" s="163">
        <f>E8*$C$8</f>
        <v>29519.999999999996</v>
      </c>
      <c r="H8" s="163"/>
      <c r="I8" s="163">
        <f>G8*$C$8</f>
        <v>30257.999999999993</v>
      </c>
      <c r="J8" s="163"/>
      <c r="K8" s="163">
        <f>I8*$C$8</f>
        <v>31014.44999999999</v>
      </c>
      <c r="L8" s="163"/>
      <c r="M8" s="163">
        <f>K8*$C$8</f>
        <v>31789.811249999988</v>
      </c>
      <c r="N8" s="163"/>
      <c r="O8" s="163">
        <f>M8*$C$8</f>
        <v>32584.556531249986</v>
      </c>
      <c r="P8" s="163"/>
      <c r="Q8" s="163">
        <f>O8*$C$8</f>
        <v>33399.170444531235</v>
      </c>
      <c r="R8" s="163"/>
      <c r="S8" s="163">
        <f>Q8*$C$8</f>
        <v>34234.149705644515</v>
      </c>
      <c r="T8" s="163"/>
      <c r="U8" s="163">
        <f>S8*$C$8</f>
        <v>35090.003448285628</v>
      </c>
      <c r="V8" s="163"/>
      <c r="W8" s="163">
        <f>U8*$C$8</f>
        <v>35967.253534492767</v>
      </c>
      <c r="X8" s="163"/>
      <c r="Y8" s="163">
        <f>W8*$C$8</f>
        <v>36866.434872855083</v>
      </c>
      <c r="Z8" s="163"/>
      <c r="AA8" s="163">
        <f>Y8*$C$8</f>
        <v>37788.095744676459</v>
      </c>
      <c r="AB8" s="163"/>
      <c r="AC8" s="163">
        <f>AA8*$C$8</f>
        <v>38732.798138293365</v>
      </c>
      <c r="AD8" s="163"/>
      <c r="AE8" s="163">
        <f>AC8*$C$8</f>
        <v>39701.118091750694</v>
      </c>
      <c r="AF8" s="163"/>
      <c r="AG8" s="163">
        <f>AE8*$C$8</f>
        <v>40693.646044044457</v>
      </c>
    </row>
    <row r="9" spans="1:34" s="148" customFormat="1" ht="14.25">
      <c r="B9" s="148" t="s">
        <v>2207</v>
      </c>
      <c r="C9" s="1123">
        <f>IF(Application!$D$210="Special Needs",0.1,0.05)</f>
        <v>0.05</v>
      </c>
      <c r="E9" s="177">
        <f>-E8*$C$9</f>
        <v>-1440</v>
      </c>
      <c r="F9" s="162"/>
      <c r="G9" s="177">
        <f>-G8*$C$9</f>
        <v>-1476</v>
      </c>
      <c r="H9" s="162"/>
      <c r="I9" s="177">
        <f>-I8*$C$9</f>
        <v>-1512.8999999999996</v>
      </c>
      <c r="J9" s="162"/>
      <c r="K9" s="177">
        <f>-K8*$C$9</f>
        <v>-1550.7224999999996</v>
      </c>
      <c r="L9" s="162"/>
      <c r="M9" s="177">
        <f>-M8*$C$9</f>
        <v>-1589.4905624999994</v>
      </c>
      <c r="N9" s="162"/>
      <c r="O9" s="177">
        <f>-O8*$C$9</f>
        <v>-1629.2278265624993</v>
      </c>
      <c r="P9" s="162"/>
      <c r="Q9" s="177">
        <f>-Q8*$C$9</f>
        <v>-1669.9585222265619</v>
      </c>
      <c r="R9" s="162"/>
      <c r="S9" s="177">
        <f>-S8*$C$9</f>
        <v>-1711.7074852822259</v>
      </c>
      <c r="T9" s="162"/>
      <c r="U9" s="177">
        <f>-U8*$C$9</f>
        <v>-1754.5001724142815</v>
      </c>
      <c r="V9" s="162"/>
      <c r="W9" s="177">
        <f>-W8*$C$9</f>
        <v>-1798.3626767246385</v>
      </c>
      <c r="X9" s="162"/>
      <c r="Y9" s="177">
        <f>-Y8*$C$9</f>
        <v>-1843.3217436427542</v>
      </c>
      <c r="Z9" s="162"/>
      <c r="AA9" s="177">
        <f>-AA8*$C$9</f>
        <v>-1889.4047872338231</v>
      </c>
      <c r="AB9" s="162"/>
      <c r="AC9" s="177">
        <f>-AC8*$C$9</f>
        <v>-1936.6399069146682</v>
      </c>
      <c r="AD9" s="162"/>
      <c r="AE9" s="177">
        <f>-AE8*$C$9</f>
        <v>-1985.0559045875348</v>
      </c>
      <c r="AF9" s="162"/>
      <c r="AG9" s="177">
        <f>-AG8*$C$9</f>
        <v>-2034.6823022022229</v>
      </c>
    </row>
    <row r="10" spans="1:34" s="164" customFormat="1" ht="15">
      <c r="A10" s="164" t="s">
        <v>2589</v>
      </c>
      <c r="C10" s="156"/>
      <c r="E10" s="164">
        <f>SUM(E4:E9)</f>
        <v>1977308.6819999996</v>
      </c>
      <c r="G10" s="164">
        <f>SUM(G4:G9)</f>
        <v>2026741.3990499994</v>
      </c>
      <c r="I10" s="164">
        <f>SUM(I4:I9)</f>
        <v>2077409.9340262495</v>
      </c>
      <c r="K10" s="164">
        <f>SUM(K4:K9)</f>
        <v>2129345.1823769053</v>
      </c>
      <c r="M10" s="164">
        <f>SUM(M4:M9)</f>
        <v>2182578.8119363273</v>
      </c>
      <c r="O10" s="164">
        <f>SUM(O4:O9)</f>
        <v>2237143.2822347353</v>
      </c>
      <c r="Q10" s="164">
        <f>SUM(Q4:Q9)</f>
        <v>2293071.8642906039</v>
      </c>
      <c r="S10" s="164">
        <f>SUM(S4:S9)</f>
        <v>2350398.6608978692</v>
      </c>
      <c r="U10" s="164">
        <f>SUM(U4:U9)</f>
        <v>2409158.6274203155</v>
      </c>
      <c r="W10" s="164">
        <f>SUM(W4:W9)</f>
        <v>2469387.5931058228</v>
      </c>
      <c r="Y10" s="164">
        <f>SUM(Y4:Y9)</f>
        <v>2531122.2829334685</v>
      </c>
      <c r="AA10" s="164">
        <f>SUM(AA4:AA9)</f>
        <v>2594400.340006805</v>
      </c>
      <c r="AC10" s="164">
        <f>SUM(AC4:AC9)</f>
        <v>2659260.3485069755</v>
      </c>
      <c r="AE10" s="164">
        <f>SUM(AE4:AE9)</f>
        <v>2725741.857219649</v>
      </c>
      <c r="AG10" s="164">
        <f>SUM(AG4:AG9)</f>
        <v>2793885.4036501404</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2590</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2591</v>
      </c>
      <c r="C13" s="1122">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2592</v>
      </c>
      <c r="C14" s="930"/>
      <c r="E14" s="160">
        <f>Application!W845</f>
        <v>77800</v>
      </c>
      <c r="G14" s="160">
        <f>E14*$C$13</f>
        <v>80523</v>
      </c>
      <c r="I14" s="160">
        <f>G14*$C$13</f>
        <v>83341.304999999993</v>
      </c>
      <c r="K14" s="160">
        <f>I14*$C$13</f>
        <v>86258.250674999988</v>
      </c>
      <c r="M14" s="160">
        <f>K14*$C$13</f>
        <v>89277.289448624986</v>
      </c>
      <c r="O14" s="160">
        <f>M14*$C$13</f>
        <v>92401.994579326856</v>
      </c>
      <c r="Q14" s="160">
        <f>O14*$C$13</f>
        <v>95636.064389603285</v>
      </c>
      <c r="S14" s="160">
        <f>Q14*$C$13</f>
        <v>98983.326643239387</v>
      </c>
      <c r="U14" s="160">
        <f>S14*$C$13</f>
        <v>102447.74307575276</v>
      </c>
      <c r="W14" s="160">
        <f>U14*$C$13</f>
        <v>106033.4140834041</v>
      </c>
      <c r="Y14" s="160">
        <f>W14*$C$13</f>
        <v>109744.58357632323</v>
      </c>
      <c r="AA14" s="160">
        <f>Y14*$C$13</f>
        <v>113585.64400149454</v>
      </c>
      <c r="AC14" s="160">
        <f>AA14*$C$13</f>
        <v>117561.14154154684</v>
      </c>
      <c r="AE14" s="160">
        <f>AC14*$C$13</f>
        <v>121675.78149550097</v>
      </c>
      <c r="AG14" s="160">
        <f>AE14*$C$13</f>
        <v>125934.43384784349</v>
      </c>
    </row>
    <row r="15" spans="1:34" s="148" customFormat="1" ht="14.25">
      <c r="A15" s="148" t="s">
        <v>1618</v>
      </c>
      <c r="C15" s="922"/>
      <c r="E15" s="163">
        <f>Application!W847</f>
        <v>73126</v>
      </c>
      <c r="F15" s="163"/>
      <c r="G15" s="163">
        <f t="shared" ref="G15:AG20" si="0">E15*$C$13</f>
        <v>75685.409999999989</v>
      </c>
      <c r="H15" s="163"/>
      <c r="I15" s="163">
        <f t="shared" si="0"/>
        <v>78334.399349999978</v>
      </c>
      <c r="J15" s="163"/>
      <c r="K15" s="163">
        <f t="shared" si="0"/>
        <v>81076.103327249977</v>
      </c>
      <c r="L15" s="163"/>
      <c r="M15" s="163">
        <f t="shared" si="0"/>
        <v>83913.766943703726</v>
      </c>
      <c r="N15" s="163"/>
      <c r="O15" s="163">
        <f t="shared" si="0"/>
        <v>86850.748786733355</v>
      </c>
      <c r="P15" s="163"/>
      <c r="Q15" s="163">
        <f t="shared" si="0"/>
        <v>89890.524994269013</v>
      </c>
      <c r="R15" s="163"/>
      <c r="S15" s="163">
        <f t="shared" si="0"/>
        <v>93036.693369068424</v>
      </c>
      <c r="T15" s="163"/>
      <c r="U15" s="163">
        <f t="shared" si="0"/>
        <v>96292.977636985815</v>
      </c>
      <c r="V15" s="163"/>
      <c r="W15" s="163">
        <f t="shared" si="0"/>
        <v>99663.231854280311</v>
      </c>
      <c r="X15" s="163"/>
      <c r="Y15" s="163">
        <f t="shared" si="0"/>
        <v>103151.44496918011</v>
      </c>
      <c r="Z15" s="163"/>
      <c r="AA15" s="163">
        <f t="shared" si="0"/>
        <v>106761.74554310141</v>
      </c>
      <c r="AB15" s="163"/>
      <c r="AC15" s="163">
        <f t="shared" si="0"/>
        <v>110498.40663710995</v>
      </c>
      <c r="AD15" s="163"/>
      <c r="AE15" s="163">
        <f t="shared" si="0"/>
        <v>114365.85086940878</v>
      </c>
      <c r="AF15" s="163"/>
      <c r="AG15" s="163">
        <f t="shared" si="0"/>
        <v>118368.65564983808</v>
      </c>
    </row>
    <row r="16" spans="1:34" s="148" customFormat="1" ht="14.25">
      <c r="A16" s="148" t="s">
        <v>229</v>
      </c>
      <c r="C16" s="922"/>
      <c r="E16" s="163">
        <f>Application!W853</f>
        <v>108480</v>
      </c>
      <c r="F16" s="163"/>
      <c r="G16" s="163">
        <f t="shared" si="0"/>
        <v>112276.79999999999</v>
      </c>
      <c r="H16" s="163"/>
      <c r="I16" s="163">
        <f t="shared" si="0"/>
        <v>116206.48799999998</v>
      </c>
      <c r="J16" s="163"/>
      <c r="K16" s="163">
        <f t="shared" si="0"/>
        <v>120273.71507999998</v>
      </c>
      <c r="L16" s="163"/>
      <c r="M16" s="163">
        <f t="shared" si="0"/>
        <v>124483.29510779998</v>
      </c>
      <c r="N16" s="163"/>
      <c r="O16" s="163">
        <f t="shared" si="0"/>
        <v>128840.21043657296</v>
      </c>
      <c r="P16" s="163"/>
      <c r="Q16" s="163">
        <f t="shared" si="0"/>
        <v>133349.61780185299</v>
      </c>
      <c r="R16" s="163"/>
      <c r="S16" s="163">
        <f t="shared" si="0"/>
        <v>138016.85442491784</v>
      </c>
      <c r="T16" s="163"/>
      <c r="U16" s="163">
        <f t="shared" si="0"/>
        <v>142847.44432978996</v>
      </c>
      <c r="V16" s="163"/>
      <c r="W16" s="163">
        <f t="shared" si="0"/>
        <v>147847.10488133261</v>
      </c>
      <c r="X16" s="163"/>
      <c r="Y16" s="163">
        <f t="shared" si="0"/>
        <v>153021.75355217923</v>
      </c>
      <c r="Z16" s="163"/>
      <c r="AA16" s="163">
        <f t="shared" si="0"/>
        <v>158377.51492650548</v>
      </c>
      <c r="AB16" s="163"/>
      <c r="AC16" s="163">
        <f t="shared" si="0"/>
        <v>163920.72794893317</v>
      </c>
      <c r="AD16" s="163"/>
      <c r="AE16" s="163">
        <f t="shared" si="0"/>
        <v>169657.95342714581</v>
      </c>
      <c r="AF16" s="163"/>
      <c r="AG16" s="163">
        <f t="shared" si="0"/>
        <v>175595.98179709591</v>
      </c>
    </row>
    <row r="17" spans="1:33" s="148" customFormat="1" ht="14.25">
      <c r="A17" s="148" t="s">
        <v>2593</v>
      </c>
      <c r="C17" s="922"/>
      <c r="E17" s="163">
        <f>Application!W860</f>
        <v>226100</v>
      </c>
      <c r="F17" s="163"/>
      <c r="G17" s="163">
        <f t="shared" si="0"/>
        <v>234013.49999999997</v>
      </c>
      <c r="H17" s="163"/>
      <c r="I17" s="163">
        <f t="shared" si="0"/>
        <v>242203.97249999995</v>
      </c>
      <c r="J17" s="163"/>
      <c r="K17" s="163">
        <f t="shared" si="0"/>
        <v>250681.11153749994</v>
      </c>
      <c r="L17" s="163"/>
      <c r="M17" s="163">
        <f t="shared" si="0"/>
        <v>259454.95044131242</v>
      </c>
      <c r="N17" s="163"/>
      <c r="O17" s="163">
        <f t="shared" si="0"/>
        <v>268535.87370675831</v>
      </c>
      <c r="P17" s="163"/>
      <c r="Q17" s="163">
        <f t="shared" si="0"/>
        <v>277934.6292864948</v>
      </c>
      <c r="R17" s="163"/>
      <c r="S17" s="163">
        <f t="shared" si="0"/>
        <v>287662.34131152212</v>
      </c>
      <c r="T17" s="163"/>
      <c r="U17" s="163">
        <f t="shared" si="0"/>
        <v>297730.52325742535</v>
      </c>
      <c r="V17" s="163"/>
      <c r="W17" s="163">
        <f t="shared" si="0"/>
        <v>308151.09157143522</v>
      </c>
      <c r="X17" s="163"/>
      <c r="Y17" s="163">
        <f t="shared" si="0"/>
        <v>318936.37977643544</v>
      </c>
      <c r="Z17" s="163"/>
      <c r="AA17" s="163">
        <f t="shared" si="0"/>
        <v>330099.15306861064</v>
      </c>
      <c r="AB17" s="163"/>
      <c r="AC17" s="163">
        <f t="shared" si="0"/>
        <v>341652.623426012</v>
      </c>
      <c r="AD17" s="163"/>
      <c r="AE17" s="163">
        <f t="shared" si="0"/>
        <v>353610.46524592239</v>
      </c>
      <c r="AF17" s="163"/>
      <c r="AG17" s="163">
        <f t="shared" si="0"/>
        <v>365986.83152952965</v>
      </c>
    </row>
    <row r="18" spans="1:33" s="148" customFormat="1" ht="14.25">
      <c r="A18" s="148" t="s">
        <v>1832</v>
      </c>
      <c r="C18" s="922"/>
      <c r="E18" s="163">
        <f>Application!W861</f>
        <v>42000</v>
      </c>
      <c r="F18" s="163"/>
      <c r="G18" s="163">
        <f t="shared" si="0"/>
        <v>43470</v>
      </c>
      <c r="H18" s="163"/>
      <c r="I18" s="163">
        <f t="shared" si="0"/>
        <v>44991.45</v>
      </c>
      <c r="J18" s="163"/>
      <c r="K18" s="163">
        <f t="shared" si="0"/>
        <v>46566.150749999993</v>
      </c>
      <c r="L18" s="163"/>
      <c r="M18" s="163">
        <f t="shared" si="0"/>
        <v>48195.966026249989</v>
      </c>
      <c r="N18" s="163"/>
      <c r="O18" s="163">
        <f t="shared" si="0"/>
        <v>49882.824837168737</v>
      </c>
      <c r="P18" s="163"/>
      <c r="Q18" s="163">
        <f t="shared" si="0"/>
        <v>51628.723706469638</v>
      </c>
      <c r="R18" s="163"/>
      <c r="S18" s="163">
        <f t="shared" si="0"/>
        <v>53435.72903619607</v>
      </c>
      <c r="T18" s="163"/>
      <c r="U18" s="163">
        <f t="shared" si="0"/>
        <v>55305.97955246293</v>
      </c>
      <c r="V18" s="163"/>
      <c r="W18" s="163">
        <f t="shared" si="0"/>
        <v>57241.688836799127</v>
      </c>
      <c r="X18" s="163"/>
      <c r="Y18" s="163">
        <f t="shared" si="0"/>
        <v>59245.147946087091</v>
      </c>
      <c r="Z18" s="163"/>
      <c r="AA18" s="163">
        <f t="shared" si="0"/>
        <v>61318.728124200134</v>
      </c>
      <c r="AB18" s="163"/>
      <c r="AC18" s="163">
        <f t="shared" si="0"/>
        <v>63464.883608547134</v>
      </c>
      <c r="AD18" s="163"/>
      <c r="AE18" s="163">
        <f t="shared" si="0"/>
        <v>65686.154534846282</v>
      </c>
      <c r="AF18" s="163"/>
      <c r="AG18" s="163">
        <f t="shared" si="0"/>
        <v>67985.169943565896</v>
      </c>
    </row>
    <row r="19" spans="1:33" s="148" customFormat="1" ht="14.25">
      <c r="A19" s="148" t="s">
        <v>231</v>
      </c>
      <c r="C19" s="922"/>
      <c r="E19" s="163">
        <f>Application!W870</f>
        <v>107800</v>
      </c>
      <c r="F19" s="163"/>
      <c r="G19" s="163">
        <f t="shared" si="0"/>
        <v>111572.99999999999</v>
      </c>
      <c r="H19" s="163"/>
      <c r="I19" s="163">
        <f t="shared" si="0"/>
        <v>115478.05499999998</v>
      </c>
      <c r="J19" s="163"/>
      <c r="K19" s="163">
        <f t="shared" si="0"/>
        <v>119519.78692499996</v>
      </c>
      <c r="L19" s="163"/>
      <c r="M19" s="163">
        <f t="shared" si="0"/>
        <v>123702.97946737496</v>
      </c>
      <c r="N19" s="163"/>
      <c r="O19" s="163">
        <f t="shared" si="0"/>
        <v>128032.58374873307</v>
      </c>
      <c r="P19" s="163"/>
      <c r="Q19" s="163">
        <f t="shared" si="0"/>
        <v>132513.72417993873</v>
      </c>
      <c r="R19" s="163"/>
      <c r="S19" s="163">
        <f t="shared" si="0"/>
        <v>137151.70452623657</v>
      </c>
      <c r="T19" s="163"/>
      <c r="U19" s="163">
        <f t="shared" si="0"/>
        <v>141952.01418465484</v>
      </c>
      <c r="V19" s="163"/>
      <c r="W19" s="163">
        <f t="shared" si="0"/>
        <v>146920.33468111773</v>
      </c>
      <c r="X19" s="163"/>
      <c r="Y19" s="163">
        <f t="shared" si="0"/>
        <v>152062.54639495685</v>
      </c>
      <c r="Z19" s="163"/>
      <c r="AA19" s="163">
        <f t="shared" si="0"/>
        <v>157384.73551878033</v>
      </c>
      <c r="AB19" s="163"/>
      <c r="AC19" s="163">
        <f t="shared" si="0"/>
        <v>162893.20126193762</v>
      </c>
      <c r="AD19" s="163"/>
      <c r="AE19" s="163">
        <f t="shared" si="0"/>
        <v>168594.46330610543</v>
      </c>
      <c r="AF19" s="163"/>
      <c r="AG19" s="163">
        <f t="shared" si="0"/>
        <v>174495.26952181911</v>
      </c>
    </row>
    <row r="20" spans="1:33" s="148" customFormat="1" ht="14.25">
      <c r="A20" s="167" t="s">
        <v>2594</v>
      </c>
      <c r="B20" s="167"/>
      <c r="C20" s="922"/>
      <c r="E20" s="173">
        <f>Application!W877</f>
        <v>24694</v>
      </c>
      <c r="F20" s="163"/>
      <c r="G20" s="173">
        <f t="shared" si="0"/>
        <v>25558.289999999997</v>
      </c>
      <c r="H20" s="163"/>
      <c r="I20" s="173">
        <f t="shared" si="0"/>
        <v>26452.830149999994</v>
      </c>
      <c r="J20" s="163"/>
      <c r="K20" s="173">
        <f t="shared" si="0"/>
        <v>27378.679205249991</v>
      </c>
      <c r="L20" s="163"/>
      <c r="M20" s="173">
        <f t="shared" si="0"/>
        <v>28336.932977433738</v>
      </c>
      <c r="N20" s="163"/>
      <c r="O20" s="173">
        <f t="shared" si="0"/>
        <v>29328.725631643916</v>
      </c>
      <c r="P20" s="163"/>
      <c r="Q20" s="173">
        <f t="shared" si="0"/>
        <v>30355.231028751452</v>
      </c>
      <c r="R20" s="163"/>
      <c r="S20" s="173">
        <f t="shared" si="0"/>
        <v>31417.66411475775</v>
      </c>
      <c r="T20" s="163"/>
      <c r="U20" s="173">
        <f t="shared" si="0"/>
        <v>32517.282358774268</v>
      </c>
      <c r="V20" s="163"/>
      <c r="W20" s="173">
        <f t="shared" si="0"/>
        <v>33655.387241331366</v>
      </c>
      <c r="X20" s="163"/>
      <c r="Y20" s="173">
        <f t="shared" si="0"/>
        <v>34833.325794777964</v>
      </c>
      <c r="Z20" s="163"/>
      <c r="AA20" s="173">
        <f t="shared" si="0"/>
        <v>36052.492197595187</v>
      </c>
      <c r="AB20" s="163"/>
      <c r="AC20" s="173">
        <f t="shared" si="0"/>
        <v>37314.329424511016</v>
      </c>
      <c r="AD20" s="163"/>
      <c r="AE20" s="173">
        <f t="shared" si="0"/>
        <v>38620.330954368896</v>
      </c>
      <c r="AF20" s="163"/>
      <c r="AG20" s="173">
        <f t="shared" si="0"/>
        <v>39972.042537771806</v>
      </c>
    </row>
    <row r="21" spans="1:33" s="164" customFormat="1" ht="15">
      <c r="A21" s="164" t="s">
        <v>2595</v>
      </c>
      <c r="C21" s="922"/>
      <c r="E21" s="164">
        <f>SUM(E14:E20)</f>
        <v>660000</v>
      </c>
      <c r="G21" s="164">
        <f>SUM(G14:G20)</f>
        <v>683100</v>
      </c>
      <c r="I21" s="164">
        <f>SUM(I14:I20)</f>
        <v>707008.49999999977</v>
      </c>
      <c r="K21" s="164">
        <f>SUM(K14:K20)</f>
        <v>731753.79749999987</v>
      </c>
      <c r="M21" s="164">
        <f>SUM(M14:M20)</f>
        <v>757365.18041249993</v>
      </c>
      <c r="O21" s="164">
        <f>SUM(O14:O20)</f>
        <v>783872.96172693721</v>
      </c>
      <c r="Q21" s="164">
        <f>SUM(Q14:Q20)</f>
        <v>811308.5153873798</v>
      </c>
      <c r="S21" s="164">
        <f>SUM(S14:S20)</f>
        <v>839704.31342593825</v>
      </c>
      <c r="U21" s="164">
        <f>SUM(U14:U20)</f>
        <v>869093.96439584589</v>
      </c>
      <c r="W21" s="164">
        <f>SUM(W14:W20)</f>
        <v>899512.25314970058</v>
      </c>
      <c r="Y21" s="164">
        <f>SUM(Y14:Y20)</f>
        <v>930995.18200993992</v>
      </c>
      <c r="AA21" s="164">
        <f>SUM(AA14:AA20)</f>
        <v>963580.0133802878</v>
      </c>
      <c r="AC21" s="164">
        <f>SUM(AC14:AC20)</f>
        <v>997305.31384859781</v>
      </c>
      <c r="AE21" s="164">
        <f>SUM(AE14:AE20)</f>
        <v>1032210.9998332986</v>
      </c>
      <c r="AG21" s="164">
        <f>SUM(AG14:AG20)</f>
        <v>1068338.3848274639</v>
      </c>
    </row>
    <row r="22" spans="1:33" s="148" customFormat="1" ht="14.25">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2596</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2597</v>
      </c>
      <c r="C25" s="1122">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2358</v>
      </c>
      <c r="C26" s="1122">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4.25">
      <c r="A27" s="148" t="s">
        <v>2598</v>
      </c>
      <c r="C27" s="1122"/>
      <c r="E27" s="163">
        <f>Application!AC887</f>
        <v>30000</v>
      </c>
      <c r="F27" s="163"/>
      <c r="G27" s="163">
        <f>$E$27</f>
        <v>30000</v>
      </c>
      <c r="H27" s="163"/>
      <c r="I27" s="163">
        <f>$E$27</f>
        <v>30000</v>
      </c>
      <c r="J27" s="163"/>
      <c r="K27" s="163">
        <f>$E$27</f>
        <v>30000</v>
      </c>
      <c r="L27" s="163"/>
      <c r="M27" s="163">
        <f>$E$27</f>
        <v>30000</v>
      </c>
      <c r="N27" s="163"/>
      <c r="O27" s="163">
        <f>$E$27</f>
        <v>30000</v>
      </c>
      <c r="P27" s="163"/>
      <c r="Q27" s="163">
        <f>$E$27</f>
        <v>30000</v>
      </c>
      <c r="R27" s="163"/>
      <c r="S27" s="163">
        <f>$E$27</f>
        <v>30000</v>
      </c>
      <c r="T27" s="163"/>
      <c r="U27" s="163">
        <f>$E$27</f>
        <v>30000</v>
      </c>
      <c r="V27" s="163"/>
      <c r="W27" s="163">
        <f>$E$27</f>
        <v>30000</v>
      </c>
      <c r="X27" s="163"/>
      <c r="Y27" s="163">
        <f>$E$27</f>
        <v>30000</v>
      </c>
      <c r="Z27" s="163"/>
      <c r="AA27" s="163">
        <f>$E$27</f>
        <v>30000</v>
      </c>
      <c r="AB27" s="163"/>
      <c r="AC27" s="163">
        <f>$E$27</f>
        <v>30000</v>
      </c>
      <c r="AD27" s="163"/>
      <c r="AE27" s="163">
        <f>$E$27</f>
        <v>30000</v>
      </c>
      <c r="AF27" s="163"/>
      <c r="AG27" s="163">
        <f>$E$27</f>
        <v>30000</v>
      </c>
    </row>
    <row r="28" spans="1:33" s="148" customFormat="1" ht="14.25">
      <c r="A28" s="148" t="s">
        <v>2599</v>
      </c>
      <c r="C28" s="1122">
        <v>1.01</v>
      </c>
      <c r="E28" s="163">
        <f>Application!AC888</f>
        <v>4000</v>
      </c>
      <c r="F28" s="163"/>
      <c r="G28" s="163">
        <f>E28*$C$28</f>
        <v>4040</v>
      </c>
      <c r="H28" s="163"/>
      <c r="I28" s="163">
        <f>G28*$C$28</f>
        <v>4080.4</v>
      </c>
      <c r="J28" s="163"/>
      <c r="K28" s="163">
        <f>I28*$C$28</f>
        <v>4121.2039999999997</v>
      </c>
      <c r="L28" s="163"/>
      <c r="M28" s="163">
        <f>K28*$C$28</f>
        <v>4162.4160400000001</v>
      </c>
      <c r="N28" s="163"/>
      <c r="O28" s="163">
        <f>M28*$C$28</f>
        <v>4204.0402003999998</v>
      </c>
      <c r="P28" s="163"/>
      <c r="Q28" s="163">
        <f>O28*$C$28</f>
        <v>4246.0806024039994</v>
      </c>
      <c r="R28" s="163"/>
      <c r="S28" s="163">
        <f>Q28*$C$28</f>
        <v>4288.5414084280392</v>
      </c>
      <c r="T28" s="163"/>
      <c r="U28" s="163">
        <f>S28*$C$28</f>
        <v>4331.4268225123196</v>
      </c>
      <c r="V28" s="163"/>
      <c r="W28" s="163">
        <f>U28*$C$28</f>
        <v>4374.7410907374433</v>
      </c>
      <c r="X28" s="163"/>
      <c r="Y28" s="163">
        <f>W28*$C$28</f>
        <v>4418.4885016448179</v>
      </c>
      <c r="Z28" s="163"/>
      <c r="AA28" s="163">
        <f>Y28*$C$28</f>
        <v>4462.6733866612658</v>
      </c>
      <c r="AB28" s="163"/>
      <c r="AC28" s="163">
        <f>AA28*$C$28</f>
        <v>4507.3001205278788</v>
      </c>
      <c r="AD28" s="163"/>
      <c r="AE28" s="163">
        <f>AC28*$C$28</f>
        <v>4552.3731217331579</v>
      </c>
      <c r="AF28" s="163"/>
      <c r="AG28" s="163">
        <f>AE28*$C$28</f>
        <v>4597.8968529504891</v>
      </c>
    </row>
    <row r="29" spans="1:33" s="148" customFormat="1" ht="14.25">
      <c r="A29" s="148" t="s">
        <v>2600</v>
      </c>
      <c r="C29" s="1122">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3" s="148" customFormat="1" ht="14.25">
      <c r="A30" s="148" t="s">
        <v>2601</v>
      </c>
      <c r="C30" s="1122">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25">
      <c r="A31" s="167">
        <f>Application!E891</f>
        <v>0</v>
      </c>
      <c r="B31" s="167"/>
      <c r="C31" s="1124">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4.25">
      <c r="A32" s="167">
        <f>Application!E892</f>
        <v>0</v>
      </c>
      <c r="B32" s="167"/>
      <c r="C32" s="1124">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1645</v>
      </c>
      <c r="C34" s="165"/>
      <c r="E34" s="164">
        <f>SUM(E21:E32)</f>
        <v>694000</v>
      </c>
      <c r="G34" s="164">
        <f>SUM(G21:G32)</f>
        <v>717140</v>
      </c>
      <c r="I34" s="164">
        <f>SUM(I21:I32)</f>
        <v>741088.89999999979</v>
      </c>
      <c r="K34" s="164">
        <f>SUM(K21:K32)</f>
        <v>765875.0014999999</v>
      </c>
      <c r="M34" s="164">
        <f>SUM(M21:M32)</f>
        <v>791527.59645249997</v>
      </c>
      <c r="O34" s="164">
        <f>SUM(O21:O32)</f>
        <v>818077.00192733726</v>
      </c>
      <c r="Q34" s="164">
        <f>SUM(Q21:Q32)</f>
        <v>845554.59598978376</v>
      </c>
      <c r="S34" s="164">
        <f>SUM(S21:S32)</f>
        <v>873992.85483436624</v>
      </c>
      <c r="U34" s="164">
        <f>SUM(U21:U32)</f>
        <v>903425.39121835819</v>
      </c>
      <c r="W34" s="164">
        <f>SUM(W21:W32)</f>
        <v>933886.99424043798</v>
      </c>
      <c r="Y34" s="164">
        <f>SUM(Y21:Y32)</f>
        <v>965413.67051158473</v>
      </c>
      <c r="AA34" s="164">
        <f>SUM(AA21:AA32)</f>
        <v>998042.68676694902</v>
      </c>
      <c r="AC34" s="164">
        <f>SUM(AC21:AC32)</f>
        <v>1031812.6139691257</v>
      </c>
      <c r="AE34" s="164">
        <f>SUM(AE21:AE32)</f>
        <v>1066763.3729550317</v>
      </c>
      <c r="AG34" s="164">
        <f>SUM(AG21:AG32)</f>
        <v>1102936.2816804145</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2602</v>
      </c>
      <c r="C36" s="165"/>
      <c r="E36" s="164">
        <f>E10-E34</f>
        <v>1283308.6819999996</v>
      </c>
      <c r="G36" s="164">
        <f>G10-G34</f>
        <v>1309601.3990499994</v>
      </c>
      <c r="I36" s="164">
        <f>I10-I34</f>
        <v>1336321.0340262498</v>
      </c>
      <c r="K36" s="164">
        <f>K10-K34</f>
        <v>1363470.1808769056</v>
      </c>
      <c r="M36" s="164">
        <f>M10-M34</f>
        <v>1391051.2154838273</v>
      </c>
      <c r="O36" s="164">
        <f>O10-O34</f>
        <v>1419066.2803073982</v>
      </c>
      <c r="Q36" s="164">
        <f>Q10-Q34</f>
        <v>1447517.2683008201</v>
      </c>
      <c r="S36" s="164">
        <f>S10-S34</f>
        <v>1476405.806063503</v>
      </c>
      <c r="U36" s="164">
        <f>U10-U34</f>
        <v>1505733.2362019573</v>
      </c>
      <c r="W36" s="164">
        <f>W10-W34</f>
        <v>1535500.5988653847</v>
      </c>
      <c r="Y36" s="164">
        <f>Y10-Y34</f>
        <v>1565708.6124218837</v>
      </c>
      <c r="AA36" s="164">
        <f>AA10-AA34</f>
        <v>1596357.653239856</v>
      </c>
      <c r="AC36" s="164">
        <f>AC10-AC34</f>
        <v>1627447.7345378497</v>
      </c>
      <c r="AE36" s="164">
        <f>AE10-AE34</f>
        <v>1658978.4842646173</v>
      </c>
      <c r="AG36" s="164">
        <f>AG10-AG34</f>
        <v>1690949.1219697259</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2603</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PW Bank Permanent Loan</v>
      </c>
      <c r="B39" s="167"/>
      <c r="C39" s="161"/>
      <c r="E39" s="163">
        <f>Application!AF637</f>
        <v>1115961</v>
      </c>
      <c r="F39" s="163"/>
      <c r="G39" s="163">
        <f>$E$39</f>
        <v>1115961</v>
      </c>
      <c r="H39" s="163"/>
      <c r="I39" s="163">
        <f>$E$39</f>
        <v>1115961</v>
      </c>
      <c r="J39" s="163"/>
      <c r="K39" s="163">
        <f>$E$39</f>
        <v>1115961</v>
      </c>
      <c r="L39" s="163"/>
      <c r="M39" s="163">
        <f>$E$39</f>
        <v>1115961</v>
      </c>
      <c r="N39" s="163"/>
      <c r="O39" s="163">
        <f>$E$39</f>
        <v>1115961</v>
      </c>
      <c r="P39" s="163"/>
      <c r="Q39" s="163">
        <f>$E$39</f>
        <v>1115961</v>
      </c>
      <c r="R39" s="163"/>
      <c r="S39" s="163">
        <f>$E$39</f>
        <v>1115961</v>
      </c>
      <c r="T39" s="163"/>
      <c r="U39" s="163">
        <f>$E$39</f>
        <v>1115961</v>
      </c>
      <c r="V39" s="163"/>
      <c r="W39" s="163">
        <f>$E$39</f>
        <v>1115961</v>
      </c>
      <c r="X39" s="163"/>
      <c r="Y39" s="163">
        <f>$E$39</f>
        <v>1115961</v>
      </c>
      <c r="Z39" s="163"/>
      <c r="AA39" s="163">
        <f>$E$39</f>
        <v>1115961</v>
      </c>
      <c r="AB39" s="163"/>
      <c r="AC39" s="163">
        <f>$E$39</f>
        <v>1115961</v>
      </c>
      <c r="AD39" s="163"/>
      <c r="AE39" s="163">
        <f>$E$39</f>
        <v>1115961</v>
      </c>
      <c r="AF39" s="163"/>
      <c r="AG39" s="163">
        <f>$E$39</f>
        <v>1115961</v>
      </c>
    </row>
    <row r="40" spans="1:33" s="148" customFormat="1" ht="14.25">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2604</v>
      </c>
      <c r="C42" s="165"/>
      <c r="E42" s="164">
        <f>SUM(E39:E41)</f>
        <v>1115961</v>
      </c>
      <c r="G42" s="164">
        <f>SUM(G39:G41)</f>
        <v>1115961</v>
      </c>
      <c r="I42" s="164">
        <f>SUM(I39:I41)</f>
        <v>1115961</v>
      </c>
      <c r="K42" s="164">
        <f>SUM(K39:K41)</f>
        <v>1115961</v>
      </c>
      <c r="M42" s="164">
        <f>SUM(M39:M41)</f>
        <v>1115961</v>
      </c>
      <c r="O42" s="164">
        <f>SUM(O39:O41)</f>
        <v>1115961</v>
      </c>
      <c r="Q42" s="164">
        <f>SUM(Q39:Q41)</f>
        <v>1115961</v>
      </c>
      <c r="S42" s="164">
        <f>SUM(S39:S41)</f>
        <v>1115961</v>
      </c>
      <c r="U42" s="164">
        <f>SUM(U39:U41)</f>
        <v>1115961</v>
      </c>
      <c r="W42" s="164">
        <f>SUM(W39:W41)</f>
        <v>1115961</v>
      </c>
      <c r="Y42" s="164">
        <f>SUM(Y39:Y41)</f>
        <v>1115961</v>
      </c>
      <c r="AA42" s="164">
        <f>SUM(AA39:AA41)</f>
        <v>1115961</v>
      </c>
      <c r="AC42" s="164">
        <f>SUM(AC39:AC41)</f>
        <v>1115961</v>
      </c>
      <c r="AE42" s="164">
        <f>SUM(AE39:AE41)</f>
        <v>1115961</v>
      </c>
      <c r="AG42" s="164">
        <f>SUM(AG39:AG41)</f>
        <v>1115961</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2605</v>
      </c>
      <c r="C44" s="165"/>
      <c r="E44" s="164">
        <f>E36-E42</f>
        <v>167347.68199999956</v>
      </c>
      <c r="G44" s="164">
        <f>G36-G42</f>
        <v>193640.39904999943</v>
      </c>
      <c r="I44" s="164">
        <f>I36-I42</f>
        <v>220360.03402624978</v>
      </c>
      <c r="K44" s="164">
        <f>K36-K42</f>
        <v>247509.18087690556</v>
      </c>
      <c r="M44" s="164">
        <f>M36-M42</f>
        <v>275090.21548382728</v>
      </c>
      <c r="O44" s="164">
        <f>O36-O42</f>
        <v>303105.28030739818</v>
      </c>
      <c r="Q44" s="164">
        <f>Q36-Q42</f>
        <v>331556.26830082014</v>
      </c>
      <c r="S44" s="164">
        <f>S36-S42</f>
        <v>360444.80606350303</v>
      </c>
      <c r="U44" s="164">
        <f>U36-U42</f>
        <v>389772.23620195733</v>
      </c>
      <c r="W44" s="164">
        <f>W36-W42</f>
        <v>419539.5988653847</v>
      </c>
      <c r="Y44" s="164">
        <f>Y36-Y42</f>
        <v>449747.61242188374</v>
      </c>
      <c r="AA44" s="164">
        <f>AA36-AA42</f>
        <v>480396.65323985601</v>
      </c>
      <c r="AC44" s="164">
        <f>AC36-AC42</f>
        <v>511486.73453784967</v>
      </c>
      <c r="AE44" s="164">
        <f>AE36-AE42</f>
        <v>543017.48426461732</v>
      </c>
      <c r="AG44" s="164">
        <f>AG36-AG42</f>
        <v>574988.12196972594</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2606</v>
      </c>
      <c r="C46" s="161"/>
      <c r="E46" s="168">
        <f>E44/(E4+E6+E8)</f>
        <v>8.0402366786350668E-2</v>
      </c>
      <c r="G46" s="168">
        <f>G44/(G4+G6+G8)</f>
        <v>9.0765590116098097E-2</v>
      </c>
      <c r="I46" s="168">
        <f>I44/(I4+I6+I8)</f>
        <v>0.10077068993273243</v>
      </c>
      <c r="K46" s="168">
        <f>K44/(K4+K6+K8)</f>
        <v>0.11042536634224313</v>
      </c>
      <c r="M46" s="168">
        <f>M44/(M4+M6+M8)</f>
        <v>0.11973712164729834</v>
      </c>
      <c r="O46" s="168">
        <f>O44/(O4+O6+O8)</f>
        <v>0.12871326507276198</v>
      </c>
      <c r="Q46" s="168">
        <f>Q44/(Q4+Q6+Q8)</f>
        <v>0.13736091737500883</v>
      </c>
      <c r="S46" s="168">
        <f>S44/(S4+S6+S8)</f>
        <v>0.14568701533786613</v>
      </c>
      <c r="U46" s="168">
        <f>U44/(U4+U6+U8)</f>
        <v>0.15369831615793297</v>
      </c>
      <c r="W46" s="168">
        <f>W44/(W4+W6+W8)</f>
        <v>0.16140140172196754</v>
      </c>
      <c r="Y46" s="168">
        <f>Y44/(Y4+Y6+Y8)</f>
        <v>0.16880268277896562</v>
      </c>
      <c r="AA46" s="168">
        <f>AA44/(AA4+AA6+AA8)</f>
        <v>0.17590840300948549</v>
      </c>
      <c r="AC46" s="168">
        <f>AC44/(AC4+AC6+AC8)</f>
        <v>0.18272464299472205</v>
      </c>
      <c r="AE46" s="168">
        <f>AE44/(AE4+AE6+AE8)</f>
        <v>0.18925732408775794</v>
      </c>
      <c r="AG46" s="168">
        <f>AG44/(AG4+AG6+AG8)</f>
        <v>0.19551221218937351</v>
      </c>
    </row>
    <row r="47" spans="1:33" s="168" customFormat="1" ht="14.25">
      <c r="A47" s="168" t="s">
        <v>2607</v>
      </c>
      <c r="C47" s="161"/>
      <c r="E47" s="168">
        <f>E44/E42</f>
        <v>0.14995836055202608</v>
      </c>
      <c r="G47" s="168">
        <f>G44/G42</f>
        <v>0.17351896620939211</v>
      </c>
      <c r="I47" s="168">
        <f>I44/I42</f>
        <v>0.19746212818033049</v>
      </c>
      <c r="K47" s="168">
        <f>K44/K42</f>
        <v>0.22179017087237418</v>
      </c>
      <c r="M47" s="168">
        <f>M44/M42</f>
        <v>0.2465052232863221</v>
      </c>
      <c r="O47" s="168">
        <f>O44/O42</f>
        <v>0.27160920525663368</v>
      </c>
      <c r="Q47" s="168">
        <f>Q44/Q42</f>
        <v>0.29710381303721201</v>
      </c>
      <c r="S47" s="168">
        <f>S44/S42</f>
        <v>0.32299050420534681</v>
      </c>
      <c r="U47" s="168">
        <f>U44/U42</f>
        <v>0.34927048185551046</v>
      </c>
      <c r="W47" s="168">
        <f>W44/W42</f>
        <v>0.37594467805361004</v>
      </c>
      <c r="Y47" s="168">
        <f>Y44/Y42</f>
        <v>0.40301373652115419</v>
      </c>
      <c r="AA47" s="168">
        <f>AA44/AA42</f>
        <v>0.43047799451760055</v>
      </c>
      <c r="AC47" s="168">
        <f>AC44/AC42</f>
        <v>0.45833746388794022</v>
      </c>
      <c r="AE47" s="168">
        <f>AE44/AE42</f>
        <v>0.4865918112412686</v>
      </c>
      <c r="AG47" s="168">
        <f>AG44/AG42</f>
        <v>0.51524033722480078</v>
      </c>
    </row>
    <row r="48" spans="1:33" s="169" customFormat="1" ht="14.25">
      <c r="A48" s="169" t="s">
        <v>2213</v>
      </c>
      <c r="C48" s="170"/>
      <c r="E48" s="169">
        <f>E36/E42</f>
        <v>1.149958360552026</v>
      </c>
      <c r="G48" s="169">
        <f>G36/G42</f>
        <v>1.1735189662093921</v>
      </c>
      <c r="I48" s="169">
        <f>I36/I42</f>
        <v>1.1974621281803304</v>
      </c>
      <c r="K48" s="169">
        <f>K36/K42</f>
        <v>1.2217901708723742</v>
      </c>
      <c r="M48" s="169">
        <f>M36/M42</f>
        <v>1.2465052232863221</v>
      </c>
      <c r="O48" s="169">
        <f>O36/O42</f>
        <v>1.2716092052566337</v>
      </c>
      <c r="Q48" s="169">
        <f>Q36/Q42</f>
        <v>1.2971038130372119</v>
      </c>
      <c r="S48" s="169">
        <f>S36/S42</f>
        <v>1.3229905042053467</v>
      </c>
      <c r="U48" s="169">
        <f>U36/U42</f>
        <v>1.3492704818555106</v>
      </c>
      <c r="W48" s="169">
        <f>W36/W42</f>
        <v>1.37594467805361</v>
      </c>
      <c r="Y48" s="169">
        <f>Y36/Y42</f>
        <v>1.4030137365211541</v>
      </c>
      <c r="AA48" s="169">
        <f>AA36/AA42</f>
        <v>1.4304779945176005</v>
      </c>
      <c r="AC48" s="169">
        <f>AC36/AC42</f>
        <v>1.4583374638879403</v>
      </c>
      <c r="AE48" s="169">
        <f>AE36/AE42</f>
        <v>1.4865918112412686</v>
      </c>
      <c r="AG48" s="169">
        <f>AG36/AG42</f>
        <v>1.5152403372248009</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2608</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83" t="s">
        <v>1322</v>
      </c>
      <c r="B51" s="2483"/>
      <c r="C51" s="2483"/>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2609</v>
      </c>
      <c r="C52" s="924">
        <v>1.0349999999999999</v>
      </c>
      <c r="E52" s="925">
        <v>30000</v>
      </c>
      <c r="G52" s="921">
        <f>E52*$C$52</f>
        <v>31049.999999999996</v>
      </c>
      <c r="I52" s="921">
        <f>G52*$C$52</f>
        <v>32136.749999999993</v>
      </c>
      <c r="K52" s="921">
        <f>I52*$C$52</f>
        <v>33261.53624999999</v>
      </c>
      <c r="M52" s="921">
        <f>K52*$C$52</f>
        <v>34425.690018749985</v>
      </c>
      <c r="O52" s="921">
        <f>M52*$C$52</f>
        <v>35630.58916940623</v>
      </c>
      <c r="Q52" s="921">
        <f>O52*$C$52</f>
        <v>36877.659790335449</v>
      </c>
      <c r="S52" s="921">
        <f>Q52*$C$52</f>
        <v>38168.377882997185</v>
      </c>
      <c r="U52" s="921">
        <f>S52*$C$52</f>
        <v>39504.271108902081</v>
      </c>
      <c r="W52" s="921">
        <f>U52*$C$52</f>
        <v>40886.920597713652</v>
      </c>
      <c r="Y52" s="921">
        <f>W52*$C$52</f>
        <v>42317.962818633627</v>
      </c>
      <c r="AA52" s="921">
        <f>Y52*$C$52</f>
        <v>43799.0915172858</v>
      </c>
      <c r="AC52" s="921">
        <f>AA52*$C$52</f>
        <v>45332.059720390796</v>
      </c>
      <c r="AE52" s="921">
        <f>AC52*$C$52</f>
        <v>46918.681810604474</v>
      </c>
      <c r="AG52" s="921">
        <f>AE52*$C$52</f>
        <v>48560.835673975627</v>
      </c>
    </row>
    <row r="53" spans="1:35" s="3" customFormat="1">
      <c r="A53" s="3" t="s">
        <v>2610</v>
      </c>
      <c r="C53" s="919"/>
      <c r="E53" s="926">
        <v>5000</v>
      </c>
      <c r="F53" s="921"/>
      <c r="G53" s="921">
        <f t="shared" ref="G53:AG56" si="1">E53*$C$52</f>
        <v>5175</v>
      </c>
      <c r="H53" s="921"/>
      <c r="I53" s="921">
        <f t="shared" si="1"/>
        <v>5356.125</v>
      </c>
      <c r="J53" s="921"/>
      <c r="K53" s="921">
        <f t="shared" si="1"/>
        <v>5543.5893749999996</v>
      </c>
      <c r="L53" s="921"/>
      <c r="M53" s="921">
        <f t="shared" si="1"/>
        <v>5737.615003124999</v>
      </c>
      <c r="N53" s="921"/>
      <c r="O53" s="921">
        <f t="shared" si="1"/>
        <v>5938.4315282343732</v>
      </c>
      <c r="P53" s="921"/>
      <c r="Q53" s="921">
        <f t="shared" si="1"/>
        <v>6146.276631722576</v>
      </c>
      <c r="R53" s="921"/>
      <c r="S53" s="921">
        <f t="shared" si="1"/>
        <v>6361.3963138328654</v>
      </c>
      <c r="T53" s="921"/>
      <c r="U53" s="921">
        <f t="shared" si="1"/>
        <v>6584.0451848170151</v>
      </c>
      <c r="V53" s="921"/>
      <c r="W53" s="921">
        <f t="shared" si="1"/>
        <v>6814.4867662856104</v>
      </c>
      <c r="X53" s="921"/>
      <c r="Y53" s="921">
        <f t="shared" si="1"/>
        <v>7052.9938031056063</v>
      </c>
      <c r="Z53" s="921"/>
      <c r="AA53" s="921">
        <f t="shared" si="1"/>
        <v>7299.8485862143016</v>
      </c>
      <c r="AB53" s="921"/>
      <c r="AC53" s="921">
        <f t="shared" si="1"/>
        <v>7555.3432867318015</v>
      </c>
      <c r="AD53" s="921"/>
      <c r="AE53" s="921">
        <f t="shared" si="1"/>
        <v>7819.7803017674141</v>
      </c>
      <c r="AF53" s="921"/>
      <c r="AG53" s="921">
        <f t="shared" si="1"/>
        <v>8093.472612329273</v>
      </c>
      <c r="AH53" s="921"/>
      <c r="AI53" s="921"/>
    </row>
    <row r="54" spans="1:35" s="3" customFormat="1">
      <c r="A54" s="3" t="s">
        <v>2611</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2612</v>
      </c>
      <c r="B55" s="927"/>
      <c r="C55" s="919"/>
      <c r="E55" s="926">
        <f>24000+51850</f>
        <v>75850</v>
      </c>
      <c r="F55" s="921"/>
      <c r="G55" s="921">
        <f t="shared" si="1"/>
        <v>78504.75</v>
      </c>
      <c r="H55" s="921"/>
      <c r="I55" s="921">
        <f t="shared" si="1"/>
        <v>81252.416249999995</v>
      </c>
      <c r="J55" s="921"/>
      <c r="K55" s="921">
        <f t="shared" si="1"/>
        <v>84096.250818749992</v>
      </c>
      <c r="L55" s="921"/>
      <c r="M55" s="921">
        <f t="shared" si="1"/>
        <v>87039.619597406228</v>
      </c>
      <c r="N55" s="921"/>
      <c r="O55" s="921">
        <f t="shared" si="1"/>
        <v>90086.006283315437</v>
      </c>
      <c r="P55" s="921"/>
      <c r="Q55" s="921">
        <f t="shared" si="1"/>
        <v>93239.016503231469</v>
      </c>
      <c r="R55" s="921"/>
      <c r="S55" s="921">
        <f t="shared" si="1"/>
        <v>96502.38208084456</v>
      </c>
      <c r="T55" s="921"/>
      <c r="U55" s="921">
        <f t="shared" si="1"/>
        <v>99879.965453674115</v>
      </c>
      <c r="V55" s="921"/>
      <c r="W55" s="921">
        <f t="shared" si="1"/>
        <v>103375.7642445527</v>
      </c>
      <c r="X55" s="921"/>
      <c r="Y55" s="921">
        <f t="shared" si="1"/>
        <v>106993.91599311204</v>
      </c>
      <c r="Z55" s="921"/>
      <c r="AA55" s="921">
        <f t="shared" si="1"/>
        <v>110738.70305287094</v>
      </c>
      <c r="AB55" s="921"/>
      <c r="AC55" s="921">
        <f t="shared" si="1"/>
        <v>114614.55765972142</v>
      </c>
      <c r="AD55" s="921"/>
      <c r="AE55" s="921">
        <f t="shared" si="1"/>
        <v>118626.06717781167</v>
      </c>
      <c r="AF55" s="921"/>
      <c r="AG55" s="921">
        <f t="shared" si="1"/>
        <v>122777.97952903506</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2613</v>
      </c>
      <c r="C57" s="922"/>
      <c r="E57" s="921">
        <f>SUM(E52:E56)</f>
        <v>110850</v>
      </c>
      <c r="F57" s="921"/>
      <c r="G57" s="921">
        <f>SUM(G52:G56)</f>
        <v>114729.75</v>
      </c>
      <c r="H57" s="921"/>
      <c r="I57" s="921">
        <f>SUM(I52:I56)</f>
        <v>118745.29124999998</v>
      </c>
      <c r="J57" s="921"/>
      <c r="K57" s="921">
        <f>SUM(K52:K56)</f>
        <v>122901.37644374998</v>
      </c>
      <c r="L57" s="921"/>
      <c r="M57" s="921">
        <f>SUM(M52:M56)</f>
        <v>127202.92461928121</v>
      </c>
      <c r="N57" s="921"/>
      <c r="O57" s="921">
        <f>SUM(O52:O56)</f>
        <v>131655.02698095603</v>
      </c>
      <c r="P57" s="921"/>
      <c r="Q57" s="921">
        <f>SUM(Q52:Q56)</f>
        <v>136262.95292528949</v>
      </c>
      <c r="R57" s="921"/>
      <c r="S57" s="921">
        <f>SUM(S52:S56)</f>
        <v>141032.1562776746</v>
      </c>
      <c r="T57" s="921"/>
      <c r="U57" s="921">
        <f>SUM(U52:U56)</f>
        <v>145968.28174739319</v>
      </c>
      <c r="V57" s="921"/>
      <c r="W57" s="921">
        <f>SUM(W52:W56)</f>
        <v>151077.17160855196</v>
      </c>
      <c r="X57" s="921"/>
      <c r="Y57" s="921">
        <f>SUM(Y52:Y56)</f>
        <v>156364.87261485128</v>
      </c>
      <c r="Z57" s="921"/>
      <c r="AA57" s="921">
        <f>SUM(AA52:AA56)</f>
        <v>161837.64315637105</v>
      </c>
      <c r="AB57" s="921"/>
      <c r="AC57" s="921">
        <f>SUM(AC52:AC56)</f>
        <v>167501.96066684404</v>
      </c>
      <c r="AD57" s="921"/>
      <c r="AE57" s="921">
        <f>SUM(AE52:AE56)</f>
        <v>173364.52929018356</v>
      </c>
      <c r="AF57" s="921"/>
      <c r="AG57" s="921">
        <f>SUM(AG52:AG56)</f>
        <v>179432.28781533995</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2614</v>
      </c>
      <c r="C59" s="930"/>
      <c r="E59" s="923">
        <f>E44-E57</f>
        <v>56497.681999999564</v>
      </c>
      <c r="G59" s="923">
        <f>G44-G57</f>
        <v>78910.649049999425</v>
      </c>
      <c r="I59" s="923">
        <f>I44-I57</f>
        <v>101614.7427762498</v>
      </c>
      <c r="K59" s="923">
        <f>K44-K57</f>
        <v>124607.80443315559</v>
      </c>
      <c r="M59" s="923">
        <f>M44-M57</f>
        <v>147887.29086454608</v>
      </c>
      <c r="O59" s="923">
        <f>O44-O57</f>
        <v>171450.25332644215</v>
      </c>
      <c r="Q59" s="923">
        <f>Q44-Q57</f>
        <v>195293.31537553066</v>
      </c>
      <c r="S59" s="923">
        <f>S44-S57</f>
        <v>219412.64978582843</v>
      </c>
      <c r="U59" s="923">
        <f>U44-U57</f>
        <v>243803.95445456414</v>
      </c>
      <c r="W59" s="923">
        <f>W44-W57</f>
        <v>268462.42725683271</v>
      </c>
      <c r="Y59" s="923">
        <f>Y44-Y57</f>
        <v>293382.73980703246</v>
      </c>
      <c r="AA59" s="923">
        <f>AA44-AA57</f>
        <v>318559.01008348493</v>
      </c>
      <c r="AC59" s="923">
        <f>AC44-AC57</f>
        <v>343984.77387100563</v>
      </c>
      <c r="AE59" s="923">
        <f>AE44-AE57</f>
        <v>369652.95497443376</v>
      </c>
      <c r="AG59" s="923">
        <f>AG44-AG57</f>
        <v>395555.83415438596</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2615</v>
      </c>
      <c r="C61" s="920">
        <v>1</v>
      </c>
      <c r="E61" s="925">
        <f>E59*$C$61</f>
        <v>56497.681999999564</v>
      </c>
      <c r="G61" s="923">
        <f>G59*$C$61</f>
        <v>78910.649049999425</v>
      </c>
      <c r="I61" s="923">
        <f>I59*$C$61</f>
        <v>101614.7427762498</v>
      </c>
      <c r="K61" s="923">
        <f>K59*$C$61</f>
        <v>124607.80443315559</v>
      </c>
      <c r="M61" s="923">
        <f>M59*$C$61</f>
        <v>147887.29086454608</v>
      </c>
      <c r="O61" s="923">
        <f>O59*$C$61</f>
        <v>171450.25332644215</v>
      </c>
      <c r="Q61" s="923">
        <f>Q59*$C$61</f>
        <v>195293.31537553066</v>
      </c>
      <c r="S61" s="923">
        <f>S59*$C$61</f>
        <v>219412.64978582843</v>
      </c>
      <c r="U61" s="923">
        <f>U59*$C$61</f>
        <v>243803.95445456414</v>
      </c>
      <c r="W61" s="923">
        <f>W59*$C$61</f>
        <v>268462.42725683271</v>
      </c>
      <c r="Y61" s="923">
        <f>Y59*$C$61</f>
        <v>293382.73980703246</v>
      </c>
      <c r="AA61" s="923">
        <f>AA59*$C$61</f>
        <v>318559.01008348493</v>
      </c>
      <c r="AC61" s="923">
        <f>AC59*$C$61</f>
        <v>343984.77387100563</v>
      </c>
      <c r="AE61" s="923">
        <f>AE59*$C$61</f>
        <v>369652.95497443376</v>
      </c>
      <c r="AG61" s="923">
        <f>AG59*$C$61</f>
        <v>395555.83415438596</v>
      </c>
    </row>
    <row r="62" spans="1:35" s="923" customFormat="1">
      <c r="A62" s="2483" t="s">
        <v>1322</v>
      </c>
      <c r="B62" s="2483"/>
      <c r="C62" s="2483"/>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2616</v>
      </c>
      <c r="C64" s="920"/>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tr">
        <f>[10]Application!C639</f>
        <v>Master Developer Land Note</v>
      </c>
      <c r="B65" s="925"/>
      <c r="C65" s="924">
        <v>0.5</v>
      </c>
      <c r="E65" s="925">
        <f>PRODUCT($C65,(E$59-E$61))</f>
        <v>0</v>
      </c>
      <c r="G65" s="921">
        <f>PRODUCT($C65,(G$59-G$61))</f>
        <v>0</v>
      </c>
      <c r="I65" s="921">
        <f>PRODUCT($C65,(I$59-I$61))</f>
        <v>0</v>
      </c>
      <c r="K65" s="921">
        <f>PRODUCT($C65,(K$59-K$61))</f>
        <v>0</v>
      </c>
      <c r="M65" s="921">
        <f>PRODUCT($C65,(M$59-M$61))</f>
        <v>0</v>
      </c>
      <c r="O65" s="921">
        <f>PRODUCT($C65,(O$59-O$61))</f>
        <v>0</v>
      </c>
      <c r="Q65" s="921">
        <f>PRODUCT($C65,(Q$59-Q$61))</f>
        <v>0</v>
      </c>
      <c r="S65" s="921">
        <f>PRODUCT($C65,(S$59-S$61))</f>
        <v>0</v>
      </c>
      <c r="U65" s="921">
        <f>PRODUCT($C65,(U$59-U$61))</f>
        <v>0</v>
      </c>
      <c r="W65" s="921">
        <f>PRODUCT($C65,(W$59-W$61))</f>
        <v>0</v>
      </c>
      <c r="Y65" s="921">
        <f>PRODUCT($C65,(Y$59-Y$61))</f>
        <v>0</v>
      </c>
      <c r="AA65" s="921">
        <f>PRODUCT($C65,(AA$59-AA$61))</f>
        <v>0</v>
      </c>
      <c r="AC65" s="921">
        <f>PRODUCT($C65,(AC$59-AC$61))</f>
        <v>0</v>
      </c>
      <c r="AE65" s="921">
        <f>PRODUCT($C65,(AE$59-AE$61))</f>
        <v>0</v>
      </c>
      <c r="AG65" s="921">
        <f>PRODUCT($C65,(AG$59-AG$61))</f>
        <v>0</v>
      </c>
    </row>
    <row r="66" spans="1:33" s="921" customFormat="1">
      <c r="A66" s="926"/>
      <c r="B66" s="926"/>
      <c r="C66" s="924">
        <v>0.5</v>
      </c>
      <c r="E66" s="925">
        <f t="shared" ref="E66:AG67" si="2">PRODUCT($C66,(E$59-E$61))</f>
        <v>0</v>
      </c>
      <c r="G66" s="921">
        <f t="shared" si="2"/>
        <v>0</v>
      </c>
      <c r="I66" s="921">
        <f t="shared" si="2"/>
        <v>0</v>
      </c>
      <c r="K66" s="921">
        <f t="shared" si="2"/>
        <v>0</v>
      </c>
      <c r="M66" s="921">
        <f t="shared" si="2"/>
        <v>0</v>
      </c>
      <c r="O66" s="921">
        <f t="shared" si="2"/>
        <v>0</v>
      </c>
      <c r="Q66" s="921">
        <f t="shared" si="2"/>
        <v>0</v>
      </c>
      <c r="S66" s="921">
        <f t="shared" si="2"/>
        <v>0</v>
      </c>
      <c r="U66" s="921">
        <f t="shared" si="2"/>
        <v>0</v>
      </c>
      <c r="W66" s="921">
        <f t="shared" si="2"/>
        <v>0</v>
      </c>
      <c r="Y66" s="921">
        <f t="shared" si="2"/>
        <v>0</v>
      </c>
      <c r="AA66" s="921">
        <f t="shared" si="2"/>
        <v>0</v>
      </c>
      <c r="AC66" s="921">
        <f t="shared" si="2"/>
        <v>0</v>
      </c>
      <c r="AE66" s="921">
        <f t="shared" si="2"/>
        <v>0</v>
      </c>
      <c r="AG66" s="921">
        <f t="shared" si="2"/>
        <v>0</v>
      </c>
    </row>
    <row r="67" spans="1:33" s="921" customFormat="1">
      <c r="A67" s="926"/>
      <c r="B67" s="926"/>
      <c r="C67" s="924">
        <v>0.5</v>
      </c>
      <c r="E67" s="925">
        <f t="shared" si="2"/>
        <v>0</v>
      </c>
      <c r="G67" s="921">
        <f t="shared" si="2"/>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ref="G68:AG68" si="3">E68*$C$65</f>
        <v>0</v>
      </c>
      <c r="I68" s="929">
        <f t="shared" si="3"/>
        <v>0</v>
      </c>
      <c r="K68" s="929">
        <f t="shared" si="3"/>
        <v>0</v>
      </c>
      <c r="M68" s="929">
        <f t="shared" si="3"/>
        <v>0</v>
      </c>
      <c r="O68" s="929">
        <f t="shared" si="3"/>
        <v>0</v>
      </c>
      <c r="Q68" s="929">
        <f t="shared" si="3"/>
        <v>0</v>
      </c>
      <c r="S68" s="929">
        <f t="shared" si="3"/>
        <v>0</v>
      </c>
      <c r="U68" s="929">
        <f t="shared" si="3"/>
        <v>0</v>
      </c>
      <c r="W68" s="929">
        <f t="shared" si="3"/>
        <v>0</v>
      </c>
      <c r="Y68" s="929">
        <f t="shared" si="3"/>
        <v>0</v>
      </c>
      <c r="AA68" s="929">
        <f t="shared" si="3"/>
        <v>0</v>
      </c>
      <c r="AC68" s="929">
        <f t="shared" si="3"/>
        <v>0</v>
      </c>
      <c r="AE68" s="929">
        <f t="shared" si="3"/>
        <v>0</v>
      </c>
      <c r="AG68" s="929">
        <f t="shared" si="3"/>
        <v>0</v>
      </c>
    </row>
    <row r="69" spans="1:33" s="921" customFormat="1">
      <c r="A69" s="923" t="s">
        <v>2613</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2617</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2618</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82" t="s">
        <v>2619</v>
      </c>
      <c r="B76" s="2482"/>
      <c r="C76" s="2482"/>
      <c r="D76" s="2482"/>
      <c r="E76" s="2482"/>
      <c r="F76" s="2482"/>
      <c r="G76" s="2482"/>
      <c r="H76" s="2482"/>
      <c r="I76" s="2482"/>
      <c r="J76" s="2482"/>
      <c r="K76" s="2482"/>
      <c r="L76" s="2482"/>
      <c r="M76" s="2482"/>
      <c r="N76" s="2482"/>
      <c r="O76" s="2482"/>
      <c r="P76" s="2482"/>
      <c r="Q76" s="2482"/>
      <c r="R76" s="2482"/>
      <c r="S76" s="2482"/>
      <c r="T76" s="2482"/>
      <c r="U76" s="2482"/>
      <c r="V76" s="2482"/>
      <c r="W76" s="2482"/>
      <c r="X76" s="2482"/>
      <c r="Y76" s="2482"/>
      <c r="Z76" s="2482"/>
      <c r="AA76" s="2482"/>
      <c r="AB76" s="2482"/>
      <c r="AC76" s="2482"/>
      <c r="AD76" s="2482"/>
      <c r="AE76" s="2482"/>
      <c r="AF76" s="2482"/>
      <c r="AG76" s="2482"/>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84" t="s">
        <v>2620</v>
      </c>
      <c r="B1" s="2484"/>
      <c r="C1" s="2484"/>
      <c r="D1" s="2484"/>
      <c r="E1" s="2484"/>
      <c r="F1" s="2484"/>
      <c r="G1" s="2484"/>
      <c r="H1" s="2484"/>
      <c r="I1" s="2484"/>
      <c r="J1" s="143"/>
      <c r="K1" s="143"/>
    </row>
    <row r="2" spans="1:11">
      <c r="A2" s="148"/>
      <c r="B2" s="148"/>
      <c r="C2" s="148"/>
      <c r="D2" s="148"/>
      <c r="E2" s="148"/>
      <c r="F2" s="148"/>
      <c r="G2" s="148"/>
      <c r="H2" s="148"/>
      <c r="I2" s="148"/>
    </row>
    <row r="3" spans="1:11" ht="99.75">
      <c r="A3" s="357" t="s">
        <v>2621</v>
      </c>
      <c r="B3" s="357" t="s">
        <v>2622</v>
      </c>
      <c r="C3" s="232" t="s">
        <v>2623</v>
      </c>
      <c r="D3" s="143"/>
      <c r="E3" s="232" t="s">
        <v>2624</v>
      </c>
      <c r="F3" s="357" t="s">
        <v>2625</v>
      </c>
      <c r="G3" s="358"/>
      <c r="H3" s="357" t="s">
        <v>2626</v>
      </c>
      <c r="I3" s="357" t="s">
        <v>2627</v>
      </c>
      <c r="J3" s="143"/>
      <c r="K3" s="231"/>
    </row>
    <row r="4" spans="1:11">
      <c r="A4" s="359" t="str">
        <f>Application!B728</f>
        <v>1 Bedroom</v>
      </c>
      <c r="B4" s="366">
        <f>Application!G728</f>
        <v>44</v>
      </c>
      <c r="C4" s="359">
        <f>Application!O728</f>
        <v>1350.64</v>
      </c>
      <c r="D4" s="360"/>
      <c r="E4" s="234"/>
      <c r="F4" s="359">
        <f>E4*B4</f>
        <v>0</v>
      </c>
      <c r="G4" s="360"/>
      <c r="H4" s="359" t="str">
        <f>IF(E4=0," ",(E4-C4))</f>
        <v xml:space="preserve"> </v>
      </c>
      <c r="I4" s="359" t="str">
        <f>IF(E4=0," ",(H4*B4))</f>
        <v xml:space="preserve"> </v>
      </c>
      <c r="J4" s="143"/>
      <c r="K4" s="231"/>
    </row>
    <row r="5" spans="1:11">
      <c r="A5" s="359" t="str">
        <f>Application!B729</f>
        <v>1 Bedroom</v>
      </c>
      <c r="B5" s="366">
        <f>Application!G729</f>
        <v>6</v>
      </c>
      <c r="C5" s="359">
        <f>Application!O729</f>
        <v>1122.6400000000001</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1 Bedroom</v>
      </c>
      <c r="B6" s="366">
        <f>Application!G730</f>
        <v>6</v>
      </c>
      <c r="C6" s="359">
        <f>Application!O730</f>
        <v>668.64</v>
      </c>
      <c r="D6" s="360"/>
      <c r="E6" s="234"/>
      <c r="F6" s="359">
        <f t="shared" si="0"/>
        <v>0</v>
      </c>
      <c r="G6" s="360"/>
      <c r="H6" s="359" t="str">
        <f t="shared" si="1"/>
        <v xml:space="preserve"> </v>
      </c>
      <c r="I6" s="359" t="str">
        <f t="shared" si="2"/>
        <v xml:space="preserve"> </v>
      </c>
      <c r="J6" s="143"/>
      <c r="K6" s="231"/>
    </row>
    <row r="7" spans="1:11">
      <c r="A7" s="359" t="str">
        <f>Application!B731</f>
        <v>2 Bedrooms</v>
      </c>
      <c r="B7" s="366">
        <f>Application!G731</f>
        <v>23</v>
      </c>
      <c r="C7" s="359">
        <f>Application!O731</f>
        <v>1622.27</v>
      </c>
      <c r="D7" s="360"/>
      <c r="E7" s="234"/>
      <c r="F7" s="359">
        <f t="shared" si="0"/>
        <v>0</v>
      </c>
      <c r="G7" s="360"/>
      <c r="H7" s="359" t="str">
        <f t="shared" si="1"/>
        <v xml:space="preserve"> </v>
      </c>
      <c r="I7" s="359" t="str">
        <f t="shared" si="2"/>
        <v xml:space="preserve"> </v>
      </c>
      <c r="J7" s="143"/>
      <c r="K7" s="231"/>
    </row>
    <row r="8" spans="1:11">
      <c r="A8" s="359" t="str">
        <f>Application!B732</f>
        <v>2 Bedrooms</v>
      </c>
      <c r="B8" s="366">
        <f>Application!G732</f>
        <v>4</v>
      </c>
      <c r="C8" s="359">
        <f>Application!O732</f>
        <v>1349.27</v>
      </c>
      <c r="D8" s="360"/>
      <c r="E8" s="234"/>
      <c r="F8" s="359">
        <f t="shared" si="0"/>
        <v>0</v>
      </c>
      <c r="G8" s="360"/>
      <c r="H8" s="359" t="str">
        <f t="shared" si="1"/>
        <v xml:space="preserve"> </v>
      </c>
      <c r="I8" s="359" t="str">
        <f t="shared" si="2"/>
        <v xml:space="preserve"> </v>
      </c>
      <c r="J8" s="143"/>
      <c r="K8" s="231"/>
    </row>
    <row r="9" spans="1:11">
      <c r="A9" s="359" t="str">
        <f>Application!B733</f>
        <v>2 Bedrooms</v>
      </c>
      <c r="B9" s="366">
        <f>Application!G733</f>
        <v>4</v>
      </c>
      <c r="C9" s="359">
        <f>Application!O733</f>
        <v>804.27</v>
      </c>
      <c r="D9" s="360"/>
      <c r="E9" s="234"/>
      <c r="F9" s="359">
        <f t="shared" si="0"/>
        <v>0</v>
      </c>
      <c r="G9" s="360"/>
      <c r="H9" s="359" t="str">
        <f t="shared" si="1"/>
        <v xml:space="preserve"> </v>
      </c>
      <c r="I9" s="359" t="str">
        <f t="shared" si="2"/>
        <v xml:space="preserve"> </v>
      </c>
      <c r="J9" s="143"/>
      <c r="K9" s="231"/>
    </row>
    <row r="10" spans="1:11">
      <c r="A10" s="359" t="str">
        <f>Application!B734</f>
        <v>3 Bedrooms</v>
      </c>
      <c r="B10" s="366">
        <f>Application!G734</f>
        <v>24</v>
      </c>
      <c r="C10" s="359">
        <f>Application!O734</f>
        <v>1874.56</v>
      </c>
      <c r="D10" s="360"/>
      <c r="E10" s="234"/>
      <c r="F10" s="359">
        <f t="shared" si="0"/>
        <v>0</v>
      </c>
      <c r="G10" s="360"/>
      <c r="H10" s="359" t="str">
        <f t="shared" si="1"/>
        <v xml:space="preserve"> </v>
      </c>
      <c r="I10" s="359" t="str">
        <f t="shared" si="2"/>
        <v xml:space="preserve"> </v>
      </c>
      <c r="J10" s="143"/>
      <c r="K10" s="231"/>
    </row>
    <row r="11" spans="1:11">
      <c r="A11" s="359" t="str">
        <f>Application!B735</f>
        <v>3 Bedrooms</v>
      </c>
      <c r="B11" s="366">
        <f>Application!G735</f>
        <v>4</v>
      </c>
      <c r="C11" s="359">
        <f>Application!O735</f>
        <v>1559.56</v>
      </c>
      <c r="D11" s="360"/>
      <c r="E11" s="234"/>
      <c r="F11" s="359">
        <f t="shared" si="0"/>
        <v>0</v>
      </c>
      <c r="G11" s="360"/>
      <c r="H11" s="359" t="str">
        <f t="shared" si="1"/>
        <v xml:space="preserve"> </v>
      </c>
      <c r="I11" s="359" t="str">
        <f t="shared" si="2"/>
        <v xml:space="preserve"> </v>
      </c>
      <c r="J11" s="143"/>
      <c r="K11" s="231"/>
    </row>
    <row r="12" spans="1:11">
      <c r="A12" s="359" t="str">
        <f>Application!B736</f>
        <v>3 Bedrooms</v>
      </c>
      <c r="B12" s="366">
        <f>Application!G736</f>
        <v>4</v>
      </c>
      <c r="C12" s="359">
        <f>Application!O736</f>
        <v>929.56</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ht="15">
      <c r="A30" s="361" t="s">
        <v>2628</v>
      </c>
      <c r="B30" s="362"/>
      <c r="C30" s="363">
        <f>Application!T753</f>
        <v>171048.12999999998</v>
      </c>
      <c r="D30" s="360"/>
      <c r="E30" s="360"/>
      <c r="F30" s="363">
        <f>SUM(F4:F28)*12</f>
        <v>0</v>
      </c>
      <c r="G30" s="364"/>
      <c r="H30" s="362"/>
      <c r="I30" s="363">
        <f>SUM(I4:I28)*12</f>
        <v>0</v>
      </c>
      <c r="J30" s="143"/>
      <c r="K30" s="233"/>
    </row>
    <row r="31" spans="1:11" ht="15">
      <c r="A31" s="361"/>
      <c r="B31" s="362"/>
      <c r="C31" s="364"/>
      <c r="D31" s="360"/>
      <c r="E31" s="360"/>
      <c r="F31" s="364"/>
      <c r="G31" s="364"/>
      <c r="H31" s="362"/>
      <c r="I31" s="364"/>
      <c r="J31" s="143"/>
      <c r="K31" s="233"/>
    </row>
    <row r="32" spans="1:11">
      <c r="A32" s="365" t="s">
        <v>2629</v>
      </c>
      <c r="B32" s="148"/>
      <c r="C32" s="148"/>
      <c r="D32" s="148"/>
      <c r="E32" s="148"/>
      <c r="F32" s="148"/>
      <c r="G32" s="148"/>
      <c r="H32" s="148"/>
      <c r="I32" s="148"/>
    </row>
    <row r="33" spans="1:9">
      <c r="A33" s="365" t="s">
        <v>2630</v>
      </c>
      <c r="B33" s="148"/>
      <c r="C33" s="148"/>
      <c r="D33" s="148"/>
      <c r="E33" s="148"/>
      <c r="F33" s="148"/>
      <c r="G33" s="148"/>
      <c r="H33" s="148"/>
      <c r="I33" s="148"/>
    </row>
    <row r="34" spans="1:9">
      <c r="A34" s="148" t="s">
        <v>2631</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42" t="s">
        <v>2632</v>
      </c>
    </row>
    <row r="2" spans="1:1" ht="15.75">
      <c r="A2" s="243"/>
    </row>
    <row r="3" spans="1:1" ht="15.75">
      <c r="A3" s="244" t="s">
        <v>2633</v>
      </c>
    </row>
    <row r="4" spans="1:1" ht="15.75">
      <c r="A4" s="244" t="s">
        <v>2634</v>
      </c>
    </row>
    <row r="5" spans="1:1" ht="15.75">
      <c r="A5" s="244" t="s">
        <v>2635</v>
      </c>
    </row>
    <row r="6" spans="1:1" ht="15.75">
      <c r="A6" s="244" t="s">
        <v>2636</v>
      </c>
    </row>
    <row r="7" spans="1:1" ht="15.75">
      <c r="A7" s="244" t="s">
        <v>2637</v>
      </c>
    </row>
    <row r="8" spans="1:1" ht="15.75">
      <c r="A8" s="274" t="s">
        <v>2638</v>
      </c>
    </row>
    <row r="9" spans="1:1" ht="15.75">
      <c r="A9" s="244" t="s">
        <v>2639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9" zoomScaleNormal="100" zoomScaleSheetLayoutView="100" workbookViewId="0">
      <selection activeCell="A95" sqref="A9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6" t="s">
        <v>2640</v>
      </c>
      <c r="D1" s="209"/>
    </row>
    <row r="2" spans="1:7" s="204" customFormat="1">
      <c r="A2" s="187" t="s">
        <v>2641</v>
      </c>
      <c r="B2" s="189"/>
      <c r="C2" s="189"/>
      <c r="D2" s="186"/>
      <c r="E2" s="190"/>
      <c r="F2" s="189"/>
    </row>
    <row r="3" spans="1:7" s="279" customFormat="1" ht="80.25" customHeight="1">
      <c r="A3" s="206"/>
      <c r="B3" s="191" t="s">
        <v>2642</v>
      </c>
      <c r="C3" s="191" t="s">
        <v>2643</v>
      </c>
      <c r="D3" s="191" t="s">
        <v>2644</v>
      </c>
      <c r="E3" s="188" t="s">
        <v>2645</v>
      </c>
      <c r="F3" s="188"/>
      <c r="G3" s="282"/>
    </row>
    <row r="4" spans="1:7" s="280" customFormat="1">
      <c r="A4" s="192" t="s">
        <v>1791</v>
      </c>
      <c r="B4" s="192"/>
      <c r="C4" s="192"/>
      <c r="D4" s="192"/>
      <c r="E4" s="211"/>
      <c r="F4" s="192"/>
      <c r="G4" s="283"/>
    </row>
    <row r="5" spans="1:7" s="280" customFormat="1">
      <c r="A5" s="295" t="s">
        <v>1792</v>
      </c>
      <c r="B5" s="194">
        <f>'Sources and Uses Budget'!$C4</f>
        <v>3500000</v>
      </c>
      <c r="C5" s="194">
        <f>'Sources and Uses Budget'!$C4</f>
        <v>3500000</v>
      </c>
      <c r="D5" s="198">
        <f>C5-B5</f>
        <v>0</v>
      </c>
      <c r="E5" s="196"/>
      <c r="F5" s="195"/>
      <c r="G5" s="283"/>
    </row>
    <row r="6" spans="1:7" s="280" customFormat="1">
      <c r="A6" s="295" t="s">
        <v>1793</v>
      </c>
      <c r="B6" s="194">
        <f>'Sources and Uses Budget'!$C5</f>
        <v>0</v>
      </c>
      <c r="C6" s="194">
        <f>'Sources and Uses Budget'!$C5</f>
        <v>0</v>
      </c>
      <c r="D6" s="198">
        <f t="shared" ref="D6:D77" si="0">C6-B6</f>
        <v>0</v>
      </c>
      <c r="E6" s="196"/>
      <c r="F6" s="195"/>
      <c r="G6" s="283"/>
    </row>
    <row r="7" spans="1:7" s="280" customFormat="1">
      <c r="A7" s="295" t="s">
        <v>1794</v>
      </c>
      <c r="B7" s="194">
        <f>'Sources and Uses Budget'!$C6</f>
        <v>5000</v>
      </c>
      <c r="C7" s="194">
        <f>'Sources and Uses Budget'!$C6</f>
        <v>5000</v>
      </c>
      <c r="D7" s="198">
        <f t="shared" si="0"/>
        <v>0</v>
      </c>
      <c r="E7" s="196"/>
      <c r="F7" s="195"/>
      <c r="G7" s="283"/>
    </row>
    <row r="8" spans="1:7" s="280" customFormat="1">
      <c r="A8" s="295" t="s">
        <v>1795</v>
      </c>
      <c r="B8" s="194">
        <f>'Sources and Uses Budget'!$C7</f>
        <v>0</v>
      </c>
      <c r="C8" s="194">
        <f>'Sources and Uses Budget'!$C7</f>
        <v>0</v>
      </c>
      <c r="D8" s="198">
        <f t="shared" si="0"/>
        <v>0</v>
      </c>
      <c r="E8" s="196"/>
      <c r="F8" s="195"/>
      <c r="G8" s="283"/>
    </row>
    <row r="9" spans="1:7" s="280" customFormat="1">
      <c r="A9" s="296" t="s">
        <v>1796</v>
      </c>
      <c r="B9" s="198">
        <f>SUM(B5:B8)</f>
        <v>3505000</v>
      </c>
      <c r="C9" s="198">
        <f>SUM(C5:C8)</f>
        <v>3505000</v>
      </c>
      <c r="D9" s="198">
        <f t="shared" si="0"/>
        <v>0</v>
      </c>
      <c r="E9" s="196"/>
      <c r="F9" s="195"/>
      <c r="G9" s="283"/>
    </row>
    <row r="10" spans="1:7" s="280" customFormat="1">
      <c r="A10" s="295" t="s">
        <v>1797</v>
      </c>
      <c r="B10" s="194">
        <f>'Sources and Uses Budget'!$C9</f>
        <v>2020000</v>
      </c>
      <c r="C10" s="194">
        <f>'Sources and Uses Budget'!$C9</f>
        <v>2020000</v>
      </c>
      <c r="D10" s="198">
        <f t="shared" si="0"/>
        <v>0</v>
      </c>
      <c r="E10" s="196"/>
      <c r="F10" s="195"/>
      <c r="G10" s="283"/>
    </row>
    <row r="11" spans="1:7" s="280" customFormat="1">
      <c r="A11" s="295" t="s">
        <v>1798</v>
      </c>
      <c r="B11" s="194">
        <f>'Sources and Uses Budget'!$C10</f>
        <v>0</v>
      </c>
      <c r="C11" s="194">
        <f>'Sources and Uses Budget'!$C10</f>
        <v>0</v>
      </c>
      <c r="D11" s="198">
        <f t="shared" si="0"/>
        <v>0</v>
      </c>
      <c r="E11" s="196"/>
      <c r="F11" s="195"/>
      <c r="G11" s="283"/>
    </row>
    <row r="12" spans="1:7" s="280" customFormat="1">
      <c r="A12" s="296" t="s">
        <v>1799</v>
      </c>
      <c r="B12" s="198">
        <f>SUM(B10:B11)</f>
        <v>2020000</v>
      </c>
      <c r="C12" s="198">
        <f>SUM(C10:C11)</f>
        <v>2020000</v>
      </c>
      <c r="D12" s="198">
        <f t="shared" si="0"/>
        <v>0</v>
      </c>
      <c r="E12" s="196"/>
      <c r="F12" s="195"/>
      <c r="G12" s="283"/>
    </row>
    <row r="13" spans="1:7" s="280" customFormat="1">
      <c r="A13" s="296" t="s">
        <v>1800</v>
      </c>
      <c r="B13" s="198">
        <f>SUM(B9+B12)</f>
        <v>5525000</v>
      </c>
      <c r="C13" s="198">
        <f>SUM(C9+C12)</f>
        <v>5525000</v>
      </c>
      <c r="D13" s="198">
        <f t="shared" si="0"/>
        <v>0</v>
      </c>
      <c r="E13" s="196"/>
      <c r="F13" s="195"/>
      <c r="G13" s="283"/>
    </row>
    <row r="14" spans="1:7" s="280" customFormat="1">
      <c r="A14" s="297" t="s">
        <v>1801</v>
      </c>
      <c r="B14" s="194">
        <f>'Sources and Uses Budget'!$C13</f>
        <v>0</v>
      </c>
      <c r="C14" s="194">
        <f>'Sources and Uses Budget'!$C13</f>
        <v>0</v>
      </c>
      <c r="D14" s="198">
        <f t="shared" si="0"/>
        <v>0</v>
      </c>
      <c r="E14" s="196"/>
      <c r="F14" s="195"/>
      <c r="G14" s="283"/>
    </row>
    <row r="15" spans="1:7" s="280" customFormat="1" ht="24">
      <c r="A15" s="295" t="s">
        <v>1918</v>
      </c>
      <c r="B15" s="194">
        <f>'Sources and Uses Budget'!$C14</f>
        <v>0</v>
      </c>
      <c r="C15" s="194">
        <f>'Sources and Uses Budget'!$C14</f>
        <v>0</v>
      </c>
      <c r="D15" s="198">
        <f t="shared" si="0"/>
        <v>0</v>
      </c>
      <c r="E15" s="196"/>
      <c r="F15" s="195"/>
      <c r="G15" s="283"/>
    </row>
    <row r="16" spans="1:7" s="280" customFormat="1">
      <c r="A16" s="295" t="s">
        <v>1803</v>
      </c>
      <c r="B16" s="194">
        <f>'Sources and Uses Budget'!$C15</f>
        <v>0</v>
      </c>
      <c r="C16" s="194">
        <f>'Sources and Uses Budget'!$C15</f>
        <v>0</v>
      </c>
      <c r="D16" s="198">
        <f t="shared" si="0"/>
        <v>0</v>
      </c>
      <c r="E16" s="196"/>
      <c r="F16" s="195"/>
      <c r="G16" s="283"/>
    </row>
    <row r="17" spans="1:7" s="280" customFormat="1">
      <c r="A17" s="192" t="s">
        <v>1804</v>
      </c>
      <c r="B17" s="192"/>
      <c r="C17" s="192"/>
      <c r="D17" s="192"/>
      <c r="E17" s="211"/>
      <c r="F17" s="192"/>
      <c r="G17" s="283"/>
    </row>
    <row r="18" spans="1:7" s="280" customFormat="1">
      <c r="A18" s="212" t="s">
        <v>1805</v>
      </c>
      <c r="B18" s="194">
        <f>'Sources and Uses Budget'!$C17</f>
        <v>0</v>
      </c>
      <c r="C18" s="194">
        <f>'Sources and Uses Budget'!$C17</f>
        <v>0</v>
      </c>
      <c r="D18" s="198">
        <f t="shared" si="0"/>
        <v>0</v>
      </c>
      <c r="E18" s="196"/>
      <c r="F18" s="195"/>
      <c r="G18" s="283"/>
    </row>
    <row r="19" spans="1:7" s="280" customFormat="1">
      <c r="A19" s="212" t="s">
        <v>1806</v>
      </c>
      <c r="B19" s="194">
        <f>'Sources and Uses Budget'!$C18</f>
        <v>0</v>
      </c>
      <c r="C19" s="194">
        <f>'Sources and Uses Budget'!$C18</f>
        <v>0</v>
      </c>
      <c r="D19" s="198">
        <f t="shared" si="0"/>
        <v>0</v>
      </c>
      <c r="E19" s="196"/>
      <c r="F19" s="195"/>
      <c r="G19" s="283"/>
    </row>
    <row r="20" spans="1:7" s="280" customFormat="1">
      <c r="A20" s="212" t="s">
        <v>1807</v>
      </c>
      <c r="B20" s="194">
        <f>'Sources and Uses Budget'!$C19</f>
        <v>0</v>
      </c>
      <c r="C20" s="194">
        <f>'Sources and Uses Budget'!$C19</f>
        <v>0</v>
      </c>
      <c r="D20" s="198">
        <f t="shared" si="0"/>
        <v>0</v>
      </c>
      <c r="E20" s="196"/>
      <c r="F20" s="195"/>
      <c r="G20" s="283"/>
    </row>
    <row r="21" spans="1:7" s="280" customFormat="1">
      <c r="A21" s="212" t="s">
        <v>1808</v>
      </c>
      <c r="B21" s="194">
        <f>'Sources and Uses Budget'!$C20</f>
        <v>0</v>
      </c>
      <c r="C21" s="194">
        <f>'Sources and Uses Budget'!$C20</f>
        <v>0</v>
      </c>
      <c r="D21" s="198">
        <f t="shared" si="0"/>
        <v>0</v>
      </c>
      <c r="E21" s="196"/>
      <c r="F21" s="195"/>
      <c r="G21" s="283"/>
    </row>
    <row r="22" spans="1:7" s="280" customFormat="1">
      <c r="A22" s="212" t="s">
        <v>1809</v>
      </c>
      <c r="B22" s="194">
        <f>'Sources and Uses Budget'!$C21</f>
        <v>0</v>
      </c>
      <c r="C22" s="194">
        <f>'Sources and Uses Budget'!$C21</f>
        <v>0</v>
      </c>
      <c r="D22" s="198">
        <f t="shared" si="0"/>
        <v>0</v>
      </c>
      <c r="E22" s="196"/>
      <c r="F22" s="195"/>
      <c r="G22" s="283"/>
    </row>
    <row r="23" spans="1:7" s="280" customFormat="1">
      <c r="A23" s="212" t="s">
        <v>1810</v>
      </c>
      <c r="B23" s="194">
        <f>'Sources and Uses Budget'!$C22</f>
        <v>0</v>
      </c>
      <c r="C23" s="194">
        <f>'Sources and Uses Budget'!$C22</f>
        <v>0</v>
      </c>
      <c r="D23" s="198">
        <f t="shared" si="0"/>
        <v>0</v>
      </c>
      <c r="E23" s="196"/>
      <c r="F23" s="195"/>
      <c r="G23" s="283"/>
    </row>
    <row r="24" spans="1:7" s="280" customFormat="1">
      <c r="A24" s="212" t="s">
        <v>1811</v>
      </c>
      <c r="B24" s="194">
        <f>'Sources and Uses Budget'!$C23</f>
        <v>0</v>
      </c>
      <c r="C24" s="194">
        <f>'Sources and Uses Budget'!$C23</f>
        <v>0</v>
      </c>
      <c r="D24" s="198">
        <f t="shared" si="0"/>
        <v>0</v>
      </c>
      <c r="E24" s="196"/>
      <c r="F24" s="195"/>
      <c r="G24" s="283"/>
    </row>
    <row r="25" spans="1:7" s="280" customFormat="1">
      <c r="A25" s="442" t="s">
        <v>1812</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1814</v>
      </c>
      <c r="B27" s="198">
        <f>SUM(B18:B26)</f>
        <v>0</v>
      </c>
      <c r="C27" s="198">
        <f>SUM(C18:C26)</f>
        <v>0</v>
      </c>
      <c r="D27" s="198">
        <f>SUM(D18:D26)</f>
        <v>0</v>
      </c>
      <c r="E27" s="196"/>
      <c r="F27" s="195"/>
      <c r="G27" s="283"/>
    </row>
    <row r="28" spans="1:7" s="280" customFormat="1">
      <c r="A28" s="199" t="s">
        <v>1815</v>
      </c>
      <c r="B28" s="194">
        <f>'Sources and Uses Budget'!$C$27</f>
        <v>0</v>
      </c>
      <c r="C28" s="194">
        <f>'Sources and Uses Budget'!$C$27</f>
        <v>0</v>
      </c>
      <c r="D28" s="198">
        <f t="shared" si="0"/>
        <v>0</v>
      </c>
      <c r="E28" s="196"/>
      <c r="F28" s="195"/>
      <c r="G28" s="283"/>
    </row>
    <row r="29" spans="1:7" s="280" customFormat="1">
      <c r="A29" s="192" t="s">
        <v>1816</v>
      </c>
      <c r="B29" s="192"/>
      <c r="C29" s="192"/>
      <c r="D29" s="192"/>
      <c r="E29" s="211"/>
      <c r="F29" s="192"/>
      <c r="G29" s="283"/>
    </row>
    <row r="30" spans="1:7" s="280" customFormat="1">
      <c r="A30" s="212" t="s">
        <v>1805</v>
      </c>
      <c r="B30" s="194">
        <f>'Sources and Uses Budget'!$C29</f>
        <v>2996510</v>
      </c>
      <c r="C30" s="194">
        <f>'Sources and Uses Budget'!$C29</f>
        <v>2996510</v>
      </c>
      <c r="D30" s="198">
        <f t="shared" si="0"/>
        <v>0</v>
      </c>
      <c r="E30" s="196"/>
      <c r="F30" s="195"/>
      <c r="G30" s="283"/>
    </row>
    <row r="31" spans="1:7" s="280" customFormat="1">
      <c r="A31" s="212" t="s">
        <v>1806</v>
      </c>
      <c r="B31" s="194">
        <f>'Sources and Uses Budget'!$C30</f>
        <v>16532711</v>
      </c>
      <c r="C31" s="194">
        <f>'Sources and Uses Budget'!$C30</f>
        <v>16532711</v>
      </c>
      <c r="D31" s="198">
        <f t="shared" si="0"/>
        <v>0</v>
      </c>
      <c r="E31" s="196"/>
      <c r="F31" s="195"/>
      <c r="G31" s="283"/>
    </row>
    <row r="32" spans="1:7" s="280" customFormat="1">
      <c r="A32" s="212" t="s">
        <v>1807</v>
      </c>
      <c r="B32" s="194">
        <f>'Sources and Uses Budget'!$C31</f>
        <v>1171753</v>
      </c>
      <c r="C32" s="194">
        <f>'Sources and Uses Budget'!$C31</f>
        <v>1171753</v>
      </c>
      <c r="D32" s="198">
        <f t="shared" si="0"/>
        <v>0</v>
      </c>
      <c r="E32" s="196"/>
      <c r="F32" s="195"/>
      <c r="G32" s="283"/>
    </row>
    <row r="33" spans="1:7" s="280" customFormat="1">
      <c r="A33" s="212" t="s">
        <v>1808</v>
      </c>
      <c r="B33" s="194">
        <f>'Sources and Uses Budget'!$C32</f>
        <v>390584</v>
      </c>
      <c r="C33" s="194">
        <f>'Sources and Uses Budget'!$C32</f>
        <v>390584</v>
      </c>
      <c r="D33" s="198">
        <f t="shared" si="0"/>
        <v>0</v>
      </c>
      <c r="E33" s="196"/>
      <c r="F33" s="195"/>
      <c r="G33" s="283"/>
    </row>
    <row r="34" spans="1:7" s="280" customFormat="1">
      <c r="A34" s="212" t="s">
        <v>1809</v>
      </c>
      <c r="B34" s="194">
        <f>'Sources and Uses Budget'!$C33</f>
        <v>1171753</v>
      </c>
      <c r="C34" s="194">
        <f>'Sources and Uses Budget'!$C33</f>
        <v>1171753</v>
      </c>
      <c r="D34" s="198">
        <f t="shared" si="0"/>
        <v>0</v>
      </c>
      <c r="E34" s="196"/>
      <c r="F34" s="195"/>
      <c r="G34" s="283"/>
    </row>
    <row r="35" spans="1:7" s="280" customFormat="1">
      <c r="A35" s="212" t="s">
        <v>1810</v>
      </c>
      <c r="B35" s="194">
        <f>'Sources and Uses Budget'!$C34</f>
        <v>0</v>
      </c>
      <c r="C35" s="194">
        <f>'Sources and Uses Budget'!$C34</f>
        <v>0</v>
      </c>
      <c r="D35" s="198">
        <f t="shared" si="0"/>
        <v>0</v>
      </c>
      <c r="E35" s="196"/>
      <c r="F35" s="195"/>
      <c r="G35" s="283"/>
    </row>
    <row r="36" spans="1:7" s="280" customFormat="1">
      <c r="A36" s="212" t="s">
        <v>1811</v>
      </c>
      <c r="B36" s="194">
        <f>'Sources and Uses Budget'!$C35</f>
        <v>195292</v>
      </c>
      <c r="C36" s="194">
        <f>'Sources and Uses Budget'!$C35</f>
        <v>195292</v>
      </c>
      <c r="D36" s="198">
        <f t="shared" si="0"/>
        <v>0</v>
      </c>
      <c r="E36" s="196"/>
      <c r="F36" s="195"/>
      <c r="G36" s="283"/>
    </row>
    <row r="37" spans="1:7" s="280" customFormat="1">
      <c r="A37" s="212" t="s">
        <v>1812</v>
      </c>
      <c r="B37" s="194">
        <f>'Sources and Uses Budget'!$C36</f>
        <v>0</v>
      </c>
      <c r="C37" s="194">
        <f>'Sources and Uses Budget'!$C36</f>
        <v>0</v>
      </c>
      <c r="D37" s="198"/>
      <c r="E37" s="196"/>
      <c r="F37" s="195"/>
      <c r="G37" s="283"/>
    </row>
    <row r="38" spans="1:7" s="280" customFormat="1">
      <c r="A38" s="442" t="str">
        <f>'Sources and Uses Budget'!A37</f>
        <v>Solar</v>
      </c>
      <c r="B38" s="194">
        <f>'Sources and Uses Budget'!$C37</f>
        <v>1200000</v>
      </c>
      <c r="C38" s="194">
        <f>'Sources and Uses Budget'!$C37</f>
        <v>1200000</v>
      </c>
      <c r="D38" s="198">
        <f t="shared" si="0"/>
        <v>0</v>
      </c>
      <c r="E38" s="196"/>
      <c r="F38" s="195"/>
      <c r="G38" s="283"/>
    </row>
    <row r="39" spans="1:7" s="280" customFormat="1">
      <c r="A39" s="199" t="s">
        <v>1818</v>
      </c>
      <c r="B39" s="198">
        <f>SUM(B30:B38)</f>
        <v>23658603</v>
      </c>
      <c r="C39" s="198">
        <f>SUM(C30:C38)</f>
        <v>23658603</v>
      </c>
      <c r="D39" s="198">
        <f t="shared" si="0"/>
        <v>0</v>
      </c>
      <c r="E39" s="196"/>
      <c r="F39" s="195"/>
      <c r="G39" s="283"/>
    </row>
    <row r="40" spans="1:7" s="280" customFormat="1">
      <c r="A40" s="192" t="s">
        <v>1819</v>
      </c>
      <c r="B40" s="192"/>
      <c r="C40" s="192"/>
      <c r="D40" s="192"/>
      <c r="E40" s="211"/>
      <c r="F40" s="192"/>
      <c r="G40" s="283"/>
    </row>
    <row r="41" spans="1:7" s="280" customFormat="1">
      <c r="A41" s="197" t="s">
        <v>1820</v>
      </c>
      <c r="B41" s="194">
        <f>'Sources and Uses Budget'!$C40</f>
        <v>910980</v>
      </c>
      <c r="C41" s="194">
        <f>'Sources and Uses Budget'!$C40</f>
        <v>910980</v>
      </c>
      <c r="D41" s="198">
        <f t="shared" si="0"/>
        <v>0</v>
      </c>
      <c r="E41" s="196"/>
      <c r="F41" s="195"/>
      <c r="G41" s="283"/>
    </row>
    <row r="42" spans="1:7" s="280" customFormat="1">
      <c r="A42" s="197" t="s">
        <v>1821</v>
      </c>
      <c r="B42" s="194">
        <f>'Sources and Uses Budget'!$C41</f>
        <v>0</v>
      </c>
      <c r="C42" s="194">
        <f>'Sources and Uses Budget'!$C41</f>
        <v>0</v>
      </c>
      <c r="D42" s="198">
        <f t="shared" si="0"/>
        <v>0</v>
      </c>
      <c r="E42" s="196"/>
      <c r="F42" s="195"/>
      <c r="G42" s="283"/>
    </row>
    <row r="43" spans="1:7" s="280" customFormat="1">
      <c r="A43" s="199" t="s">
        <v>1822</v>
      </c>
      <c r="B43" s="198">
        <f>SUM(B41:B42)</f>
        <v>910980</v>
      </c>
      <c r="C43" s="198">
        <f>SUM(C41:C42)</f>
        <v>910980</v>
      </c>
      <c r="D43" s="198">
        <f t="shared" si="0"/>
        <v>0</v>
      </c>
      <c r="E43" s="196"/>
      <c r="F43" s="195"/>
      <c r="G43" s="283"/>
    </row>
    <row r="44" spans="1:7" s="280" customFormat="1">
      <c r="A44" s="199" t="s">
        <v>1823</v>
      </c>
      <c r="B44" s="194">
        <f>'Sources and Uses Budget'!$C43</f>
        <v>910000</v>
      </c>
      <c r="C44" s="194">
        <f>'Sources and Uses Budget'!$C43</f>
        <v>910000</v>
      </c>
      <c r="D44" s="198">
        <f t="shared" si="0"/>
        <v>0</v>
      </c>
      <c r="E44" s="196"/>
      <c r="F44" s="195"/>
      <c r="G44" s="283"/>
    </row>
    <row r="45" spans="1:7" s="280" customFormat="1" ht="12" customHeight="1">
      <c r="A45" s="192" t="s">
        <v>1824</v>
      </c>
      <c r="B45" s="192"/>
      <c r="C45" s="192"/>
      <c r="D45" s="192"/>
      <c r="E45" s="211"/>
      <c r="F45" s="192"/>
      <c r="G45" s="283"/>
    </row>
    <row r="46" spans="1:7" s="280" customFormat="1">
      <c r="A46" s="212" t="s">
        <v>1825</v>
      </c>
      <c r="B46" s="194">
        <f>'Sources and Uses Budget'!$C45</f>
        <v>1832642</v>
      </c>
      <c r="C46" s="194">
        <f>'Sources and Uses Budget'!$C45</f>
        <v>1832642</v>
      </c>
      <c r="D46" s="198">
        <f t="shared" si="0"/>
        <v>0</v>
      </c>
      <c r="E46" s="196"/>
      <c r="F46" s="195"/>
      <c r="G46" s="283"/>
    </row>
    <row r="47" spans="1:7" s="280" customFormat="1">
      <c r="A47" s="212" t="s">
        <v>1826</v>
      </c>
      <c r="B47" s="194">
        <f>'Sources and Uses Budget'!$C46</f>
        <v>254071</v>
      </c>
      <c r="C47" s="194">
        <f>'Sources and Uses Budget'!$C46</f>
        <v>254071</v>
      </c>
      <c r="D47" s="198">
        <f t="shared" si="0"/>
        <v>0</v>
      </c>
      <c r="E47" s="196"/>
      <c r="F47" s="195"/>
      <c r="G47" s="283"/>
    </row>
    <row r="48" spans="1:7" s="280" customFormat="1" ht="12" customHeight="1">
      <c r="A48" s="1111" t="s">
        <v>1827</v>
      </c>
      <c r="B48" s="194">
        <f>'Sources and Uses Budget'!$C47</f>
        <v>0</v>
      </c>
      <c r="C48" s="194">
        <f>'Sources and Uses Budget'!$C47</f>
        <v>0</v>
      </c>
      <c r="D48" s="198">
        <f t="shared" si="0"/>
        <v>0</v>
      </c>
      <c r="E48" s="196"/>
      <c r="F48" s="195"/>
      <c r="G48" s="283"/>
    </row>
    <row r="49" spans="1:7" s="280" customFormat="1">
      <c r="A49" s="212" t="s">
        <v>1828</v>
      </c>
      <c r="B49" s="194">
        <f>'Sources and Uses Budget'!$C48</f>
        <v>0</v>
      </c>
      <c r="C49" s="194">
        <f>'Sources and Uses Budget'!$C48</f>
        <v>0</v>
      </c>
      <c r="D49" s="198">
        <f t="shared" si="0"/>
        <v>0</v>
      </c>
      <c r="E49" s="196"/>
      <c r="F49" s="195"/>
      <c r="G49" s="283"/>
    </row>
    <row r="50" spans="1:7" s="280" customFormat="1">
      <c r="A50" s="212" t="s">
        <v>1829</v>
      </c>
      <c r="B50" s="194">
        <f>'Sources and Uses Budget'!$C49</f>
        <v>48438</v>
      </c>
      <c r="C50" s="194">
        <f>'Sources and Uses Budget'!$C49</f>
        <v>48438</v>
      </c>
      <c r="D50" s="198">
        <f t="shared" si="0"/>
        <v>0</v>
      </c>
      <c r="E50" s="196"/>
      <c r="F50" s="195"/>
      <c r="G50" s="283"/>
    </row>
    <row r="51" spans="1:7" s="280" customFormat="1">
      <c r="A51" s="212" t="s">
        <v>1830</v>
      </c>
      <c r="B51" s="194">
        <f>'Sources and Uses Budget'!$C50</f>
        <v>50000</v>
      </c>
      <c r="C51" s="194">
        <f>'Sources and Uses Budget'!$C50</f>
        <v>50000</v>
      </c>
      <c r="D51" s="198">
        <f t="shared" si="0"/>
        <v>0</v>
      </c>
      <c r="E51" s="196"/>
      <c r="F51" s="195"/>
      <c r="G51" s="283"/>
    </row>
    <row r="52" spans="1:7" s="280" customFormat="1">
      <c r="A52" s="212" t="s">
        <v>1831</v>
      </c>
      <c r="B52" s="194">
        <f>'Sources and Uses Budget'!$C51</f>
        <v>179490</v>
      </c>
      <c r="C52" s="194">
        <f>'Sources and Uses Budget'!$C51</f>
        <v>179490</v>
      </c>
      <c r="D52" s="198">
        <f t="shared" si="0"/>
        <v>0</v>
      </c>
      <c r="E52" s="196"/>
      <c r="F52" s="195"/>
      <c r="G52" s="283"/>
    </row>
    <row r="53" spans="1:7" s="280" customFormat="1">
      <c r="A53" s="212" t="s">
        <v>1832</v>
      </c>
      <c r="B53" s="194">
        <f>'Sources and Uses Budget'!$C52</f>
        <v>454708</v>
      </c>
      <c r="C53" s="194">
        <f>'Sources and Uses Budget'!$C52</f>
        <v>454708</v>
      </c>
      <c r="D53" s="198">
        <f t="shared" si="0"/>
        <v>0</v>
      </c>
      <c r="E53" s="196"/>
      <c r="F53" s="195"/>
      <c r="G53" s="283"/>
    </row>
    <row r="54" spans="1:7" s="280" customFormat="1" ht="24">
      <c r="A54" s="442" t="str">
        <f>'Sources and Uses Budget'!A53</f>
        <v>Lender Inspection Fee, Construction Management and Monitoring</v>
      </c>
      <c r="B54" s="194">
        <f>'Sources and Uses Budget'!$C53</f>
        <v>425000</v>
      </c>
      <c r="C54" s="194">
        <f>'Sources and Uses Budget'!$C53</f>
        <v>425000</v>
      </c>
      <c r="D54" s="198">
        <f t="shared" si="0"/>
        <v>0</v>
      </c>
      <c r="E54" s="196"/>
      <c r="F54" s="195"/>
      <c r="G54" s="283"/>
    </row>
    <row r="55" spans="1:7" s="281" customFormat="1">
      <c r="A55" s="199" t="s">
        <v>1834</v>
      </c>
      <c r="B55" s="201">
        <f>SUM(B46:B54)</f>
        <v>3244349</v>
      </c>
      <c r="C55" s="201">
        <f>SUM(C46:C54)</f>
        <v>3244349</v>
      </c>
      <c r="D55" s="198">
        <f t="shared" si="0"/>
        <v>0</v>
      </c>
      <c r="E55" s="196"/>
      <c r="F55" s="195"/>
      <c r="G55" s="284"/>
    </row>
    <row r="56" spans="1:7" s="280" customFormat="1">
      <c r="A56" s="192" t="s">
        <v>1435</v>
      </c>
      <c r="B56" s="192"/>
      <c r="C56" s="192"/>
      <c r="D56" s="192"/>
      <c r="E56" s="211"/>
      <c r="F56" s="192"/>
      <c r="G56" s="283"/>
    </row>
    <row r="57" spans="1:7" s="280" customFormat="1">
      <c r="A57" s="197" t="s">
        <v>1835</v>
      </c>
      <c r="B57" s="194">
        <f>'Sources and Uses Budget'!$C56</f>
        <v>150000</v>
      </c>
      <c r="C57" s="194">
        <f>'Sources and Uses Budget'!$C56</f>
        <v>150000</v>
      </c>
      <c r="D57" s="198">
        <f t="shared" si="0"/>
        <v>0</v>
      </c>
      <c r="E57" s="196"/>
      <c r="F57" s="195"/>
      <c r="G57" s="283"/>
    </row>
    <row r="58" spans="1:7" s="280" customFormat="1" ht="12" customHeight="1">
      <c r="A58" s="197" t="s">
        <v>1827</v>
      </c>
      <c r="B58" s="194">
        <f>'Sources and Uses Budget'!$C57</f>
        <v>0</v>
      </c>
      <c r="C58" s="194">
        <f>'Sources and Uses Budget'!$C57</f>
        <v>0</v>
      </c>
      <c r="D58" s="198">
        <f t="shared" si="0"/>
        <v>0</v>
      </c>
      <c r="E58" s="196"/>
      <c r="F58" s="195"/>
      <c r="G58" s="283"/>
    </row>
    <row r="59" spans="1:7" s="280" customFormat="1">
      <c r="A59" s="197" t="s">
        <v>1830</v>
      </c>
      <c r="B59" s="194">
        <f>'Sources and Uses Budget'!$C58</f>
        <v>12500</v>
      </c>
      <c r="C59" s="194">
        <f>'Sources and Uses Budget'!$C58</f>
        <v>12500</v>
      </c>
      <c r="D59" s="198">
        <f t="shared" si="0"/>
        <v>0</v>
      </c>
      <c r="E59" s="196"/>
      <c r="F59" s="195"/>
      <c r="G59" s="283"/>
    </row>
    <row r="60" spans="1:7" s="280" customFormat="1">
      <c r="A60" s="197" t="s">
        <v>1831</v>
      </c>
      <c r="B60" s="194">
        <f>'Sources and Uses Budget'!$C59</f>
        <v>0</v>
      </c>
      <c r="C60" s="194">
        <f>'Sources and Uses Budget'!$C59</f>
        <v>0</v>
      </c>
      <c r="D60" s="198">
        <f t="shared" si="0"/>
        <v>0</v>
      </c>
      <c r="E60" s="196"/>
      <c r="F60" s="195"/>
      <c r="G60" s="283"/>
    </row>
    <row r="61" spans="1:7" s="280" customFormat="1">
      <c r="A61" s="197" t="s">
        <v>1832</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7" customHeight="1">
      <c r="A63" s="199" t="s">
        <v>1836</v>
      </c>
      <c r="B63" s="198">
        <f>SUM(B57:B62)</f>
        <v>162500</v>
      </c>
      <c r="C63" s="198">
        <f>SUM(C57:C62)</f>
        <v>162500</v>
      </c>
      <c r="D63" s="198">
        <f t="shared" si="0"/>
        <v>0</v>
      </c>
      <c r="E63" s="196"/>
      <c r="F63" s="195"/>
      <c r="G63" s="283"/>
    </row>
    <row r="64" spans="1:7" s="280" customFormat="1">
      <c r="A64" s="202" t="s">
        <v>1837</v>
      </c>
      <c r="B64" s="198">
        <f>SUM(B9+B12+B14+B15+B17+B26+B28+B39+B43+B44+B55+B63)</f>
        <v>34411432</v>
      </c>
      <c r="C64" s="198">
        <f>SUM(C9+C12+C14+C15+C17+C26+C28+C39+C43+C44+C55+C63)</f>
        <v>34411432</v>
      </c>
      <c r="D64" s="198">
        <f t="shared" si="0"/>
        <v>0</v>
      </c>
      <c r="E64" s="196"/>
      <c r="F64" s="195"/>
      <c r="G64" s="283"/>
    </row>
    <row r="65" spans="1:7" s="280" customFormat="1" ht="24">
      <c r="A65" s="105" t="s">
        <v>1838</v>
      </c>
      <c r="B65" s="192"/>
      <c r="C65" s="192"/>
      <c r="D65" s="192"/>
      <c r="E65" s="211"/>
      <c r="F65" s="192"/>
      <c r="G65" s="283"/>
    </row>
    <row r="66" spans="1:7" s="280" customFormat="1">
      <c r="A66" s="212" t="s">
        <v>1839</v>
      </c>
      <c r="B66" s="194">
        <f>'Sources and Uses Budget'!$C65</f>
        <v>374000</v>
      </c>
      <c r="C66" s="194">
        <f>'Sources and Uses Budget'!$C65</f>
        <v>374000</v>
      </c>
      <c r="D66" s="198">
        <f t="shared" si="0"/>
        <v>0</v>
      </c>
      <c r="E66" s="196"/>
      <c r="F66" s="195"/>
      <c r="G66" s="283"/>
    </row>
    <row r="67" spans="1:7" s="280" customFormat="1" ht="24">
      <c r="A67" s="212" t="s">
        <v>1840</v>
      </c>
      <c r="B67" s="194">
        <f>'Sources and Uses Budget'!$C66</f>
        <v>300000</v>
      </c>
      <c r="C67" s="194">
        <f>'Sources and Uses Budget'!$C66</f>
        <v>300000</v>
      </c>
      <c r="D67" s="198"/>
      <c r="E67" s="196"/>
      <c r="F67" s="195"/>
      <c r="G67" s="283"/>
    </row>
    <row r="68" spans="1:7" s="280" customFormat="1" ht="24">
      <c r="A68" s="212" t="s">
        <v>1841</v>
      </c>
      <c r="B68" s="194">
        <f>'Sources and Uses Budget'!$C67</f>
        <v>0</v>
      </c>
      <c r="C68" s="194">
        <f>'Sources and Uses Budget'!$C67</f>
        <v>0</v>
      </c>
      <c r="D68" s="198"/>
      <c r="E68" s="196"/>
      <c r="F68" s="195"/>
      <c r="G68" s="283"/>
    </row>
    <row r="69" spans="1:7" s="280" customFormat="1">
      <c r="A69" s="212" t="s">
        <v>1842</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1843</v>
      </c>
      <c r="B71" s="198">
        <f>SUM(B66:B70)</f>
        <v>674000</v>
      </c>
      <c r="C71" s="198">
        <f>SUM(C66:C70)</f>
        <v>674000</v>
      </c>
      <c r="D71" s="198">
        <f t="shared" si="0"/>
        <v>0</v>
      </c>
      <c r="E71" s="196"/>
      <c r="F71" s="195"/>
      <c r="G71" s="283"/>
    </row>
    <row r="72" spans="1:7" s="280" customFormat="1">
      <c r="A72" s="192" t="s">
        <v>1844</v>
      </c>
      <c r="B72" s="192"/>
      <c r="C72" s="192"/>
      <c r="D72" s="192"/>
      <c r="E72" s="211"/>
      <c r="F72" s="192"/>
      <c r="G72" s="283"/>
    </row>
    <row r="73" spans="1:7" s="280" customFormat="1">
      <c r="A73" s="197" t="s">
        <v>1845</v>
      </c>
      <c r="B73" s="194">
        <f>'Sources and Uses Budget'!$C72</f>
        <v>0</v>
      </c>
      <c r="C73" s="194">
        <f>'Sources and Uses Budget'!$C72</f>
        <v>0</v>
      </c>
      <c r="D73" s="198">
        <f t="shared" si="0"/>
        <v>0</v>
      </c>
      <c r="E73" s="196"/>
      <c r="F73" s="195"/>
      <c r="G73" s="283"/>
    </row>
    <row r="74" spans="1:7" s="280" customFormat="1">
      <c r="A74" s="197" t="s">
        <v>1846</v>
      </c>
      <c r="B74" s="194">
        <f>'Sources and Uses Budget'!$C73</f>
        <v>0</v>
      </c>
      <c r="C74" s="194">
        <f>'Sources and Uses Budget'!$C73</f>
        <v>0</v>
      </c>
      <c r="D74" s="198">
        <f t="shared" si="0"/>
        <v>0</v>
      </c>
      <c r="E74" s="196"/>
      <c r="F74" s="195"/>
      <c r="G74" s="283"/>
    </row>
    <row r="75" spans="1:7" s="280" customFormat="1">
      <c r="A75" s="215" t="s">
        <v>1847</v>
      </c>
      <c r="B75" s="194">
        <f>'Sources and Uses Budget'!$C74</f>
        <v>0</v>
      </c>
      <c r="C75" s="194">
        <f>'Sources and Uses Budget'!$C74</f>
        <v>0</v>
      </c>
      <c r="D75" s="198">
        <f t="shared" si="0"/>
        <v>0</v>
      </c>
      <c r="E75" s="196"/>
      <c r="F75" s="195"/>
      <c r="G75" s="283"/>
    </row>
    <row r="76" spans="1:7" s="280" customFormat="1">
      <c r="A76" s="197" t="s">
        <v>1848</v>
      </c>
      <c r="B76" s="194">
        <f>'Sources and Uses Budget'!$C75</f>
        <v>452479</v>
      </c>
      <c r="C76" s="194">
        <f>'Sources and Uses Budget'!$C75</f>
        <v>452479</v>
      </c>
      <c r="D76" s="198">
        <f t="shared" si="0"/>
        <v>0</v>
      </c>
      <c r="E76" s="196"/>
      <c r="F76" s="195"/>
      <c r="G76" s="283"/>
    </row>
    <row r="77" spans="1:7" s="280" customFormat="1">
      <c r="A77" s="200" t="s">
        <v>1813</v>
      </c>
      <c r="B77" s="194">
        <f>'Sources and Uses Budget'!$C76</f>
        <v>0</v>
      </c>
      <c r="C77" s="194">
        <f>'Sources and Uses Budget'!$C76</f>
        <v>0</v>
      </c>
      <c r="D77" s="198">
        <f t="shared" si="0"/>
        <v>0</v>
      </c>
      <c r="E77" s="196"/>
      <c r="F77" s="195"/>
      <c r="G77" s="283"/>
    </row>
    <row r="78" spans="1:7" s="280" customFormat="1">
      <c r="A78" s="199" t="s">
        <v>1849</v>
      </c>
      <c r="B78" s="198">
        <f>SUM(B73:B77)</f>
        <v>452479</v>
      </c>
      <c r="C78" s="198">
        <f>SUM(C73:C77)</f>
        <v>452479</v>
      </c>
      <c r="D78" s="198">
        <f t="shared" ref="D78:D106" si="1">C78-B78</f>
        <v>0</v>
      </c>
      <c r="E78" s="196"/>
      <c r="F78" s="195"/>
      <c r="G78" s="283"/>
    </row>
    <row r="79" spans="1:7" s="280" customFormat="1">
      <c r="A79" s="192" t="s">
        <v>1850</v>
      </c>
      <c r="B79" s="192"/>
      <c r="C79" s="192"/>
      <c r="D79" s="192"/>
      <c r="E79" s="211"/>
      <c r="F79" s="192"/>
      <c r="G79" s="283"/>
    </row>
    <row r="80" spans="1:7" s="280" customFormat="1">
      <c r="A80" s="443" t="s">
        <v>1851</v>
      </c>
      <c r="B80" s="194">
        <f>'Sources and Uses Budget'!$C79</f>
        <v>1182930</v>
      </c>
      <c r="C80" s="194">
        <f>'Sources and Uses Budget'!$C79</f>
        <v>1182930</v>
      </c>
      <c r="D80" s="198">
        <f t="shared" si="1"/>
        <v>0</v>
      </c>
      <c r="E80" s="196"/>
      <c r="F80" s="195"/>
      <c r="G80" s="283"/>
    </row>
    <row r="81" spans="1:7" s="280" customFormat="1">
      <c r="A81" s="443" t="s">
        <v>1852</v>
      </c>
      <c r="B81" s="194">
        <f>'Sources and Uses Budget'!$C80</f>
        <v>352365</v>
      </c>
      <c r="C81" s="194">
        <f>'Sources and Uses Budget'!$C80</f>
        <v>352365</v>
      </c>
      <c r="D81" s="198">
        <f>C81-B81</f>
        <v>0</v>
      </c>
      <c r="E81" s="196"/>
      <c r="F81" s="195"/>
      <c r="G81" s="283"/>
    </row>
    <row r="82" spans="1:7" s="280" customFormat="1">
      <c r="A82" s="199" t="s">
        <v>1853</v>
      </c>
      <c r="B82" s="198">
        <f>SUM(B80:B81)</f>
        <v>1535295</v>
      </c>
      <c r="C82" s="198">
        <f>SUM(C80:C81)</f>
        <v>1535295</v>
      </c>
      <c r="D82" s="198">
        <f t="shared" si="1"/>
        <v>0</v>
      </c>
      <c r="E82" s="196"/>
      <c r="F82" s="195"/>
      <c r="G82" s="283"/>
    </row>
    <row r="83" spans="1:7" s="280" customFormat="1">
      <c r="A83" s="192" t="s">
        <v>1854</v>
      </c>
      <c r="B83" s="192"/>
      <c r="C83" s="192"/>
      <c r="D83" s="192"/>
      <c r="E83" s="211"/>
      <c r="F83" s="192"/>
      <c r="G83" s="283"/>
    </row>
    <row r="84" spans="1:7" s="280" customFormat="1" ht="13.7" customHeight="1">
      <c r="A84" s="197" t="s">
        <v>1855</v>
      </c>
      <c r="B84" s="194">
        <f>'Sources and Uses Budget'!$C83</f>
        <v>142302</v>
      </c>
      <c r="C84" s="194">
        <f>'Sources and Uses Budget'!$C83</f>
        <v>142302</v>
      </c>
      <c r="D84" s="198">
        <f t="shared" si="1"/>
        <v>0</v>
      </c>
      <c r="E84" s="196"/>
      <c r="F84" s="195"/>
      <c r="G84" s="283"/>
    </row>
    <row r="85" spans="1:7" s="280" customFormat="1">
      <c r="A85" s="197" t="s">
        <v>1856</v>
      </c>
      <c r="B85" s="194">
        <f>'Sources and Uses Budget'!$C84</f>
        <v>20000</v>
      </c>
      <c r="C85" s="194">
        <f>'Sources and Uses Budget'!$C84</f>
        <v>20000</v>
      </c>
      <c r="D85" s="198">
        <f t="shared" si="1"/>
        <v>0</v>
      </c>
      <c r="E85" s="196"/>
      <c r="F85" s="195"/>
      <c r="G85" s="283"/>
    </row>
    <row r="86" spans="1:7" s="280" customFormat="1">
      <c r="A86" s="197" t="s">
        <v>1857</v>
      </c>
      <c r="B86" s="194">
        <f>'Sources and Uses Budget'!$C85</f>
        <v>5025667</v>
      </c>
      <c r="C86" s="194">
        <f>'Sources and Uses Budget'!$C85</f>
        <v>5025667</v>
      </c>
      <c r="D86" s="198">
        <f t="shared" si="1"/>
        <v>0</v>
      </c>
      <c r="E86" s="196"/>
      <c r="F86" s="195"/>
      <c r="G86" s="283"/>
    </row>
    <row r="87" spans="1:7" s="280" customFormat="1">
      <c r="A87" s="197" t="s">
        <v>1858</v>
      </c>
      <c r="B87" s="194">
        <f>'Sources and Uses Budget'!$C86</f>
        <v>248851</v>
      </c>
      <c r="C87" s="194">
        <f>'Sources and Uses Budget'!$C86</f>
        <v>248851</v>
      </c>
      <c r="D87" s="198">
        <f t="shared" si="1"/>
        <v>0</v>
      </c>
      <c r="E87" s="196"/>
      <c r="F87" s="195"/>
      <c r="G87" s="283"/>
    </row>
    <row r="88" spans="1:7" s="280" customFormat="1">
      <c r="A88" s="197" t="s">
        <v>1859</v>
      </c>
      <c r="B88" s="194">
        <f>'Sources and Uses Budget'!$C87</f>
        <v>0</v>
      </c>
      <c r="C88" s="194">
        <f>'Sources and Uses Budget'!$C87</f>
        <v>0</v>
      </c>
      <c r="D88" s="198">
        <f t="shared" si="1"/>
        <v>0</v>
      </c>
      <c r="E88" s="196"/>
      <c r="F88" s="195"/>
      <c r="G88" s="283"/>
    </row>
    <row r="89" spans="1:7" s="280" customFormat="1">
      <c r="A89" s="197" t="s">
        <v>1860</v>
      </c>
      <c r="B89" s="194">
        <f>'Sources and Uses Budget'!$C88</f>
        <v>150000</v>
      </c>
      <c r="C89" s="194">
        <f>'Sources and Uses Budget'!$C88</f>
        <v>150000</v>
      </c>
      <c r="D89" s="198">
        <f t="shared" si="1"/>
        <v>0</v>
      </c>
      <c r="E89" s="196"/>
      <c r="F89" s="195"/>
      <c r="G89" s="283"/>
    </row>
    <row r="90" spans="1:7" s="280" customFormat="1">
      <c r="A90" s="197" t="s">
        <v>1861</v>
      </c>
      <c r="B90" s="194">
        <f>'Sources and Uses Budget'!$C89</f>
        <v>20000</v>
      </c>
      <c r="C90" s="194">
        <f>'Sources and Uses Budget'!$C89</f>
        <v>20000</v>
      </c>
      <c r="D90" s="198">
        <f t="shared" si="1"/>
        <v>0</v>
      </c>
      <c r="E90" s="196"/>
      <c r="F90" s="195"/>
      <c r="G90" s="283"/>
    </row>
    <row r="91" spans="1:7" s="280" customFormat="1">
      <c r="A91" s="197" t="s">
        <v>1862</v>
      </c>
      <c r="B91" s="194">
        <f>'Sources and Uses Budget'!$C90</f>
        <v>10000</v>
      </c>
      <c r="C91" s="194">
        <f>'Sources and Uses Budget'!$C90</f>
        <v>10000</v>
      </c>
      <c r="D91" s="198">
        <f t="shared" si="1"/>
        <v>0</v>
      </c>
      <c r="E91" s="196"/>
      <c r="F91" s="195"/>
      <c r="G91" s="283"/>
    </row>
    <row r="92" spans="1:7" s="280" customFormat="1">
      <c r="A92" s="197" t="s">
        <v>1863</v>
      </c>
      <c r="B92" s="194">
        <f>'Sources and Uses Budget'!$C91</f>
        <v>65000</v>
      </c>
      <c r="C92" s="194">
        <f>'Sources and Uses Budget'!$C91</f>
        <v>65000</v>
      </c>
      <c r="D92" s="198">
        <f t="shared" si="1"/>
        <v>0</v>
      </c>
      <c r="E92" s="196"/>
      <c r="F92" s="195"/>
      <c r="G92" s="283"/>
    </row>
    <row r="93" spans="1:7" s="280" customFormat="1">
      <c r="A93" s="443" t="s">
        <v>1864</v>
      </c>
      <c r="B93" s="194">
        <f>'Sources and Uses Budget'!$C92</f>
        <v>15000</v>
      </c>
      <c r="C93" s="194">
        <f>'Sources and Uses Budget'!$C92</f>
        <v>15000</v>
      </c>
      <c r="D93" s="198">
        <f t="shared" si="1"/>
        <v>0</v>
      </c>
      <c r="E93" s="196"/>
      <c r="F93" s="195"/>
      <c r="G93" s="283"/>
    </row>
    <row r="94" spans="1:7" s="280" customFormat="1">
      <c r="A94" s="200" t="str">
        <f>'Sources and Uses Budget'!A93</f>
        <v>MGP Services Fee</v>
      </c>
      <c r="B94" s="194">
        <f>'Sources and Uses Budget'!$C93</f>
        <v>30000</v>
      </c>
      <c r="C94" s="194">
        <f>'Sources and Uses Budget'!$C93</f>
        <v>30000</v>
      </c>
      <c r="D94" s="198">
        <f t="shared" si="1"/>
        <v>0</v>
      </c>
      <c r="E94" s="196"/>
      <c r="F94" s="195"/>
      <c r="G94" s="283"/>
    </row>
    <row r="95" spans="1:7" s="280" customFormat="1">
      <c r="A95" s="200" t="s">
        <v>1813</v>
      </c>
      <c r="B95" s="194">
        <f>'Sources and Uses Budget'!$C94</f>
        <v>0</v>
      </c>
      <c r="C95" s="194">
        <f>'Sources and Uses Budget'!$C94</f>
        <v>0</v>
      </c>
      <c r="D95" s="198">
        <f t="shared" si="1"/>
        <v>0</v>
      </c>
      <c r="E95" s="196"/>
      <c r="F95" s="195"/>
      <c r="G95" s="283"/>
    </row>
    <row r="96" spans="1:7" s="280" customFormat="1">
      <c r="A96" s="200" t="s">
        <v>1813</v>
      </c>
      <c r="B96" s="194">
        <f>'Sources and Uses Budget'!$C95</f>
        <v>0</v>
      </c>
      <c r="C96" s="194">
        <f>'Sources and Uses Budget'!$C95</f>
        <v>0</v>
      </c>
      <c r="D96" s="198">
        <f t="shared" si="1"/>
        <v>0</v>
      </c>
      <c r="E96" s="196"/>
      <c r="F96" s="195"/>
      <c r="G96" s="283"/>
    </row>
    <row r="97" spans="1:7" s="280" customFormat="1">
      <c r="A97" s="199" t="s">
        <v>1866</v>
      </c>
      <c r="B97" s="198">
        <f>SUM(B84:B96)</f>
        <v>5726820</v>
      </c>
      <c r="C97" s="198">
        <f>SUM(C84:C96)</f>
        <v>5726820</v>
      </c>
      <c r="D97" s="198">
        <f t="shared" si="1"/>
        <v>0</v>
      </c>
      <c r="E97" s="196"/>
      <c r="F97" s="195"/>
      <c r="G97" s="283"/>
    </row>
    <row r="98" spans="1:7" s="280" customFormat="1">
      <c r="A98" s="199" t="s">
        <v>1867</v>
      </c>
      <c r="B98" s="198">
        <f>SUM(B64+B71+B78+B82+B97)</f>
        <v>42800026</v>
      </c>
      <c r="C98" s="198">
        <f>SUM(C64+C71+C78+C82+C97)</f>
        <v>42800026</v>
      </c>
      <c r="D98" s="198">
        <f t="shared" si="1"/>
        <v>0</v>
      </c>
      <c r="E98" s="196"/>
      <c r="F98" s="195"/>
      <c r="G98" s="283"/>
    </row>
    <row r="99" spans="1:7" s="280" customFormat="1">
      <c r="A99" s="192" t="s">
        <v>1868</v>
      </c>
      <c r="B99" s="192"/>
      <c r="C99" s="192"/>
      <c r="D99" s="192"/>
      <c r="E99" s="211"/>
      <c r="F99" s="192"/>
      <c r="G99" s="283"/>
    </row>
    <row r="100" spans="1:7" s="280" customFormat="1">
      <c r="A100" s="212" t="s">
        <v>1869</v>
      </c>
      <c r="B100" s="194">
        <f>'Sources and Uses Budget'!$C99</f>
        <v>5317684</v>
      </c>
      <c r="C100" s="194">
        <f>'Sources and Uses Budget'!$C99</f>
        <v>5317684</v>
      </c>
      <c r="D100" s="198">
        <f t="shared" si="1"/>
        <v>0</v>
      </c>
      <c r="E100" s="196"/>
      <c r="F100" s="195"/>
      <c r="G100" s="283"/>
    </row>
    <row r="101" spans="1:7" s="280" customFormat="1">
      <c r="A101" s="212" t="s">
        <v>1870</v>
      </c>
      <c r="B101" s="194">
        <f>'Sources and Uses Budget'!$C100</f>
        <v>0</v>
      </c>
      <c r="C101" s="194">
        <f>'Sources and Uses Budget'!$C100</f>
        <v>0</v>
      </c>
      <c r="D101" s="198">
        <f t="shared" si="1"/>
        <v>0</v>
      </c>
      <c r="E101" s="196"/>
      <c r="F101" s="195"/>
      <c r="G101" s="283"/>
    </row>
    <row r="102" spans="1:7" s="280" customFormat="1">
      <c r="A102" s="212" t="s">
        <v>1871</v>
      </c>
      <c r="B102" s="194">
        <f>'Sources and Uses Budget'!$C101</f>
        <v>0</v>
      </c>
      <c r="C102" s="194">
        <f>'Sources and Uses Budget'!$C101</f>
        <v>0</v>
      </c>
      <c r="D102" s="198">
        <f t="shared" si="1"/>
        <v>0</v>
      </c>
      <c r="E102" s="196"/>
      <c r="F102" s="195"/>
      <c r="G102" s="283"/>
    </row>
    <row r="103" spans="1:7" s="280" customFormat="1" ht="12" customHeight="1">
      <c r="A103" s="212" t="s">
        <v>1872</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1873</v>
      </c>
      <c r="B105" s="198">
        <f>SUM(B100:B104)</f>
        <v>5317684</v>
      </c>
      <c r="C105" s="198">
        <f>SUM(C100:C104)</f>
        <v>5317684</v>
      </c>
      <c r="D105" s="198">
        <f t="shared" si="1"/>
        <v>0</v>
      </c>
      <c r="E105" s="196"/>
      <c r="F105" s="195"/>
      <c r="G105" s="283"/>
    </row>
    <row r="106" spans="1:7" s="280" customFormat="1">
      <c r="A106" s="199" t="s">
        <v>1874</v>
      </c>
      <c r="B106" s="201">
        <f>SUM(B98+B105)</f>
        <v>48117710</v>
      </c>
      <c r="C106" s="201">
        <f>SUM(C98+C105)</f>
        <v>48117710</v>
      </c>
      <c r="D106" s="198">
        <f t="shared" si="1"/>
        <v>0</v>
      </c>
      <c r="E106" s="196"/>
      <c r="F106" s="195"/>
      <c r="G106" s="283"/>
    </row>
    <row r="107" spans="1:7" s="280" customFormat="1">
      <c r="A107" s="206" t="s">
        <v>2646</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C455A09AB32D4AA1DF901707850EEF" ma:contentTypeVersion="4" ma:contentTypeDescription="Create a new document." ma:contentTypeScope="" ma:versionID="2f7a7d42918d7fc1a5fc88964df48401">
  <xsd:schema xmlns:xsd="http://www.w3.org/2001/XMLSchema" xmlns:xs="http://www.w3.org/2001/XMLSchema" xmlns:p="http://schemas.microsoft.com/office/2006/metadata/properties" xmlns:ns2="69b26ecd-5d03-4997-9f42-732c461ecae7" xmlns:ns3="1f0498fa-9df2-42ff-951c-a2ed8863d77c" targetNamespace="http://schemas.microsoft.com/office/2006/metadata/properties" ma:root="true" ma:fieldsID="2c0a9216ec79377a8690cf1e18702b55" ns2:_="" ns3:_="">
    <xsd:import namespace="69b26ecd-5d03-4997-9f42-732c461ecae7"/>
    <xsd:import namespace="1f0498fa-9df2-42ff-951c-a2ed8863d7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26ecd-5d03-4997-9f42-732c461ec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0498fa-9df2-42ff-951c-a2ed8863d7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FD7EF9-8CFC-45FA-8F5E-F88367A50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26ecd-5d03-4997-9f42-732c461ecae7"/>
    <ds:schemaRef ds:uri="1f0498fa-9df2-42ff-951c-a2ed8863d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3D830-7ED9-4BC9-ADC9-AA6E37905C66}">
  <ds:schemaRefs>
    <ds:schemaRef ds:uri="http://schemas.microsoft.com/sharepoint/v3/contenttype/forms"/>
  </ds:schemaRefs>
</ds:datastoreItem>
</file>

<file path=customXml/itemProps3.xml><?xml version="1.0" encoding="utf-8"?>
<ds:datastoreItem xmlns:ds="http://schemas.openxmlformats.org/officeDocument/2006/customXml" ds:itemID="{340E8330-D2F0-45BD-89B2-46FAE7A190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Navarrette, DC</cp:lastModifiedBy>
  <cp:revision/>
  <dcterms:created xsi:type="dcterms:W3CDTF">2007-12-27T18:26:28Z</dcterms:created>
  <dcterms:modified xsi:type="dcterms:W3CDTF">2022-03-17T17:21:07Z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0x01010085C455A09AB32D4AA1DF901707850EEF</vt:lpwstr>
  </property>
</Properties>
</file>