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Fs01\cic\Deals-San Diego\Mt Etna\400 - Financing\Taormina\CDLAC &amp; Bond Issuance\05 - CDLAC &amp; TCAC Joint App\01-Draft Application\Tab 40 - Application\"/>
    </mc:Choice>
  </mc:AlternateContent>
  <xr:revisionPtr revIDLastSave="0" documentId="13_ncr:1_{2B2BA09F-998B-4F56-AFA3-89A753CD1360}" xr6:coauthVersionLast="47" xr6:coauthVersionMax="47" xr10:uidLastSave="{00000000-0000-0000-0000-000000000000}"/>
  <bookViews>
    <workbookView xWindow="40395" yWindow="0" windowWidth="16875" windowHeight="8325" tabRatio="905" firstSheet="7"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71" i="3" l="1"/>
  <c r="AP5" i="25"/>
  <c r="G657" i="3"/>
  <c r="G656" i="3"/>
  <c r="Z582" i="3"/>
  <c r="Z581" i="3"/>
  <c r="Z580" i="3"/>
  <c r="Z579" i="3"/>
  <c r="K733" i="3" l="1"/>
  <c r="S51" i="4"/>
  <c r="C51" i="4"/>
  <c r="C84" i="4"/>
  <c r="C6" i="4"/>
  <c r="E6" i="4" s="1"/>
  <c r="AO639" i="3" l="1"/>
  <c r="AD188" i="20" s="1"/>
  <c r="B189" i="20"/>
  <c r="C639" i="3"/>
  <c r="B188" i="20" s="1"/>
  <c r="AB50" i="15"/>
  <c r="E37" i="13"/>
  <c r="F37" i="13"/>
  <c r="E36" i="13"/>
  <c r="F36" i="13"/>
  <c r="E35" i="13"/>
  <c r="F35" i="13"/>
  <c r="E34" i="13"/>
  <c r="F34" i="13" s="1"/>
  <c r="C33" i="4"/>
  <c r="E33" i="4" s="1"/>
  <c r="R33" i="4" s="1"/>
  <c r="S33" i="4" s="1"/>
  <c r="E33" i="13" s="1"/>
  <c r="F33" i="13" s="1"/>
  <c r="C32" i="4"/>
  <c r="B32" i="13" s="1"/>
  <c r="C32" i="13" s="1"/>
  <c r="C31" i="4"/>
  <c r="E31" i="4" s="1"/>
  <c r="R31" i="4" s="1"/>
  <c r="S31" i="4" s="1"/>
  <c r="E31" i="13" s="1"/>
  <c r="F31" i="13" s="1"/>
  <c r="C29" i="4"/>
  <c r="E29" i="4" s="1"/>
  <c r="R29" i="4" s="1"/>
  <c r="S29" i="4" s="1"/>
  <c r="E29" i="13" s="1"/>
  <c r="F29" i="13" s="1"/>
  <c r="C43" i="4"/>
  <c r="E43" i="4" s="1"/>
  <c r="R43" i="4" s="1"/>
  <c r="S43" i="4" s="1"/>
  <c r="E43" i="13" s="1"/>
  <c r="F43" i="13" s="1"/>
  <c r="R41" i="4"/>
  <c r="S41" i="4"/>
  <c r="E41" i="13"/>
  <c r="F41" i="13" s="1"/>
  <c r="C40" i="4"/>
  <c r="E40" i="4" s="1"/>
  <c r="E51" i="13"/>
  <c r="F51" i="13" s="1"/>
  <c r="E49" i="13"/>
  <c r="F49" i="13" s="1"/>
  <c r="E48" i="13"/>
  <c r="F48" i="13" s="1"/>
  <c r="E47" i="13"/>
  <c r="F47" i="13" s="1"/>
  <c r="S69" i="4"/>
  <c r="E69" i="13" s="1"/>
  <c r="F69" i="13" s="1"/>
  <c r="E68" i="13"/>
  <c r="F68" i="13"/>
  <c r="C67" i="4"/>
  <c r="E67" i="4" s="1"/>
  <c r="R67" i="4" s="1"/>
  <c r="S67" i="4" s="1"/>
  <c r="E67" i="13" s="1"/>
  <c r="F67" i="13" s="1"/>
  <c r="E66" i="13"/>
  <c r="F66" i="13" s="1"/>
  <c r="E87" i="4"/>
  <c r="R87" i="4"/>
  <c r="S87" i="4" s="1"/>
  <c r="E87" i="13" s="1"/>
  <c r="F87" i="13" s="1"/>
  <c r="C86" i="4"/>
  <c r="E86" i="4" s="1"/>
  <c r="R86" i="4" s="1"/>
  <c r="S86" i="4" s="1"/>
  <c r="E86" i="13" s="1"/>
  <c r="F86" i="13" s="1"/>
  <c r="C85" i="4"/>
  <c r="B85" i="13" s="1"/>
  <c r="C85" i="13" s="1"/>
  <c r="E84" i="4"/>
  <c r="R84" i="4" s="1"/>
  <c r="S84" i="4" s="1"/>
  <c r="E84" i="13" s="1"/>
  <c r="F84" i="13" s="1"/>
  <c r="E95" i="13"/>
  <c r="F95" i="13"/>
  <c r="E94" i="13"/>
  <c r="F94" i="13" s="1"/>
  <c r="E93" i="13"/>
  <c r="F93" i="13" s="1"/>
  <c r="C92" i="4"/>
  <c r="B93" i="11" s="1"/>
  <c r="C91" i="4"/>
  <c r="B91" i="13" s="1"/>
  <c r="C91" i="13" s="1"/>
  <c r="C90" i="4"/>
  <c r="B90" i="13" s="1"/>
  <c r="C90" i="13" s="1"/>
  <c r="C89" i="4"/>
  <c r="B89" i="13" s="1"/>
  <c r="C89" i="13" s="1"/>
  <c r="B95" i="13"/>
  <c r="C95" i="13" s="1"/>
  <c r="C94" i="4"/>
  <c r="B94" i="13" s="1"/>
  <c r="C94" i="13" s="1"/>
  <c r="B93" i="13"/>
  <c r="C93" i="13" s="1"/>
  <c r="C88" i="4"/>
  <c r="E88" i="4" s="1"/>
  <c r="R88" i="4" s="1"/>
  <c r="B87" i="13"/>
  <c r="C87" i="13" s="1"/>
  <c r="B84" i="13"/>
  <c r="C84" i="13" s="1"/>
  <c r="B76" i="13"/>
  <c r="C76" i="13" s="1"/>
  <c r="B74" i="13"/>
  <c r="C74" i="13" s="1"/>
  <c r="B73" i="13"/>
  <c r="C73" i="13"/>
  <c r="B72" i="13"/>
  <c r="C72" i="13" s="1"/>
  <c r="C69" i="4"/>
  <c r="E69" i="4" s="1"/>
  <c r="R69" i="4" s="1"/>
  <c r="B68" i="13"/>
  <c r="C68" i="13"/>
  <c r="B66" i="13"/>
  <c r="C66" i="13" s="1"/>
  <c r="C65" i="4"/>
  <c r="E65" i="4" s="1"/>
  <c r="B61" i="13"/>
  <c r="C61" i="13" s="1"/>
  <c r="B60" i="13"/>
  <c r="C60" i="13" s="1"/>
  <c r="B59" i="13"/>
  <c r="C59" i="13"/>
  <c r="C58" i="4"/>
  <c r="B57" i="13"/>
  <c r="C57" i="13" s="1"/>
  <c r="C52" i="4"/>
  <c r="B52" i="13" s="1"/>
  <c r="C52" i="13" s="1"/>
  <c r="B51" i="13"/>
  <c r="C51" i="13" s="1"/>
  <c r="C50" i="4"/>
  <c r="B50" i="13" s="1"/>
  <c r="C50" i="13" s="1"/>
  <c r="B48" i="13"/>
  <c r="C48" i="13" s="1"/>
  <c r="B47" i="13"/>
  <c r="C47" i="13" s="1"/>
  <c r="B41" i="13"/>
  <c r="C41" i="13"/>
  <c r="B37" i="13"/>
  <c r="C37" i="13" s="1"/>
  <c r="B36" i="13"/>
  <c r="C36" i="13" s="1"/>
  <c r="B35" i="13"/>
  <c r="C35" i="13"/>
  <c r="B34" i="13"/>
  <c r="C34" i="13" s="1"/>
  <c r="C30" i="4"/>
  <c r="B30" i="13" s="1"/>
  <c r="C30" i="13" s="1"/>
  <c r="C4" i="4"/>
  <c r="I4" i="4" s="1"/>
  <c r="R4" i="4" s="1"/>
  <c r="AO641" i="3"/>
  <c r="J99" i="4" s="1"/>
  <c r="J104" i="4" s="1"/>
  <c r="E95" i="4"/>
  <c r="E93" i="4"/>
  <c r="E76" i="4"/>
  <c r="E74" i="4"/>
  <c r="E73" i="4"/>
  <c r="E72" i="4"/>
  <c r="E68" i="4"/>
  <c r="E66" i="4"/>
  <c r="E61" i="4"/>
  <c r="E60" i="4"/>
  <c r="E59" i="4"/>
  <c r="R59" i="4" s="1"/>
  <c r="E57" i="4"/>
  <c r="E51" i="4"/>
  <c r="E48" i="4"/>
  <c r="E47" i="4"/>
  <c r="R47" i="4" s="1"/>
  <c r="AO638" i="3"/>
  <c r="G30" i="4" s="1"/>
  <c r="G38" i="4" s="1"/>
  <c r="AJ1004" i="3"/>
  <c r="AA932" i="3"/>
  <c r="Z814" i="3"/>
  <c r="Z811" i="3"/>
  <c r="AC889" i="3"/>
  <c r="E29" i="7" s="1"/>
  <c r="G29" i="7" s="1"/>
  <c r="I29" i="7" s="1"/>
  <c r="K29" i="7" s="1"/>
  <c r="M29" i="7" s="1"/>
  <c r="O29" i="7" s="1"/>
  <c r="Q29" i="7" s="1"/>
  <c r="S29" i="7" s="1"/>
  <c r="U29" i="7" s="1"/>
  <c r="W29" i="7" s="1"/>
  <c r="Y29" i="7" s="1"/>
  <c r="AA29" i="7" s="1"/>
  <c r="AC29" i="7" s="1"/>
  <c r="AE29" i="7" s="1"/>
  <c r="AG29" i="7" s="1"/>
  <c r="AC886" i="3"/>
  <c r="E26" i="7" s="1"/>
  <c r="G26" i="7" s="1"/>
  <c r="I26" i="7" s="1"/>
  <c r="K26" i="7" s="1"/>
  <c r="M26" i="7" s="1"/>
  <c r="O26" i="7" s="1"/>
  <c r="Q26" i="7" s="1"/>
  <c r="S26" i="7" s="1"/>
  <c r="U26" i="7" s="1"/>
  <c r="W26" i="7" s="1"/>
  <c r="Y26" i="7" s="1"/>
  <c r="AA26" i="7" s="1"/>
  <c r="AC26" i="7" s="1"/>
  <c r="AE26" i="7" s="1"/>
  <c r="AG26" i="7" s="1"/>
  <c r="AC887" i="3"/>
  <c r="E27" i="7" s="1"/>
  <c r="O27" i="7" s="1"/>
  <c r="W864" i="3"/>
  <c r="W861" i="3"/>
  <c r="E18" i="7" s="1"/>
  <c r="G18" i="7" s="1"/>
  <c r="I18" i="7" s="1"/>
  <c r="K18" i="7" s="1"/>
  <c r="M18" i="7" s="1"/>
  <c r="O18" i="7" s="1"/>
  <c r="Q18" i="7" s="1"/>
  <c r="S18" i="7" s="1"/>
  <c r="U18" i="7" s="1"/>
  <c r="W18" i="7" s="1"/>
  <c r="Y18" i="7" s="1"/>
  <c r="AA18" i="7" s="1"/>
  <c r="AC18" i="7" s="1"/>
  <c r="AE18" i="7" s="1"/>
  <c r="AG18" i="7" s="1"/>
  <c r="W859" i="3"/>
  <c r="W860" i="3" s="1"/>
  <c r="W852" i="3"/>
  <c r="W853" i="3" s="1"/>
  <c r="E16" i="7" s="1"/>
  <c r="G16" i="7" s="1"/>
  <c r="I16" i="7" s="1"/>
  <c r="W847" i="3"/>
  <c r="W844" i="3"/>
  <c r="G735" i="3"/>
  <c r="G734" i="3"/>
  <c r="M26" i="21" s="1"/>
  <c r="G731" i="3"/>
  <c r="BS613" i="3" s="1"/>
  <c r="G730" i="3"/>
  <c r="B6" i="8" s="1"/>
  <c r="G6" i="8" s="1"/>
  <c r="O739" i="3"/>
  <c r="D15" i="8" s="1"/>
  <c r="O738" i="3"/>
  <c r="O737" i="3"/>
  <c r="AQ115" i="20" s="1"/>
  <c r="O736" i="3"/>
  <c r="AQ114" i="20" s="1"/>
  <c r="O735" i="3"/>
  <c r="AQ113" i="20" s="1"/>
  <c r="O734" i="3"/>
  <c r="O733" i="3"/>
  <c r="O732" i="3"/>
  <c r="AQ110" i="20" s="1"/>
  <c r="O731" i="3"/>
  <c r="D7" i="8" s="1"/>
  <c r="O730" i="3"/>
  <c r="D6" i="8" s="1"/>
  <c r="O729" i="3"/>
  <c r="O728" i="3"/>
  <c r="AQ106" i="20" s="1"/>
  <c r="K737" i="3"/>
  <c r="K738" i="3" s="1"/>
  <c r="K739" i="3" s="1"/>
  <c r="K734" i="3"/>
  <c r="K735" i="3" s="1"/>
  <c r="K731" i="3"/>
  <c r="G739" i="3"/>
  <c r="CC621" i="3" s="1"/>
  <c r="G738" i="3"/>
  <c r="CC620" i="3" s="1"/>
  <c r="G737" i="3"/>
  <c r="CC619" i="3" s="1"/>
  <c r="G736" i="3"/>
  <c r="BG679" i="3" s="1"/>
  <c r="G733" i="3"/>
  <c r="G732" i="3"/>
  <c r="BG675" i="3" s="1"/>
  <c r="G729" i="3"/>
  <c r="M21" i="21" s="1"/>
  <c r="G728" i="3"/>
  <c r="BS610" i="3" s="1"/>
  <c r="T736" i="3"/>
  <c r="T737" i="3" s="1"/>
  <c r="T732" i="3"/>
  <c r="T728" i="3"/>
  <c r="T729" i="3" s="1"/>
  <c r="O638" i="3"/>
  <c r="R637" i="3"/>
  <c r="O637" i="3"/>
  <c r="AM568" i="3"/>
  <c r="AM566" i="3"/>
  <c r="AP89" i="20"/>
  <c r="AJ777" i="20"/>
  <c r="AP283" i="20"/>
  <c r="AP284" i="20" s="1"/>
  <c r="AK327" i="20" s="1"/>
  <c r="AP282" i="20"/>
  <c r="AO28" i="20"/>
  <c r="AO29" i="20" s="1"/>
  <c r="AO24" i="20"/>
  <c r="AO25" i="20" s="1"/>
  <c r="AO21" i="20"/>
  <c r="AO20" i="20"/>
  <c r="AO22" i="20" s="1"/>
  <c r="AO16" i="20"/>
  <c r="AO15" i="20"/>
  <c r="AO14" i="20"/>
  <c r="AO13" i="20"/>
  <c r="AO17" i="20" s="1"/>
  <c r="AD64" i="15"/>
  <c r="AD67" i="15"/>
  <c r="G113" i="21"/>
  <c r="G110" i="21"/>
  <c r="E112" i="21" s="1"/>
  <c r="CB799" i="3"/>
  <c r="R971" i="3" s="1"/>
  <c r="G112" i="21" s="1"/>
  <c r="BN610" i="3"/>
  <c r="BN611" i="3"/>
  <c r="DX611" i="3" s="1"/>
  <c r="BN612" i="3"/>
  <c r="DX612" i="3" s="1"/>
  <c r="BN613" i="3"/>
  <c r="BN614" i="3"/>
  <c r="DX614" i="3" s="1"/>
  <c r="BN615" i="3"/>
  <c r="DX615" i="3" s="1"/>
  <c r="BN616" i="3"/>
  <c r="BN617" i="3"/>
  <c r="DX617" i="3" s="1"/>
  <c r="BN618" i="3"/>
  <c r="DX618" i="3" s="1"/>
  <c r="BN619" i="3"/>
  <c r="DX619" i="3" s="1"/>
  <c r="BN620" i="3"/>
  <c r="DX620" i="3" s="1"/>
  <c r="BN621" i="3"/>
  <c r="DX621" i="3" s="1"/>
  <c r="BN640" i="3"/>
  <c r="BN648" i="3"/>
  <c r="BN649" i="3"/>
  <c r="BN650" i="3"/>
  <c r="BN651" i="3"/>
  <c r="BN652" i="3"/>
  <c r="BN653" i="3"/>
  <c r="CS653" i="3" s="1"/>
  <c r="BN654" i="3"/>
  <c r="CS654" i="3" s="1"/>
  <c r="BN655" i="3"/>
  <c r="BN656" i="3"/>
  <c r="BN657" i="3"/>
  <c r="CS657" i="3" s="1"/>
  <c r="BS612" i="3"/>
  <c r="BS614" i="3"/>
  <c r="BS615" i="3"/>
  <c r="BS616" i="3"/>
  <c r="EC616" i="3" s="1"/>
  <c r="BS617" i="3"/>
  <c r="EC617" i="3" s="1"/>
  <c r="BS618" i="3"/>
  <c r="EC618" i="3" s="1"/>
  <c r="BS619" i="3"/>
  <c r="EC619" i="3" s="1"/>
  <c r="BS620" i="3"/>
  <c r="EC620" i="3" s="1"/>
  <c r="BS621" i="3"/>
  <c r="EC621" i="3" s="1"/>
  <c r="BS640" i="3"/>
  <c r="BS648" i="3"/>
  <c r="BS649" i="3"/>
  <c r="BS650" i="3"/>
  <c r="BS651" i="3"/>
  <c r="BS652" i="3"/>
  <c r="BS653" i="3"/>
  <c r="BS654" i="3"/>
  <c r="CX654" i="3" s="1"/>
  <c r="BS655" i="3"/>
  <c r="CX655" i="3" s="1"/>
  <c r="BS656" i="3"/>
  <c r="BS657" i="3"/>
  <c r="CX657" i="3" s="1"/>
  <c r="BX610" i="3"/>
  <c r="EH610" i="3" s="1"/>
  <c r="BX611" i="3"/>
  <c r="EH611" i="3" s="1"/>
  <c r="BX612" i="3"/>
  <c r="EH612" i="3" s="1"/>
  <c r="BX613" i="3"/>
  <c r="EH613" i="3" s="1"/>
  <c r="BX618" i="3"/>
  <c r="EH618" i="3" s="1"/>
  <c r="BX619" i="3"/>
  <c r="BX620" i="3"/>
  <c r="EH620" i="3" s="1"/>
  <c r="BX621" i="3"/>
  <c r="EH621" i="3" s="1"/>
  <c r="BX640" i="3"/>
  <c r="BX648" i="3"/>
  <c r="BX649" i="3"/>
  <c r="BX650" i="3"/>
  <c r="DC650" i="3" s="1"/>
  <c r="DC658" i="3" s="1"/>
  <c r="BX651" i="3"/>
  <c r="BX652" i="3"/>
  <c r="BX653" i="3"/>
  <c r="BX654" i="3"/>
  <c r="DC654" i="3" s="1"/>
  <c r="BX655" i="3"/>
  <c r="BX656" i="3"/>
  <c r="BX657" i="3"/>
  <c r="DC657" i="3" s="1"/>
  <c r="R972" i="3"/>
  <c r="CC610" i="3"/>
  <c r="EM610" i="3" s="1"/>
  <c r="CC611" i="3"/>
  <c r="CC612" i="3"/>
  <c r="EM612" i="3" s="1"/>
  <c r="CC613" i="3"/>
  <c r="EM613" i="3" s="1"/>
  <c r="CC614" i="3"/>
  <c r="EM614" i="3" s="1"/>
  <c r="CC615" i="3"/>
  <c r="CC616" i="3"/>
  <c r="EM616" i="3" s="1"/>
  <c r="CC617" i="3"/>
  <c r="CC618" i="3"/>
  <c r="EM618" i="3" s="1"/>
  <c r="CC640" i="3"/>
  <c r="CC641" i="3"/>
  <c r="CC642" i="3"/>
  <c r="CC643" i="3"/>
  <c r="CC648" i="3"/>
  <c r="CC649" i="3"/>
  <c r="CC650" i="3"/>
  <c r="CC651" i="3"/>
  <c r="CC652" i="3"/>
  <c r="CC653" i="3"/>
  <c r="CC654" i="3"/>
  <c r="CC655" i="3"/>
  <c r="CC656" i="3"/>
  <c r="CC657" i="3"/>
  <c r="R973" i="3"/>
  <c r="CM610" i="3"/>
  <c r="CM611" i="3"/>
  <c r="EW611" i="3" s="1"/>
  <c r="CM612" i="3"/>
  <c r="EW612" i="3" s="1"/>
  <c r="CM613" i="3"/>
  <c r="EW613" i="3" s="1"/>
  <c r="CM614" i="3"/>
  <c r="EW614" i="3" s="1"/>
  <c r="CM615" i="3"/>
  <c r="CM616" i="3"/>
  <c r="EW616" i="3" s="1"/>
  <c r="CM617" i="3"/>
  <c r="EW617" i="3" s="1"/>
  <c r="CM618" i="3"/>
  <c r="EW618" i="3" s="1"/>
  <c r="CM619" i="3"/>
  <c r="EW619" i="3" s="1"/>
  <c r="CM620" i="3"/>
  <c r="EW620" i="3" s="1"/>
  <c r="CM621" i="3"/>
  <c r="EW621" i="3" s="1"/>
  <c r="CM640" i="3"/>
  <c r="CM648" i="3"/>
  <c r="DR648" i="3" s="1"/>
  <c r="CM649" i="3"/>
  <c r="CM650" i="3"/>
  <c r="DR650" i="3" s="1"/>
  <c r="CM651" i="3"/>
  <c r="CM652" i="3"/>
  <c r="CM653" i="3"/>
  <c r="CM654" i="3"/>
  <c r="DR654" i="3" s="1"/>
  <c r="CM655" i="3"/>
  <c r="CM656" i="3"/>
  <c r="CM657" i="3"/>
  <c r="CH610" i="3"/>
  <c r="ER610" i="3" s="1"/>
  <c r="CH611" i="3"/>
  <c r="ER611" i="3" s="1"/>
  <c r="CH612" i="3"/>
  <c r="ER612" i="3" s="1"/>
  <c r="CH613" i="3"/>
  <c r="ER613" i="3" s="1"/>
  <c r="CH614" i="3"/>
  <c r="ER614" i="3" s="1"/>
  <c r="CH615" i="3"/>
  <c r="CH616" i="3"/>
  <c r="ER616" i="3" s="1"/>
  <c r="CH617" i="3"/>
  <c r="ER617" i="3" s="1"/>
  <c r="CH618" i="3"/>
  <c r="ER618" i="3" s="1"/>
  <c r="CH619" i="3"/>
  <c r="ER619" i="3" s="1"/>
  <c r="CH620" i="3"/>
  <c r="ER620" i="3" s="1"/>
  <c r="CH621" i="3"/>
  <c r="ER621" i="3" s="1"/>
  <c r="CH640" i="3"/>
  <c r="CH648" i="3"/>
  <c r="CH649" i="3"/>
  <c r="CH650" i="3"/>
  <c r="CH651" i="3"/>
  <c r="DM651" i="3" s="1"/>
  <c r="CH652" i="3"/>
  <c r="CH653" i="3"/>
  <c r="CH654" i="3"/>
  <c r="CH655" i="3"/>
  <c r="DM655" i="3" s="1"/>
  <c r="CH656" i="3"/>
  <c r="CH657" i="3"/>
  <c r="AJ977" i="3"/>
  <c r="I13" i="21" s="1"/>
  <c r="AJ980" i="3"/>
  <c r="AJ986" i="3"/>
  <c r="AJ990" i="3"/>
  <c r="AJ992" i="3"/>
  <c r="AJ995" i="3"/>
  <c r="BN622" i="3"/>
  <c r="BN623" i="3"/>
  <c r="BN624" i="3"/>
  <c r="BN625" i="3"/>
  <c r="BN626" i="3"/>
  <c r="BN627" i="3"/>
  <c r="BN628" i="3"/>
  <c r="BN629" i="3"/>
  <c r="BN630" i="3"/>
  <c r="BN631" i="3"/>
  <c r="BN632" i="3"/>
  <c r="BN633" i="3"/>
  <c r="BN634" i="3"/>
  <c r="BN641" i="3"/>
  <c r="BN642" i="3"/>
  <c r="BN643" i="3"/>
  <c r="BS622" i="3"/>
  <c r="BS623" i="3"/>
  <c r="BS624" i="3"/>
  <c r="BS625" i="3"/>
  <c r="EC625" i="3" s="1"/>
  <c r="BS626" i="3"/>
  <c r="BS627" i="3"/>
  <c r="BS628" i="3"/>
  <c r="BS629" i="3"/>
  <c r="EC629" i="3" s="1"/>
  <c r="BS630" i="3"/>
  <c r="BS631" i="3"/>
  <c r="BS632" i="3"/>
  <c r="BS633" i="3"/>
  <c r="EC633" i="3" s="1"/>
  <c r="BS634" i="3"/>
  <c r="BS641" i="3"/>
  <c r="BS642" i="3"/>
  <c r="BS643" i="3"/>
  <c r="BX622" i="3"/>
  <c r="BX623" i="3"/>
  <c r="BX624" i="3"/>
  <c r="BX625" i="3"/>
  <c r="EH625" i="3" s="1"/>
  <c r="BX626" i="3"/>
  <c r="BX627" i="3"/>
  <c r="BX628" i="3"/>
  <c r="BX629" i="3"/>
  <c r="EH629" i="3" s="1"/>
  <c r="BX630" i="3"/>
  <c r="BX631" i="3"/>
  <c r="BX632" i="3"/>
  <c r="BX633" i="3"/>
  <c r="EH633" i="3" s="1"/>
  <c r="BX634" i="3"/>
  <c r="BX641" i="3"/>
  <c r="BX642" i="3"/>
  <c r="BX643" i="3"/>
  <c r="CC622" i="3"/>
  <c r="CC623" i="3"/>
  <c r="CC624" i="3"/>
  <c r="CC625" i="3"/>
  <c r="EM625" i="3" s="1"/>
  <c r="CC626" i="3"/>
  <c r="CC627" i="3"/>
  <c r="CC628" i="3"/>
  <c r="CC629" i="3"/>
  <c r="EM629" i="3" s="1"/>
  <c r="CC630" i="3"/>
  <c r="CC631" i="3"/>
  <c r="CC632" i="3"/>
  <c r="CC633" i="3"/>
  <c r="EM633" i="3" s="1"/>
  <c r="CC634" i="3"/>
  <c r="CM641" i="3"/>
  <c r="CM642" i="3"/>
  <c r="CM643" i="3"/>
  <c r="CM622" i="3"/>
  <c r="CM623" i="3"/>
  <c r="CM624" i="3"/>
  <c r="CM625" i="3"/>
  <c r="CM626" i="3"/>
  <c r="CM627" i="3"/>
  <c r="CM628" i="3"/>
  <c r="CM629" i="3"/>
  <c r="CM630" i="3"/>
  <c r="CM631" i="3"/>
  <c r="CM632" i="3"/>
  <c r="CM633" i="3"/>
  <c r="CM634" i="3"/>
  <c r="CH622" i="3"/>
  <c r="CH623" i="3"/>
  <c r="CH624" i="3"/>
  <c r="ER624" i="3" s="1"/>
  <c r="CH625" i="3"/>
  <c r="CH626" i="3"/>
  <c r="CH627" i="3"/>
  <c r="CH628" i="3"/>
  <c r="ER628" i="3" s="1"/>
  <c r="CH629" i="3"/>
  <c r="CH630" i="3"/>
  <c r="CH631" i="3"/>
  <c r="CH632" i="3"/>
  <c r="ER632" i="3" s="1"/>
  <c r="CH633" i="3"/>
  <c r="CH634" i="3"/>
  <c r="CH641" i="3"/>
  <c r="CH642" i="3"/>
  <c r="CH643" i="3"/>
  <c r="AJ1011" i="3"/>
  <c r="BE610" i="3"/>
  <c r="BG610" i="3"/>
  <c r="BE611" i="3"/>
  <c r="BG611" i="3"/>
  <c r="BE612" i="3"/>
  <c r="BE613" i="3"/>
  <c r="BG613" i="3" s="1"/>
  <c r="BE614" i="3"/>
  <c r="BG614" i="3"/>
  <c r="BE615" i="3"/>
  <c r="BG615" i="3" s="1"/>
  <c r="BE616" i="3"/>
  <c r="BE617" i="3"/>
  <c r="BG617" i="3"/>
  <c r="BE618" i="3"/>
  <c r="BG618" i="3"/>
  <c r="BE619" i="3"/>
  <c r="BG619" i="3" s="1"/>
  <c r="BE620" i="3"/>
  <c r="BE621" i="3"/>
  <c r="BG621" i="3" s="1"/>
  <c r="BE622" i="3"/>
  <c r="BG622" i="3" s="1"/>
  <c r="BI610" i="3"/>
  <c r="BK610" i="3"/>
  <c r="BI611" i="3"/>
  <c r="BK611" i="3"/>
  <c r="BI612" i="3"/>
  <c r="BK612" i="3" s="1"/>
  <c r="BI613" i="3"/>
  <c r="BI614" i="3"/>
  <c r="BK614" i="3" s="1"/>
  <c r="BI615" i="3"/>
  <c r="BK615" i="3" s="1"/>
  <c r="BI616" i="3"/>
  <c r="BK616" i="3"/>
  <c r="BI617" i="3"/>
  <c r="BI618" i="3"/>
  <c r="BK618" i="3" s="1"/>
  <c r="BI619" i="3"/>
  <c r="BK619" i="3" s="1"/>
  <c r="BI620" i="3"/>
  <c r="BK620" i="3" s="1"/>
  <c r="BI621" i="3"/>
  <c r="BI622" i="3"/>
  <c r="BK622" i="3" s="1"/>
  <c r="T25" i="15"/>
  <c r="Y7" i="15"/>
  <c r="S26" i="4"/>
  <c r="C26" i="4"/>
  <c r="Y67" i="15"/>
  <c r="G90" i="21"/>
  <c r="G94" i="21" s="1"/>
  <c r="G77" i="21"/>
  <c r="M23" i="21"/>
  <c r="S23" i="21" s="1"/>
  <c r="P18" i="21"/>
  <c r="L23" i="21"/>
  <c r="L27" i="21"/>
  <c r="M28" i="21"/>
  <c r="M32" i="21"/>
  <c r="Q32" i="21" s="1" a="1"/>
  <c r="Q32" i="21" s="1"/>
  <c r="M33" i="21"/>
  <c r="O33" i="21" s="1"/>
  <c r="M34" i="21"/>
  <c r="T34" i="21" s="1"/>
  <c r="S34" i="21"/>
  <c r="M35" i="21"/>
  <c r="R35" i="21" s="1"/>
  <c r="M36" i="21"/>
  <c r="S36" i="21" s="1"/>
  <c r="M37" i="21"/>
  <c r="T37" i="21" s="1"/>
  <c r="M38" i="21"/>
  <c r="S38" i="21" s="1"/>
  <c r="M39" i="21"/>
  <c r="O39" i="21" s="1"/>
  <c r="M40" i="21"/>
  <c r="R40" i="21" s="1"/>
  <c r="S40" i="21"/>
  <c r="M41" i="21"/>
  <c r="O41" i="21" s="1"/>
  <c r="M42" i="21"/>
  <c r="S42" i="21" s="1"/>
  <c r="M43" i="21"/>
  <c r="T43" i="21" s="1"/>
  <c r="M44" i="21"/>
  <c r="R44" i="21" s="1"/>
  <c r="L62" i="21"/>
  <c r="L63" i="21"/>
  <c r="L64" i="21"/>
  <c r="G67" i="21" s="1"/>
  <c r="L65" i="21"/>
  <c r="L66" i="21"/>
  <c r="L67" i="21"/>
  <c r="L68" i="21"/>
  <c r="L69" i="21"/>
  <c r="G62" i="21"/>
  <c r="L20" i="21"/>
  <c r="L21" i="21"/>
  <c r="E26" i="21" s="1"/>
  <c r="L22" i="21"/>
  <c r="L24" i="21"/>
  <c r="L25" i="21"/>
  <c r="L26" i="21"/>
  <c r="L28" i="21"/>
  <c r="L29" i="21"/>
  <c r="L30" i="21"/>
  <c r="L31" i="21"/>
  <c r="L32" i="21"/>
  <c r="L33" i="21"/>
  <c r="L34" i="21"/>
  <c r="L35" i="21"/>
  <c r="L36" i="21"/>
  <c r="L37" i="21"/>
  <c r="L38" i="21"/>
  <c r="L39" i="21"/>
  <c r="L40" i="21"/>
  <c r="L41" i="21"/>
  <c r="L42" i="21"/>
  <c r="L43" i="21"/>
  <c r="L44" i="21"/>
  <c r="G39" i="21"/>
  <c r="D25" i="21"/>
  <c r="D26" i="21"/>
  <c r="T38" i="21"/>
  <c r="T39" i="21"/>
  <c r="T40"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4" i="21"/>
  <c r="R42" i="21"/>
  <c r="O32" i="21"/>
  <c r="O34" i="21"/>
  <c r="O38" i="21"/>
  <c r="O40" i="21"/>
  <c r="O44" i="21"/>
  <c r="Q44" i="21" a="1"/>
  <c r="Q44" i="21" s="1"/>
  <c r="Q40" i="21" a="1"/>
  <c r="Q40" i="21" s="1"/>
  <c r="Q38" i="21" a="1"/>
  <c r="Q38" i="21" s="1"/>
  <c r="P36" i="21" a="1"/>
  <c r="P36" i="21" s="1"/>
  <c r="Q34" i="21" a="1"/>
  <c r="Q34" i="21" s="1"/>
  <c r="P34" i="21" a="1"/>
  <c r="P34" i="21" s="1"/>
  <c r="B4" i="8"/>
  <c r="G102" i="21"/>
  <c r="G88" i="21"/>
  <c r="G92" i="21" s="1"/>
  <c r="O796" i="3"/>
  <c r="CS648" i="3"/>
  <c r="CS649" i="3"/>
  <c r="CS650" i="3"/>
  <c r="CS651" i="3"/>
  <c r="CS652" i="3"/>
  <c r="CS655" i="3"/>
  <c r="CS656" i="3"/>
  <c r="CX648" i="3"/>
  <c r="CX649" i="3"/>
  <c r="CX650" i="3"/>
  <c r="CX651" i="3"/>
  <c r="CX652" i="3"/>
  <c r="CX653" i="3"/>
  <c r="CX656" i="3"/>
  <c r="DC648" i="3"/>
  <c r="DC649" i="3"/>
  <c r="DC651" i="3"/>
  <c r="DC652" i="3"/>
  <c r="DC653" i="3"/>
  <c r="DC655" i="3"/>
  <c r="DC656" i="3"/>
  <c r="DH648" i="3"/>
  <c r="DM649" i="3"/>
  <c r="DM650" i="3"/>
  <c r="DM652" i="3"/>
  <c r="DM653" i="3"/>
  <c r="DM654" i="3"/>
  <c r="DM656" i="3"/>
  <c r="DM657" i="3"/>
  <c r="DR649" i="3"/>
  <c r="DR651" i="3"/>
  <c r="DR652" i="3"/>
  <c r="DR653" i="3"/>
  <c r="DR655" i="3"/>
  <c r="DR656" i="3"/>
  <c r="DR657" i="3"/>
  <c r="AJ610" i="20"/>
  <c r="E104" i="21"/>
  <c r="E95" i="21"/>
  <c r="B85" i="21"/>
  <c r="B60" i="21"/>
  <c r="B51" i="21"/>
  <c r="B42" i="21"/>
  <c r="B33" i="21"/>
  <c r="B18" i="21"/>
  <c r="B7" i="8"/>
  <c r="G7" i="8" s="1"/>
  <c r="AV778" i="3"/>
  <c r="AG440" i="3"/>
  <c r="AG443" i="3"/>
  <c r="AG444" i="3" s="1"/>
  <c r="BE623" i="3"/>
  <c r="BG623" i="3" s="1"/>
  <c r="BE624" i="3"/>
  <c r="BG624" i="3" s="1"/>
  <c r="BE625" i="3"/>
  <c r="BG625" i="3"/>
  <c r="BE626" i="3"/>
  <c r="BG626" i="3" s="1"/>
  <c r="BE627" i="3"/>
  <c r="BG627" i="3" s="1"/>
  <c r="BE628" i="3"/>
  <c r="BG628" i="3" s="1"/>
  <c r="BE629" i="3"/>
  <c r="BG629" i="3" s="1"/>
  <c r="BE630" i="3"/>
  <c r="BG630" i="3"/>
  <c r="BE631" i="3"/>
  <c r="BG631" i="3" s="1"/>
  <c r="BE632" i="3"/>
  <c r="BG632" i="3"/>
  <c r="BE633" i="3"/>
  <c r="BG633" i="3" s="1"/>
  <c r="BE634" i="3"/>
  <c r="BG634" i="3"/>
  <c r="BI623" i="3"/>
  <c r="BK623" i="3" s="1"/>
  <c r="BI624" i="3"/>
  <c r="BK624" i="3" s="1"/>
  <c r="BI625" i="3"/>
  <c r="BK625" i="3"/>
  <c r="BI626" i="3"/>
  <c r="BK626" i="3" s="1"/>
  <c r="BI627" i="3"/>
  <c r="BK627" i="3" s="1"/>
  <c r="BI628" i="3"/>
  <c r="BK628" i="3" s="1"/>
  <c r="BI629" i="3"/>
  <c r="BK629" i="3" s="1"/>
  <c r="BI630" i="3"/>
  <c r="BK630" i="3"/>
  <c r="BI631" i="3"/>
  <c r="BK631" i="3" s="1"/>
  <c r="BI632" i="3"/>
  <c r="BK632" i="3"/>
  <c r="BI633" i="3"/>
  <c r="BK633" i="3" s="1"/>
  <c r="BI634" i="3"/>
  <c r="BK634" i="3"/>
  <c r="DH650" i="3"/>
  <c r="DH651" i="3"/>
  <c r="DH652" i="3"/>
  <c r="DH653" i="3"/>
  <c r="DH654" i="3"/>
  <c r="DH655" i="3"/>
  <c r="DH656" i="3"/>
  <c r="DH657" i="3"/>
  <c r="L4" i="25"/>
  <c r="AN28" i="25"/>
  <c r="AH28" i="25"/>
  <c r="AB28" i="25"/>
  <c r="V28" i="25"/>
  <c r="J28" i="25" s="1"/>
  <c r="P28" i="25"/>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AK274" i="20"/>
  <c r="T799" i="20" s="1"/>
  <c r="AF799" i="20" s="1"/>
  <c r="B24" i="4"/>
  <c r="R36" i="4"/>
  <c r="B36" i="4"/>
  <c r="B66" i="4"/>
  <c r="B68" i="4"/>
  <c r="B69" i="4"/>
  <c r="R66" i="4"/>
  <c r="R68" i="4"/>
  <c r="A104" i="11"/>
  <c r="C101" i="11"/>
  <c r="B101" i="11"/>
  <c r="D101" i="11" s="1"/>
  <c r="C102" i="11"/>
  <c r="C103" i="11"/>
  <c r="C104" i="11"/>
  <c r="B102" i="11"/>
  <c r="B103" i="11"/>
  <c r="D103" i="11" s="1"/>
  <c r="B104" i="11"/>
  <c r="D104" i="11" s="1"/>
  <c r="C85" i="11"/>
  <c r="B85" i="11"/>
  <c r="C86" i="11"/>
  <c r="C88" i="11"/>
  <c r="C89" i="11"/>
  <c r="C90" i="11"/>
  <c r="C94" i="11"/>
  <c r="D94" i="11" s="1"/>
  <c r="C96" i="11"/>
  <c r="B86" i="11"/>
  <c r="B88" i="11"/>
  <c r="D88" i="11" s="1"/>
  <c r="B90" i="11"/>
  <c r="B94" i="11"/>
  <c r="B96" i="11"/>
  <c r="A70" i="11"/>
  <c r="C67" i="11"/>
  <c r="C69" i="11"/>
  <c r="C70" i="11"/>
  <c r="C66" i="11"/>
  <c r="B67" i="11"/>
  <c r="B69" i="11"/>
  <c r="B70" i="11"/>
  <c r="A62" i="11"/>
  <c r="A54" i="11"/>
  <c r="A38" i="11"/>
  <c r="A26" i="11"/>
  <c r="C31" i="11"/>
  <c r="C33" i="11"/>
  <c r="C35" i="11"/>
  <c r="C36" i="11"/>
  <c r="D36" i="11" s="1"/>
  <c r="C37" i="11"/>
  <c r="C38" i="11"/>
  <c r="B31" i="11"/>
  <c r="B33" i="11"/>
  <c r="B35" i="11"/>
  <c r="B36" i="11"/>
  <c r="B37" i="11"/>
  <c r="B38" i="11"/>
  <c r="D38" i="11" s="1"/>
  <c r="C24" i="11"/>
  <c r="C25" i="11"/>
  <c r="C26" i="11"/>
  <c r="B25" i="11"/>
  <c r="D25" i="11" s="1"/>
  <c r="B26" i="11"/>
  <c r="D70" i="4"/>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A53" i="13"/>
  <c r="H36" i="13"/>
  <c r="H24" i="13"/>
  <c r="E24" i="13"/>
  <c r="B24" i="13"/>
  <c r="G67" i="7"/>
  <c r="I67" i="7" s="1"/>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G57" i="7" s="1"/>
  <c r="G56" i="7"/>
  <c r="I56" i="7" s="1"/>
  <c r="K56" i="7" s="1"/>
  <c r="M56" i="7" s="1"/>
  <c r="O56" i="7" s="1"/>
  <c r="Q56" i="7" s="1"/>
  <c r="S56" i="7" s="1"/>
  <c r="U56" i="7" s="1"/>
  <c r="W56" i="7" s="1"/>
  <c r="Y56" i="7" s="1"/>
  <c r="AA56" i="7" s="1"/>
  <c r="AC56" i="7" s="1"/>
  <c r="AE56" i="7" s="1"/>
  <c r="AG56" i="7" s="1"/>
  <c r="G52" i="7"/>
  <c r="I52" i="7"/>
  <c r="K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B100" i="4"/>
  <c r="R100" i="4"/>
  <c r="AQ107" i="20"/>
  <c r="AQ111"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6" i="3"/>
  <c r="BG711" i="3"/>
  <c r="BG715" i="3"/>
  <c r="BG716" i="3"/>
  <c r="BG717" i="3"/>
  <c r="BG718" i="3"/>
  <c r="BG719" i="3"/>
  <c r="BG720" i="3"/>
  <c r="BG721" i="3"/>
  <c r="BG722" i="3"/>
  <c r="BG723" i="3"/>
  <c r="BG724" i="3"/>
  <c r="BG725" i="3"/>
  <c r="BG726" i="3"/>
  <c r="BG727" i="3"/>
  <c r="BG703" i="3"/>
  <c r="BA678" i="3"/>
  <c r="AB234" i="20"/>
  <c r="AB236" i="20" s="1"/>
  <c r="AB222" i="20"/>
  <c r="AB221" i="20"/>
  <c r="AB220" i="20"/>
  <c r="AB219" i="20"/>
  <c r="AB218" i="20"/>
  <c r="AB217" i="20"/>
  <c r="AB216" i="20"/>
  <c r="AB215" i="20"/>
  <c r="AB223" i="20" s="1"/>
  <c r="AB214" i="20"/>
  <c r="AB213" i="20"/>
  <c r="AF805" i="20"/>
  <c r="AG512" i="20"/>
  <c r="AG508" i="20"/>
  <c r="AG504" i="20"/>
  <c r="AG501" i="20"/>
  <c r="AG497" i="20"/>
  <c r="AG492" i="20"/>
  <c r="AG487" i="20"/>
  <c r="AG485" i="20"/>
  <c r="AG481" i="20"/>
  <c r="AK524" i="20" s="1"/>
  <c r="T798" i="20" s="1"/>
  <c r="AF798" i="20" s="1"/>
  <c r="AG476" i="20"/>
  <c r="AG474" i="20"/>
  <c r="AG469" i="20"/>
  <c r="AP362" i="20"/>
  <c r="AP361" i="20"/>
  <c r="AP360" i="20"/>
  <c r="AP359" i="20"/>
  <c r="AP358" i="20"/>
  <c r="AP357" i="20"/>
  <c r="AP354" i="20"/>
  <c r="AP353" i="20"/>
  <c r="AP352" i="20"/>
  <c r="AP355" i="20" s="1"/>
  <c r="AQ355" i="20" s="1"/>
  <c r="AP351" i="20"/>
  <c r="AP350" i="20"/>
  <c r="AP349" i="20"/>
  <c r="AP348" i="20"/>
  <c r="AP347" i="20"/>
  <c r="AP346" i="20"/>
  <c r="AJ766" i="20"/>
  <c r="AJ750" i="20"/>
  <c r="AJ738" i="20"/>
  <c r="AJ722" i="20"/>
  <c r="AJ710" i="20"/>
  <c r="AJ696" i="20"/>
  <c r="AK779" i="20" s="1"/>
  <c r="T804" i="20" s="1"/>
  <c r="AF804" i="20" s="1"/>
  <c r="AJ676" i="20"/>
  <c r="AJ641" i="20"/>
  <c r="AJ629" i="20"/>
  <c r="AO586" i="20"/>
  <c r="AJ169" i="20"/>
  <c r="T795" i="20" s="1"/>
  <c r="AJ155" i="20"/>
  <c r="T794" i="20" s="1"/>
  <c r="AO64" i="20"/>
  <c r="AO63" i="20"/>
  <c r="AO62" i="20"/>
  <c r="A3" i="15"/>
  <c r="BA1000" i="3"/>
  <c r="T11" i="4"/>
  <c r="H11" i="13" s="1"/>
  <c r="R10" i="4"/>
  <c r="AI7" i="15"/>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B12" i="8"/>
  <c r="G12" i="8" s="1"/>
  <c r="B16" i="8"/>
  <c r="G16" i="8" s="1"/>
  <c r="B17" i="8"/>
  <c r="G17" i="8"/>
  <c r="B18" i="8"/>
  <c r="G18" i="8" s="1"/>
  <c r="B19" i="8"/>
  <c r="G19" i="8" s="1"/>
  <c r="B20" i="8"/>
  <c r="G20" i="8" s="1"/>
  <c r="B21" i="8"/>
  <c r="G21" i="8" s="1"/>
  <c r="B22" i="8"/>
  <c r="G22" i="8" s="1"/>
  <c r="B23" i="8"/>
  <c r="G23" i="8"/>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27" i="13"/>
  <c r="E25" i="13"/>
  <c r="E23" i="13"/>
  <c r="E22" i="13"/>
  <c r="E21" i="13"/>
  <c r="E20" i="13"/>
  <c r="E19" i="13"/>
  <c r="E18" i="13"/>
  <c r="E17" i="13"/>
  <c r="E15" i="13"/>
  <c r="E14" i="13"/>
  <c r="E13" i="13"/>
  <c r="E10" i="13"/>
  <c r="B27" i="13"/>
  <c r="B25" i="13"/>
  <c r="B23" i="13"/>
  <c r="B22" i="13"/>
  <c r="B21" i="13"/>
  <c r="B20" i="13"/>
  <c r="B19" i="13"/>
  <c r="B18" i="13"/>
  <c r="B17" i="13"/>
  <c r="B5" i="13"/>
  <c r="B6" i="13"/>
  <c r="C6" i="13" s="1"/>
  <c r="B7" i="13"/>
  <c r="B9" i="13"/>
  <c r="B10" i="13"/>
  <c r="B13" i="13"/>
  <c r="B14" i="13"/>
  <c r="B15" i="13"/>
  <c r="J104" i="13"/>
  <c r="I104" i="13"/>
  <c r="G104" i="13"/>
  <c r="D104" i="13"/>
  <c r="G96" i="13"/>
  <c r="D96" i="13"/>
  <c r="D77" i="13"/>
  <c r="J70" i="13"/>
  <c r="I70" i="13"/>
  <c r="G70" i="13"/>
  <c r="D70" i="13"/>
  <c r="D62" i="13"/>
  <c r="J54" i="13"/>
  <c r="I54" i="13"/>
  <c r="G54" i="13"/>
  <c r="D54" i="13"/>
  <c r="D63" i="13" s="1"/>
  <c r="D97" i="13" s="1"/>
  <c r="D105" i="13" s="1"/>
  <c r="J42" i="13"/>
  <c r="I42" i="13"/>
  <c r="G42" i="13"/>
  <c r="F26" i="13"/>
  <c r="D42" i="13"/>
  <c r="J38" i="13"/>
  <c r="I38" i="13"/>
  <c r="G38" i="13"/>
  <c r="D38" i="13"/>
  <c r="J26" i="13"/>
  <c r="I26" i="13"/>
  <c r="I11" i="13"/>
  <c r="G26" i="13"/>
  <c r="D26" i="13"/>
  <c r="C26" i="13"/>
  <c r="J11" i="13"/>
  <c r="J63" i="13" s="1"/>
  <c r="D11" i="13"/>
  <c r="C11" i="13"/>
  <c r="D8" i="13"/>
  <c r="D12" i="13"/>
  <c r="T104" i="4"/>
  <c r="H104" i="13" s="1"/>
  <c r="R103" i="4"/>
  <c r="R102" i="4"/>
  <c r="R101" i="4"/>
  <c r="R95" i="4"/>
  <c r="R93" i="4"/>
  <c r="R76" i="4"/>
  <c r="R72" i="4"/>
  <c r="R73" i="4"/>
  <c r="R74" i="4"/>
  <c r="R61" i="4"/>
  <c r="R60" i="4"/>
  <c r="R57" i="4"/>
  <c r="R51" i="4"/>
  <c r="R48" i="4"/>
  <c r="R37" i="4"/>
  <c r="R35" i="4"/>
  <c r="R34" i="4"/>
  <c r="R27" i="4"/>
  <c r="R25" i="4"/>
  <c r="R23" i="4"/>
  <c r="R22" i="4"/>
  <c r="R21" i="4"/>
  <c r="R20" i="4"/>
  <c r="R19" i="4"/>
  <c r="R18" i="4"/>
  <c r="R17" i="4"/>
  <c r="R15" i="4"/>
  <c r="R14" i="4"/>
  <c r="R13" i="4"/>
  <c r="R9" i="4"/>
  <c r="R11" i="4" s="1"/>
  <c r="R7" i="4"/>
  <c r="R6" i="4"/>
  <c r="R5" i="4"/>
  <c r="B6" i="11"/>
  <c r="D6" i="11" s="1"/>
  <c r="B7" i="11"/>
  <c r="B8" i="11"/>
  <c r="C6" i="11"/>
  <c r="C7" i="11"/>
  <c r="C8" i="11"/>
  <c r="D8" i="11" s="1"/>
  <c r="B10" i="11"/>
  <c r="B12" i="11" s="1"/>
  <c r="B11" i="11"/>
  <c r="C10" i="11"/>
  <c r="C11" i="11"/>
  <c r="D11" i="11" s="1"/>
  <c r="B14" i="11"/>
  <c r="D14" i="11" s="1"/>
  <c r="C14" i="11"/>
  <c r="B15" i="11"/>
  <c r="C15" i="11"/>
  <c r="B16" i="11"/>
  <c r="C16" i="11"/>
  <c r="B18" i="11"/>
  <c r="C18" i="11"/>
  <c r="C27" i="11" s="1"/>
  <c r="B19" i="11"/>
  <c r="C19" i="11"/>
  <c r="C20" i="11"/>
  <c r="C21" i="11"/>
  <c r="D21" i="11" s="1"/>
  <c r="C22" i="11"/>
  <c r="C23" i="11"/>
  <c r="B20" i="11"/>
  <c r="B21" i="11"/>
  <c r="B27" i="11" s="1"/>
  <c r="B22" i="11"/>
  <c r="B23" i="11"/>
  <c r="B24" i="11"/>
  <c r="B28" i="11"/>
  <c r="C28" i="11"/>
  <c r="B30" i="11"/>
  <c r="C42" i="11"/>
  <c r="D42" i="11" s="1"/>
  <c r="B42" i="11"/>
  <c r="B48" i="11"/>
  <c r="B49" i="11"/>
  <c r="B52" i="11"/>
  <c r="B53" i="11"/>
  <c r="C48" i="11"/>
  <c r="C49" i="11"/>
  <c r="D49" i="11" s="1"/>
  <c r="C52" i="11"/>
  <c r="C53" i="11"/>
  <c r="B58" i="11"/>
  <c r="C58" i="11"/>
  <c r="B60" i="11"/>
  <c r="C60" i="11"/>
  <c r="B61" i="11"/>
  <c r="C61" i="11"/>
  <c r="D61" i="11" s="1"/>
  <c r="B62" i="11"/>
  <c r="C62" i="11"/>
  <c r="B66" i="11"/>
  <c r="B73" i="11"/>
  <c r="C73" i="11"/>
  <c r="B74" i="11"/>
  <c r="C74" i="11"/>
  <c r="D74" i="11"/>
  <c r="B75" i="11"/>
  <c r="C75" i="11"/>
  <c r="B77" i="11"/>
  <c r="C77" i="11"/>
  <c r="A4" i="8"/>
  <c r="G4" i="8"/>
  <c r="I4" i="8"/>
  <c r="J4" i="8"/>
  <c r="A5" i="8"/>
  <c r="D5" i="8"/>
  <c r="I5" i="8"/>
  <c r="J5" i="8"/>
  <c r="A6" i="8"/>
  <c r="I6" i="8"/>
  <c r="J6" i="8"/>
  <c r="A7" i="8"/>
  <c r="I7" i="8"/>
  <c r="J7" i="8"/>
  <c r="A8" i="8"/>
  <c r="I8" i="8"/>
  <c r="J8" i="8"/>
  <c r="A9" i="8"/>
  <c r="D9" i="8"/>
  <c r="I9" i="8"/>
  <c r="J9" i="8"/>
  <c r="A10" i="8"/>
  <c r="I10" i="8"/>
  <c r="J10" i="8"/>
  <c r="A11" i="8"/>
  <c r="I11" i="8"/>
  <c r="J11" i="8"/>
  <c r="A12" i="8"/>
  <c r="I12" i="8"/>
  <c r="J12" i="8"/>
  <c r="A13" i="8"/>
  <c r="D13" i="8"/>
  <c r="I13" i="8"/>
  <c r="J13" i="8"/>
  <c r="A14" i="8"/>
  <c r="I14" i="8"/>
  <c r="J14" i="8"/>
  <c r="A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T63" i="4" s="1"/>
  <c r="T38" i="4"/>
  <c r="H38" i="13" s="1"/>
  <c r="T42" i="4"/>
  <c r="H42" i="13"/>
  <c r="T54" i="4"/>
  <c r="H54" i="13" s="1"/>
  <c r="T70" i="4"/>
  <c r="H70" i="13" s="1"/>
  <c r="T96" i="4"/>
  <c r="H96" i="13"/>
  <c r="DX610" i="3"/>
  <c r="DX613" i="3"/>
  <c r="DX616" i="3"/>
  <c r="DX622" i="3"/>
  <c r="DX623" i="3"/>
  <c r="DX624" i="3"/>
  <c r="DX625" i="3"/>
  <c r="DX626" i="3"/>
  <c r="DX627" i="3"/>
  <c r="DX628" i="3"/>
  <c r="DX629" i="3"/>
  <c r="DX630" i="3"/>
  <c r="DX631" i="3"/>
  <c r="DX632" i="3"/>
  <c r="DX633" i="3"/>
  <c r="DX634" i="3"/>
  <c r="EC614" i="3"/>
  <c r="EC615" i="3"/>
  <c r="EC622" i="3"/>
  <c r="EC623" i="3"/>
  <c r="EC624" i="3"/>
  <c r="EC626" i="3"/>
  <c r="EC627" i="3"/>
  <c r="EC628" i="3"/>
  <c r="EC630" i="3"/>
  <c r="EC631" i="3"/>
  <c r="EC632" i="3"/>
  <c r="EC634" i="3"/>
  <c r="EH619" i="3"/>
  <c r="EH622" i="3"/>
  <c r="EH623" i="3"/>
  <c r="EH624" i="3"/>
  <c r="EH626" i="3"/>
  <c r="EH627" i="3"/>
  <c r="EH628" i="3"/>
  <c r="EH630" i="3"/>
  <c r="EH631" i="3"/>
  <c r="EH632" i="3"/>
  <c r="EH634" i="3"/>
  <c r="EM611" i="3"/>
  <c r="EM615" i="3"/>
  <c r="EM617" i="3"/>
  <c r="EM622" i="3"/>
  <c r="EM623" i="3"/>
  <c r="EM624" i="3"/>
  <c r="EM626" i="3"/>
  <c r="EM627" i="3"/>
  <c r="EM628" i="3"/>
  <c r="EM630" i="3"/>
  <c r="EM631" i="3"/>
  <c r="EM632" i="3"/>
  <c r="EM634" i="3"/>
  <c r="EW615" i="3"/>
  <c r="EW622" i="3"/>
  <c r="EW623" i="3"/>
  <c r="EW624" i="3"/>
  <c r="EW625" i="3"/>
  <c r="EW626" i="3"/>
  <c r="EW627" i="3"/>
  <c r="EW628" i="3"/>
  <c r="EW629" i="3"/>
  <c r="EW630" i="3"/>
  <c r="EW631" i="3"/>
  <c r="EW632" i="3"/>
  <c r="EW633" i="3"/>
  <c r="EW634" i="3"/>
  <c r="ER615" i="3"/>
  <c r="ER622" i="3"/>
  <c r="ER623" i="3"/>
  <c r="ER625" i="3"/>
  <c r="ER626" i="3"/>
  <c r="ER627" i="3"/>
  <c r="ER629" i="3"/>
  <c r="ER630" i="3"/>
  <c r="ER631" i="3"/>
  <c r="ER633" i="3"/>
  <c r="ER634" i="3"/>
  <c r="C11" i="4"/>
  <c r="B11" i="4" s="1"/>
  <c r="D11" i="4"/>
  <c r="D8" i="4"/>
  <c r="D63" i="4" s="1"/>
  <c r="D97" i="4" s="1"/>
  <c r="D105" i="4" s="1"/>
  <c r="B26" i="13"/>
  <c r="D26" i="4"/>
  <c r="D38" i="4"/>
  <c r="D42" i="4"/>
  <c r="D54" i="4"/>
  <c r="D62" i="4"/>
  <c r="D77" i="4"/>
  <c r="D96" i="4"/>
  <c r="D104" i="4"/>
  <c r="B26" i="4"/>
  <c r="E26" i="13"/>
  <c r="F2" i="4"/>
  <c r="G2" i="4"/>
  <c r="H2" i="4"/>
  <c r="I2" i="4"/>
  <c r="J2" i="4"/>
  <c r="K2" i="4"/>
  <c r="L2" i="4"/>
  <c r="M2" i="4"/>
  <c r="N2" i="4"/>
  <c r="O2" i="4"/>
  <c r="P2" i="4"/>
  <c r="Q2" i="4"/>
  <c r="B5" i="4"/>
  <c r="B6" i="4"/>
  <c r="B7" i="4"/>
  <c r="E8" i="4"/>
  <c r="F8" i="4"/>
  <c r="F12" i="4" s="1"/>
  <c r="F11" i="4"/>
  <c r="G8" i="4"/>
  <c r="G11" i="4"/>
  <c r="G12" i="4" s="1"/>
  <c r="G26" i="4"/>
  <c r="G42" i="4"/>
  <c r="G54" i="4"/>
  <c r="G62" i="4"/>
  <c r="G70" i="4"/>
  <c r="G77" i="4"/>
  <c r="G96" i="4"/>
  <c r="G104" i="4"/>
  <c r="H8" i="4"/>
  <c r="H12" i="4" s="1"/>
  <c r="H11" i="4"/>
  <c r="I11" i="4"/>
  <c r="J8" i="4"/>
  <c r="J12" i="4" s="1"/>
  <c r="J11" i="4"/>
  <c r="J26" i="4"/>
  <c r="J38" i="4"/>
  <c r="J42" i="4"/>
  <c r="J54" i="4"/>
  <c r="J62" i="4"/>
  <c r="J70" i="4"/>
  <c r="J77" i="4"/>
  <c r="J96" i="4"/>
  <c r="K8" i="4"/>
  <c r="K11" i="4"/>
  <c r="K26" i="4"/>
  <c r="K38" i="4"/>
  <c r="K42" i="4"/>
  <c r="K54" i="4"/>
  <c r="K62" i="4"/>
  <c r="K70" i="4"/>
  <c r="K77" i="4"/>
  <c r="K96" i="4"/>
  <c r="L8" i="4"/>
  <c r="L12" i="4" s="1"/>
  <c r="L11" i="4"/>
  <c r="L26" i="4"/>
  <c r="L38" i="4"/>
  <c r="L42" i="4"/>
  <c r="L54" i="4"/>
  <c r="L62" i="4"/>
  <c r="L70" i="4"/>
  <c r="L77" i="4"/>
  <c r="L96" i="4"/>
  <c r="L104" i="4"/>
  <c r="M8" i="4"/>
  <c r="M11" i="4"/>
  <c r="N8" i="4"/>
  <c r="N11" i="4"/>
  <c r="N26" i="4"/>
  <c r="N38" i="4"/>
  <c r="N42" i="4"/>
  <c r="N54" i="4"/>
  <c r="N62" i="4"/>
  <c r="N70" i="4"/>
  <c r="N77" i="4"/>
  <c r="N96" i="4"/>
  <c r="N104" i="4"/>
  <c r="O8" i="4"/>
  <c r="O12" i="4" s="1"/>
  <c r="O11" i="4"/>
  <c r="Q8" i="4"/>
  <c r="Q11" i="4"/>
  <c r="Q26" i="4"/>
  <c r="Q38" i="4"/>
  <c r="Q42" i="4"/>
  <c r="Q54" i="4"/>
  <c r="Q62" i="4"/>
  <c r="Q70" i="4"/>
  <c r="Q77" i="4"/>
  <c r="Q96" i="4"/>
  <c r="Q104" i="4"/>
  <c r="B9" i="4"/>
  <c r="B10" i="4"/>
  <c r="E11" i="4"/>
  <c r="F26" i="4"/>
  <c r="F42" i="4"/>
  <c r="F54" i="4"/>
  <c r="F62" i="4"/>
  <c r="B13" i="4"/>
  <c r="B14" i="4"/>
  <c r="B15" i="4"/>
  <c r="AD199" i="20"/>
  <c r="B17" i="4"/>
  <c r="B18" i="4"/>
  <c r="B19" i="4"/>
  <c r="B20" i="4"/>
  <c r="B21" i="4"/>
  <c r="B22" i="4"/>
  <c r="B23" i="4"/>
  <c r="B25" i="4"/>
  <c r="E26" i="4"/>
  <c r="H26" i="4"/>
  <c r="I26" i="4"/>
  <c r="I38" i="4"/>
  <c r="I42" i="4"/>
  <c r="I54" i="4"/>
  <c r="I62" i="4"/>
  <c r="M26" i="4"/>
  <c r="M38" i="4"/>
  <c r="M42" i="4"/>
  <c r="M54" i="4"/>
  <c r="M62" i="4"/>
  <c r="M70" i="4"/>
  <c r="M77" i="4"/>
  <c r="M96" i="4"/>
  <c r="M104" i="4"/>
  <c r="O26" i="4"/>
  <c r="P26" i="4"/>
  <c r="B27" i="4"/>
  <c r="B29" i="4"/>
  <c r="B30" i="4"/>
  <c r="B32" i="4"/>
  <c r="B34" i="4"/>
  <c r="B35" i="4"/>
  <c r="B37" i="4"/>
  <c r="O38" i="4"/>
  <c r="P38" i="4"/>
  <c r="P42" i="4"/>
  <c r="P54" i="4"/>
  <c r="P62" i="4"/>
  <c r="P70" i="4"/>
  <c r="P77" i="4"/>
  <c r="P96" i="4"/>
  <c r="P104" i="4"/>
  <c r="B41" i="4"/>
  <c r="H42" i="4"/>
  <c r="O42" i="4"/>
  <c r="B47" i="4"/>
  <c r="B48" i="4"/>
  <c r="B51" i="4"/>
  <c r="B52" i="4"/>
  <c r="H54" i="4"/>
  <c r="O54" i="4"/>
  <c r="B57" i="4"/>
  <c r="B60" i="4"/>
  <c r="B61" i="4"/>
  <c r="H62" i="4"/>
  <c r="O62" i="4"/>
  <c r="O70" i="4"/>
  <c r="O77" i="4"/>
  <c r="O96" i="4"/>
  <c r="O104" i="4"/>
  <c r="B65" i="4"/>
  <c r="F70" i="4"/>
  <c r="H70" i="4"/>
  <c r="I70" i="4"/>
  <c r="B72" i="4"/>
  <c r="B73" i="4"/>
  <c r="B74" i="4"/>
  <c r="B76" i="4"/>
  <c r="F77" i="4"/>
  <c r="H77" i="4"/>
  <c r="I77" i="4"/>
  <c r="B84" i="4"/>
  <c r="B85" i="4"/>
  <c r="B87" i="4"/>
  <c r="B88" i="4"/>
  <c r="B89" i="4"/>
  <c r="B92" i="4"/>
  <c r="B93" i="4"/>
  <c r="B95" i="4"/>
  <c r="F96" i="4"/>
  <c r="H96" i="4"/>
  <c r="I96" i="4"/>
  <c r="B101" i="4"/>
  <c r="B102" i="4"/>
  <c r="B103" i="4"/>
  <c r="F104" i="4"/>
  <c r="H104" i="4"/>
  <c r="I104" i="4"/>
  <c r="G108" i="4"/>
  <c r="H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G683" i="3"/>
  <c r="BG684" i="3"/>
  <c r="BG685" i="3"/>
  <c r="BG686" i="3"/>
  <c r="BG687" i="3"/>
  <c r="BG688" i="3"/>
  <c r="BG689" i="3"/>
  <c r="BG690" i="3"/>
  <c r="BG691" i="3"/>
  <c r="BG692" i="3"/>
  <c r="BG693" i="3"/>
  <c r="BG694" i="3"/>
  <c r="BG695" i="3"/>
  <c r="BA672" i="3"/>
  <c r="BA673" i="3"/>
  <c r="G677" i="3"/>
  <c r="Z677" i="3"/>
  <c r="BA675" i="3"/>
  <c r="G685" i="3"/>
  <c r="Z685" i="3"/>
  <c r="BA682" i="3"/>
  <c r="BA683" i="3"/>
  <c r="BA684" i="3"/>
  <c r="BA685" i="3"/>
  <c r="BA686" i="3"/>
  <c r="BA687" i="3"/>
  <c r="BA688" i="3"/>
  <c r="BA689" i="3"/>
  <c r="G693" i="3"/>
  <c r="Z693" i="3"/>
  <c r="BA690" i="3"/>
  <c r="BA691" i="3"/>
  <c r="BA692" i="3"/>
  <c r="BA693" i="3"/>
  <c r="BA694" i="3"/>
  <c r="W710"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I63" i="13"/>
  <c r="I97" i="13" s="1"/>
  <c r="I105" i="13" s="1"/>
  <c r="I107" i="13" s="1"/>
  <c r="D48" i="11"/>
  <c r="D10" i="11"/>
  <c r="G63" i="13"/>
  <c r="G97" i="13" s="1"/>
  <c r="G105" i="13" s="1"/>
  <c r="G107" i="13" s="1"/>
  <c r="D20" i="11"/>
  <c r="D102" i="11"/>
  <c r="K12" i="4"/>
  <c r="B11" i="13"/>
  <c r="D12" i="4"/>
  <c r="D23" i="11"/>
  <c r="D19" i="11"/>
  <c r="D35" i="11"/>
  <c r="D15" i="11"/>
  <c r="N12" i="4"/>
  <c r="D60" i="11"/>
  <c r="M12" i="4"/>
  <c r="D62" i="11"/>
  <c r="D24" i="11"/>
  <c r="D90" i="11"/>
  <c r="D28" i="11"/>
  <c r="D16" i="11"/>
  <c r="D77" i="11"/>
  <c r="AD7" i="15"/>
  <c r="T7" i="15"/>
  <c r="D26" i="11"/>
  <c r="O63" i="4"/>
  <c r="O97" i="4" s="1"/>
  <c r="O105" i="4" s="1"/>
  <c r="S32" i="21"/>
  <c r="R32" i="21"/>
  <c r="S41" i="21"/>
  <c r="S39" i="21"/>
  <c r="S35" i="21"/>
  <c r="S33" i="21"/>
  <c r="P33" i="21" a="1"/>
  <c r="P33" i="21" s="1"/>
  <c r="P35" i="21" a="1"/>
  <c r="P35" i="21" s="1"/>
  <c r="P39" i="21" a="1"/>
  <c r="P39" i="21" s="1"/>
  <c r="P41" i="21" a="1"/>
  <c r="P41" i="21" s="1"/>
  <c r="Q33" i="21" a="1"/>
  <c r="Q33" i="21" s="1"/>
  <c r="Q35" i="21" a="1"/>
  <c r="Q35" i="21" s="1"/>
  <c r="Q39" i="21" a="1"/>
  <c r="Q39" i="21" s="1"/>
  <c r="Q41" i="21" a="1"/>
  <c r="Q41" i="21" s="1"/>
  <c r="Q43" i="21" a="1"/>
  <c r="Q43" i="21" s="1"/>
  <c r="R41" i="21"/>
  <c r="R33" i="21"/>
  <c r="AK172" i="20"/>
  <c r="B59" i="11"/>
  <c r="B58" i="4"/>
  <c r="AO65" i="20" l="1"/>
  <c r="DH621" i="3"/>
  <c r="BA681" i="3"/>
  <c r="M22" i="21"/>
  <c r="BG705" i="3"/>
  <c r="X736" i="3"/>
  <c r="D70" i="11"/>
  <c r="B29" i="13"/>
  <c r="C29" i="13" s="1"/>
  <c r="T801" i="20"/>
  <c r="T800" i="20"/>
  <c r="AF800" i="20" s="1"/>
  <c r="S26" i="21"/>
  <c r="Q26" i="21" a="1"/>
  <c r="Q26" i="21" s="1"/>
  <c r="J97" i="13"/>
  <c r="J105" i="13" s="1"/>
  <c r="J107" i="13" s="1"/>
  <c r="BN658" i="3"/>
  <c r="M63" i="4"/>
  <c r="M97" i="4" s="1"/>
  <c r="M105" i="4" s="1"/>
  <c r="Q12" i="4"/>
  <c r="K63" i="4"/>
  <c r="K97" i="4" s="1"/>
  <c r="E12" i="4"/>
  <c r="D58" i="11"/>
  <c r="C41" i="11"/>
  <c r="C43" i="11" s="1"/>
  <c r="C42" i="4"/>
  <c r="B42" i="13" s="1"/>
  <c r="CS658" i="3"/>
  <c r="R43" i="21"/>
  <c r="CC658" i="3"/>
  <c r="CG659" i="3" s="1"/>
  <c r="BK617" i="3"/>
  <c r="BG243" i="3"/>
  <c r="BO245" i="3" s="1"/>
  <c r="T266" i="3" s="1"/>
  <c r="BA671" i="3"/>
  <c r="R37" i="21"/>
  <c r="P43" i="21" a="1"/>
  <c r="P43" i="21" s="1"/>
  <c r="S37" i="21"/>
  <c r="E22" i="21"/>
  <c r="F22" i="21" s="1"/>
  <c r="G22" i="21" s="1"/>
  <c r="G27" i="7"/>
  <c r="C12" i="11"/>
  <c r="BA995" i="3"/>
  <c r="BA676" i="3"/>
  <c r="G63" i="4"/>
  <c r="G97" i="4" s="1"/>
  <c r="G105" i="4" s="1"/>
  <c r="AC796" i="3"/>
  <c r="D75" i="11"/>
  <c r="C44" i="11"/>
  <c r="R26" i="4"/>
  <c r="T793" i="20"/>
  <c r="AF793" i="20" s="1"/>
  <c r="B68" i="11"/>
  <c r="D96" i="11"/>
  <c r="O37" i="21"/>
  <c r="T41" i="21"/>
  <c r="O35" i="21"/>
  <c r="BX644" i="3"/>
  <c r="CB645" i="3" s="1"/>
  <c r="BS644" i="3"/>
  <c r="BW645" i="3" s="1"/>
  <c r="BN644" i="3"/>
  <c r="DR658" i="3"/>
  <c r="BX658" i="3"/>
  <c r="CB659" i="3" s="1"/>
  <c r="CH644" i="3"/>
  <c r="CL645" i="3" s="1"/>
  <c r="P37" i="21" a="1"/>
  <c r="P37" i="21" s="1"/>
  <c r="S43" i="21"/>
  <c r="Q37" i="21" a="1"/>
  <c r="Q37" i="21" s="1"/>
  <c r="J63" i="4"/>
  <c r="J97" i="4" s="1"/>
  <c r="D18" i="11"/>
  <c r="D27" i="11" s="1"/>
  <c r="X728" i="3"/>
  <c r="AH728" i="3" s="1"/>
  <c r="P63" i="4"/>
  <c r="P97" i="4" s="1"/>
  <c r="P105" i="4" s="1"/>
  <c r="N63" i="4"/>
  <c r="N97" i="4" s="1"/>
  <c r="N105" i="4" s="1"/>
  <c r="L63" i="4"/>
  <c r="L97" i="4" s="1"/>
  <c r="L105" i="4" s="1"/>
  <c r="AC776" i="3"/>
  <c r="D73" i="11"/>
  <c r="D22" i="11"/>
  <c r="D12" i="11"/>
  <c r="C95" i="11"/>
  <c r="P40" i="21" a="1"/>
  <c r="P40" i="21" s="1"/>
  <c r="O42" i="21"/>
  <c r="T42" i="21"/>
  <c r="CH658" i="3"/>
  <c r="CL659" i="3" s="1"/>
  <c r="CM644" i="3"/>
  <c r="CQ645" i="3" s="1"/>
  <c r="CC644" i="3"/>
  <c r="CG645" i="3" s="1"/>
  <c r="BS658" i="3"/>
  <c r="BW659" i="3" s="1"/>
  <c r="G114" i="21"/>
  <c r="I15" i="21" s="1"/>
  <c r="AD68" i="15"/>
  <c r="B91" i="4"/>
  <c r="B43" i="4"/>
  <c r="B40" i="4"/>
  <c r="B44" i="11"/>
  <c r="D44" i="11" s="1"/>
  <c r="B41" i="11"/>
  <c r="B43" i="11" s="1"/>
  <c r="C68" i="11"/>
  <c r="B95" i="11"/>
  <c r="D95" i="11" s="1"/>
  <c r="EM621" i="3"/>
  <c r="T23" i="21"/>
  <c r="B94" i="4"/>
  <c r="B33" i="4"/>
  <c r="C70" i="4"/>
  <c r="B70" i="13" s="1"/>
  <c r="C92" i="11"/>
  <c r="B67" i="4"/>
  <c r="BA674" i="3"/>
  <c r="I8" i="4"/>
  <c r="I12" i="4" s="1"/>
  <c r="B4" i="4"/>
  <c r="C5" i="11"/>
  <c r="B5" i="11"/>
  <c r="B9" i="11" s="1"/>
  <c r="B13" i="11" s="1"/>
  <c r="C8" i="4"/>
  <c r="C12" i="4" s="1"/>
  <c r="B12" i="13" s="1"/>
  <c r="BG710" i="3"/>
  <c r="B92" i="11"/>
  <c r="E94" i="4"/>
  <c r="R94" i="4" s="1"/>
  <c r="B33" i="13"/>
  <c r="C33" i="13" s="1"/>
  <c r="M30" i="21"/>
  <c r="S30" i="21" s="1"/>
  <c r="M20" i="21"/>
  <c r="B69" i="13"/>
  <c r="C69" i="13" s="1"/>
  <c r="B42" i="4"/>
  <c r="AQ109" i="20"/>
  <c r="BK613" i="3"/>
  <c r="H30" i="4"/>
  <c r="H38" i="4" s="1"/>
  <c r="H63" i="4" s="1"/>
  <c r="H97" i="4" s="1"/>
  <c r="H105" i="4" s="1"/>
  <c r="D52" i="11"/>
  <c r="D7" i="11"/>
  <c r="D33" i="11"/>
  <c r="B40" i="13"/>
  <c r="C40" i="13" s="1"/>
  <c r="C42" i="13" s="1"/>
  <c r="B14" i="8"/>
  <c r="G14" i="8" s="1"/>
  <c r="AD27" i="15"/>
  <c r="Y27" i="15"/>
  <c r="AI27" i="15"/>
  <c r="T27" i="15"/>
  <c r="B8" i="8"/>
  <c r="G8" i="8" s="1"/>
  <c r="AV111" i="20" a="1"/>
  <c r="AV111" i="20" s="1"/>
  <c r="BX614" i="3"/>
  <c r="B31" i="4"/>
  <c r="C38" i="4"/>
  <c r="B38" i="13" s="1"/>
  <c r="D11" i="8"/>
  <c r="BG707" i="3"/>
  <c r="B50" i="4"/>
  <c r="DC617" i="3"/>
  <c r="DC635" i="3" s="1"/>
  <c r="C32" i="11"/>
  <c r="D32" i="11" s="1"/>
  <c r="M24" i="21"/>
  <c r="T24" i="21" s="1"/>
  <c r="J108" i="4"/>
  <c r="B32" i="11"/>
  <c r="D31" i="11"/>
  <c r="B31" i="13"/>
  <c r="C31" i="13" s="1"/>
  <c r="E85" i="4"/>
  <c r="R85" i="4" s="1"/>
  <c r="S85" i="4" s="1"/>
  <c r="E85" i="13" s="1"/>
  <c r="F85" i="13" s="1"/>
  <c r="B11" i="8"/>
  <c r="G11" i="8" s="1"/>
  <c r="BA677" i="3"/>
  <c r="AN20" i="25" a="1"/>
  <c r="AN20" i="25" s="1"/>
  <c r="BG713" i="3"/>
  <c r="D85" i="11"/>
  <c r="Z815" i="3"/>
  <c r="E8" i="7" s="1"/>
  <c r="EC610" i="3"/>
  <c r="V19" i="25" a="1"/>
  <c r="V19" i="25" s="1"/>
  <c r="BG681" i="3"/>
  <c r="BG620" i="3"/>
  <c r="BG671" i="3"/>
  <c r="E89" i="4"/>
  <c r="R89" i="4" s="1"/>
  <c r="S89" i="4" s="1"/>
  <c r="E89" i="13" s="1"/>
  <c r="F89" i="13" s="1"/>
  <c r="B87" i="11"/>
  <c r="P21" i="25" a="1"/>
  <c r="P21" i="25" s="1"/>
  <c r="AB23" i="25" a="1"/>
  <c r="AB23" i="25" s="1"/>
  <c r="B43" i="13"/>
  <c r="C43" i="13" s="1"/>
  <c r="BA680" i="3"/>
  <c r="C87" i="11"/>
  <c r="D87" i="11" s="1"/>
  <c r="P24" i="25" a="1"/>
  <c r="P24" i="25" s="1"/>
  <c r="EM619" i="3"/>
  <c r="CX658" i="3"/>
  <c r="AO36" i="20"/>
  <c r="AK56" i="20" s="1"/>
  <c r="T97" i="4"/>
  <c r="H63" i="13"/>
  <c r="AB239" i="20"/>
  <c r="AB241" i="20" s="1"/>
  <c r="AB243" i="20" s="1"/>
  <c r="AB249" i="20" s="1"/>
  <c r="AD198" i="20" s="1"/>
  <c r="BR659" i="3"/>
  <c r="M52" i="7"/>
  <c r="BR645" i="3"/>
  <c r="J105" i="4"/>
  <c r="H26" i="13"/>
  <c r="I55" i="7"/>
  <c r="AB20" i="25" a="1"/>
  <c r="AB20" i="25" s="1"/>
  <c r="AH23" i="25" a="1"/>
  <c r="I63" i="4"/>
  <c r="I97" i="4" s="1"/>
  <c r="I105" i="4" s="1"/>
  <c r="C71" i="11"/>
  <c r="V24" i="25" a="1"/>
  <c r="V24" i="25" s="1"/>
  <c r="BG677" i="3"/>
  <c r="AV113" i="20" a="1"/>
  <c r="AV113" i="20" s="1"/>
  <c r="V21" i="25" a="1"/>
  <c r="V21" i="25" s="1"/>
  <c r="AB24" i="25" a="1"/>
  <c r="AB24" i="25" s="1"/>
  <c r="DM648" i="3"/>
  <c r="DM658" i="3" s="1"/>
  <c r="Q36" i="21" a="1"/>
  <c r="Q36" i="21" s="1"/>
  <c r="R39" i="21"/>
  <c r="CM658" i="3"/>
  <c r="CQ659" i="3" s="1"/>
  <c r="AV115" i="20" a="1"/>
  <c r="AV115" i="20" s="1"/>
  <c r="AH21" i="25" a="1"/>
  <c r="AH21" i="25" s="1"/>
  <c r="AN24" i="25" a="1"/>
  <c r="AN24" i="25" s="1"/>
  <c r="DH649" i="3"/>
  <c r="DH658" i="3" s="1"/>
  <c r="P38" i="21" a="1"/>
  <c r="P38" i="21" s="1"/>
  <c r="R38" i="21"/>
  <c r="T36" i="21"/>
  <c r="P19" i="25" a="1"/>
  <c r="AN21" i="25" a="1"/>
  <c r="AN21" i="25" s="1"/>
  <c r="V25" i="25" a="1"/>
  <c r="V25" i="25" s="1"/>
  <c r="R36" i="21"/>
  <c r="T35" i="21"/>
  <c r="T33" i="21"/>
  <c r="Q23" i="21" a="1"/>
  <c r="Q23" i="21" s="1"/>
  <c r="Q63" i="4"/>
  <c r="Q97" i="4" s="1"/>
  <c r="Q105" i="4" s="1"/>
  <c r="P22" i="25" a="1"/>
  <c r="P22" i="25" s="1"/>
  <c r="AH25" i="25" a="1"/>
  <c r="AH25" i="25" s="1"/>
  <c r="EC613" i="3"/>
  <c r="E52" i="4"/>
  <c r="R52" i="4" s="1"/>
  <c r="AP364" i="20"/>
  <c r="AQ364" i="20" s="1"/>
  <c r="AS349" i="20" s="1"/>
  <c r="AK458" i="20" s="1"/>
  <c r="T802" i="20" s="1"/>
  <c r="AF802" i="20" s="1"/>
  <c r="AB19" i="25" a="1"/>
  <c r="AB19" i="25" s="1"/>
  <c r="AB22" i="25" a="1"/>
  <c r="AB22" i="25" s="1"/>
  <c r="P26" i="25" a="1"/>
  <c r="P26" i="25" s="1"/>
  <c r="O36" i="21"/>
  <c r="S44" i="21"/>
  <c r="T32" i="21"/>
  <c r="AH19" i="25" a="1"/>
  <c r="AH19" i="25" s="1"/>
  <c r="AH22" i="25" a="1"/>
  <c r="AH22" i="25" s="1"/>
  <c r="AB26" i="25" a="1"/>
  <c r="AB26" i="25" s="1"/>
  <c r="P42" i="21" a="1"/>
  <c r="P42" i="21" s="1"/>
  <c r="R970" i="3"/>
  <c r="E32" i="4"/>
  <c r="R32" i="4" s="1"/>
  <c r="S32" i="4" s="1"/>
  <c r="E32" i="13" s="1"/>
  <c r="F32" i="13" s="1"/>
  <c r="BG709" i="3"/>
  <c r="AN19" i="25" a="1"/>
  <c r="AN19" i="25" s="1"/>
  <c r="AN22" i="25" a="1"/>
  <c r="AN22" i="25" s="1"/>
  <c r="AN26" i="25" a="1"/>
  <c r="AN26" i="25" s="1"/>
  <c r="P32" i="21" a="1"/>
  <c r="P32" i="21" s="1"/>
  <c r="Q42" i="21" a="1"/>
  <c r="Q42" i="21" s="1"/>
  <c r="O43" i="21"/>
  <c r="M31" i="21"/>
  <c r="R969" i="3"/>
  <c r="P20" i="25" a="1"/>
  <c r="P20" i="25" s="1"/>
  <c r="V23" i="25" a="1"/>
  <c r="V23" i="25" s="1"/>
  <c r="V27" i="25" a="1"/>
  <c r="V27" i="25" s="1"/>
  <c r="V20" i="25" a="1"/>
  <c r="V20" i="25" s="1"/>
  <c r="P44" i="21" a="1"/>
  <c r="P44" i="21" s="1"/>
  <c r="BG612" i="3"/>
  <c r="R8" i="4"/>
  <c r="R12" i="4" s="1"/>
  <c r="B8" i="4"/>
  <c r="B12" i="4" s="1"/>
  <c r="S20" i="21"/>
  <c r="T20" i="21"/>
  <c r="Q20" i="21" a="1"/>
  <c r="Q20" i="21" s="1"/>
  <c r="DR635" i="3"/>
  <c r="DH635" i="3"/>
  <c r="CX635" i="3"/>
  <c r="D92" i="11"/>
  <c r="B88" i="13"/>
  <c r="C88" i="13" s="1"/>
  <c r="B89" i="11"/>
  <c r="D89" i="11" s="1"/>
  <c r="B71" i="11"/>
  <c r="D66" i="11"/>
  <c r="M25" i="21"/>
  <c r="BG708" i="3"/>
  <c r="BG682" i="3"/>
  <c r="BK621" i="3"/>
  <c r="BK635" i="3" s="1"/>
  <c r="X1031" i="3" s="1"/>
  <c r="BG714" i="3"/>
  <c r="B15" i="8"/>
  <c r="G15" i="8" s="1"/>
  <c r="D10" i="8"/>
  <c r="AQ112" i="20"/>
  <c r="AQ116" i="20"/>
  <c r="D14" i="8"/>
  <c r="EM620" i="3"/>
  <c r="BG616" i="3"/>
  <c r="BX616" i="3"/>
  <c r="EH616" i="3" s="1"/>
  <c r="B10" i="8"/>
  <c r="G10" i="8" s="1"/>
  <c r="AG27" i="7"/>
  <c r="Q27" i="7"/>
  <c r="B58" i="13"/>
  <c r="C58" i="13" s="1"/>
  <c r="C59" i="11"/>
  <c r="D59" i="11" s="1"/>
  <c r="B13" i="8"/>
  <c r="G13" i="8" s="1"/>
  <c r="BG712" i="3"/>
  <c r="BG704" i="3"/>
  <c r="AV112" i="20" a="1"/>
  <c r="AV112" i="20" s="1"/>
  <c r="B34" i="11"/>
  <c r="C34" i="11"/>
  <c r="C91" i="11"/>
  <c r="Q24" i="21" a="1"/>
  <c r="Q24" i="21" s="1"/>
  <c r="CC635" i="3"/>
  <c r="EM645" i="3" s="1"/>
  <c r="BG673" i="3"/>
  <c r="U363" i="20"/>
  <c r="E50" i="4"/>
  <c r="R50" i="4" s="1"/>
  <c r="AH23" i="25"/>
  <c r="S24" i="21"/>
  <c r="B90" i="4"/>
  <c r="B86" i="4"/>
  <c r="N157" i="25" s="1"/>
  <c r="D12" i="8"/>
  <c r="D8" i="8"/>
  <c r="D4" i="8"/>
  <c r="B51" i="11"/>
  <c r="C30" i="11"/>
  <c r="D30" i="11" s="1"/>
  <c r="AV110" i="20" a="1"/>
  <c r="AV110" i="20" s="1"/>
  <c r="AV114" i="20" a="1"/>
  <c r="AV114" i="20" s="1"/>
  <c r="B91" i="11"/>
  <c r="P19" i="25"/>
  <c r="B5" i="8"/>
  <c r="G5" i="8" s="1"/>
  <c r="Q21" i="21" a="1"/>
  <c r="Q21" i="21" s="1"/>
  <c r="S21" i="21"/>
  <c r="T21" i="21"/>
  <c r="R65" i="4"/>
  <c r="R70" i="4" s="1"/>
  <c r="E70" i="4"/>
  <c r="Y27" i="7"/>
  <c r="W27" i="7"/>
  <c r="G753" i="3"/>
  <c r="AC882" i="3" s="1"/>
  <c r="BG672" i="3"/>
  <c r="B65" i="13"/>
  <c r="C65" i="13" s="1"/>
  <c r="CS635" i="3"/>
  <c r="D86" i="11"/>
  <c r="AH736" i="3"/>
  <c r="BS611" i="3"/>
  <c r="EC611" i="3" s="1"/>
  <c r="BX617" i="3"/>
  <c r="EH617" i="3" s="1"/>
  <c r="E58" i="4"/>
  <c r="B39" i="11"/>
  <c r="M27" i="21"/>
  <c r="BG678" i="3"/>
  <c r="B86" i="13"/>
  <c r="C86" i="13" s="1"/>
  <c r="ER635" i="3"/>
  <c r="AS351" i="20"/>
  <c r="AS347" i="20" s="1"/>
  <c r="J30" i="8"/>
  <c r="Z807" i="3" s="1"/>
  <c r="E6" i="7" s="1"/>
  <c r="K16" i="7"/>
  <c r="E17" i="7"/>
  <c r="AC881" i="3"/>
  <c r="S22" i="21"/>
  <c r="Q22" i="21" a="1"/>
  <c r="Q22" i="21" s="1"/>
  <c r="T22" i="21"/>
  <c r="E23" i="21"/>
  <c r="DM635" i="3"/>
  <c r="DX635" i="3"/>
  <c r="T733" i="3"/>
  <c r="X732" i="3"/>
  <c r="AH732" i="3" s="1"/>
  <c r="CM635" i="3"/>
  <c r="EW610" i="3"/>
  <c r="T738" i="3"/>
  <c r="X737" i="3"/>
  <c r="D41" i="11"/>
  <c r="EC612" i="3"/>
  <c r="R40" i="4"/>
  <c r="E42" i="4"/>
  <c r="D53" i="11"/>
  <c r="CH635" i="3"/>
  <c r="ER649" i="3" s="1"/>
  <c r="BN635" i="3"/>
  <c r="DX641" i="3" s="1"/>
  <c r="BG676" i="3"/>
  <c r="O753" i="3"/>
  <c r="B9" i="8"/>
  <c r="G9" i="8" s="1"/>
  <c r="AN27" i="25" a="1"/>
  <c r="AN27" i="25" s="1"/>
  <c r="P27" i="25" a="1"/>
  <c r="P27" i="25" s="1"/>
  <c r="V26" i="25" a="1"/>
  <c r="V26" i="25" s="1"/>
  <c r="AB25" i="25" a="1"/>
  <c r="AB25" i="25" s="1"/>
  <c r="AH24" i="25" a="1"/>
  <c r="AH24" i="25" s="1"/>
  <c r="AN23" i="25" a="1"/>
  <c r="AN23" i="25" s="1"/>
  <c r="P23" i="25" a="1"/>
  <c r="P23" i="25" s="1"/>
  <c r="V22" i="25" a="1"/>
  <c r="V22" i="25" s="1"/>
  <c r="AB21" i="25" a="1"/>
  <c r="AB21" i="25" s="1"/>
  <c r="AH20" i="25" a="1"/>
  <c r="AH20" i="25" s="1"/>
  <c r="AH27" i="25" a="1"/>
  <c r="AH27" i="25" s="1"/>
  <c r="AB27" i="25" a="1"/>
  <c r="AB27" i="25" s="1"/>
  <c r="AH26" i="25" a="1"/>
  <c r="AH26" i="25" s="1"/>
  <c r="AN25" i="25" a="1"/>
  <c r="AN25" i="25" s="1"/>
  <c r="P25" i="25" a="1"/>
  <c r="P25" i="25" s="1"/>
  <c r="AQ108" i="20"/>
  <c r="AE27" i="7"/>
  <c r="K27" i="7"/>
  <c r="M27" i="7"/>
  <c r="I27" i="7"/>
  <c r="AA27" i="7"/>
  <c r="S27" i="7"/>
  <c r="U27" i="7"/>
  <c r="AC27" i="7"/>
  <c r="BX615" i="3"/>
  <c r="EH615" i="3" s="1"/>
  <c r="C9" i="11"/>
  <c r="D5" i="11"/>
  <c r="S28" i="21"/>
  <c r="Q28" i="21" a="1"/>
  <c r="Q28" i="21" s="1"/>
  <c r="T28" i="21"/>
  <c r="T730" i="3"/>
  <c r="T731" i="3" s="1"/>
  <c r="X731" i="3" s="1"/>
  <c r="AH731" i="3" s="1"/>
  <c r="X729" i="3"/>
  <c r="AH729" i="3" s="1"/>
  <c r="E92" i="4"/>
  <c r="R92" i="4" s="1"/>
  <c r="S92" i="4" s="1"/>
  <c r="E92" i="13" s="1"/>
  <c r="F92" i="13" s="1"/>
  <c r="C93" i="11"/>
  <c r="B92" i="13"/>
  <c r="C92" i="13" s="1"/>
  <c r="C51" i="11"/>
  <c r="BA679" i="3"/>
  <c r="EH614" i="3"/>
  <c r="BG674" i="3"/>
  <c r="B4" i="13"/>
  <c r="C4" i="13" s="1"/>
  <c r="C8" i="13" s="1"/>
  <c r="B67" i="13"/>
  <c r="C67" i="13" s="1"/>
  <c r="E91" i="4"/>
  <c r="R91" i="4" s="1"/>
  <c r="S91" i="4" s="1"/>
  <c r="E91" i="13" s="1"/>
  <c r="F91" i="13" s="1"/>
  <c r="BG680" i="3"/>
  <c r="E90" i="4"/>
  <c r="T26" i="21"/>
  <c r="M29" i="21"/>
  <c r="D43" i="11" l="1"/>
  <c r="D51" i="11"/>
  <c r="T30" i="21"/>
  <c r="Q30" i="21" a="1"/>
  <c r="Q30" i="21" s="1"/>
  <c r="CS661" i="3"/>
  <c r="C38" i="13"/>
  <c r="EM635" i="3"/>
  <c r="CS645" i="3"/>
  <c r="DR660" i="3"/>
  <c r="CS644" i="3"/>
  <c r="M18" i="21"/>
  <c r="B70" i="4"/>
  <c r="B8" i="13"/>
  <c r="C70" i="13"/>
  <c r="B38" i="4"/>
  <c r="EC635" i="3"/>
  <c r="C39" i="11"/>
  <c r="N158" i="25"/>
  <c r="N164" i="25" s="1"/>
  <c r="BS635" i="3"/>
  <c r="EC655" i="3" s="1"/>
  <c r="J19" i="25"/>
  <c r="AV116" i="20"/>
  <c r="AW113" i="20" s="1"/>
  <c r="BG728" i="3"/>
  <c r="BH704" i="3" s="1"/>
  <c r="BI704" i="3" s="1"/>
  <c r="G30" i="8"/>
  <c r="D71" i="11"/>
  <c r="EM641" i="3"/>
  <c r="EM649" i="3"/>
  <c r="EM652" i="3"/>
  <c r="EM640" i="3"/>
  <c r="O52" i="7"/>
  <c r="J21" i="25"/>
  <c r="EM646" i="3"/>
  <c r="CC663" i="3"/>
  <c r="AB972" i="3" s="1"/>
  <c r="AJ972" i="3" s="1"/>
  <c r="J22" i="25"/>
  <c r="EM651" i="3"/>
  <c r="EM639" i="3"/>
  <c r="EM648" i="3"/>
  <c r="EM655" i="3"/>
  <c r="EM647" i="3"/>
  <c r="EM643" i="3"/>
  <c r="EM658" i="3"/>
  <c r="CS660" i="3"/>
  <c r="K55" i="7"/>
  <c r="I57" i="7"/>
  <c r="E99" i="20"/>
  <c r="EM660" i="3"/>
  <c r="EM656" i="3"/>
  <c r="EM642" i="3"/>
  <c r="EM661" i="3"/>
  <c r="BA987" i="3"/>
  <c r="I1031" i="3" s="1"/>
  <c r="BA990" i="3" s="1"/>
  <c r="CG637" i="3"/>
  <c r="EM657" i="3"/>
  <c r="T105" i="4"/>
  <c r="H97" i="13"/>
  <c r="EM650" i="3"/>
  <c r="EM662" i="3"/>
  <c r="EM644" i="3"/>
  <c r="EM659" i="3"/>
  <c r="EM638" i="3"/>
  <c r="D34" i="11"/>
  <c r="BG635" i="3"/>
  <c r="X1027" i="3" s="1"/>
  <c r="AG1024" i="3" s="1"/>
  <c r="T789" i="20"/>
  <c r="AF789" i="20" s="1"/>
  <c r="AK78" i="20"/>
  <c r="J24" i="25"/>
  <c r="EM654" i="3"/>
  <c r="EM653" i="3"/>
  <c r="T31" i="21"/>
  <c r="Q31" i="21" a="1"/>
  <c r="Q31" i="21" s="1"/>
  <c r="S31" i="21"/>
  <c r="D91" i="11"/>
  <c r="T25" i="21"/>
  <c r="Q25" i="21" a="1"/>
  <c r="Q25" i="21" s="1"/>
  <c r="S25" i="21"/>
  <c r="D39" i="11"/>
  <c r="J26" i="25"/>
  <c r="S27" i="21"/>
  <c r="G53" i="21"/>
  <c r="Q27" i="21" a="1"/>
  <c r="Q27" i="21" s="1"/>
  <c r="E24" i="21"/>
  <c r="T27" i="21"/>
  <c r="EH635" i="3"/>
  <c r="X730" i="3"/>
  <c r="AH730" i="3" s="1"/>
  <c r="E98" i="20"/>
  <c r="R58" i="4"/>
  <c r="J25" i="25"/>
  <c r="V29" i="25"/>
  <c r="S40" i="4"/>
  <c r="R42" i="4"/>
  <c r="R90" i="4"/>
  <c r="J20" i="25"/>
  <c r="AH29" i="25"/>
  <c r="J27" i="25"/>
  <c r="AH737" i="3"/>
  <c r="AC883" i="3"/>
  <c r="G6" i="7"/>
  <c r="E7" i="7"/>
  <c r="D93" i="11"/>
  <c r="EC652" i="3"/>
  <c r="EC642" i="3"/>
  <c r="EW635" i="3"/>
  <c r="EW638" i="3"/>
  <c r="AB29" i="25"/>
  <c r="E21" i="7"/>
  <c r="G17" i="7"/>
  <c r="J23" i="25"/>
  <c r="D30" i="8"/>
  <c r="Y799" i="3"/>
  <c r="Y798" i="3"/>
  <c r="BH721" i="3"/>
  <c r="BI721" i="3" s="1"/>
  <c r="BH727" i="3"/>
  <c r="BI727" i="3" s="1"/>
  <c r="BH720" i="3"/>
  <c r="BI720" i="3" s="1"/>
  <c r="BH706" i="3"/>
  <c r="BI706" i="3" s="1"/>
  <c r="EW660" i="3"/>
  <c r="CM663" i="3"/>
  <c r="EW656" i="3"/>
  <c r="EW652" i="3"/>
  <c r="EW658" i="3"/>
  <c r="EW657" i="3"/>
  <c r="EW642" i="3"/>
  <c r="EW655" i="3"/>
  <c r="EW639" i="3"/>
  <c r="CQ637" i="3"/>
  <c r="EW648" i="3"/>
  <c r="EW651" i="3"/>
  <c r="EW659" i="3"/>
  <c r="EW650" i="3"/>
  <c r="EW640" i="3"/>
  <c r="EW643" i="3"/>
  <c r="EW662" i="3"/>
  <c r="EW653" i="3"/>
  <c r="EW644" i="3"/>
  <c r="EW649" i="3"/>
  <c r="EW641" i="3"/>
  <c r="EW647" i="3"/>
  <c r="EW661" i="3"/>
  <c r="EW654" i="3"/>
  <c r="AW111" i="20"/>
  <c r="G8" i="7"/>
  <c r="E9" i="7"/>
  <c r="T739" i="3"/>
  <c r="X739" i="3" s="1"/>
  <c r="AH739" i="3" s="1"/>
  <c r="X738" i="3"/>
  <c r="AH738" i="3" s="1"/>
  <c r="AN29" i="25"/>
  <c r="EW646" i="3"/>
  <c r="P29" i="25"/>
  <c r="C12" i="13"/>
  <c r="DX644" i="3"/>
  <c r="BN663" i="3"/>
  <c r="AB969" i="3" s="1"/>
  <c r="DX657" i="3"/>
  <c r="DX662" i="3"/>
  <c r="DX638" i="3"/>
  <c r="DX656" i="3"/>
  <c r="DX645" i="3"/>
  <c r="DX660" i="3"/>
  <c r="DX655" i="3"/>
  <c r="DX646" i="3"/>
  <c r="DX648" i="3"/>
  <c r="DX650" i="3"/>
  <c r="DX647" i="3"/>
  <c r="DX651" i="3"/>
  <c r="DX639" i="3"/>
  <c r="DX654" i="3"/>
  <c r="DX658" i="3"/>
  <c r="DX642" i="3"/>
  <c r="DX652" i="3"/>
  <c r="DX640" i="3"/>
  <c r="DX649" i="3"/>
  <c r="DX661" i="3"/>
  <c r="BR637" i="3"/>
  <c r="DX659" i="3"/>
  <c r="DX653" i="3"/>
  <c r="DX643" i="3"/>
  <c r="AG1028" i="3"/>
  <c r="M16" i="7"/>
  <c r="BG696" i="3"/>
  <c r="BH674" i="3" s="1"/>
  <c r="BI674" i="3" s="1"/>
  <c r="D9" i="11"/>
  <c r="C13" i="11"/>
  <c r="D13" i="11" s="1"/>
  <c r="Q29" i="21" a="1"/>
  <c r="Q29" i="21" s="1"/>
  <c r="T29" i="21"/>
  <c r="G35" i="21" s="1" a="1"/>
  <c r="G35" i="21" s="1"/>
  <c r="G36" i="21" s="1"/>
  <c r="O22" i="21" s="1"/>
  <c r="P22" i="21" s="1" a="1"/>
  <c r="P22" i="21" s="1"/>
  <c r="R22" i="21" s="1"/>
  <c r="E25" i="21"/>
  <c r="S29" i="21"/>
  <c r="BX635" i="3"/>
  <c r="EH642" i="3" s="1"/>
  <c r="CH663" i="3"/>
  <c r="ER640" i="3"/>
  <c r="ER641" i="3"/>
  <c r="CL637" i="3"/>
  <c r="ER660" i="3"/>
  <c r="ER646" i="3"/>
  <c r="ER652" i="3"/>
  <c r="ER648" i="3"/>
  <c r="ER656" i="3"/>
  <c r="ER662" i="3"/>
  <c r="ER661" i="3"/>
  <c r="ER642" i="3"/>
  <c r="ER651" i="3"/>
  <c r="ER658" i="3"/>
  <c r="ER657" i="3"/>
  <c r="ER643" i="3"/>
  <c r="ER659" i="3"/>
  <c r="ER644" i="3"/>
  <c r="ER655" i="3"/>
  <c r="ER638" i="3"/>
  <c r="ER654" i="3"/>
  <c r="ER647" i="3"/>
  <c r="ER645" i="3"/>
  <c r="ER650" i="3"/>
  <c r="ER639" i="3"/>
  <c r="ER653" i="3"/>
  <c r="I1027" i="3"/>
  <c r="T734" i="3"/>
  <c r="X733" i="3"/>
  <c r="AH733" i="3" s="1"/>
  <c r="F23" i="21"/>
  <c r="EW645" i="3"/>
  <c r="EC638" i="3" l="1"/>
  <c r="EC649" i="3"/>
  <c r="BH714" i="3"/>
  <c r="BH718" i="3"/>
  <c r="BI718" i="3" s="1"/>
  <c r="EC648" i="3"/>
  <c r="EC650" i="3"/>
  <c r="EC657" i="3"/>
  <c r="EC660" i="3"/>
  <c r="EC640" i="3"/>
  <c r="EC647" i="3"/>
  <c r="EC639" i="3"/>
  <c r="BW637" i="3"/>
  <c r="EC653" i="3"/>
  <c r="EC644" i="3"/>
  <c r="BH722" i="3"/>
  <c r="BI722" i="3" s="1"/>
  <c r="BH724" i="3"/>
  <c r="BI724" i="3" s="1"/>
  <c r="BH708" i="3"/>
  <c r="BH710" i="3"/>
  <c r="BH712" i="3"/>
  <c r="BI712" i="3" s="1"/>
  <c r="BH719" i="3"/>
  <c r="BI719" i="3" s="1"/>
  <c r="BH717" i="3"/>
  <c r="BI717" i="3" s="1"/>
  <c r="BH716" i="3"/>
  <c r="BI716" i="3" s="1"/>
  <c r="AW114" i="20"/>
  <c r="AW115" i="20"/>
  <c r="AW110" i="20"/>
  <c r="BH723" i="3"/>
  <c r="BI723" i="3" s="1"/>
  <c r="BH705" i="3"/>
  <c r="BH715" i="3"/>
  <c r="BI715" i="3" s="1"/>
  <c r="BH713" i="3"/>
  <c r="BI713" i="3" s="1"/>
  <c r="AW112" i="20"/>
  <c r="BH725" i="3"/>
  <c r="BI725" i="3" s="1"/>
  <c r="BH711" i="3"/>
  <c r="BI711" i="3" s="1"/>
  <c r="BH726" i="3"/>
  <c r="BI726" i="3" s="1"/>
  <c r="BH709" i="3"/>
  <c r="BH703" i="3"/>
  <c r="BI703" i="3" s="1"/>
  <c r="BH707" i="3"/>
  <c r="BI707" i="3" s="1"/>
  <c r="EC658" i="3"/>
  <c r="EC651" i="3"/>
  <c r="EC662" i="3"/>
  <c r="EC646" i="3"/>
  <c r="EC661" i="3"/>
  <c r="EC643" i="3"/>
  <c r="BS663" i="3"/>
  <c r="AB970" i="3" s="1"/>
  <c r="AJ970" i="3" s="1"/>
  <c r="EC645" i="3"/>
  <c r="EC659" i="3"/>
  <c r="EC641" i="3"/>
  <c r="EC654" i="3"/>
  <c r="EC656" i="3"/>
  <c r="EM663" i="3"/>
  <c r="T124" i="20" s="1"/>
  <c r="T127" i="20" s="1"/>
  <c r="T130" i="20" s="1"/>
  <c r="BA989" i="3"/>
  <c r="M55" i="7"/>
  <c r="K57" i="7"/>
  <c r="H105" i="13"/>
  <c r="T107" i="4"/>
  <c r="H107" i="13" s="1"/>
  <c r="Q52" i="7"/>
  <c r="T790" i="20"/>
  <c r="AF790" i="20" s="1"/>
  <c r="AK180" i="20"/>
  <c r="T796" i="20" s="1"/>
  <c r="AF796" i="20" s="1"/>
  <c r="S18" i="21"/>
  <c r="G44" i="21" s="1"/>
  <c r="G79" i="21" s="1"/>
  <c r="BI705" i="3"/>
  <c r="CM636" i="3"/>
  <c r="O16" i="7"/>
  <c r="BI714" i="3"/>
  <c r="T735" i="3"/>
  <c r="X735" i="3" s="1"/>
  <c r="AH735" i="3" s="1"/>
  <c r="X734" i="3"/>
  <c r="AH734" i="3" s="1"/>
  <c r="BI708" i="3"/>
  <c r="E4" i="7"/>
  <c r="Z816" i="3"/>
  <c r="S90" i="4"/>
  <c r="ER663" i="3"/>
  <c r="Y124" i="20" s="1"/>
  <c r="Y127" i="20" s="1"/>
  <c r="DX663" i="3"/>
  <c r="E124" i="20" s="1"/>
  <c r="E127" i="20" s="1"/>
  <c r="EW663" i="3"/>
  <c r="AD124" i="20" s="1"/>
  <c r="AD127" i="20" s="1"/>
  <c r="I6" i="7"/>
  <c r="G7" i="7"/>
  <c r="S42" i="4"/>
  <c r="E40" i="13"/>
  <c r="F40" i="13" s="1"/>
  <c r="F42" i="13" s="1"/>
  <c r="O24" i="21"/>
  <c r="P24" i="21" s="1" a="1"/>
  <c r="P24" i="21" s="1"/>
  <c r="R24" i="21" s="1"/>
  <c r="O31" i="21"/>
  <c r="P31" i="21" s="1" a="1"/>
  <c r="P31" i="21" s="1"/>
  <c r="R31" i="21" s="1"/>
  <c r="O27" i="21"/>
  <c r="P27" i="21" s="1" a="1"/>
  <c r="P27" i="21" s="1"/>
  <c r="R27" i="21" s="1"/>
  <c r="O20" i="21"/>
  <c r="P20" i="21" s="1" a="1"/>
  <c r="P20" i="21" s="1"/>
  <c r="R20" i="21" s="1"/>
  <c r="O21" i="21"/>
  <c r="P21" i="21" s="1" a="1"/>
  <c r="P21" i="21" s="1"/>
  <c r="R21" i="21" s="1"/>
  <c r="O25" i="21"/>
  <c r="P25" i="21" s="1" a="1"/>
  <c r="P25" i="21" s="1"/>
  <c r="R25" i="21" s="1"/>
  <c r="O30" i="21"/>
  <c r="P30" i="21" s="1" a="1"/>
  <c r="P30" i="21" s="1"/>
  <c r="R30" i="21" s="1"/>
  <c r="O23" i="21"/>
  <c r="P23" i="21" s="1" a="1"/>
  <c r="P23" i="21" s="1"/>
  <c r="R23" i="21" s="1"/>
  <c r="BH686" i="3"/>
  <c r="BI686" i="3" s="1"/>
  <c r="BH695" i="3"/>
  <c r="BI695" i="3" s="1"/>
  <c r="BH672" i="3"/>
  <c r="BI672" i="3" s="1"/>
  <c r="BH691" i="3"/>
  <c r="BI691" i="3" s="1"/>
  <c r="BH692" i="3"/>
  <c r="BI692" i="3" s="1"/>
  <c r="BH671" i="3"/>
  <c r="BH694" i="3"/>
  <c r="BI694" i="3" s="1"/>
  <c r="BH673" i="3"/>
  <c r="BI673" i="3" s="1"/>
  <c r="BH687" i="3"/>
  <c r="BI687" i="3" s="1"/>
  <c r="BH681" i="3"/>
  <c r="BI681" i="3" s="1"/>
  <c r="BH677" i="3"/>
  <c r="BI677" i="3" s="1"/>
  <c r="BH679" i="3"/>
  <c r="BI679" i="3" s="1"/>
  <c r="BH690" i="3"/>
  <c r="BI690" i="3" s="1"/>
  <c r="BH678" i="3"/>
  <c r="BI678" i="3" s="1"/>
  <c r="BH693" i="3"/>
  <c r="BI693" i="3" s="1"/>
  <c r="BH682" i="3"/>
  <c r="BI682" i="3" s="1"/>
  <c r="BH684" i="3"/>
  <c r="BI684" i="3" s="1"/>
  <c r="BH685" i="3"/>
  <c r="BI685" i="3" s="1"/>
  <c r="BH689" i="3"/>
  <c r="BI689" i="3" s="1"/>
  <c r="BH683" i="3"/>
  <c r="BI683" i="3" s="1"/>
  <c r="BH688" i="3"/>
  <c r="BI688" i="3" s="1"/>
  <c r="BH675" i="3"/>
  <c r="BI675" i="3" s="1"/>
  <c r="G9" i="7"/>
  <c r="I8" i="7"/>
  <c r="O26" i="21"/>
  <c r="P26" i="21" s="1" a="1"/>
  <c r="P26" i="21" s="1"/>
  <c r="R26" i="21" s="1"/>
  <c r="O29" i="21"/>
  <c r="P29" i="21" s="1" a="1"/>
  <c r="P29" i="21" s="1"/>
  <c r="R29" i="21" s="1"/>
  <c r="E27" i="21"/>
  <c r="AJ969" i="3"/>
  <c r="I17" i="7"/>
  <c r="G21" i="7"/>
  <c r="G23" i="21"/>
  <c r="EH655" i="3"/>
  <c r="EH641" i="3"/>
  <c r="CB637" i="3"/>
  <c r="EH657" i="3"/>
  <c r="EH656" i="3"/>
  <c r="EH650" i="3"/>
  <c r="EH661" i="3"/>
  <c r="EH651" i="3"/>
  <c r="EH660" i="3"/>
  <c r="BX663" i="3"/>
  <c r="AB971" i="3" s="1"/>
  <c r="AJ971" i="3" s="1"/>
  <c r="EH649" i="3"/>
  <c r="EH654" i="3"/>
  <c r="EH646" i="3"/>
  <c r="EH652" i="3"/>
  <c r="EH653" i="3"/>
  <c r="EH639" i="3"/>
  <c r="EH662" i="3"/>
  <c r="EH644" i="3"/>
  <c r="EH640" i="3"/>
  <c r="EH648" i="3"/>
  <c r="EH658" i="3"/>
  <c r="EH638" i="3"/>
  <c r="EH659" i="3"/>
  <c r="EH647" i="3"/>
  <c r="EH645" i="3"/>
  <c r="BH676" i="3"/>
  <c r="BI676" i="3" s="1"/>
  <c r="AB973" i="3"/>
  <c r="AJ973" i="3" s="1"/>
  <c r="BH680" i="3"/>
  <c r="BI680" i="3" s="1"/>
  <c r="EH643" i="3"/>
  <c r="J29" i="25"/>
  <c r="AT27" i="25" s="1"/>
  <c r="O28" i="21"/>
  <c r="P28" i="21" s="1" a="1"/>
  <c r="P28" i="21" s="1"/>
  <c r="R28" i="21" s="1"/>
  <c r="AD130" i="20" l="1"/>
  <c r="CS637" i="3"/>
  <c r="Y130" i="20"/>
  <c r="EC663" i="3"/>
  <c r="J124" i="20" s="1"/>
  <c r="J127" i="20" s="1"/>
  <c r="J130" i="20" s="1"/>
  <c r="BH728" i="3"/>
  <c r="AW116" i="20"/>
  <c r="BI710" i="3"/>
  <c r="BI709" i="3"/>
  <c r="E130" i="20"/>
  <c r="S52" i="7"/>
  <c r="AD11" i="15"/>
  <c r="AD23" i="15" s="1"/>
  <c r="AD26" i="15" s="1"/>
  <c r="AD28" i="15" s="1"/>
  <c r="AI11" i="15"/>
  <c r="AI23" i="15" s="1"/>
  <c r="AI26" i="15" s="1"/>
  <c r="AI28" i="15" s="1"/>
  <c r="O55" i="7"/>
  <c r="M57" i="7"/>
  <c r="AT23" i="25"/>
  <c r="AT20" i="25"/>
  <c r="AB974" i="3"/>
  <c r="CS663" i="3"/>
  <c r="U362" i="20" s="1"/>
  <c r="O756" i="3"/>
  <c r="P420" i="3"/>
  <c r="K17" i="7"/>
  <c r="I21" i="7"/>
  <c r="G4" i="7"/>
  <c r="E5" i="7"/>
  <c r="E10" i="7" s="1"/>
  <c r="E90" i="13"/>
  <c r="F90" i="13" s="1"/>
  <c r="F96" i="13" s="1"/>
  <c r="S96" i="4"/>
  <c r="E96" i="13" s="1"/>
  <c r="AJ975" i="3"/>
  <c r="G54" i="21"/>
  <c r="G56" i="21" s="1"/>
  <c r="G58" i="21" s="1"/>
  <c r="E12" i="21" s="1"/>
  <c r="F26" i="21"/>
  <c r="G26" i="21" s="1"/>
  <c r="G45" i="21"/>
  <c r="G47" i="21" s="1"/>
  <c r="G49" i="21" s="1"/>
  <c r="E11" i="21" s="1"/>
  <c r="F25" i="21"/>
  <c r="G38" i="21"/>
  <c r="G40" i="21" s="1"/>
  <c r="E10" i="21" s="1"/>
  <c r="AU42" i="25"/>
  <c r="AU40" i="25"/>
  <c r="AT29" i="25"/>
  <c r="AU41" i="25"/>
  <c r="AU43" i="25"/>
  <c r="AU47" i="25"/>
  <c r="AU45" i="25"/>
  <c r="AT28" i="25"/>
  <c r="AU44" i="25"/>
  <c r="AU39" i="25"/>
  <c r="AU37" i="25"/>
  <c r="AU38" i="25"/>
  <c r="AU46" i="25"/>
  <c r="AU36" i="25"/>
  <c r="AT21" i="25"/>
  <c r="AT25" i="25"/>
  <c r="AT26" i="25"/>
  <c r="AT22" i="25"/>
  <c r="AT24" i="25"/>
  <c r="AT19" i="25"/>
  <c r="Q16" i="7"/>
  <c r="K6" i="7"/>
  <c r="I7" i="7"/>
  <c r="K8" i="7"/>
  <c r="I9" i="7"/>
  <c r="BI671" i="3"/>
  <c r="BI696" i="3" s="1"/>
  <c r="AC753" i="3" s="1"/>
  <c r="BH696" i="3"/>
  <c r="E42" i="13"/>
  <c r="EH663" i="3"/>
  <c r="O124" i="20" s="1"/>
  <c r="O127" i="20" s="1"/>
  <c r="O130" i="20" s="1"/>
  <c r="E132" i="20" l="1"/>
  <c r="E133" i="20" s="1"/>
  <c r="AK137" i="20" s="1"/>
  <c r="T792" i="20" s="1"/>
  <c r="AF792" i="20" s="1"/>
  <c r="BI728" i="3"/>
  <c r="AH753" i="3" s="1"/>
  <c r="Q55" i="7"/>
  <c r="O57" i="7"/>
  <c r="U52" i="7"/>
  <c r="G25" i="21"/>
  <c r="F24" i="21"/>
  <c r="I4" i="7"/>
  <c r="G5" i="7"/>
  <c r="G10" i="7" s="1"/>
  <c r="AJ1008" i="3"/>
  <c r="AP539" i="20"/>
  <c r="AJ1015" i="3"/>
  <c r="I14" i="21" s="1"/>
  <c r="AJ1020" i="3"/>
  <c r="B1039" i="3"/>
  <c r="AJ1028" i="3"/>
  <c r="AP542" i="20" s="1"/>
  <c r="AJ1024" i="3"/>
  <c r="AP541" i="20" s="1"/>
  <c r="M17" i="7"/>
  <c r="K21" i="7"/>
  <c r="E97" i="20"/>
  <c r="E100" i="20" s="1"/>
  <c r="AP100" i="20" s="1"/>
  <c r="AK103" i="20" s="1"/>
  <c r="T791" i="20" s="1"/>
  <c r="AF791" i="20" s="1"/>
  <c r="E87" i="20"/>
  <c r="E88" i="20" s="1"/>
  <c r="E89" i="20" s="1"/>
  <c r="S16" i="7"/>
  <c r="K9" i="7"/>
  <c r="M8" i="7"/>
  <c r="M6" i="7"/>
  <c r="K7" i="7"/>
  <c r="S55" i="7" l="1"/>
  <c r="Q57" i="7"/>
  <c r="W52" i="7"/>
  <c r="AZ846" i="3"/>
  <c r="AZ849" i="3"/>
  <c r="AP543" i="20"/>
  <c r="U16" i="7"/>
  <c r="O8" i="7"/>
  <c r="M9" i="7"/>
  <c r="O17" i="7"/>
  <c r="M21" i="7"/>
  <c r="G24" i="21"/>
  <c r="F27" i="21"/>
  <c r="G27" i="21"/>
  <c r="K4" i="7"/>
  <c r="I5" i="7"/>
  <c r="I10" i="7" s="1"/>
  <c r="O6" i="7"/>
  <c r="M7" i="7"/>
  <c r="AJ1032" i="3"/>
  <c r="AZ854" i="3" l="1"/>
  <c r="Y52" i="7"/>
  <c r="U55" i="7"/>
  <c r="S57" i="7"/>
  <c r="T24" i="15"/>
  <c r="AP546" i="20"/>
  <c r="AP545" i="20" s="1"/>
  <c r="AP548" i="20" s="1"/>
  <c r="AF541" i="20" s="1"/>
  <c r="Q8" i="7"/>
  <c r="O9" i="7"/>
  <c r="Q6" i="7"/>
  <c r="O7" i="7"/>
  <c r="G95" i="21"/>
  <c r="G96" i="21" s="1"/>
  <c r="G29" i="21"/>
  <c r="G31" i="21" s="1"/>
  <c r="E9" i="21" s="1"/>
  <c r="G104" i="21"/>
  <c r="G106" i="21" s="1"/>
  <c r="G64" i="21"/>
  <c r="W16" i="7"/>
  <c r="M4" i="7"/>
  <c r="K5" i="7"/>
  <c r="K10" i="7" s="1"/>
  <c r="Q17" i="7"/>
  <c r="O21" i="7"/>
  <c r="E14" i="21" l="1"/>
  <c r="E15" i="21" s="1"/>
  <c r="W55" i="7"/>
  <c r="U57" i="7"/>
  <c r="AA52" i="7"/>
  <c r="S8" i="7"/>
  <c r="Q9" i="7"/>
  <c r="G81" i="21"/>
  <c r="G65" i="21"/>
  <c r="G69" i="21"/>
  <c r="Y16" i="7"/>
  <c r="S17" i="7"/>
  <c r="Q21" i="7"/>
  <c r="M5" i="7"/>
  <c r="M10" i="7" s="1"/>
  <c r="O4" i="7"/>
  <c r="S6" i="7"/>
  <c r="Q7" i="7"/>
  <c r="AC52" i="7" l="1"/>
  <c r="Y55" i="7"/>
  <c r="W57" i="7"/>
  <c r="S7" i="7"/>
  <c r="U6" i="7"/>
  <c r="S9" i="7"/>
  <c r="U8" i="7"/>
  <c r="G83" i="21"/>
  <c r="E13" i="21" s="1"/>
  <c r="E16" i="21" s="1"/>
  <c r="H3" i="21" s="1"/>
  <c r="Q4" i="7"/>
  <c r="O5" i="7"/>
  <c r="O10" i="7" s="1"/>
  <c r="U17" i="7"/>
  <c r="S21" i="7"/>
  <c r="AA16" i="7"/>
  <c r="AA55" i="7" l="1"/>
  <c r="Y57" i="7"/>
  <c r="AE52" i="7"/>
  <c r="W8" i="7"/>
  <c r="U9" i="7"/>
  <c r="S4" i="7"/>
  <c r="Q5" i="7"/>
  <c r="Q10" i="7" s="1"/>
  <c r="W6" i="7"/>
  <c r="U7" i="7"/>
  <c r="W17" i="7"/>
  <c r="U21" i="7"/>
  <c r="AC16" i="7"/>
  <c r="AC55" i="7" l="1"/>
  <c r="AA57" i="7"/>
  <c r="AG52" i="7"/>
  <c r="U4" i="7"/>
  <c r="S5" i="7"/>
  <c r="S10" i="7" s="1"/>
  <c r="Y8" i="7"/>
  <c r="W9" i="7"/>
  <c r="AE16" i="7"/>
  <c r="Y6" i="7"/>
  <c r="W7" i="7"/>
  <c r="Y17" i="7"/>
  <c r="W21" i="7"/>
  <c r="AE55" i="7" l="1"/>
  <c r="AC57" i="7"/>
  <c r="U5" i="7"/>
  <c r="U10" i="7" s="1"/>
  <c r="W4" i="7"/>
  <c r="Y9" i="7"/>
  <c r="AA8" i="7"/>
  <c r="AA17" i="7"/>
  <c r="Y21" i="7"/>
  <c r="AA6" i="7"/>
  <c r="Y7" i="7"/>
  <c r="AG16" i="7"/>
  <c r="AG55" i="7" l="1"/>
  <c r="AG57" i="7" s="1"/>
  <c r="AE57" i="7"/>
  <c r="AA9" i="7"/>
  <c r="AC8" i="7"/>
  <c r="W5" i="7"/>
  <c r="W10" i="7" s="1"/>
  <c r="Y4" i="7"/>
  <c r="AC17" i="7"/>
  <c r="AA21" i="7"/>
  <c r="AA7" i="7"/>
  <c r="AC6" i="7"/>
  <c r="AE17" i="7" l="1"/>
  <c r="AC21" i="7"/>
  <c r="AE8" i="7"/>
  <c r="AC9" i="7"/>
  <c r="AC7" i="7"/>
  <c r="AE6" i="7"/>
  <c r="Y5" i="7"/>
  <c r="Y10" i="7" s="1"/>
  <c r="AA4" i="7"/>
  <c r="AG8" i="7" l="1"/>
  <c r="AG9" i="7" s="1"/>
  <c r="AE9" i="7"/>
  <c r="AC4" i="7"/>
  <c r="AA5" i="7"/>
  <c r="AA10" i="7" s="1"/>
  <c r="AG6" i="7"/>
  <c r="AG7" i="7" s="1"/>
  <c r="AE7" i="7"/>
  <c r="AG17" i="7"/>
  <c r="AG21" i="7" s="1"/>
  <c r="AE21" i="7"/>
  <c r="AC5" i="7" l="1"/>
  <c r="AC10" i="7" s="1"/>
  <c r="AE4" i="7"/>
  <c r="AG4" i="7" l="1"/>
  <c r="AE5" i="7"/>
  <c r="AE10" i="7" s="1"/>
  <c r="AG5" i="7" l="1"/>
  <c r="AG10" i="7" s="1"/>
  <c r="Y28" i="7"/>
  <c r="Y34" i="7" s="1"/>
  <c r="Y36" i="7" s="1"/>
  <c r="W39" i="7"/>
  <c r="W42" i="7" s="1"/>
  <c r="AM564" i="3"/>
  <c r="AM565" i="3"/>
  <c r="AM567" i="3"/>
  <c r="AM569" i="3"/>
  <c r="AF637" i="3"/>
  <c r="E39" i="7" s="1"/>
  <c r="AO637" i="3"/>
  <c r="AO640" i="3"/>
  <c r="AO642" i="3"/>
  <c r="AO649" i="3"/>
  <c r="AO650" i="3"/>
  <c r="AC884" i="3"/>
  <c r="AC888" i="3"/>
  <c r="E28" i="7" s="1"/>
  <c r="AA915" i="3"/>
  <c r="AA933" i="3"/>
  <c r="N10" i="25"/>
  <c r="I9" i="21"/>
  <c r="AD189" i="20"/>
  <c r="AD200" i="20"/>
  <c r="B46" i="11"/>
  <c r="C57" i="11"/>
  <c r="C80" i="11"/>
  <c r="B45" i="13"/>
  <c r="C45" i="13" s="1"/>
  <c r="B46" i="13"/>
  <c r="C46" i="13" s="1"/>
  <c r="E46" i="13"/>
  <c r="F46" i="13"/>
  <c r="E52" i="13"/>
  <c r="F52" i="13" s="1"/>
  <c r="B53" i="13"/>
  <c r="C53" i="13"/>
  <c r="B83" i="13"/>
  <c r="C83" i="13"/>
  <c r="C96" i="13" s="1"/>
  <c r="E30" i="4"/>
  <c r="R30" i="4" s="1"/>
  <c r="F30" i="4"/>
  <c r="E38" i="4"/>
  <c r="F38" i="4"/>
  <c r="B45" i="4"/>
  <c r="C45" i="4"/>
  <c r="C46" i="11" s="1"/>
  <c r="E45" i="4"/>
  <c r="R45" i="4"/>
  <c r="S45" i="4"/>
  <c r="C46" i="4"/>
  <c r="E46" i="4"/>
  <c r="R46" i="4"/>
  <c r="S46" i="4"/>
  <c r="C49" i="4"/>
  <c r="B50" i="11" s="1"/>
  <c r="E49" i="4"/>
  <c r="R49" i="4" s="1"/>
  <c r="S50" i="4"/>
  <c r="E50" i="13" s="1"/>
  <c r="F50" i="13" s="1"/>
  <c r="S52" i="4"/>
  <c r="B53" i="4"/>
  <c r="C53" i="4"/>
  <c r="E53" i="4"/>
  <c r="R53" i="4" s="1"/>
  <c r="S53" i="4" s="1"/>
  <c r="E53" i="13" s="1"/>
  <c r="F53" i="13" s="1"/>
  <c r="C54" i="4"/>
  <c r="C56" i="4"/>
  <c r="B56" i="13" s="1"/>
  <c r="C56" i="13" s="1"/>
  <c r="C62" i="13" s="1"/>
  <c r="E56" i="4"/>
  <c r="R56" i="4" s="1"/>
  <c r="R62" i="4" s="1"/>
  <c r="F63" i="4"/>
  <c r="S65" i="4"/>
  <c r="C75" i="4"/>
  <c r="C79" i="4"/>
  <c r="E79" i="4"/>
  <c r="R79" i="4" s="1"/>
  <c r="S79" i="4"/>
  <c r="E79" i="13" s="1"/>
  <c r="F79" i="13" s="1"/>
  <c r="C80" i="4"/>
  <c r="C83" i="4"/>
  <c r="E83" i="4"/>
  <c r="E96" i="4" s="1"/>
  <c r="R83" i="4"/>
  <c r="R96" i="4" s="1"/>
  <c r="C96" i="4"/>
  <c r="B96" i="4" s="1"/>
  <c r="F97" i="4"/>
  <c r="C99" i="4"/>
  <c r="B99" i="4" s="1"/>
  <c r="K99" i="4"/>
  <c r="C104" i="4"/>
  <c r="B104" i="4" s="1"/>
  <c r="K104" i="4"/>
  <c r="F105" i="4"/>
  <c r="K105" i="4"/>
  <c r="E108" i="4"/>
  <c r="F108" i="4"/>
  <c r="I108" i="4"/>
  <c r="K108" i="4"/>
  <c r="R38" i="4" l="1"/>
  <c r="R63" i="4" s="1"/>
  <c r="S30" i="4"/>
  <c r="R54" i="4"/>
  <c r="C76" i="11"/>
  <c r="B75" i="13"/>
  <c r="C75" i="13" s="1"/>
  <c r="C77" i="13" s="1"/>
  <c r="S54" i="4"/>
  <c r="E54" i="13" s="1"/>
  <c r="E45" i="13"/>
  <c r="F45" i="13" s="1"/>
  <c r="F54" i="13" s="1"/>
  <c r="B75" i="4"/>
  <c r="AO651" i="3"/>
  <c r="AB48" i="15"/>
  <c r="C100" i="11"/>
  <c r="E99" i="4"/>
  <c r="E54" i="4"/>
  <c r="E63" i="4" s="1"/>
  <c r="B104" i="13"/>
  <c r="D57" i="11"/>
  <c r="C63" i="11"/>
  <c r="C77" i="4"/>
  <c r="E62" i="4"/>
  <c r="B54" i="4"/>
  <c r="B54" i="13"/>
  <c r="B57" i="11"/>
  <c r="B63" i="11" s="1"/>
  <c r="I39" i="7"/>
  <c r="I42" i="7" s="1"/>
  <c r="Q39" i="7"/>
  <c r="Q42" i="7" s="1"/>
  <c r="Y39" i="7"/>
  <c r="Y42" i="7" s="1"/>
  <c r="AG39" i="7"/>
  <c r="AG42" i="7" s="1"/>
  <c r="K39" i="7"/>
  <c r="K42" i="7" s="1"/>
  <c r="S39" i="7"/>
  <c r="S42" i="7" s="1"/>
  <c r="AA39" i="7"/>
  <c r="AA42" i="7" s="1"/>
  <c r="E42" i="7"/>
  <c r="M39" i="7"/>
  <c r="M42" i="7" s="1"/>
  <c r="U39" i="7"/>
  <c r="U42" i="7" s="1"/>
  <c r="AC39" i="7"/>
  <c r="AC42" i="7" s="1"/>
  <c r="G39" i="7"/>
  <c r="G42" i="7" s="1"/>
  <c r="O39" i="7"/>
  <c r="O42" i="7" s="1"/>
  <c r="Y44" i="7"/>
  <c r="Y48" i="7"/>
  <c r="C81" i="11"/>
  <c r="B81" i="11"/>
  <c r="E80" i="4"/>
  <c r="R80" i="4" s="1"/>
  <c r="B80" i="13"/>
  <c r="C80" i="13" s="1"/>
  <c r="B80" i="11"/>
  <c r="C81" i="4"/>
  <c r="B79" i="13"/>
  <c r="C79" i="13" s="1"/>
  <c r="C81" i="13" s="1"/>
  <c r="S70" i="4"/>
  <c r="E70" i="13" s="1"/>
  <c r="E65" i="13"/>
  <c r="F65" i="13" s="1"/>
  <c r="F70" i="13" s="1"/>
  <c r="C62" i="4"/>
  <c r="B56" i="4"/>
  <c r="B100" i="11"/>
  <c r="B105" i="11" s="1"/>
  <c r="B76" i="11"/>
  <c r="B78" i="11" s="1"/>
  <c r="K28" i="7"/>
  <c r="K34" i="7" s="1"/>
  <c r="K36" i="7" s="1"/>
  <c r="S28" i="7"/>
  <c r="S34" i="7" s="1"/>
  <c r="S36" i="7" s="1"/>
  <c r="AA28" i="7"/>
  <c r="AA34" i="7" s="1"/>
  <c r="AA36" i="7" s="1"/>
  <c r="E34" i="7"/>
  <c r="E36" i="7" s="1"/>
  <c r="M28" i="7"/>
  <c r="M34" i="7" s="1"/>
  <c r="M36" i="7" s="1"/>
  <c r="U28" i="7"/>
  <c r="U34" i="7" s="1"/>
  <c r="U36" i="7" s="1"/>
  <c r="AC28" i="7"/>
  <c r="AC34" i="7" s="1"/>
  <c r="AC36" i="7" s="1"/>
  <c r="G28" i="7"/>
  <c r="G34" i="7" s="1"/>
  <c r="G36" i="7" s="1"/>
  <c r="O28" i="7"/>
  <c r="O34" i="7" s="1"/>
  <c r="O36" i="7" s="1"/>
  <c r="W28" i="7"/>
  <c r="W34" i="7" s="1"/>
  <c r="W36" i="7" s="1"/>
  <c r="AE28" i="7"/>
  <c r="AE34" i="7" s="1"/>
  <c r="AE36" i="7" s="1"/>
  <c r="AG28" i="7"/>
  <c r="AG34" i="7" s="1"/>
  <c r="AG36" i="7" s="1"/>
  <c r="I28" i="7"/>
  <c r="I34" i="7" s="1"/>
  <c r="I36" i="7" s="1"/>
  <c r="Q28" i="7"/>
  <c r="Q34" i="7" s="1"/>
  <c r="Q36" i="7" s="1"/>
  <c r="B84" i="11"/>
  <c r="B97" i="11" s="1"/>
  <c r="B83" i="4"/>
  <c r="C84" i="11"/>
  <c r="B80" i="4"/>
  <c r="B79" i="4"/>
  <c r="E75" i="4"/>
  <c r="C63" i="4"/>
  <c r="B49" i="4"/>
  <c r="B47" i="11"/>
  <c r="B46" i="4"/>
  <c r="C47" i="11"/>
  <c r="D47" i="11" s="1"/>
  <c r="B99" i="13"/>
  <c r="C99" i="13" s="1"/>
  <c r="C104" i="13" s="1"/>
  <c r="B96" i="13"/>
  <c r="B49" i="13"/>
  <c r="C49" i="13" s="1"/>
  <c r="C54" i="13" s="1"/>
  <c r="C63" i="13" s="1"/>
  <c r="C97" i="13" s="1"/>
  <c r="C105" i="13" s="1"/>
  <c r="C50" i="11"/>
  <c r="D50" i="11" s="1"/>
  <c r="AE39" i="7"/>
  <c r="AE42" i="7" s="1"/>
  <c r="AM570" i="3"/>
  <c r="AM576" i="3"/>
  <c r="B54" i="11"/>
  <c r="B55" i="11" s="1"/>
  <c r="B64" i="11" s="1"/>
  <c r="C54" i="11"/>
  <c r="D46" i="11"/>
  <c r="B63" i="13" l="1"/>
  <c r="C97" i="4"/>
  <c r="D84" i="11"/>
  <c r="C97" i="11"/>
  <c r="D97" i="11" s="1"/>
  <c r="O44" i="7"/>
  <c r="O48" i="7"/>
  <c r="K48" i="7"/>
  <c r="K44" i="7"/>
  <c r="B81" i="13"/>
  <c r="B81" i="4"/>
  <c r="D76" i="11"/>
  <c r="C78" i="11"/>
  <c r="D78" i="11" s="1"/>
  <c r="E30" i="13"/>
  <c r="F30" i="13" s="1"/>
  <c r="F38" i="13" s="1"/>
  <c r="F63" i="13" s="1"/>
  <c r="S38" i="4"/>
  <c r="R75" i="4"/>
  <c r="R77" i="4" s="1"/>
  <c r="E77" i="4"/>
  <c r="E97" i="4" s="1"/>
  <c r="E105" i="4" s="1"/>
  <c r="G44" i="7"/>
  <c r="G48" i="7"/>
  <c r="E44" i="7"/>
  <c r="E48" i="7"/>
  <c r="B82" i="11"/>
  <c r="B98" i="11" s="1"/>
  <c r="B106" i="11" s="1"/>
  <c r="D80" i="11"/>
  <c r="D81" i="11"/>
  <c r="C55" i="11"/>
  <c r="AE44" i="7"/>
  <c r="AE48" i="7"/>
  <c r="AC44" i="7"/>
  <c r="AC48" i="7"/>
  <c r="AA48" i="7"/>
  <c r="AA44" i="7"/>
  <c r="E81" i="4"/>
  <c r="B77" i="4"/>
  <c r="B77" i="13"/>
  <c r="I44" i="7"/>
  <c r="I48" i="7"/>
  <c r="M44" i="7"/>
  <c r="M48" i="7"/>
  <c r="B62" i="4"/>
  <c r="B63" i="4" s="1"/>
  <c r="B62" i="13"/>
  <c r="Y47" i="7"/>
  <c r="Y46" i="7"/>
  <c r="Y59" i="7"/>
  <c r="D100" i="11"/>
  <c r="C105" i="11"/>
  <c r="D105" i="11" s="1"/>
  <c r="AG44" i="7"/>
  <c r="AG48" i="7"/>
  <c r="D54" i="11"/>
  <c r="Q44" i="7"/>
  <c r="Q48" i="7"/>
  <c r="W44" i="7"/>
  <c r="W48" i="7"/>
  <c r="U44" i="7"/>
  <c r="U48" i="7"/>
  <c r="S48" i="7"/>
  <c r="S44" i="7"/>
  <c r="R81" i="4"/>
  <c r="R97" i="4" s="1"/>
  <c r="S80" i="4"/>
  <c r="D63" i="11"/>
  <c r="E104" i="4"/>
  <c r="R99" i="4"/>
  <c r="C82" i="11"/>
  <c r="R104" i="4" l="1"/>
  <c r="R105" i="4" s="1"/>
  <c r="S99" i="4"/>
  <c r="U59" i="7"/>
  <c r="U47" i="7"/>
  <c r="U46" i="7"/>
  <c r="Q47" i="7"/>
  <c r="Q46" i="7"/>
  <c r="Q59" i="7"/>
  <c r="M59" i="7"/>
  <c r="M47" i="7"/>
  <c r="M46" i="7"/>
  <c r="D55" i="11"/>
  <c r="C64" i="11"/>
  <c r="G46" i="7"/>
  <c r="G59" i="7"/>
  <c r="G47" i="7"/>
  <c r="B97" i="4"/>
  <c r="C105" i="4"/>
  <c r="B97" i="13"/>
  <c r="W46" i="7"/>
  <c r="W59" i="7"/>
  <c r="W47" i="7"/>
  <c r="Y65" i="7"/>
  <c r="Y69" i="7" s="1"/>
  <c r="Y71" i="7" s="1"/>
  <c r="Y61" i="7"/>
  <c r="Y66" i="7"/>
  <c r="I47" i="7"/>
  <c r="I46" i="7"/>
  <c r="I59" i="7"/>
  <c r="E59" i="7"/>
  <c r="E47" i="7"/>
  <c r="E46" i="7"/>
  <c r="K47" i="7"/>
  <c r="K46" i="7"/>
  <c r="K59" i="7"/>
  <c r="S47" i="7"/>
  <c r="S46" i="7"/>
  <c r="S59" i="7"/>
  <c r="AC59" i="7"/>
  <c r="AC47" i="7"/>
  <c r="AC46" i="7"/>
  <c r="O46" i="7"/>
  <c r="O59" i="7"/>
  <c r="O47" i="7"/>
  <c r="AA47" i="7"/>
  <c r="AA46" i="7"/>
  <c r="AA59" i="7"/>
  <c r="D82" i="11"/>
  <c r="E80" i="13"/>
  <c r="F80" i="13" s="1"/>
  <c r="F81" i="13" s="1"/>
  <c r="F97" i="13" s="1"/>
  <c r="S81" i="4"/>
  <c r="E81" i="13" s="1"/>
  <c r="AG47" i="7"/>
  <c r="AG46" i="7"/>
  <c r="AG59" i="7"/>
  <c r="AE46" i="7"/>
  <c r="AE59" i="7"/>
  <c r="AE47" i="7"/>
  <c r="E38" i="13"/>
  <c r="S63" i="4"/>
  <c r="S97" i="4" l="1"/>
  <c r="E63" i="13"/>
  <c r="K66" i="7"/>
  <c r="K65" i="7"/>
  <c r="K61" i="7"/>
  <c r="G61" i="7"/>
  <c r="G71" i="7" s="1"/>
  <c r="G66" i="7"/>
  <c r="G65" i="7"/>
  <c r="G69" i="7" s="1"/>
  <c r="E66" i="7"/>
  <c r="E65" i="7"/>
  <c r="E61" i="7"/>
  <c r="AG258" i="20"/>
  <c r="AC454" i="3"/>
  <c r="B105" i="13"/>
  <c r="B105" i="4"/>
  <c r="E99" i="13"/>
  <c r="F99" i="13" s="1"/>
  <c r="F104" i="13" s="1"/>
  <c r="F105" i="13" s="1"/>
  <c r="F107" i="13" s="1"/>
  <c r="S104" i="4"/>
  <c r="E104" i="13" s="1"/>
  <c r="W61" i="7"/>
  <c r="W66" i="7"/>
  <c r="W65" i="7"/>
  <c r="C98" i="11"/>
  <c r="D64" i="11"/>
  <c r="M66" i="7"/>
  <c r="M65" i="7"/>
  <c r="M61" i="7"/>
  <c r="S66" i="7"/>
  <c r="S65" i="7"/>
  <c r="S61" i="7"/>
  <c r="U66" i="7"/>
  <c r="U65" i="7"/>
  <c r="U61" i="7"/>
  <c r="AG65" i="7"/>
  <c r="AG69" i="7" s="1"/>
  <c r="AG71" i="7" s="1"/>
  <c r="AG61" i="7"/>
  <c r="AG66" i="7"/>
  <c r="I65" i="7"/>
  <c r="I69" i="7" s="1"/>
  <c r="I71" i="7" s="1"/>
  <c r="I61" i="7"/>
  <c r="I66" i="7"/>
  <c r="AE61" i="7"/>
  <c r="AE71" i="7" s="1"/>
  <c r="AE66" i="7"/>
  <c r="AE65" i="7"/>
  <c r="AE69" i="7" s="1"/>
  <c r="AA66" i="7"/>
  <c r="AA65" i="7"/>
  <c r="AA61" i="7"/>
  <c r="O61" i="7"/>
  <c r="O71" i="7" s="1"/>
  <c r="O66" i="7"/>
  <c r="O65" i="7"/>
  <c r="O69" i="7" s="1"/>
  <c r="AC66" i="7"/>
  <c r="AC65" i="7"/>
  <c r="AC61" i="7"/>
  <c r="Q65" i="7"/>
  <c r="Q69" i="7" s="1"/>
  <c r="Q61" i="7"/>
  <c r="Q71" i="7" s="1"/>
  <c r="Q66" i="7"/>
  <c r="T11" i="15" l="1"/>
  <c r="T23" i="15" s="1"/>
  <c r="AC71" i="7"/>
  <c r="AC453" i="3"/>
  <c r="AB47" i="15"/>
  <c r="AB49" i="15" s="1"/>
  <c r="N154" i="25"/>
  <c r="AB255" i="20"/>
  <c r="AG257" i="20" s="1"/>
  <c r="AG259" i="20" s="1"/>
  <c r="AK262" i="20" s="1"/>
  <c r="T797" i="20" s="1"/>
  <c r="AF797" i="20" s="1"/>
  <c r="C106" i="11"/>
  <c r="D106" i="11" s="1"/>
  <c r="D98" i="11"/>
  <c r="S105" i="4"/>
  <c r="E97" i="13"/>
  <c r="AC69" i="7"/>
  <c r="AA69" i="7"/>
  <c r="AA71" i="7" s="1"/>
  <c r="U69" i="7"/>
  <c r="U71" i="7" s="1"/>
  <c r="S69" i="7"/>
  <c r="S71" i="7" s="1"/>
  <c r="M69" i="7"/>
  <c r="M71" i="7" s="1"/>
  <c r="W69" i="7"/>
  <c r="W71" i="7" s="1"/>
  <c r="E69" i="7"/>
  <c r="E71" i="7" s="1"/>
  <c r="K69" i="7"/>
  <c r="K71" i="7" s="1"/>
  <c r="E105" i="13" l="1"/>
  <c r="S107" i="4"/>
  <c r="N155" i="25"/>
  <c r="N165" i="25"/>
  <c r="AB54" i="15"/>
  <c r="AB55" i="15" s="1"/>
  <c r="T26" i="15"/>
  <c r="T28" i="15" s="1"/>
  <c r="AC455" i="3" l="1"/>
  <c r="AF540" i="20"/>
  <c r="AF542" i="20" s="1"/>
  <c r="AK548" i="20" s="1"/>
  <c r="T803" i="20" s="1"/>
  <c r="AF803" i="20" s="1"/>
  <c r="AF806" i="20" s="1"/>
  <c r="E107" i="13"/>
  <c r="Y11" i="15" s="1"/>
  <c r="Y23" i="15" s="1"/>
  <c r="Y26" i="15" l="1"/>
  <c r="Y28" i="15" s="1"/>
  <c r="Y38" i="15"/>
  <c r="Y40" i="15" s="1"/>
  <c r="AD38" i="15"/>
  <c r="AD40" i="15" s="1"/>
  <c r="Y41" i="15" l="1"/>
  <c r="AB56" i="15" s="1"/>
  <c r="Y64" i="15"/>
  <c r="Y68" i="15" s="1"/>
  <c r="T29" i="15"/>
  <c r="M26" i="3" l="1"/>
  <c r="P203" i="3" s="1"/>
  <c r="AB57" i="15"/>
  <c r="AB59" i="15" l="1"/>
  <c r="AB76" i="15" s="1"/>
  <c r="AB77" i="15" s="1"/>
  <c r="I10" i="21" l="1"/>
  <c r="I11" i="21" s="1"/>
  <c r="I16" i="21" s="1"/>
  <c r="H4" i="21" s="1"/>
  <c r="H5"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<sst xmlns="http://schemas.openxmlformats.org/spreadsheetml/2006/main" count="5230" uniqueCount="2757">
  <si>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</si>
  <si>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</si>
  <si>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</si>
  <si>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</si>
  <si>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</si>
  <si>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</si>
  <si>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</si>
  <si>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</si>
  <si>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</si>
  <si>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</si>
  <si>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</si>
  <si>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</si>
  <si>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</si>
  <si>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</si>
  <si>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</si>
  <si>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</si>
  <si>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</si>
  <si>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</si>
  <si>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</si>
  <si>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</si>
  <si>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</si>
  <si>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</si>
  <si>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</si>
  <si>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</si>
  <si>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</si>
  <si>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</si>
  <si>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</si>
  <si>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</si>
  <si>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</si>
  <si>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</si>
  <si>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</si>
  <si>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</si>
  <si>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</si>
  <si>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</si>
  <si>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</si>
  <si>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</si>
  <si>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</si>
  <si>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</si>
  <si>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</si>
  <si>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</si>
  <si>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</si>
  <si>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</si>
  <si>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</si>
  <si>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</si>
  <si>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</si>
  <si>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</si>
  <si>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</si>
  <si>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</si>
  <si>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</si>
  <si>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</si>
  <si>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</si>
  <si>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</si>
  <si>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</si>
  <si>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</si>
  <si>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</si>
  <si>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</si>
  <si>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</si>
  <si>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</si>
  <si>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</si>
  <si>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</si>
  <si>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</si>
  <si>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</si>
  <si>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</si>
  <si>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</si>
  <si>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</si>
  <si>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</si>
  <si>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</si>
  <si>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</si>
  <si>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</si>
  <si>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</si>
  <si>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</si>
  <si>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</si>
  <si>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</si>
  <si>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</si>
  <si>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</si>
  <si>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</si>
  <si>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</si>
  <si>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</si>
  <si>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</si>
  <si>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</si>
  <si>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</si>
  <si>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</si>
  <si>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</si>
  <si>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</si>
  <si>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</si>
  <si>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</si>
  <si>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</si>
  <si>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</si>
  <si>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</si>
  <si>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</si>
  <si>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</si>
  <si>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</si>
  <si>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</si>
  <si>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</si>
  <si>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</si>
  <si>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</si>
  <si>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</si>
  <si>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</si>
  <si>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</si>
  <si>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</si>
  <si>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</si>
  <si>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</si>
  <si>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</si>
  <si>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</si>
  <si>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</si>
  <si>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</si>
  <si>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</si>
  <si>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</si>
  <si>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</si>
  <si>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</si>
  <si>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</si>
  <si>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</si>
  <si>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</si>
  <si>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</si>
  <si>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</si>
  <si>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</si>
  <si>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</si>
  <si>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</si>
  <si>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</si>
  <si>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</si>
  <si>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</si>
  <si>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</si>
  <si>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</si>
  <si>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</si>
  <si>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</si>
  <si>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</si>
  <si>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</si>
  <si>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</si>
  <si>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</si>
  <si>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</si>
  <si>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</si>
  <si>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</si>
  <si>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</si>
  <si>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</si>
  <si>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</si>
  <si>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</si>
  <si>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</si>
  <si>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</si>
  <si>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</si>
  <si>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</si>
  <si>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</si>
  <si>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</si>
  <si>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</si>
  <si>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</si>
  <si>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</si>
  <si>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</si>
  <si>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</si>
  <si>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</si>
  <si>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</si>
  <si>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</si>
  <si>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</si>
  <si>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</si>
  <si>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</si>
  <si>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</si>
  <si>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</si>
  <si>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</si>
  <si>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</si>
  <si>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</si>
  <si>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</si>
  <si>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</si>
  <si>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</si>
  <si>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</si>
  <si>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</si>
  <si>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</si>
  <si>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</si>
  <si>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</si>
  <si>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</si>
  <si>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</si>
  <si>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</si>
  <si>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</si>
  <si>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</si>
  <si>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</si>
  <si>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</si>
  <si>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</si>
  <si>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</si>
  <si>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</si>
  <si>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</si>
  <si>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</si>
  <si>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</si>
  <si>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</si>
  <si>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</si>
  <si>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</si>
  <si>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</si>
  <si>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</si>
  <si>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</si>
  <si>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</si>
  <si>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</si>
  <si>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</si>
  <si>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</si>
  <si>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</si>
  <si>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</si>
  <si>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</si>
  <si>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</si>
  <si>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</si>
  <si>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</si>
  <si>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</si>
  <si>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</si>
  <si>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</si>
  <si>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</si>
  <si>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</si>
  <si>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</si>
  <si>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</si>
  <si>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</si>
  <si>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</si>
  <si>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</si>
  <si>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</si>
  <si>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</si>
  <si>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</si>
  <si>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</si>
  <si>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</si>
  <si>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</si>
  <si>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</si>
  <si>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</si>
  <si>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</si>
  <si>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</si>
  <si>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</si>
  <si>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</si>
  <si>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</si>
  <si>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</si>
  <si>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</si>
  <si>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</si>
  <si>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</si>
  <si>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</si>
  <si>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</si>
  <si>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</si>
  <si>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</si>
  <si>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</si>
  <si>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</si>
  <si>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</si>
  <si>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</si>
  <si>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</si>
  <si>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</si>
  <si>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</si>
  <si>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</si>
  <si>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</si>
  <si>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</si>
  <si>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</si>
  <si>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</si>
  <si>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</si>
  <si>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</si>
  <si>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</si>
  <si>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</si>
  <si>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</si>
  <si>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</si>
  <si>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</si>
  <si>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</si>
  <si>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</si>
  <si>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</si>
  <si>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</si>
  <si>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</si>
  <si>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</si>
  <si>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</si>
  <si>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</si>
  <si>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</si>
  <si>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</si>
  <si>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</si>
  <si>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</si>
  <si>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</si>
  <si>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</si>
  <si>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</si>
  <si>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</si>
  <si>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</si>
  <si>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</si>
  <si>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</si>
  <si>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</si>
  <si>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</si>
  <si>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</si>
  <si>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</si>
  <si>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</si>
  <si>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</si>
  <si>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</si>
  <si>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</si>
  <si>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</si>
  <si>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</si>
  <si>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</si>
  <si>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</si>
  <si>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</si>
  <si>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</si>
  <si>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</si>
  <si>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</si>
  <si>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</si>
  <si>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</si>
  <si>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</si>
  <si>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</si>
  <si>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</si>
  <si>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</si>
  <si>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</si>
  <si>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</si>
  <si>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</si>
  <si>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</si>
  <si>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</si>
  <si>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</si>
  <si>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</si>
  <si>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</si>
  <si>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</si>
  <si>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</si>
  <si>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</si>
  <si>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</si>
  <si>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</si>
  <si>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</si>
  <si>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</si>
  <si>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</si>
  <si>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</si>
  <si>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</si>
  <si>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</si>
  <si>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</si>
  <si>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</si>
  <si>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</si>
  <si>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</si>
  <si>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</si>
  <si>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</si>
  <si>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</si>
  <si>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</si>
  <si>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</si>
  <si>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</si>
  <si>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</si>
  <si>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</si>
  <si>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</si>
  <si>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</si>
  <si>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</si>
  <si>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</si>
  <si>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</si>
  <si>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</si>
  <si>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</si>
  <si>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</si>
  <si>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</si>
  <si>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</si>
  <si>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</si>
  <si>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</si>
  <si>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</si>
  <si>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</si>
  <si>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</si>
  <si>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</si>
  <si>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</si>
  <si>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</si>
  <si>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</si>
  <si>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</si>
  <si>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</si>
  <si>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</si>
  <si>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</si>
  <si>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</si>
  <si>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</si>
  <si>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</si>
  <si>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</si>
  <si>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</si>
  <si>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</si>
  <si>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</si>
  <si>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</si>
  <si>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</si>
  <si>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</si>
  <si>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</si>
  <si>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</si>
  <si>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</si>
  <si>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</si>
  <si>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</si>
  <si>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</si>
  <si>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</si>
  <si>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</si>
  <si>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</si>
  <si>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</si>
  <si>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</si>
  <si>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</si>
  <si>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</si>
  <si>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</si>
  <si>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</si>
  <si>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</si>
  <si>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</si>
  <si>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</si>
  <si>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</si>
  <si>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</si>
  <si>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</si>
  <si>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</si>
  <si>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</si>
  <si>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</si>
  <si>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</si>
  <si>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</si>
  <si>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</si>
  <si>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</si>
  <si>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</si>
  <si>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</si>
  <si>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</si>
  <si>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</si>
  <si>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</si>
  <si>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</si>
  <si>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</si>
  <si>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</si>
  <si>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</si>
  <si>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</si>
  <si>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</si>
  <si>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</si>
  <si>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</si>
  <si>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</si>
  <si>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</si>
  <si>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</si>
  <si>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</si>
  <si>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</si>
  <si>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</si>
  <si>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</si>
  <si>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</si>
  <si>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</si>
  <si>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</si>
  <si>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</si>
  <si>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</si>
  <si>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</si>
  <si>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</si>
  <si>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</si>
  <si>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</si>
  <si>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</si>
  <si>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</si>
  <si>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</si>
  <si>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</si>
  <si>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</si>
  <si>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</si>
  <si>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</si>
  <si>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</si>
  <si>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</si>
  <si>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</si>
  <si>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</si>
  <si>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</si>
  <si>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</si>
  <si>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</si>
  <si>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</si>
  <si>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</si>
  <si>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</si>
  <si>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</si>
  <si>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</si>
  <si>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</si>
  <si>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</si>
  <si>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</si>
  <si>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</si>
  <si>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</si>
  <si>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</si>
  <si>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</si>
  <si>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</si>
  <si>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</si>
  <si>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</si>
  <si>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</si>
  <si>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</si>
  <si>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</si>
  <si>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</si>
  <si>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</si>
  <si>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</si>
  <si>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</si>
  <si>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</si>
  <si>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</si>
  <si>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</si>
  <si>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</si>
  <si>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</si>
  <si>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</si>
  <si>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</si>
  <si>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</si>
  <si>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</si>
  <si>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</si>
  <si>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</si>
  <si>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</si>
  <si>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</si>
  <si>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</si>
  <si>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</si>
  <si>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</si>
  <si>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</si>
  <si>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</si>
  <si>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</si>
  <si>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</si>
  <si>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</si>
  <si>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</si>
  <si>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</si>
  <si>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</si>
  <si>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</si>
  <si>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</si>
  <si>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</si>
  <si>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</si>
  <si>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</si>
  <si>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</si>
  <si>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</si>
  <si>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</si>
  <si>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</si>
  <si>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</si>
  <si>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</si>
  <si>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</si>
  <si>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</si>
  <si>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</si>
  <si>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</si>
  <si>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</si>
  <si>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</si>
  <si>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</si>
  <si>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</si>
  <si>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</si>
  <si>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</si>
  <si>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</si>
  <si>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</si>
  <si>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</si>
  <si>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</si>
  <si>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</si>
  <si>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</si>
  <si>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</si>
  <si>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</si>
  <si>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</si>
  <si>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</si>
  <si>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</si>
  <si>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</si>
  <si>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</si>
  <si>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</si>
  <si>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</si>
  <si>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</si>
  <si>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</si>
  <si>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</si>
  <si>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</si>
  <si>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</si>
  <si>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</si>
  <si>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</si>
  <si>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</si>
  <si>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</si>
  <si>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</si>
  <si>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</si>
  <si>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</si>
  <si>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</si>
  <si>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</si>
  <si>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</si>
  <si>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</si>
  <si>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</si>
  <si>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</si>
  <si>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</si>
  <si>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</si>
  <si>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</si>
  <si>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</si>
  <si>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</si>
  <si>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</si>
  <si>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</si>
  <si>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</si>
  <si>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</si>
  <si>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</si>
  <si>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</si>
  <si>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</si>
  <si>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</si>
  <si>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</si>
  <si>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</si>
  <si>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</si>
  <si>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</si>
  <si>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</si>
  <si>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</si>
  <si>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</si>
  <si>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</si>
  <si>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</si>
  <si>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</si>
  <si>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</si>
  <si>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</si>
  <si>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</si>
  <si>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</si>
  <si>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</si>
  <si>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</si>
  <si>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</si>
  <si>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</si>
  <si>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</si>
  <si>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</si>
  <si>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</si>
  <si>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</si>
  <si>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</si>
  <si>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</si>
  <si>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</si>
  <si>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</si>
  <si>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</si>
  <si>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</si>
  <si>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</si>
  <si>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</si>
  <si>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</si>
  <si>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</si>
  <si>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</si>
  <si>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</si>
  <si>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</si>
  <si>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</si>
  <si>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</si>
  <si>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</si>
  <si>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</si>
  <si>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</si>
  <si>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</si>
  <si>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</si>
  <si>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</si>
  <si>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</si>
  <si>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</si>
  <si>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</si>
  <si>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</si>
  <si>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</si>
  <si>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</si>
  <si>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</si>
  <si>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</si>
  <si>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</si>
  <si>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</si>
  <si>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</si>
  <si>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</si>
  <si>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</si>
  <si>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</si>
  <si>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</si>
  <si>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</si>
  <si>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</si>
  <si>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</si>
  <si>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</si>
  <si>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</si>
  <si>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</si>
  <si>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</si>
  <si>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</si>
  <si>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</si>
  <si>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</si>
  <si>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</si>
  <si>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</si>
  <si>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</si>
  <si>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</si>
  <si>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</si>
  <si>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</si>
  <si>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</si>
  <si>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</si>
  <si>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</si>
  <si>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</si>
  <si>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</si>
  <si>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</si>
  <si>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</si>
  <si>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</si>
  <si>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</si>
  <si>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</si>
  <si>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</si>
  <si>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</si>
  <si>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</si>
  <si>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</si>
  <si>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</si>
  <si>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</si>
  <si>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</si>
  <si>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</si>
  <si>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</si>
  <si>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</si>
  <si>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</si>
  <si>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</si>
  <si>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</si>
  <si>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</si>
  <si>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</si>
  <si>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</si>
  <si>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</si>
  <si>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</si>
  <si>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</si>
  <si>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</si>
  <si>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</si>
  <si>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</si>
  <si>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</si>
  <si>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</si>
  <si>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</si>
  <si>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</si>
  <si>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</si>
  <si>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</si>
  <si>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</si>
  <si>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</si>
  <si>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</si>
  <si>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</si>
  <si>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</si>
  <si>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</si>
  <si>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</si>
  <si>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</si>
  <si>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</si>
  <si>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</si>
  <si>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</si>
  <si>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</si>
  <si>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</si>
  <si>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</si>
  <si>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</si>
  <si>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</si>
  <si>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</si>
  <si>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</si>
  <si>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</si>
  <si>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</si>
  <si>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</si>
  <si>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</si>
  <si>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</si>
  <si>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</si>
  <si>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</si>
  <si>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</si>
  <si>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</si>
  <si>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</si>
  <si>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</si>
  <si>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</si>
  <si>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</si>
  <si>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</si>
  <si>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</si>
  <si>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</si>
  <si>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</si>
  <si>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</si>
  <si>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</si>
  <si>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</si>
  <si>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</si>
  <si>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</si>
  <si>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</si>
  <si>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</si>
  <si>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</si>
  <si>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</si>
  <si>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</si>
  <si>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</si>
  <si>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</si>
  <si>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</si>
  <si>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</si>
  <si>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</si>
  <si>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</si>
  <si>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</si>
  <si>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</si>
  <si>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</si>
  <si>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</si>
  <si>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</si>
  <si>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</si>
  <si>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</si>
  <si>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</si>
  <si>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</si>
  <si>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</si>
  <si>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</si>
  <si>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</si>
  <si>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</si>
  <si>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</si>
  <si>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</si>
  <si>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</si>
  <si>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</si>
  <si>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</si>
  <si>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</si>
  <si>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</si>
  <si>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</si>
  <si>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</si>
  <si>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</si>
  <si>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</si>
  <si>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</si>
  <si>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</si>
  <si>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</si>
  <si>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</si>
  <si>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</si>
  <si>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</si>
  <si>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</si>
  <si>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</si>
  <si>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</si>
  <si>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</si>
  <si>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</si>
  <si>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</si>
  <si>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</si>
  <si>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</si>
  <si>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</si>
  <si>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</si>
  <si>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</si>
  <si>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</si>
  <si>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</si>
  <si>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</si>
  <si>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</si>
  <si>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</si>
  <si>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</si>
  <si>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</si>
  <si>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</si>
  <si>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</si>
  <si>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</si>
  <si>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</si>
  <si>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</si>
  <si>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</si>
  <si>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</si>
  <si>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</si>
  <si>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</si>
  <si>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</si>
  <si>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</si>
  <si>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</si>
  <si>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</si>
  <si>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</si>
  <si>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</si>
  <si>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</si>
  <si>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</si>
  <si>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</si>
  <si>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</si>
  <si>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</si>
  <si>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</si>
  <si>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</si>
  <si>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</si>
  <si>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</si>
  <si>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</si>
  <si>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</si>
  <si>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</si>
  <si>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</si>
  <si>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</si>
  <si>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</si>
  <si>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</si>
  <si>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</si>
  <si>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</si>
  <si>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</si>
  <si>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</si>
  <si>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</si>
  <si>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</si>
  <si>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</si>
  <si>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</si>
  <si>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</si>
  <si>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</si>
  <si>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</si>
  <si>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</si>
  <si>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</si>
  <si>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</si>
  <si>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</si>
  <si>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</si>
  <si>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</si>
  <si>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</si>
  <si>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</si>
  <si>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</si>
  <si>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</si>
  <si>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</si>
  <si>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</si>
  <si>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</si>
  <si>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</si>
  <si>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</si>
  <si>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</si>
  <si>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</si>
  <si>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</si>
  <si>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</si>
  <si>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</si>
  <si>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</si>
  <si>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</si>
  <si>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</si>
  <si>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</si>
  <si>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</si>
  <si>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</si>
  <si>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</si>
  <si>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</si>
  <si>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</si>
  <si>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</si>
  <si>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</si>
  <si>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</si>
  <si>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</si>
  <si>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</si>
  <si>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</si>
  <si>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</si>
  <si>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</si>
  <si>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</si>
  <si>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</si>
  <si>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</si>
  <si>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</si>
  <si>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</si>
  <si>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</si>
  <si>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</si>
  <si>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</si>
  <si>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</si>
  <si>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</si>
  <si>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</si>
  <si>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</si>
  <si>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</si>
  <si>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</si>
  <si>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</si>
  <si>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</si>
  <si>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</si>
  <si>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</si>
  <si>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</si>
  <si>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</si>
  <si>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</si>
  <si>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</si>
  <si>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</si>
  <si>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</si>
  <si>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</si>
  <si>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</si>
  <si>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</si>
  <si>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</si>
  <si>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</si>
  <si>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</si>
  <si>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</si>
  <si>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</si>
  <si>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</si>
  <si>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</si>
  <si>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</si>
  <si>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</si>
  <si>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</si>
  <si>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</si>
  <si>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</si>
  <si>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</si>
  <si>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</si>
  <si>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</si>
  <si>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</si>
  <si>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</si>
  <si>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</si>
  <si>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</si>
  <si>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</si>
  <si>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</si>
  <si>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</si>
  <si>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</si>
  <si>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</si>
  <si>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</si>
  <si>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</si>
  <si>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</si>
  <si>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</si>
  <si>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</si>
  <si>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</si>
  <si>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</si>
  <si>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</si>
  <si>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</si>
  <si>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</si>
  <si>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</si>
  <si>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</si>
  <si>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</si>
  <si>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</si>
  <si>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</si>
  <si>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</si>
  <si>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</si>
  <si>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</si>
  <si>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</si>
  <si>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</si>
  <si>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</si>
  <si>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</si>
  <si>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</si>
  <si>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</si>
  <si>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</si>
  <si>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</si>
  <si>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</si>
  <si>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</si>
  <si>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</si>
  <si>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</si>
  <si>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</si>
  <si>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</si>
  <si>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</si>
  <si>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</si>
  <si>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</si>
  <si>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</si>
  <si>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</si>
  <si>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</si>
  <si>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</si>
  <si>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</si>
  <si>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</si>
  <si>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</si>
  <si>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</si>
  <si>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</si>
  <si>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</si>
  <si>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</si>
  <si>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</si>
  <si>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</si>
  <si>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</si>
  <si>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</si>
  <si>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</si>
  <si>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</si>
  <si>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</si>
  <si>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</si>
  <si>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</si>
  <si>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</si>
  <si>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</si>
  <si>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</si>
  <si>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</si>
  <si>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</si>
  <si>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</si>
  <si>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</si>
  <si>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</si>
  <si>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</si>
  <si>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</si>
  <si>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</si>
  <si>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</si>
  <si>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</si>
  <si>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</si>
  <si>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</si>
  <si>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</si>
  <si>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</si>
  <si>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</si>
  <si>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</si>
  <si>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</si>
  <si>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</si>
  <si>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</si>
  <si>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</si>
  <si>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</si>
  <si>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</si>
  <si>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</si>
  <si>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</si>
  <si>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</si>
  <si>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</si>
  <si>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</si>
  <si>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</si>
  <si>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</si>
  <si>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</si>
  <si>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</si>
  <si>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</si>
  <si>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</si>
  <si>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</si>
  <si>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</si>
  <si>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</si>
  <si>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</si>
  <si>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</si>
  <si>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</si>
  <si>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</si>
  <si>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</si>
  <si>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</si>
  <si>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</si>
  <si>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</si>
  <si>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</si>
  <si>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</si>
  <si>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</si>
  <si>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</si>
  <si>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</si>
  <si>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</si>
  <si>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</si>
  <si>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</si>
  <si>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</si>
  <si>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</si>
  <si>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</si>
  <si>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</si>
  <si>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</si>
  <si>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</si>
  <si>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</si>
  <si>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</si>
  <si>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</si>
  <si>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</si>
  <si>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</si>
  <si>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</si>
  <si>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</si>
  <si>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</si>
  <si>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</si>
  <si>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</si>
  <si>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</si>
  <si>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</si>
  <si>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</si>
  <si>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</si>
  <si>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</si>
  <si>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</si>
  <si>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</si>
  <si>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</si>
  <si>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</si>
  <si>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</si>
  <si>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</si>
  <si>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</si>
  <si>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</si>
  <si>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</si>
  <si>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</si>
  <si>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</si>
  <si>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</si>
  <si>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</si>
  <si>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</si>
  <si>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</si>
  <si>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</si>
  <si>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</si>
  <si>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</si>
  <si>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</si>
  <si>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</si>
  <si>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</si>
  <si>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</si>
  <si>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</si>
  <si>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</si>
  <si>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</si>
  <si>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</si>
  <si>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</si>
  <si>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</si>
  <si>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</si>
  <si>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</si>
  <si>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</si>
  <si>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</si>
  <si>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</si>
  <si>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</si>
  <si>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</si>
  <si>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</si>
  <si>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</si>
  <si>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</si>
  <si>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</si>
  <si>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</si>
  <si>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</si>
  <si>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</si>
  <si>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</si>
  <si>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</si>
  <si>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</si>
  <si>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</si>
  <si>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</si>
  <si>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</si>
  <si>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</si>
  <si>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</si>
  <si>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</si>
  <si>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</si>
  <si>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</si>
  <si>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</si>
  <si>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</si>
  <si>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</si>
  <si>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</si>
  <si>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</si>
  <si>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</si>
  <si>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</si>
  <si>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</si>
  <si>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</si>
  <si>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</si>
  <si>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</si>
  <si>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</si>
  <si>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</si>
  <si>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</si>
  <si>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</si>
  <si>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</si>
  <si>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</si>
  <si>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</si>
  <si>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</si>
  <si>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</si>
  <si>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</si>
  <si>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</si>
  <si>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</si>
  <si>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</si>
  <si>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</si>
  <si>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</si>
  <si>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</si>
  <si>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</si>
  <si>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</si>
  <si>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</si>
  <si>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</si>
  <si>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</si>
  <si>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</si>
  <si>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</si>
  <si>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</si>
  <si>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</si>
  <si>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</si>
  <si>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</si>
  <si>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</si>
  <si>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</si>
  <si>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</si>
  <si>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</si>
  <si>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</si>
  <si>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</si>
  <si>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</si>
  <si>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</si>
  <si>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</si>
  <si>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</si>
  <si>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</si>
  <si>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</si>
  <si>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</si>
  <si>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</si>
  <si>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</si>
  <si>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</si>
  <si>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</si>
  <si>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</si>
  <si>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</si>
  <si>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</si>
  <si>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</si>
  <si>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</si>
  <si>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</si>
  <si>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</si>
  <si>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</si>
  <si>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</si>
  <si>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</si>
  <si>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</si>
  <si>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</si>
  <si>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</si>
  <si>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</si>
  <si>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</si>
  <si>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</si>
  <si>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</si>
  <si>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</si>
  <si>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</si>
  <si>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</si>
  <si>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</si>
  <si>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</si>
  <si>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</si>
  <si>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</si>
  <si>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</si>
  <si>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</si>
  <si>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</si>
  <si>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</si>
  <si>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</si>
  <si>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</si>
  <si>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</si>
  <si>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</si>
  <si>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</si>
  <si>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</si>
  <si>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</si>
  <si>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</si>
  <si>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</si>
  <si>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</si>
  <si>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</si>
  <si>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</si>
  <si>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</si>
  <si>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</si>
  <si>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</si>
  <si>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</si>
  <si>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</si>
  <si>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</si>
  <si>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</si>
  <si>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</si>
  <si>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</si>
  <si>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</si>
  <si>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</si>
  <si>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</si>
  <si>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</si>
  <si>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</si>
  <si>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</si>
  <si>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</si>
  <si>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</si>
  <si>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</si>
  <si>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</si>
  <si>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</si>
  <si>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</si>
  <si>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</si>
  <si>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</si>
  <si>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</si>
  <si>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</si>
  <si>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</si>
  <si>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</si>
  <si>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</si>
  <si>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</si>
  <si>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</si>
  <si>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</si>
  <si>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</si>
  <si>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</si>
  <si>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</si>
  <si>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</si>
  <si>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</si>
  <si>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</si>
  <si>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</si>
  <si>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</si>
  <si>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</si>
  <si>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</si>
  <si>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</si>
  <si>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</si>
  <si>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</si>
  <si>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</si>
  <si>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</si>
  <si>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</si>
  <si>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</si>
  <si>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</si>
  <si>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</si>
  <si>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</si>
  <si>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</si>
  <si>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</si>
  <si>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</si>
  <si>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</si>
  <si>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</si>
  <si>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</si>
  <si>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</si>
  <si>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</si>
  <si>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</si>
  <si>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</si>
  <si>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</si>
  <si>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</si>
  <si>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</si>
  <si>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</si>
  <si>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</si>
  <si>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</si>
  <si>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</si>
  <si>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</si>
  <si>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</si>
  <si>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</si>
  <si>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</si>
  <si>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</si>
  <si>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</si>
  <si>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</si>
  <si>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</si>
  <si>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</si>
  <si>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</si>
  <si>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</si>
  <si>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</si>
  <si>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</si>
  <si>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</si>
  <si>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</si>
  <si>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</si>
  <si>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</si>
  <si>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</si>
  <si>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</si>
  <si>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</si>
  <si>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</si>
  <si>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</si>
  <si>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</si>
  <si>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</si>
  <si>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</si>
  <si>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</si>
  <si>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</si>
  <si>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</si>
  <si>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</si>
  <si>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</si>
  <si>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</si>
  <si>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</si>
  <si>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</si>
  <si>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</si>
  <si>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</si>
  <si>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</si>
  <si>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</si>
  <si>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</si>
  <si>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</si>
  <si>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</si>
  <si>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</si>
  <si>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</si>
  <si>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</si>
  <si>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</si>
  <si>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</si>
  <si>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</si>
  <si>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</si>
  <si>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</si>
  <si>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</si>
  <si>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</si>
  <si>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</si>
  <si>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</si>
  <si>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</si>
  <si>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</si>
  <si>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</si>
  <si>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</si>
  <si>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</si>
  <si>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</si>
  <si>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</si>
  <si>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</si>
  <si>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</si>
  <si>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</si>
  <si>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</si>
  <si>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</si>
  <si>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</si>
  <si>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</si>
  <si>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</si>
  <si>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</si>
  <si>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</si>
  <si>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</si>
  <si>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</si>
  <si>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</si>
  <si>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</si>
  <si>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</si>
  <si>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</si>
  <si>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</si>
  <si>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</si>
  <si>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</si>
  <si>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</si>
  <si>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</si>
  <si>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</si>
  <si>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</si>
  <si>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</si>
  <si>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</si>
  <si>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</si>
  <si>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</si>
  <si>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</si>
  <si>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</si>
  <si>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</si>
  <si>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</si>
  <si>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</si>
  <si>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</si>
  <si>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</si>
  <si>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</si>
  <si>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</si>
  <si>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</si>
  <si>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</si>
  <si>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</si>
  <si>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</si>
  <si>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</si>
  <si>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</si>
  <si>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</si>
  <si>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</si>
  <si>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</si>
  <si>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</si>
  <si>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</si>
  <si>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</si>
  <si>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</si>
  <si>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</si>
  <si>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</si>
  <si>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</si>
  <si>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</si>
  <si>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</si>
  <si>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</si>
  <si>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</si>
  <si>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</si>
  <si>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</si>
  <si>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</si>
  <si>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</si>
  <si>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</si>
  <si>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</si>
  <si>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</si>
  <si>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</si>
  <si>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</si>
  <si>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</si>
  <si>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</si>
  <si>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</si>
  <si>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</si>
  <si>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</si>
  <si>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</si>
  <si>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</si>
  <si>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</si>
  <si>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</si>
  <si>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</si>
  <si>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</si>
  <si>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</si>
  <si>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</si>
  <si>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</si>
  <si>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</si>
  <si>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</si>
  <si>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</si>
  <si>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</si>
  <si>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</si>
  <si>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</si>
  <si>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</si>
  <si>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</si>
  <si>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</si>
  <si>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</si>
  <si>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</si>
  <si>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</si>
  <si>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</si>
  <si>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</si>
  <si>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</si>
  <si>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</si>
  <si>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</si>
  <si>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</si>
  <si>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</si>
  <si>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</si>
  <si>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</si>
  <si>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</si>
  <si>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</si>
  <si>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</si>
  <si>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</si>
  <si>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</si>
  <si>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</si>
  <si>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</si>
  <si>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</si>
  <si>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</si>
  <si>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</si>
  <si>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</si>
  <si>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</si>
  <si>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</si>
  <si>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</si>
  <si>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</si>
  <si>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</si>
  <si>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</si>
  <si>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</si>
  <si>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</si>
  <si>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</si>
  <si>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</si>
  <si>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</si>
  <si>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</si>
  <si>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</si>
  <si>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</si>
  <si>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</si>
  <si>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</si>
  <si>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</si>
  <si>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</si>
  <si>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</si>
  <si>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</si>
  <si>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</si>
  <si>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</si>
  <si>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</si>
  <si>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</si>
  <si>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</si>
  <si>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</si>
  <si>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</si>
  <si>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</si>
  <si>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</si>
  <si>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</si>
  <si>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</si>
  <si>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</si>
  <si>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</si>
  <si>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</si>
  <si>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</si>
  <si>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</si>
  <si>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</si>
  <si>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</si>
  <si>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</si>
  <si>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</si>
  <si>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</si>
  <si>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</si>
  <si>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</si>
  <si>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</si>
  <si>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</si>
  <si>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</si>
  <si>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</si>
  <si>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</si>
  <si>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</si>
  <si>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</si>
  <si>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</si>
  <si>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</si>
  <si>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</si>
  <si>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</si>
  <si>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</si>
  <si>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</si>
  <si>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</si>
  <si>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</si>
  <si>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</si>
  <si>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</si>
  <si>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</si>
  <si>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</si>
  <si>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</si>
  <si>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</si>
  <si>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</si>
  <si>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</si>
  <si>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</si>
  <si>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</si>
  <si>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</si>
  <si>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</si>
  <si>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</si>
  <si>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</si>
  <si>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</si>
  <si>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</si>
  <si>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</si>
  <si>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</si>
  <si>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</si>
  <si>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</si>
  <si>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</si>
  <si>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</si>
  <si>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</si>
  <si>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</si>
  <si>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</si>
  <si>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</si>
  <si>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</si>
  <si>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</si>
  <si>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</si>
  <si>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</si>
  <si>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</si>
  <si>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</si>
  <si>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</si>
  <si>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</si>
  <si>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</si>
  <si>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</si>
  <si>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</si>
  <si>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</si>
  <si>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</si>
  <si>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</si>
  <si>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</si>
  <si>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</si>
  <si>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</si>
  <si>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</si>
  <si>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</si>
  <si>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</si>
  <si>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</si>
  <si>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</si>
  <si>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</si>
  <si>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</si>
  <si>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</si>
  <si>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</si>
  <si>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</si>
  <si>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</si>
  <si>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</si>
  <si>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</si>
  <si>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</si>
  <si>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</si>
  <si>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</si>
  <si>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</si>
  <si>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</si>
  <si>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</si>
  <si>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</si>
  <si>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</si>
  <si>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</si>
  <si>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</si>
  <si>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</si>
  <si>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</si>
  <si>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</si>
  <si>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</si>
  <si>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</si>
  <si>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</si>
  <si>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</si>
  <si>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</si>
  <si>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</si>
  <si>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</si>
  <si>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</si>
  <si>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</si>
  <si>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</si>
  <si>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</si>
  <si>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</si>
  <si>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</si>
  <si>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</si>
  <si>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</si>
  <si>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</si>
  <si>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</si>
  <si>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</si>
  <si>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</si>
  <si>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</si>
  <si>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</si>
  <si>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</si>
  <si>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</si>
  <si>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</si>
  <si>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</si>
  <si>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</si>
  <si>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</si>
  <si>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</si>
  <si>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</si>
  <si>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</si>
  <si>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</si>
  <si>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</si>
  <si>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</si>
  <si>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</si>
  <si>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</si>
  <si>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</si>
  <si>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</si>
  <si>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</si>
  <si>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</si>
  <si>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</si>
  <si>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</si>
  <si>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</si>
  <si>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</si>
  <si>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</si>
  <si>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</si>
  <si>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</si>
  <si>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</si>
  <si>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</si>
  <si>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</si>
  <si>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</si>
  <si>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</si>
  <si>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</si>
  <si>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</si>
  <si>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</si>
  <si>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</si>
  <si>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</si>
  <si>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</si>
  <si>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</si>
  <si>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</si>
  <si>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</si>
  <si>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</si>
  <si>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</si>
  <si>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</si>
  <si>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</si>
  <si>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</si>
  <si>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</si>
  <si>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</si>
  <si>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</si>
  <si>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</si>
  <si>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</si>
  <si>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</si>
  <si>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</si>
  <si>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</si>
  <si>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</si>
  <si>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</si>
  <si>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</si>
  <si>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</si>
  <si>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</si>
  <si>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</si>
  <si>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</si>
  <si>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</si>
  <si>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</si>
  <si>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</si>
  <si>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</si>
  <si>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</si>
  <si>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</si>
  <si>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</si>
  <si>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</si>
  <si>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</si>
  <si>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</si>
  <si>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</si>
  <si>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</si>
  <si>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</si>
  <si>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</si>
  <si>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</si>
  <si>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</si>
  <si>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</si>
  <si>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</si>
  <si>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</si>
  <si>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</si>
  <si>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</si>
  <si>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</si>
  <si>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</si>
  <si>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</si>
  <si>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</si>
  <si>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</si>
  <si>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</si>
  <si>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</si>
  <si>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</si>
  <si>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</si>
  <si>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</si>
  <si>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</si>
  <si>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</si>
  <si>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</si>
  <si>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</si>
  <si>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</si>
  <si>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</si>
  <si>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</si>
  <si>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</si>
  <si>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</si>
  <si>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</si>
  <si>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</si>
  <si>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</si>
  <si>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</si>
  <si>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</si>
  <si>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</si>
  <si>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</si>
  <si>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</si>
  <si>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</si>
  <si>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</si>
  <si>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</si>
  <si>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</si>
  <si>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</si>
  <si>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</si>
  <si>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</si>
  <si>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</si>
  <si>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</si>
  <si>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</si>
  <si>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</si>
  <si>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</si>
  <si>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</si>
  <si>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</si>
  <si>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</si>
  <si>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</si>
  <si>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</si>
  <si>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</si>
  <si>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</si>
  <si>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</si>
  <si>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</si>
  <si>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</si>
  <si>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</si>
  <si>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</si>
  <si>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</si>
  <si>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</si>
  <si>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</si>
  <si>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</si>
  <si>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</si>
  <si>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</si>
  <si>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</si>
  <si>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</si>
  <si>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</si>
  <si>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</si>
  <si>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</si>
  <si>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</si>
  <si>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</si>
  <si>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</si>
  <si>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</si>
  <si>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</si>
  <si>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</si>
  <si>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</si>
  <si>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</si>
  <si>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</si>
  <si>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</si>
  <si>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</si>
  <si>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</si>
  <si>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</si>
  <si>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</si>
  <si>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</si>
  <si>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</si>
  <si>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</si>
  <si>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</si>
  <si>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</si>
  <si>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</si>
  <si>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</si>
  <si>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</si>
  <si>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</si>
  <si>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</si>
  <si>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</si>
  <si>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</si>
  <si>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</si>
  <si>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</si>
  <si>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</si>
  <si>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</si>
  <si>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</si>
  <si>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</si>
  <si>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</si>
  <si>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</si>
  <si>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</si>
  <si>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</si>
  <si>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</si>
  <si>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</si>
  <si>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</si>
  <si>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</si>
  <si>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</si>
  <si>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</si>
  <si>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</si>
  <si>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</si>
  <si>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</si>
  <si>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</si>
  <si>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</si>
  <si>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</si>
  <si>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</si>
  <si>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</si>
  <si>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</si>
  <si>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</si>
  <si>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</si>
  <si>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</si>
  <si>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</si>
  <si>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</si>
  <si>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</si>
  <si>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</si>
  <si>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</si>
  <si>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</si>
  <si>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</si>
  <si>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</si>
  <si>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</si>
  <si>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</si>
  <si>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</si>
  <si>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</si>
  <si>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</si>
  <si>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</si>
  <si>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</si>
  <si>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</si>
  <si>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</si>
  <si>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</si>
  <si>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</si>
  <si>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</si>
  <si>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</si>
  <si>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</si>
  <si>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</si>
  <si>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</si>
  <si>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</si>
  <si>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</si>
  <si>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</si>
  <si>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</si>
  <si>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</si>
  <si>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</si>
  <si>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</si>
  <si>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</si>
  <si>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</si>
  <si>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</si>
  <si>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</si>
  <si>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</si>
  <si>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</si>
  <si>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</si>
  <si>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</si>
  <si>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</si>
  <si>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</si>
  <si>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</si>
  <si>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</si>
  <si>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</si>
  <si>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</si>
  <si>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</si>
  <si>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</si>
  <si>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</si>
  <si>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</si>
  <si>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</si>
  <si>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</si>
  <si>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</si>
  <si>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</si>
  <si>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</si>
  <si>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</si>
  <si>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</si>
  <si>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</si>
  <si>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</si>
  <si>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</si>
  <si>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</si>
  <si>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</si>
  <si>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</si>
  <si>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</si>
  <si>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</si>
  <si>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</si>
  <si>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</si>
  <si>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</si>
  <si>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</si>
  <si>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</si>
  <si>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</si>
  <si>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</si>
  <si>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</si>
  <si>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</si>
  <si>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</si>
  <si>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</si>
  <si>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</si>
  <si>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</si>
  <si>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</si>
  <si>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</si>
  <si>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</si>
  <si>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</si>
  <si>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</si>
  <si>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</si>
  <si>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</si>
  <si>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</si>
  <si>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</si>
  <si>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</si>
  <si>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</si>
  <si>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</si>
  <si>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</si>
  <si>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</si>
  <si>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</si>
  <si>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</si>
  <si>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</si>
  <si>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</si>
  <si>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</si>
  <si>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</si>
  <si>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</si>
  <si>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</si>
  <si>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</si>
  <si>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</si>
  <si>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</si>
  <si>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</si>
  <si>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</si>
  <si>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</si>
  <si>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</si>
  <si>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</si>
  <si>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</si>
  <si>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</si>
  <si>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</si>
  <si>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</si>
  <si>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</si>
  <si>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</si>
  <si>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</si>
  <si>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</si>
  <si>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</si>
  <si>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</si>
  <si>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</si>
  <si>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</si>
  <si>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</si>
  <si>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</si>
  <si>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</si>
  <si>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</si>
  <si>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</si>
  <si>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</si>
  <si>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</si>
  <si>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</si>
  <si>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</si>
  <si>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</si>
  <si>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</si>
  <si>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</si>
  <si>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</si>
  <si>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</si>
  <si>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</si>
  <si>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</si>
  <si>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</si>
  <si>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</si>
  <si>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</si>
  <si>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</si>
  <si>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</si>
  <si>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</si>
  <si>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</si>
  <si>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</si>
  <si>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</si>
  <si>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</si>
  <si>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</si>
  <si>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</si>
  <si>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</si>
  <si>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</si>
  <si>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</si>
  <si>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</si>
  <si>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</si>
  <si>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</si>
  <si>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</si>
  <si>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</si>
  <si>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</si>
  <si>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</si>
  <si>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</si>
  <si>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</si>
  <si>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</si>
  <si>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</si>
  <si>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</si>
  <si>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</si>
  <si>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</si>
  <si>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</si>
  <si>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</si>
  <si>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</si>
  <si>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</si>
  <si>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</si>
  <si>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</si>
  <si>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</si>
  <si>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</si>
  <si>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</si>
  <si>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</si>
  <si>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</si>
  <si>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</si>
  <si>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</si>
  <si>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</si>
  <si>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</si>
  <si>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</si>
  <si>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</si>
  <si>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</si>
  <si>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</si>
  <si>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</si>
  <si>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</si>
  <si>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</si>
  <si>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</si>
  <si>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</si>
  <si>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</si>
  <si>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</si>
  <si>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</si>
  <si>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</si>
  <si>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</si>
  <si>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</si>
  <si>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</si>
  <si>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</si>
  <si>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</si>
  <si>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</si>
  <si>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</si>
  <si>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</si>
  <si>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</si>
  <si>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</si>
  <si>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</si>
  <si>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</si>
  <si>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</si>
  <si>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</si>
  <si>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</si>
  <si>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</si>
  <si>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</si>
  <si>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</si>
  <si>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</si>
  <si>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</si>
  <si>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</si>
  <si>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</si>
  <si>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</si>
  <si>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</si>
  <si>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</si>
  <si>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</si>
  <si>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</si>
  <si>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</si>
  <si>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</si>
  <si>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</si>
  <si>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</si>
  <si>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</si>
  <si>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</si>
  <si>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</si>
  <si>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</si>
  <si>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</si>
  <si>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</si>
  <si>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</si>
  <si>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</si>
  <si>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</si>
  <si>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</si>
  <si>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</si>
  <si>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</si>
  <si>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</si>
  <si>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</si>
  <si>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</si>
  <si>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</si>
  <si>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</si>
  <si>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</si>
  <si>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</si>
  <si>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</si>
  <si>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</si>
  <si>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</si>
  <si>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</si>
  <si>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</si>
  <si>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</si>
  <si>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</si>
  <si>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</si>
  <si>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</si>
  <si>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</si>
  <si>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</si>
  <si>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</si>
  <si>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</si>
  <si>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</si>
  <si>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</si>
  <si>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</si>
  <si>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</si>
  <si>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</si>
  <si>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</si>
  <si>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</si>
  <si>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</si>
  <si>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</si>
  <si>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</si>
  <si>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</si>
  <si>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</si>
  <si>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</si>
  <si>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</si>
  <si>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</si>
  <si>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</si>
  <si>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</si>
  <si>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</si>
  <si>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</si>
  <si>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</si>
  <si>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</si>
  <si>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</si>
  <si>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</si>
  <si>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</si>
  <si>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</si>
  <si>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</si>
  <si>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</si>
  <si>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</si>
  <si>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</si>
  <si>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</si>
  <si>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</si>
  <si>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</si>
  <si>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</si>
  <si>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</si>
  <si>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</si>
  <si>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</si>
  <si>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</si>
  <si>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</si>
  <si>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</si>
  <si>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</si>
  <si>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</si>
  <si>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</si>
  <si>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</si>
  <si>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</si>
  <si>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</si>
  <si>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</si>
  <si>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</si>
  <si>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</si>
  <si>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</si>
  <si>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</si>
  <si>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</si>
  <si>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</si>
  <si>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</si>
  <si>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</si>
  <si>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</si>
  <si>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</si>
  <si>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</si>
  <si>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</si>
  <si>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</si>
  <si>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</si>
  <si>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</si>
  <si>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</si>
  <si>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</si>
  <si>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</si>
  <si>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</si>
  <si>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</si>
  <si>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</si>
  <si>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</si>
  <si>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</si>
  <si>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</si>
  <si>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</si>
  <si>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</si>
  <si>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</si>
  <si>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</si>
  <si>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</si>
  <si>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</si>
  <si>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</si>
  <si>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</si>
  <si>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</si>
  <si>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</si>
  <si>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</si>
  <si>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</si>
  <si>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</si>
  <si>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</si>
  <si>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</si>
  <si>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</si>
  <si>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</si>
  <si>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</si>
  <si>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</si>
  <si>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</si>
  <si>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</si>
  <si>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</si>
  <si>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</si>
  <si>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</si>
  <si>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</si>
  <si>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</si>
  <si>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</si>
  <si>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</si>
  <si>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</si>
  <si>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</si>
  <si>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</si>
  <si>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</si>
  <si>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</si>
  <si>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</si>
  <si>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</si>
  <si>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</si>
  <si>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</si>
  <si>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</si>
  <si>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</si>
  <si>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</si>
  <si>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</si>
  <si>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</si>
  <si>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</si>
  <si>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</si>
  <si>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</si>
  <si>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</si>
  <si>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</si>
  <si>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</si>
  <si>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</si>
  <si>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</si>
  <si>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</si>
  <si>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</si>
  <si>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</si>
  <si>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</si>
  <si>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</si>
  <si>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</si>
  <si>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</si>
  <si>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</si>
  <si>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</si>
  <si>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</si>
  <si>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</si>
  <si>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</si>
  <si>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</si>
  <si>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</si>
  <si>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</si>
  <si>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</si>
  <si>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</si>
  <si>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</si>
  <si>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</si>
  <si>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</si>
  <si>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</si>
  <si>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</si>
  <si>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</si>
  <si>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</si>
  <si>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</si>
  <si>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</si>
  <si>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</si>
  <si>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</si>
  <si>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</si>
  <si>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</si>
  <si>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</si>
  <si>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</si>
  <si>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</si>
  <si>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</si>
  <si>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</si>
  <si>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</si>
  <si>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</si>
  <si>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</si>
  <si>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</si>
  <si>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</si>
  <si>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</si>
  <si>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</si>
  <si>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</si>
  <si>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</si>
  <si>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</si>
  <si>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</si>
  <si>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</si>
  <si>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</si>
  <si>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</si>
  <si>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</si>
  <si>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</si>
  <si>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</si>
  <si>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</si>
  <si>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</si>
  <si>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</si>
  <si>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</si>
  <si>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</si>
  <si>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</si>
  <si>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</si>
  <si>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</si>
  <si>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</si>
  <si>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</si>
  <si>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</si>
  <si>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</si>
  <si>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</si>
  <si>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</si>
  <si>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</si>
  <si>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</si>
  <si>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</si>
  <si>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</si>
  <si>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</si>
  <si>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</si>
  <si>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</si>
  <si>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</si>
  <si>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</si>
  <si>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</si>
  <si>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</si>
  <si>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</si>
  <si>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</si>
  <si>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</si>
  <si>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</si>
  <si>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</si>
  <si>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</si>
  <si>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</si>
  <si>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</si>
  <si>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</si>
  <si>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</si>
  <si>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</si>
  <si>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</si>
  <si>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</si>
  <si>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</si>
  <si>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</si>
  <si>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</si>
  <si>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</si>
  <si>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</si>
  <si>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</si>
  <si>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</si>
  <si>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</si>
  <si>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</si>
  <si>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</si>
  <si>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</si>
  <si>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</si>
  <si>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</si>
  <si>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</si>
  <si>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</si>
  <si>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</si>
  <si>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</si>
  <si>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</si>
  <si>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</si>
  <si>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</si>
  <si>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</si>
  <si>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</si>
  <si>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</si>
  <si>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</si>
  <si>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</si>
  <si>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</si>
  <si>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</si>
  <si>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</si>
  <si>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</si>
  <si>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</si>
  <si>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</si>
  <si>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</si>
  <si>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</si>
  <si>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</si>
  <si>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</si>
  <si>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</si>
  <si>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</si>
  <si>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</si>
  <si>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</si>
  <si>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</si>
  <si>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</si>
  <si>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</si>
  <si>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</si>
  <si>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</si>
  <si>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</si>
  <si>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</si>
  <si>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</si>
  <si>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</si>
  <si>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</si>
  <si>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</si>
  <si>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</si>
  <si>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</si>
  <si>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</si>
  <si>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</si>
  <si>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</si>
  <si>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</si>
  <si>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</si>
  <si>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</si>
  <si>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</si>
  <si>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</si>
  <si>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</si>
  <si>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</si>
  <si>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</si>
  <si>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</si>
  <si>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</si>
  <si>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</si>
  <si>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</si>
  <si>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</si>
  <si>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</si>
  <si>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</si>
  <si>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</si>
  <si>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</si>
  <si>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</si>
  <si>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</si>
  <si>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</si>
  <si>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</si>
  <si>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</si>
  <si>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</si>
  <si>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</si>
  <si>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</si>
  <si>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</si>
  <si>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</si>
  <si>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</si>
  <si>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</si>
  <si>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</si>
  <si>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</si>
  <si>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</si>
  <si>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</si>
  <si>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</si>
  <si>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</si>
  <si>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</si>
  <si>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</si>
  <si>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</si>
  <si>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</si>
  <si>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</si>
  <si>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</si>
  <si>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</si>
  <si>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</si>
  <si>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</si>
  <si>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</si>
  <si>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</si>
  <si>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</si>
  <si>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</si>
  <si>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</si>
  <si>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</si>
  <si>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</si>
  <si>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</si>
  <si>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</si>
  <si>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</si>
  <si>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</si>
  <si>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</si>
  <si>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</si>
  <si>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</si>
  <si>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</si>
  <si>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</si>
  <si>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</si>
  <si>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</si>
  <si>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</si>
  <si>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</si>
  <si>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</si>
  <si>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</si>
  <si>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</si>
  <si>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</si>
  <si>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</si>
  <si>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</si>
  <si>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</si>
  <si>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</si>
  <si>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</si>
  <si>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</si>
  <si>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</si>
  <si>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</si>
  <si>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</si>
  <si>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</si>
  <si>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</si>
  <si>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</si>
  <si>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</si>
  <si>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</si>
  <si>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</si>
  <si>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</si>
  <si>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</si>
  <si>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</si>
  <si>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</si>
  <si>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</si>
  <si>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</si>
  <si>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</si>
  <si>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</si>
  <si>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</si>
  <si>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</si>
  <si>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</si>
  <si>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</si>
  <si>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</si>
  <si>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</si>
  <si>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</si>
  <si>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</si>
  <si>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</si>
  <si>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</si>
  <si>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</si>
  <si>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</si>
  <si>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</si>
  <si>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</si>
  <si>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</si>
  <si>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</si>
  <si>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</si>
  <si>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</si>
  <si>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</si>
  <si>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</si>
  <si>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</si>
  <si>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</si>
  <si>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</si>
  <si>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</si>
  <si>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</si>
  <si>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</si>
  <si>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</si>
  <si>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</si>
  <si>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</si>
  <si>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</si>
  <si>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</si>
  <si>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</si>
  <si>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</si>
  <si>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</si>
  <si>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</si>
  <si>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</si>
  <si>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</si>
  <si>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</si>
  <si>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</si>
  <si>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</si>
  <si>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</si>
  <si>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</si>
  <si>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</si>
  <si>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</si>
  <si>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</si>
  <si>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</si>
  <si>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</si>
  <si>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</si>
  <si>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</si>
  <si>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</si>
  <si>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</si>
  <si>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</si>
  <si>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</si>
  <si>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</si>
  <si>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</si>
  <si>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</si>
  <si>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</si>
  <si>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</si>
  <si>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</si>
  <si>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</si>
  <si>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</si>
  <si>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</si>
  <si>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</si>
  <si>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</si>
  <si>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</si>
  <si>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</si>
  <si>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</si>
  <si>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</si>
  <si>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</si>
  <si>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</si>
  <si>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</si>
  <si>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</si>
  <si>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</si>
  <si>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</si>
  <si>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</si>
  <si>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</si>
  <si>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</si>
  <si>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</si>
  <si>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</si>
  <si>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</si>
  <si>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</si>
  <si>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</si>
  <si>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</si>
  <si>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</si>
  <si>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</si>
  <si>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</si>
  <si>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</si>
  <si>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</si>
  <si>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</si>
  <si>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</si>
  <si>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</si>
  <si>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</si>
  <si>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</si>
  <si>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</si>
  <si>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</si>
  <si>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</si>
  <si>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</si>
  <si>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</si>
  <si>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</si>
  <si>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</si>
  <si>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</si>
  <si>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</si>
  <si>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</si>
  <si>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</si>
  <si>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</si>
  <si>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</si>
  <si>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</si>
  <si>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</si>
  <si>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</si>
  <si>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</si>
  <si>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</si>
  <si>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</si>
  <si>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</si>
  <si>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</si>
  <si>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</si>
  <si>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</si>
  <si>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</si>
  <si>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</si>
  <si>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</si>
  <si>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</si>
  <si>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</si>
  <si>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</si>
  <si>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</si>
  <si>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</si>
  <si>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</si>
  <si>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</si>
  <si>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</si>
  <si>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</si>
  <si>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</si>
  <si>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</si>
  <si>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</si>
  <si>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</si>
  <si>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</si>
  <si>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</si>
  <si>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</si>
  <si>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</si>
  <si>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</si>
  <si>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</si>
  <si>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</si>
  <si>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</si>
  <si>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</si>
  <si>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</si>
  <si>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</si>
  <si>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</si>
  <si>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</si>
  <si>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</si>
  <si>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</si>
  <si>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</si>
  <si>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</si>
  <si>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</si>
  <si>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</si>
  <si>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</si>
  <si>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</si>
  <si>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</si>
  <si>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</si>
  <si>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</si>
  <si>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</si>
  <si>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</si>
  <si>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</si>
  <si>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</si>
  <si>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</si>
  <si>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</si>
  <si>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</si>
  <si>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</si>
  <si>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</si>
  <si>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</si>
  <si>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</si>
  <si>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</si>
  <si>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</si>
  <si>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</si>
  <si>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</si>
  <si>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</si>
  <si>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</si>
  <si>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</si>
  <si>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</si>
  <si>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</si>
  <si>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</si>
  <si>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</si>
  <si>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</si>
  <si>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</si>
  <si>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</si>
  <si>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</si>
  <si>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</si>
  <si>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</si>
  <si>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</si>
  <si>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</si>
  <si>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</si>
  <si>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</si>
  <si>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</si>
  <si>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</si>
  <si>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</si>
  <si>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</si>
  <si>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</si>
  <si>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</si>
  <si>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</si>
  <si>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</si>
  <si>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</si>
  <si>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</si>
  <si>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</si>
  <si>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</si>
  <si>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</si>
  <si>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</si>
  <si>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</si>
  <si>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</si>
  <si>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</si>
  <si>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</si>
  <si>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</si>
  <si>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</si>
  <si>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</si>
  <si>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</si>
  <si>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</si>
  <si>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</si>
  <si>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</si>
  <si>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</si>
  <si>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</si>
  <si>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</si>
  <si>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</si>
  <si>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</si>
  <si>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</si>
  <si>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</si>
  <si>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</si>
  <si>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</si>
  <si>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</si>
  <si>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</si>
  <si>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</si>
  <si>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</si>
  <si>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</si>
  <si>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</si>
  <si>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</si>
  <si>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</si>
  <si>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</si>
  <si>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</si>
  <si>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</si>
  <si>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</si>
  <si>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</si>
  <si>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</si>
  <si>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</si>
  <si>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</si>
  <si>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</si>
  <si>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</si>
  <si>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</si>
  <si>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</si>
  <si>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</si>
  <si>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</si>
  <si>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</si>
  <si>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</si>
  <si>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</si>
  <si>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</si>
  <si>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</si>
  <si>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Taormina Family Apartments CIC, LP</t>
  </si>
  <si>
    <t>Taormina</t>
  </si>
  <si>
    <t>San Diego Housing Commission</t>
  </si>
  <si>
    <t>Colin Miller</t>
  </si>
  <si>
    <t>1122 Broadway, Suite 300</t>
  </si>
  <si>
    <t>619-578-7569</t>
  </si>
  <si>
    <t>619-578-7356</t>
  </si>
  <si>
    <t>colinm@sdhc.org</t>
  </si>
  <si>
    <t>5255 Mt. Etna Drive</t>
  </si>
  <si>
    <t>Portion of 361-661-12-00</t>
  </si>
  <si>
    <t>$500M</t>
  </si>
  <si>
    <t>6339 Paseo Del Lago</t>
  </si>
  <si>
    <t>Carlsbad</t>
  </si>
  <si>
    <t>CA</t>
  </si>
  <si>
    <t>Heidi W. Mather</t>
  </si>
  <si>
    <t>760-456-6000</t>
  </si>
  <si>
    <t>760-456-6001</t>
  </si>
  <si>
    <t>hmather@chelseainvestco.com</t>
  </si>
  <si>
    <t>Chelsea Investment Corporation</t>
  </si>
  <si>
    <t>CIC Taormina Family Apartments, LLC</t>
  </si>
  <si>
    <t>Administrative GP</t>
  </si>
  <si>
    <t>Southern California Housing Collaborative</t>
  </si>
  <si>
    <t>Managing GP</t>
  </si>
  <si>
    <t>2400 Fenton Street, Suite 206</t>
  </si>
  <si>
    <t>Chula Vista</t>
  </si>
  <si>
    <t>Nathan Schmid</t>
  </si>
  <si>
    <t>619-271-3535</t>
  </si>
  <si>
    <t>nathan@socalhc.org</t>
  </si>
  <si>
    <t>619-246-5336</t>
  </si>
  <si>
    <t>Developer General Partner</t>
  </si>
  <si>
    <t>Carlsbad, CA 92011</t>
  </si>
  <si>
    <t>Heidi Mather</t>
  </si>
  <si>
    <t>The McKinley Associates, Inc.</t>
  </si>
  <si>
    <t>1818 First Avenue, Suite 200</t>
  </si>
  <si>
    <t>San Diego, CA 92101</t>
  </si>
  <si>
    <t>Mark Longstaff</t>
  </si>
  <si>
    <t>619-238-1134</t>
  </si>
  <si>
    <t>619-238-6038</t>
  </si>
  <si>
    <t>mlongstaff@themckinleyassociates.com</t>
  </si>
  <si>
    <t>Odu &amp; Associates</t>
  </si>
  <si>
    <t>31805 Temecula Parkway #720</t>
  </si>
  <si>
    <t>Temecula, CA 92592</t>
  </si>
  <si>
    <t>Nkechi Odu</t>
  </si>
  <si>
    <t>951-251-6212</t>
  </si>
  <si>
    <t>nkechi@odulaw.com</t>
  </si>
  <si>
    <t>Emmerson Construction, Inc.</t>
  </si>
  <si>
    <t>Robert Campbell</t>
  </si>
  <si>
    <t>rcampbell@emmersonconstruction.com</t>
  </si>
  <si>
    <t>Cox Castle &amp; Nicholson LLP</t>
  </si>
  <si>
    <t>50 California Street, Suite 3200</t>
  </si>
  <si>
    <t>San Francisco, CA 94111</t>
  </si>
  <si>
    <t>Ofer Elitzur</t>
  </si>
  <si>
    <t>415-262-5165</t>
  </si>
  <si>
    <t>415-262-5199</t>
  </si>
  <si>
    <t>oelitzur@coxcastle.com</t>
  </si>
  <si>
    <t>Partner Energy</t>
  </si>
  <si>
    <t xml:space="preserve">680 Knox St., Suite 150 </t>
  </si>
  <si>
    <t>Los Angeles, CA 90502</t>
  </si>
  <si>
    <t>Diana Chen</t>
  </si>
  <si>
    <t>310-220-6166</t>
  </si>
  <si>
    <t>210-862-2399</t>
  </si>
  <si>
    <t>dchen@ptrenergy.com</t>
  </si>
  <si>
    <t>Novogradac</t>
  </si>
  <si>
    <t>211 East Ocean Blvd, Suite 600</t>
  </si>
  <si>
    <t>Long Beach, CA 90802</t>
  </si>
  <si>
    <t>Justin Chubb Lurya</t>
  </si>
  <si>
    <t>562-256-2377</t>
  </si>
  <si>
    <t>562-432-9483</t>
  </si>
  <si>
    <t>justin.chubblurya@novoco.com</t>
  </si>
  <si>
    <t>The Richman Group</t>
  </si>
  <si>
    <t>707 SW Washington Street, Suite 1510</t>
  </si>
  <si>
    <t>Portland, Oregon 97205</t>
  </si>
  <si>
    <t xml:space="preserve">Terry Gentry </t>
  </si>
  <si>
    <t>503-459-6741</t>
  </si>
  <si>
    <t>gentryt@richmancapital.com</t>
  </si>
  <si>
    <t>Kinetic Valuation Group, Inc.</t>
  </si>
  <si>
    <t>PO Box 68</t>
  </si>
  <si>
    <t>Corona Del Mar, CA 92625</t>
  </si>
  <si>
    <t>Amanda Baker</t>
  </si>
  <si>
    <t>402-305-1693</t>
  </si>
  <si>
    <t>amanda@kvgteam.com</t>
  </si>
  <si>
    <t>500 Capitol Mall, Ste. 1400</t>
  </si>
  <si>
    <t>Sacramento, CA 95814</t>
  </si>
  <si>
    <t>Kevin Brown</t>
  </si>
  <si>
    <t>916-326-8000</t>
  </si>
  <si>
    <t>916-322-1464</t>
  </si>
  <si>
    <t>kbrown@calhfa.ca.gov</t>
  </si>
  <si>
    <t>Hyder &amp; Co.</t>
  </si>
  <si>
    <t>1649 Capalina Road Suite 500</t>
  </si>
  <si>
    <t>San Marcos, CA 92069</t>
  </si>
  <si>
    <t>760-591-9737</t>
  </si>
  <si>
    <t>760-591-9784</t>
  </si>
  <si>
    <t xml:space="preserve">County of San Diego </t>
  </si>
  <si>
    <t>Marko Medved</t>
  </si>
  <si>
    <t>Director, Department of General Services</t>
  </si>
  <si>
    <t xml:space="preserve">5560 Overland Avenue, Suite 410 </t>
  </si>
  <si>
    <t>San Diego, CA 92123</t>
  </si>
  <si>
    <t>858-694-2338</t>
  </si>
  <si>
    <t>County of San Diego</t>
  </si>
  <si>
    <t>Secured by Leasehold Interest</t>
  </si>
  <si>
    <t>Inner City Infill Site</t>
  </si>
  <si>
    <t>40%/60% Average Income</t>
  </si>
  <si>
    <t>TBD</t>
  </si>
  <si>
    <t>RM 3-9</t>
  </si>
  <si>
    <t>RM 3-9 + a 50% Density Bonus</t>
  </si>
  <si>
    <t>70' max</t>
  </si>
  <si>
    <t xml:space="preserve">Hyder &amp; Co. </t>
  </si>
  <si>
    <t>California Housing Finance Agency</t>
  </si>
  <si>
    <t>Citi/Construction Loan TE Bonds</t>
  </si>
  <si>
    <t>Citi/Construction Loan recycled bonds</t>
  </si>
  <si>
    <t>IHTF County of San Diego/sub loan</t>
  </si>
  <si>
    <t>County of San Diego/Land Value note</t>
  </si>
  <si>
    <t>Subordinate Developer fee</t>
  </si>
  <si>
    <t>Federal LIHTC equity/Richman</t>
  </si>
  <si>
    <t>Deferred Costs during construction</t>
  </si>
  <si>
    <t>interest only</t>
  </si>
  <si>
    <t>Fixed</t>
  </si>
  <si>
    <t>deferred</t>
  </si>
  <si>
    <t>Citi/Permanent Loan</t>
  </si>
  <si>
    <t>CIC Opportunties Fund/Jr Bond</t>
  </si>
  <si>
    <t>County of San Diego/land value note</t>
  </si>
  <si>
    <t>Deferred Developer fee</t>
  </si>
  <si>
    <t>Office supplies, internet, telephone</t>
  </si>
  <si>
    <t>taxes/benefits</t>
  </si>
  <si>
    <t>app fees, late fees, etc</t>
  </si>
  <si>
    <t>IHTF</t>
  </si>
  <si>
    <t>Other: Lender inspections/reports</t>
  </si>
  <si>
    <t>Other: Applicant legal</t>
  </si>
  <si>
    <t>Other: MGP Services fee</t>
  </si>
  <si>
    <t>Serving Seniors</t>
  </si>
  <si>
    <t>San Diego Regional Center</t>
  </si>
  <si>
    <t>4th</t>
  </si>
  <si>
    <t>5th</t>
  </si>
  <si>
    <t>County land note</t>
  </si>
  <si>
    <t>County IHTF loan</t>
  </si>
  <si>
    <t>Kyle Beach</t>
  </si>
  <si>
    <t>kbeach@hyderco.com</t>
  </si>
  <si>
    <t>300 South Grand Ave Suite 3110</t>
  </si>
  <si>
    <t>Construction Loan</t>
  </si>
  <si>
    <t>SOFR</t>
  </si>
  <si>
    <t>5560 Overland Avenue</t>
  </si>
  <si>
    <t>Angela Jackson-Llamas</t>
  </si>
  <si>
    <t>619-214-1378</t>
  </si>
  <si>
    <t>Subordinate Loan</t>
  </si>
  <si>
    <t>Cheri Hoffman</t>
  </si>
  <si>
    <t>707 SW Washington St Suite 1510</t>
  </si>
  <si>
    <t>Portland</t>
  </si>
  <si>
    <t>Terry Gentry</t>
  </si>
  <si>
    <t>503-459-8741</t>
  </si>
  <si>
    <t>Equity</t>
  </si>
  <si>
    <t>Permanent loan</t>
  </si>
  <si>
    <t>0 spaces per unit- project is within a TPA zone</t>
  </si>
  <si>
    <t>AFR</t>
  </si>
  <si>
    <t>Provided</t>
  </si>
  <si>
    <t>Not Applicable</t>
  </si>
  <si>
    <t>Innovative Housing Trust Funds</t>
  </si>
  <si>
    <t>County of San Diego Acquisition Loan</t>
  </si>
  <si>
    <t>Li Hao</t>
  </si>
  <si>
    <t>213-239-1914</t>
  </si>
  <si>
    <t>Sr. Vice President, Housing Finance and Property Management</t>
  </si>
  <si>
    <t>1 level of subterranean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</si>
</sst>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58">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4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49" fillId="5" borderId="11" xfId="0" applyFont="1" applyFill="1" applyBorder="1" applyAlignment="1" applyProtection="1">
      <alignment horizontal="right" vertical="top" wrapText="1"/>
      <protection locked="0"/>
    </xf>
    <xf numFmtId="6" fontId="49" fillId="5" borderId="11" xfId="569" applyNumberFormat="1" applyFont="1" applyFill="1" applyBorder="1" applyAlignment="1" applyProtection="1">
      <alignmen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0" fillId="5" borderId="4" xfId="0" applyFill="1" applyBorder="1" applyAlignment="1" applyProtection="1">
      <alignment horizontal="left"/>
      <protection locked="0"/>
    </xf>
    <xf numFmtId="0" fontId="0" fillId="0" borderId="6" xfId="0" applyFill="1" applyBorder="1" applyAlignment="1" applyProtection="1">
      <alignment horizontal="left"/>
    </xf>
    <xf numFmtId="0" fontId="12"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11" xfId="0" applyBorder="1" applyAlignment="1" applyProtection="1">
      <alignment horizontal="center"/>
    </xf>
    <xf numFmtId="0" fontId="21" fillId="0" borderId="11"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168"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11" xfId="0" applyFont="1" applyFill="1" applyBorder="1" applyAlignment="1" applyProtection="1">
      <alignment horizontal="center"/>
    </xf>
    <xf numFmtId="1" fontId="12" fillId="43" borderId="11" xfId="0" applyNumberFormat="1" applyFon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1" fillId="0" borderId="3" xfId="0" applyFont="1" applyBorder="1" applyAlignment="1" applyProtection="1">
      <alignment horizontal="left"/>
    </xf>
    <xf numFmtId="168" fontId="0" fillId="0" borderId="11" xfId="0" applyNumberFormat="1" applyFill="1" applyBorder="1" applyAlignment="1" applyProtection="1"/>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171" fontId="12" fillId="0" borderId="0" xfId="543" applyNumberFormat="1" applyFont="1" applyAlignment="1" applyProtection="1">
      <alignment horizontal="center"/>
    </xf>
    <xf numFmtId="164" fontId="31" fillId="5" borderId="3"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9" fontId="12" fillId="5" borderId="3"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14" fontId="0" fillId="5" borderId="3" xfId="0" quotePrefix="1"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3" fontId="21" fillId="5" borderId="11"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2" fillId="0" borderId="0" xfId="0" applyFont="1" applyAlignment="1" applyProtection="1">
      <alignment horizontal="left" wrapText="1"/>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43" borderId="4" xfId="0" applyFont="1" applyFill="1" applyBorder="1" applyAlignment="1" applyProtection="1">
      <alignment horizontal="left"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0" borderId="6" xfId="0" applyFont="1" applyBorder="1" applyAlignment="1" applyProtection="1">
      <alignment horizontal="left"/>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right"/>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0" fontId="12" fillId="5" borderId="4" xfId="0" applyNumberFormat="1" applyFont="1" applyFill="1" applyBorder="1" applyAlignment="1" applyProtection="1">
      <alignment horizontal="right"/>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14" fontId="1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0" borderId="5" xfId="0" applyFont="1" applyFill="1" applyBorder="1" applyAlignment="1" applyProtection="1">
      <alignment horizontal="center"/>
    </xf>
    <xf numFmtId="3" fontId="0" fillId="0" borderId="6" xfId="0" applyNumberFormat="1" applyFill="1" applyBorder="1" applyAlignment="1" applyProtection="1">
      <alignment horizontal="right"/>
    </xf>
    <xf numFmtId="0" fontId="0" fillId="0" borderId="5" xfId="0" applyBorder="1" applyAlignment="1" applyProtection="1">
      <alignment horizontal="left"/>
    </xf>
    <xf numFmtId="175" fontId="0" fillId="5" borderId="4" xfId="0" applyNumberFormat="1" applyFill="1" applyBorder="1" applyAlignment="1" applyProtection="1">
      <alignment horizontal="center"/>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9" fillId="0" borderId="9"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53" fillId="43" borderId="82" xfId="17155" applyFont="1" applyFill="1" applyBorder="1" applyAlignment="1" applyProtection="1">
      <alignment horizontal="center"/>
      <protection locked="0"/>
    </xf>
    <xf numFmtId="0" fontId="153" fillId="43" borderId="11" xfId="17155" applyFont="1" applyFill="1" applyBorder="1" applyAlignment="1" applyProtection="1">
      <alignment horizontal="center"/>
      <protection locked="0"/>
    </xf>
    <xf numFmtId="182" fontId="153" fillId="43" borderId="11" xfId="17156" applyNumberFormat="1" applyFont="1" applyFill="1" applyBorder="1" applyAlignment="1" applyProtection="1">
      <alignment horizontal="center"/>
      <protection locked="0"/>
    </xf>
    <xf numFmtId="180" fontId="153" fillId="43" borderId="11" xfId="17155"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1" fillId="43" borderId="5" xfId="8719" applyFont="1"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5" xfId="8719"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11" xfId="4496" applyFont="1" applyBorder="1" applyProtection="1"/>
    <xf numFmtId="0" fontId="94" fillId="0" borderId="93" xfId="4496" applyFont="1" applyBorder="1" applyProtection="1"/>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xf numFmtId="0" fontId="12" fillId="0" borderId="4" xfId="0" applyFont="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cellXfs>
  <cellStyles count="17158">
    <cellStyle name="20% - Accent1" xfId="1" builtinId="30" customBuiltin="1"/>
    <cellStyle name="20% - Accent1 10" xfId="4505" xr:uid="{00000000-0005-0000-0000-000001000000}"/>
    <cellStyle name="20% - Accent1 10 2" xfId="12941" xr:uid="{00000000-0005-0000-0000-000002000000}"/>
    <cellStyle name="20% - Accent1 11" xfId="8723" xr:uid="{00000000-0005-0000-0000-000003000000}"/>
    <cellStyle name="20% - Accent1 2" xfId="2" xr:uid="{00000000-0005-0000-0000-000004000000}"/>
    <cellStyle name="20% - Accent1 2 10" xfId="8724" xr:uid="{00000000-0005-0000-0000-000005000000}"/>
    <cellStyle name="20% - Accent1 2 2" xfId="3" xr:uid="{00000000-0005-0000-0000-000006000000}"/>
    <cellStyle name="20% - Accent1 2 2 2" xfId="4" xr:uid="{00000000-0005-0000-0000-000007000000}"/>
    <cellStyle name="20% - Accent1 2 2 2 2" xfId="573" xr:uid="{00000000-0005-0000-0000-000008000000}"/>
    <cellStyle name="20% - Accent1 2 2 2 2 2" xfId="2844" xr:uid="{00000000-0005-0000-0000-000009000000}"/>
    <cellStyle name="20% - Accent1 2 2 2 2 2 2" xfId="7067" xr:uid="{00000000-0005-0000-0000-00000A000000}"/>
    <cellStyle name="20% - Accent1 2 2 2 2 2 2 2" xfId="15503" xr:uid="{00000000-0005-0000-0000-00000B000000}"/>
    <cellStyle name="20% - Accent1 2 2 2 2 2 3" xfId="11285" xr:uid="{00000000-0005-0000-0000-00000C000000}"/>
    <cellStyle name="20% - Accent1 2 2 2 2 3" xfId="4922" xr:uid="{00000000-0005-0000-0000-00000D000000}"/>
    <cellStyle name="20% - Accent1 2 2 2 2 3 2" xfId="13358" xr:uid="{00000000-0005-0000-0000-00000E000000}"/>
    <cellStyle name="20% - Accent1 2 2 2 2 4" xfId="9140" xr:uid="{00000000-0005-0000-0000-00000F000000}"/>
    <cellStyle name="20% - Accent1 2 2 2 3" xfId="1026" xr:uid="{00000000-0005-0000-0000-000010000000}"/>
    <cellStyle name="20% - Accent1 2 2 2 3 2" xfId="3257" xr:uid="{00000000-0005-0000-0000-000011000000}"/>
    <cellStyle name="20% - Accent1 2 2 2 3 2 2" xfId="7480" xr:uid="{00000000-0005-0000-0000-000012000000}"/>
    <cellStyle name="20% - Accent1 2 2 2 3 2 2 2" xfId="15916" xr:uid="{00000000-0005-0000-0000-000013000000}"/>
    <cellStyle name="20% - Accent1 2 2 2 3 2 3" xfId="11698" xr:uid="{00000000-0005-0000-0000-000014000000}"/>
    <cellStyle name="20% - Accent1 2 2 2 3 3" xfId="5335" xr:uid="{00000000-0005-0000-0000-000015000000}"/>
    <cellStyle name="20% - Accent1 2 2 2 3 3 2" xfId="13771" xr:uid="{00000000-0005-0000-0000-000016000000}"/>
    <cellStyle name="20% - Accent1 2 2 2 3 4" xfId="9553" xr:uid="{00000000-0005-0000-0000-000017000000}"/>
    <cellStyle name="20% - Accent1 2 2 2 4" xfId="1440" xr:uid="{00000000-0005-0000-0000-000018000000}"/>
    <cellStyle name="20% - Accent1 2 2 2 4 2" xfId="3670" xr:uid="{00000000-0005-0000-0000-000019000000}"/>
    <cellStyle name="20% - Accent1 2 2 2 4 2 2" xfId="7893" xr:uid="{00000000-0005-0000-0000-00001A000000}"/>
    <cellStyle name="20% - Accent1 2 2 2 4 2 2 2" xfId="16329" xr:uid="{00000000-0005-0000-0000-00001B000000}"/>
    <cellStyle name="20% - Accent1 2 2 2 4 2 3" xfId="12111" xr:uid="{00000000-0005-0000-0000-00001C000000}"/>
    <cellStyle name="20% - Accent1 2 2 2 4 3" xfId="5748" xr:uid="{00000000-0005-0000-0000-00001D000000}"/>
    <cellStyle name="20% - Accent1 2 2 2 4 3 2" xfId="14184" xr:uid="{00000000-0005-0000-0000-00001E000000}"/>
    <cellStyle name="20% - Accent1 2 2 2 4 4" xfId="9966" xr:uid="{00000000-0005-0000-0000-00001F000000}"/>
    <cellStyle name="20% - Accent1 2 2 2 5" xfId="1854" xr:uid="{00000000-0005-0000-0000-000020000000}"/>
    <cellStyle name="20% - Accent1 2 2 2 5 2" xfId="4083" xr:uid="{00000000-0005-0000-0000-000021000000}"/>
    <cellStyle name="20% - Accent1 2 2 2 5 2 2" xfId="8306" xr:uid="{00000000-0005-0000-0000-000022000000}"/>
    <cellStyle name="20% - Accent1 2 2 2 5 2 2 2" xfId="16742" xr:uid="{00000000-0005-0000-0000-000023000000}"/>
    <cellStyle name="20% - Accent1 2 2 2 5 2 3" xfId="12524" xr:uid="{00000000-0005-0000-0000-000024000000}"/>
    <cellStyle name="20% - Accent1 2 2 2 5 3" xfId="6161" xr:uid="{00000000-0005-0000-0000-000025000000}"/>
    <cellStyle name="20% - Accent1 2 2 2 5 3 2" xfId="14597" xr:uid="{00000000-0005-0000-0000-000026000000}"/>
    <cellStyle name="20% - Accent1 2 2 2 5 4" xfId="10379" xr:uid="{00000000-0005-0000-0000-000027000000}"/>
    <cellStyle name="20% - Accent1 2 2 2 6" xfId="2267" xr:uid="{00000000-0005-0000-0000-000028000000}"/>
    <cellStyle name="20% - Accent1 2 2 2 6 2" xfId="6574" xr:uid="{00000000-0005-0000-0000-000029000000}"/>
    <cellStyle name="20% - Accent1 2 2 2 6 2 2" xfId="15010" xr:uid="{00000000-0005-0000-0000-00002A000000}"/>
    <cellStyle name="20% - Accent1 2 2 2 6 3" xfId="10792" xr:uid="{00000000-0005-0000-0000-00002B000000}"/>
    <cellStyle name="20% - Accent1 2 2 2 7" xfId="4508" xr:uid="{00000000-0005-0000-0000-00002C000000}"/>
    <cellStyle name="20% - Accent1 2 2 2 7 2" xfId="12944" xr:uid="{00000000-0005-0000-0000-00002D000000}"/>
    <cellStyle name="20% - Accent1 2 2 2 8" xfId="8726" xr:uid="{00000000-0005-0000-0000-00002E000000}"/>
    <cellStyle name="20% - Accent1 2 2 3" xfId="572" xr:uid="{00000000-0005-0000-0000-00002F000000}"/>
    <cellStyle name="20% - Accent1 2 2 3 2" xfId="2843" xr:uid="{00000000-0005-0000-0000-000030000000}"/>
    <cellStyle name="20% - Accent1 2 2 3 2 2" xfId="7066" xr:uid="{00000000-0005-0000-0000-000031000000}"/>
    <cellStyle name="20% - Accent1 2 2 3 2 2 2" xfId="15502" xr:uid="{00000000-0005-0000-0000-000032000000}"/>
    <cellStyle name="20% - Accent1 2 2 3 2 3" xfId="11284" xr:uid="{00000000-0005-0000-0000-000033000000}"/>
    <cellStyle name="20% - Accent1 2 2 3 3" xfId="4921" xr:uid="{00000000-0005-0000-0000-000034000000}"/>
    <cellStyle name="20% - Accent1 2 2 3 3 2" xfId="13357" xr:uid="{00000000-0005-0000-0000-000035000000}"/>
    <cellStyle name="20% - Accent1 2 2 3 4" xfId="9139" xr:uid="{00000000-0005-0000-0000-000036000000}"/>
    <cellStyle name="20% - Accent1 2 2 4" xfId="1025" xr:uid="{00000000-0005-0000-0000-000037000000}"/>
    <cellStyle name="20% - Accent1 2 2 4 2" xfId="3256" xr:uid="{00000000-0005-0000-0000-000038000000}"/>
    <cellStyle name="20% - Accent1 2 2 4 2 2" xfId="7479" xr:uid="{00000000-0005-0000-0000-000039000000}"/>
    <cellStyle name="20% - Accent1 2 2 4 2 2 2" xfId="15915" xr:uid="{00000000-0005-0000-0000-00003A000000}"/>
    <cellStyle name="20% - Accent1 2 2 4 2 3" xfId="11697" xr:uid="{00000000-0005-0000-0000-00003B000000}"/>
    <cellStyle name="20% - Accent1 2 2 4 3" xfId="5334" xr:uid="{00000000-0005-0000-0000-00003C000000}"/>
    <cellStyle name="20% - Accent1 2 2 4 3 2" xfId="13770" xr:uid="{00000000-0005-0000-0000-00003D000000}"/>
    <cellStyle name="20% - Accent1 2 2 4 4" xfId="9552" xr:uid="{00000000-0005-0000-0000-00003E000000}"/>
    <cellStyle name="20% - Accent1 2 2 5" xfId="1439" xr:uid="{00000000-0005-0000-0000-00003F000000}"/>
    <cellStyle name="20% - Accent1 2 2 5 2" xfId="3669" xr:uid="{00000000-0005-0000-0000-000040000000}"/>
    <cellStyle name="20% - Accent1 2 2 5 2 2" xfId="7892" xr:uid="{00000000-0005-0000-0000-000041000000}"/>
    <cellStyle name="20% - Accent1 2 2 5 2 2 2" xfId="16328" xr:uid="{00000000-0005-0000-0000-000042000000}"/>
    <cellStyle name="20% - Accent1 2 2 5 2 3" xfId="12110" xr:uid="{00000000-0005-0000-0000-000043000000}"/>
    <cellStyle name="20% - Accent1 2 2 5 3" xfId="5747" xr:uid="{00000000-0005-0000-0000-000044000000}"/>
    <cellStyle name="20% - Accent1 2 2 5 3 2" xfId="14183" xr:uid="{00000000-0005-0000-0000-000045000000}"/>
    <cellStyle name="20% - Accent1 2 2 5 4" xfId="9965" xr:uid="{00000000-0005-0000-0000-000046000000}"/>
    <cellStyle name="20% - Accent1 2 2 6" xfId="1853" xr:uid="{00000000-0005-0000-0000-000047000000}"/>
    <cellStyle name="20% - Accent1 2 2 6 2" xfId="4082" xr:uid="{00000000-0005-0000-0000-000048000000}"/>
    <cellStyle name="20% - Accent1 2 2 6 2 2" xfId="8305" xr:uid="{00000000-0005-0000-0000-000049000000}"/>
    <cellStyle name="20% - Accent1 2 2 6 2 2 2" xfId="16741" xr:uid="{00000000-0005-0000-0000-00004A000000}"/>
    <cellStyle name="20% - Accent1 2 2 6 2 3" xfId="12523" xr:uid="{00000000-0005-0000-0000-00004B000000}"/>
    <cellStyle name="20% - Accent1 2 2 6 3" xfId="6160" xr:uid="{00000000-0005-0000-0000-00004C000000}"/>
    <cellStyle name="20% - Accent1 2 2 6 3 2" xfId="14596" xr:uid="{00000000-0005-0000-0000-00004D000000}"/>
    <cellStyle name="20% - Accent1 2 2 6 4" xfId="10378" xr:uid="{00000000-0005-0000-0000-00004E000000}"/>
    <cellStyle name="20% - Accent1 2 2 7" xfId="2266" xr:uid="{00000000-0005-0000-0000-00004F000000}"/>
    <cellStyle name="20% - Accent1 2 2 7 2" xfId="6573" xr:uid="{00000000-0005-0000-0000-000050000000}"/>
    <cellStyle name="20% - Accent1 2 2 7 2 2" xfId="15009" xr:uid="{00000000-0005-0000-0000-000051000000}"/>
    <cellStyle name="20% - Accent1 2 2 7 3" xfId="10791" xr:uid="{00000000-0005-0000-0000-000052000000}"/>
    <cellStyle name="20% - Accent1 2 2 8" xfId="4507" xr:uid="{00000000-0005-0000-0000-000053000000}"/>
    <cellStyle name="20% - Accent1 2 2 8 2" xfId="12943" xr:uid="{00000000-0005-0000-0000-000054000000}"/>
    <cellStyle name="20% - Accent1 2 2 9" xfId="8725" xr:uid="{00000000-0005-0000-0000-000055000000}"/>
    <cellStyle name="20% - Accent1 2 3" xfId="5" xr:uid="{00000000-0005-0000-0000-000056000000}"/>
    <cellStyle name="20% - Accent1 2 3 2" xfId="574" xr:uid="{00000000-0005-0000-0000-000057000000}"/>
    <cellStyle name="20% - Accent1 2 3 2 2" xfId="2845" xr:uid="{00000000-0005-0000-0000-000058000000}"/>
    <cellStyle name="20% - Accent1 2 3 2 2 2" xfId="7068" xr:uid="{00000000-0005-0000-0000-000059000000}"/>
    <cellStyle name="20% - Accent1 2 3 2 2 2 2" xfId="15504" xr:uid="{00000000-0005-0000-0000-00005A000000}"/>
    <cellStyle name="20% - Accent1 2 3 2 2 3" xfId="11286" xr:uid="{00000000-0005-0000-0000-00005B000000}"/>
    <cellStyle name="20% - Accent1 2 3 2 3" xfId="4923" xr:uid="{00000000-0005-0000-0000-00005C000000}"/>
    <cellStyle name="20% - Accent1 2 3 2 3 2" xfId="13359" xr:uid="{00000000-0005-0000-0000-00005D000000}"/>
    <cellStyle name="20% - Accent1 2 3 2 4" xfId="9141" xr:uid="{00000000-0005-0000-0000-00005E000000}"/>
    <cellStyle name="20% - Accent1 2 3 3" xfId="1027" xr:uid="{00000000-0005-0000-0000-00005F000000}"/>
    <cellStyle name="20% - Accent1 2 3 3 2" xfId="3258" xr:uid="{00000000-0005-0000-0000-000060000000}"/>
    <cellStyle name="20% - Accent1 2 3 3 2 2" xfId="7481" xr:uid="{00000000-0005-0000-0000-000061000000}"/>
    <cellStyle name="20% - Accent1 2 3 3 2 2 2" xfId="15917" xr:uid="{00000000-0005-0000-0000-000062000000}"/>
    <cellStyle name="20% - Accent1 2 3 3 2 3" xfId="11699" xr:uid="{00000000-0005-0000-0000-000063000000}"/>
    <cellStyle name="20% - Accent1 2 3 3 3" xfId="5336" xr:uid="{00000000-0005-0000-0000-000064000000}"/>
    <cellStyle name="20% - Accent1 2 3 3 3 2" xfId="13772" xr:uid="{00000000-0005-0000-0000-000065000000}"/>
    <cellStyle name="20% - Accent1 2 3 3 4" xfId="9554" xr:uid="{00000000-0005-0000-0000-000066000000}"/>
    <cellStyle name="20% - Accent1 2 3 4" xfId="1441" xr:uid="{00000000-0005-0000-0000-000067000000}"/>
    <cellStyle name="20% - Accent1 2 3 4 2" xfId="3671" xr:uid="{00000000-0005-0000-0000-000068000000}"/>
    <cellStyle name="20% - Accent1 2 3 4 2 2" xfId="7894" xr:uid="{00000000-0005-0000-0000-000069000000}"/>
    <cellStyle name="20% - Accent1 2 3 4 2 2 2" xfId="16330" xr:uid="{00000000-0005-0000-0000-00006A000000}"/>
    <cellStyle name="20% - Accent1 2 3 4 2 3" xfId="12112" xr:uid="{00000000-0005-0000-0000-00006B000000}"/>
    <cellStyle name="20% - Accent1 2 3 4 3" xfId="5749" xr:uid="{00000000-0005-0000-0000-00006C000000}"/>
    <cellStyle name="20% - Accent1 2 3 4 3 2" xfId="14185" xr:uid="{00000000-0005-0000-0000-00006D000000}"/>
    <cellStyle name="20% - Accent1 2 3 4 4" xfId="9967" xr:uid="{00000000-0005-0000-0000-00006E000000}"/>
    <cellStyle name="20% - Accent1 2 3 5" xfId="1855" xr:uid="{00000000-0005-0000-0000-00006F000000}"/>
    <cellStyle name="20% - Accent1 2 3 5 2" xfId="4084" xr:uid="{00000000-0005-0000-0000-000070000000}"/>
    <cellStyle name="20% - Accent1 2 3 5 2 2" xfId="8307" xr:uid="{00000000-0005-0000-0000-000071000000}"/>
    <cellStyle name="20% - Accent1 2 3 5 2 2 2" xfId="16743" xr:uid="{00000000-0005-0000-0000-000072000000}"/>
    <cellStyle name="20% - Accent1 2 3 5 2 3" xfId="12525" xr:uid="{00000000-0005-0000-0000-000073000000}"/>
    <cellStyle name="20% - Accent1 2 3 5 3" xfId="6162" xr:uid="{00000000-0005-0000-0000-000074000000}"/>
    <cellStyle name="20% - Accent1 2 3 5 3 2" xfId="14598" xr:uid="{00000000-0005-0000-0000-000075000000}"/>
    <cellStyle name="20% - Accent1 2 3 5 4" xfId="10380" xr:uid="{00000000-0005-0000-0000-000076000000}"/>
    <cellStyle name="20% - Accent1 2 3 6" xfId="2268" xr:uid="{00000000-0005-0000-0000-000077000000}"/>
    <cellStyle name="20% - Accent1 2 3 6 2" xfId="6575" xr:uid="{00000000-0005-0000-0000-000078000000}"/>
    <cellStyle name="20% - Accent1 2 3 6 2 2" xfId="15011" xr:uid="{00000000-0005-0000-0000-000079000000}"/>
    <cellStyle name="20% - Accent1 2 3 6 3" xfId="10793" xr:uid="{00000000-0005-0000-0000-00007A000000}"/>
    <cellStyle name="20% - Accent1 2 3 7" xfId="4509" xr:uid="{00000000-0005-0000-0000-00007B000000}"/>
    <cellStyle name="20% - Accent1 2 3 7 2" xfId="12945" xr:uid="{00000000-0005-0000-0000-00007C000000}"/>
    <cellStyle name="20% - Accent1 2 3 8" xfId="8727" xr:uid="{00000000-0005-0000-0000-00007D000000}"/>
    <cellStyle name="20% - Accent1 2 4" xfId="571" xr:uid="{00000000-0005-0000-0000-00007E000000}"/>
    <cellStyle name="20% - Accent1 2 4 2" xfId="2842" xr:uid="{00000000-0005-0000-0000-00007F000000}"/>
    <cellStyle name="20% - Accent1 2 4 2 2" xfId="7065" xr:uid="{00000000-0005-0000-0000-000080000000}"/>
    <cellStyle name="20% - Accent1 2 4 2 2 2" xfId="15501" xr:uid="{00000000-0005-0000-0000-000081000000}"/>
    <cellStyle name="20% - Accent1 2 4 2 3" xfId="11283" xr:uid="{00000000-0005-0000-0000-000082000000}"/>
    <cellStyle name="20% - Accent1 2 4 3" xfId="4920" xr:uid="{00000000-0005-0000-0000-000083000000}"/>
    <cellStyle name="20% - Accent1 2 4 3 2" xfId="13356" xr:uid="{00000000-0005-0000-0000-000084000000}"/>
    <cellStyle name="20% - Accent1 2 4 4" xfId="9138" xr:uid="{00000000-0005-0000-0000-000085000000}"/>
    <cellStyle name="20% - Accent1 2 5" xfId="1024" xr:uid="{00000000-0005-0000-0000-000086000000}"/>
    <cellStyle name="20% - Accent1 2 5 2" xfId="3255" xr:uid="{00000000-0005-0000-0000-000087000000}"/>
    <cellStyle name="20% - Accent1 2 5 2 2" xfId="7478" xr:uid="{00000000-0005-0000-0000-000088000000}"/>
    <cellStyle name="20% - Accent1 2 5 2 2 2" xfId="15914" xr:uid="{00000000-0005-0000-0000-000089000000}"/>
    <cellStyle name="20% - Accent1 2 5 2 3" xfId="11696" xr:uid="{00000000-0005-0000-0000-00008A000000}"/>
    <cellStyle name="20% - Accent1 2 5 3" xfId="5333" xr:uid="{00000000-0005-0000-0000-00008B000000}"/>
    <cellStyle name="20% - Accent1 2 5 3 2" xfId="13769" xr:uid="{00000000-0005-0000-0000-00008C000000}"/>
    <cellStyle name="20% - Accent1 2 5 4" xfId="9551" xr:uid="{00000000-0005-0000-0000-00008D000000}"/>
    <cellStyle name="20% - Accent1 2 6" xfId="1438" xr:uid="{00000000-0005-0000-0000-00008E000000}"/>
    <cellStyle name="20% - Accent1 2 6 2" xfId="3668" xr:uid="{00000000-0005-0000-0000-00008F000000}"/>
    <cellStyle name="20% - Accent1 2 6 2 2" xfId="7891" xr:uid="{00000000-0005-0000-0000-000090000000}"/>
    <cellStyle name="20% - Accent1 2 6 2 2 2" xfId="16327" xr:uid="{00000000-0005-0000-0000-000091000000}"/>
    <cellStyle name="20% - Accent1 2 6 2 3" xfId="12109" xr:uid="{00000000-0005-0000-0000-000092000000}"/>
    <cellStyle name="20% - Accent1 2 6 3" xfId="5746" xr:uid="{00000000-0005-0000-0000-000093000000}"/>
    <cellStyle name="20% - Accent1 2 6 3 2" xfId="14182" xr:uid="{00000000-0005-0000-0000-000094000000}"/>
    <cellStyle name="20% - Accent1 2 6 4" xfId="9964" xr:uid="{00000000-0005-0000-0000-000095000000}"/>
    <cellStyle name="20% - Accent1 2 7" xfId="1852" xr:uid="{00000000-0005-0000-0000-000096000000}"/>
    <cellStyle name="20% - Accent1 2 7 2" xfId="4081" xr:uid="{00000000-0005-0000-0000-000097000000}"/>
    <cellStyle name="20% - Accent1 2 7 2 2" xfId="8304" xr:uid="{00000000-0005-0000-0000-000098000000}"/>
    <cellStyle name="20% - Accent1 2 7 2 2 2" xfId="16740" xr:uid="{00000000-0005-0000-0000-000099000000}"/>
    <cellStyle name="20% - Accent1 2 7 2 3" xfId="12522" xr:uid="{00000000-0005-0000-0000-00009A000000}"/>
    <cellStyle name="20% - Accent1 2 7 3" xfId="6159" xr:uid="{00000000-0005-0000-0000-00009B000000}"/>
    <cellStyle name="20% - Accent1 2 7 3 2" xfId="14595" xr:uid="{00000000-0005-0000-0000-00009C000000}"/>
    <cellStyle name="20% - Accent1 2 7 4" xfId="10377" xr:uid="{00000000-0005-0000-0000-00009D000000}"/>
    <cellStyle name="20% - Accent1 2 8" xfId="2265" xr:uid="{00000000-0005-0000-0000-00009E000000}"/>
    <cellStyle name="20% - Accent1 2 8 2" xfId="6572" xr:uid="{00000000-0005-0000-0000-00009F000000}"/>
    <cellStyle name="20% - Accent1 2 8 2 2" xfId="15008" xr:uid="{00000000-0005-0000-0000-0000A0000000}"/>
    <cellStyle name="20% - Accent1 2 8 3" xfId="10790" xr:uid="{00000000-0005-0000-0000-0000A1000000}"/>
    <cellStyle name="20% - Accent1 2 9" xfId="4506" xr:uid="{00000000-0005-0000-0000-0000A2000000}"/>
    <cellStyle name="20% - Accent1 2 9 2" xfId="12942" xr:uid="{00000000-0005-0000-0000-0000A3000000}"/>
    <cellStyle name="20% - Accent1 3" xfId="6" xr:uid="{00000000-0005-0000-0000-0000A4000000}"/>
    <cellStyle name="20% - Accent1 3 2" xfId="7" xr:uid="{00000000-0005-0000-0000-0000A5000000}"/>
    <cellStyle name="20% - Accent1 3 2 2" xfId="576" xr:uid="{00000000-0005-0000-0000-0000A6000000}"/>
    <cellStyle name="20% - Accent1 3 2 2 2" xfId="2847" xr:uid="{00000000-0005-0000-0000-0000A7000000}"/>
    <cellStyle name="20% - Accent1 3 2 2 2 2" xfId="7070" xr:uid="{00000000-0005-0000-0000-0000A8000000}"/>
    <cellStyle name="20% - Accent1 3 2 2 2 2 2" xfId="15506" xr:uid="{00000000-0005-0000-0000-0000A9000000}"/>
    <cellStyle name="20% - Accent1 3 2 2 2 3" xfId="11288" xr:uid="{00000000-0005-0000-0000-0000AA000000}"/>
    <cellStyle name="20% - Accent1 3 2 2 3" xfId="4925" xr:uid="{00000000-0005-0000-0000-0000AB000000}"/>
    <cellStyle name="20% - Accent1 3 2 2 3 2" xfId="13361" xr:uid="{00000000-0005-0000-0000-0000AC000000}"/>
    <cellStyle name="20% - Accent1 3 2 2 4" xfId="9143" xr:uid="{00000000-0005-0000-0000-0000AD000000}"/>
    <cellStyle name="20% - Accent1 3 2 3" xfId="1029" xr:uid="{00000000-0005-0000-0000-0000AE000000}"/>
    <cellStyle name="20% - Accent1 3 2 3 2" xfId="3260" xr:uid="{00000000-0005-0000-0000-0000AF000000}"/>
    <cellStyle name="20% - Accent1 3 2 3 2 2" xfId="7483" xr:uid="{00000000-0005-0000-0000-0000B0000000}"/>
    <cellStyle name="20% - Accent1 3 2 3 2 2 2" xfId="15919" xr:uid="{00000000-0005-0000-0000-0000B1000000}"/>
    <cellStyle name="20% - Accent1 3 2 3 2 3" xfId="11701" xr:uid="{00000000-0005-0000-0000-0000B2000000}"/>
    <cellStyle name="20% - Accent1 3 2 3 3" xfId="5338" xr:uid="{00000000-0005-0000-0000-0000B3000000}"/>
    <cellStyle name="20% - Accent1 3 2 3 3 2" xfId="13774" xr:uid="{00000000-0005-0000-0000-0000B4000000}"/>
    <cellStyle name="20% - Accent1 3 2 3 4" xfId="9556" xr:uid="{00000000-0005-0000-0000-0000B5000000}"/>
    <cellStyle name="20% - Accent1 3 2 4" xfId="1443" xr:uid="{00000000-0005-0000-0000-0000B6000000}"/>
    <cellStyle name="20% - Accent1 3 2 4 2" xfId="3673" xr:uid="{00000000-0005-0000-0000-0000B7000000}"/>
    <cellStyle name="20% - Accent1 3 2 4 2 2" xfId="7896" xr:uid="{00000000-0005-0000-0000-0000B8000000}"/>
    <cellStyle name="20% - Accent1 3 2 4 2 2 2" xfId="16332" xr:uid="{00000000-0005-0000-0000-0000B9000000}"/>
    <cellStyle name="20% - Accent1 3 2 4 2 3" xfId="12114" xr:uid="{00000000-0005-0000-0000-0000BA000000}"/>
    <cellStyle name="20% - Accent1 3 2 4 3" xfId="5751" xr:uid="{00000000-0005-0000-0000-0000BB000000}"/>
    <cellStyle name="20% - Accent1 3 2 4 3 2" xfId="14187" xr:uid="{00000000-0005-0000-0000-0000BC000000}"/>
    <cellStyle name="20% - Accent1 3 2 4 4" xfId="9969" xr:uid="{00000000-0005-0000-0000-0000BD000000}"/>
    <cellStyle name="20% - Accent1 3 2 5" xfId="1857" xr:uid="{00000000-0005-0000-0000-0000BE000000}"/>
    <cellStyle name="20% - Accent1 3 2 5 2" xfId="4086" xr:uid="{00000000-0005-0000-0000-0000BF000000}"/>
    <cellStyle name="20% - Accent1 3 2 5 2 2" xfId="8309" xr:uid="{00000000-0005-0000-0000-0000C0000000}"/>
    <cellStyle name="20% - Accent1 3 2 5 2 2 2" xfId="16745" xr:uid="{00000000-0005-0000-0000-0000C1000000}"/>
    <cellStyle name="20% - Accent1 3 2 5 2 3" xfId="12527" xr:uid="{00000000-0005-0000-0000-0000C2000000}"/>
    <cellStyle name="20% - Accent1 3 2 5 3" xfId="6164" xr:uid="{00000000-0005-0000-0000-0000C3000000}"/>
    <cellStyle name="20% - Accent1 3 2 5 3 2" xfId="14600" xr:uid="{00000000-0005-0000-0000-0000C4000000}"/>
    <cellStyle name="20% - Accent1 3 2 5 4" xfId="10382" xr:uid="{00000000-0005-0000-0000-0000C5000000}"/>
    <cellStyle name="20% - Accent1 3 2 6" xfId="2270" xr:uid="{00000000-0005-0000-0000-0000C6000000}"/>
    <cellStyle name="20% - Accent1 3 2 6 2" xfId="6577" xr:uid="{00000000-0005-0000-0000-0000C7000000}"/>
    <cellStyle name="20% - Accent1 3 2 6 2 2" xfId="15013" xr:uid="{00000000-0005-0000-0000-0000C8000000}"/>
    <cellStyle name="20% - Accent1 3 2 6 3" xfId="10795" xr:uid="{00000000-0005-0000-0000-0000C9000000}"/>
    <cellStyle name="20% - Accent1 3 2 7" xfId="4511" xr:uid="{00000000-0005-0000-0000-0000CA000000}"/>
    <cellStyle name="20% - Accent1 3 2 7 2" xfId="12947" xr:uid="{00000000-0005-0000-0000-0000CB000000}"/>
    <cellStyle name="20% - Accent1 3 2 8" xfId="8729" xr:uid="{00000000-0005-0000-0000-0000CC000000}"/>
    <cellStyle name="20% - Accent1 3 3" xfId="575" xr:uid="{00000000-0005-0000-0000-0000CD000000}"/>
    <cellStyle name="20% - Accent1 3 3 2" xfId="2846" xr:uid="{00000000-0005-0000-0000-0000CE000000}"/>
    <cellStyle name="20% - Accent1 3 3 2 2" xfId="7069" xr:uid="{00000000-0005-0000-0000-0000CF000000}"/>
    <cellStyle name="20% - Accent1 3 3 2 2 2" xfId="15505" xr:uid="{00000000-0005-0000-0000-0000D0000000}"/>
    <cellStyle name="20% - Accent1 3 3 2 3" xfId="11287" xr:uid="{00000000-0005-0000-0000-0000D1000000}"/>
    <cellStyle name="20% - Accent1 3 3 3" xfId="4924" xr:uid="{00000000-0005-0000-0000-0000D2000000}"/>
    <cellStyle name="20% - Accent1 3 3 3 2" xfId="13360" xr:uid="{00000000-0005-0000-0000-0000D3000000}"/>
    <cellStyle name="20% - Accent1 3 3 4" xfId="9142" xr:uid="{00000000-0005-0000-0000-0000D4000000}"/>
    <cellStyle name="20% - Accent1 3 4" xfId="1028" xr:uid="{00000000-0005-0000-0000-0000D5000000}"/>
    <cellStyle name="20% - Accent1 3 4 2" xfId="3259" xr:uid="{00000000-0005-0000-0000-0000D6000000}"/>
    <cellStyle name="20% - Accent1 3 4 2 2" xfId="7482" xr:uid="{00000000-0005-0000-0000-0000D7000000}"/>
    <cellStyle name="20% - Accent1 3 4 2 2 2" xfId="15918" xr:uid="{00000000-0005-0000-0000-0000D8000000}"/>
    <cellStyle name="20% - Accent1 3 4 2 3" xfId="11700" xr:uid="{00000000-0005-0000-0000-0000D9000000}"/>
    <cellStyle name="20% - Accent1 3 4 3" xfId="5337" xr:uid="{00000000-0005-0000-0000-0000DA000000}"/>
    <cellStyle name="20% - Accent1 3 4 3 2" xfId="13773" xr:uid="{00000000-0005-0000-0000-0000DB000000}"/>
    <cellStyle name="20% - Accent1 3 4 4" xfId="9555" xr:uid="{00000000-0005-0000-0000-0000DC000000}"/>
    <cellStyle name="20% - Accent1 3 5" xfId="1442" xr:uid="{00000000-0005-0000-0000-0000DD000000}"/>
    <cellStyle name="20% - Accent1 3 5 2" xfId="3672" xr:uid="{00000000-0005-0000-0000-0000DE000000}"/>
    <cellStyle name="20% - Accent1 3 5 2 2" xfId="7895" xr:uid="{00000000-0005-0000-0000-0000DF000000}"/>
    <cellStyle name="20% - Accent1 3 5 2 2 2" xfId="16331" xr:uid="{00000000-0005-0000-0000-0000E0000000}"/>
    <cellStyle name="20% - Accent1 3 5 2 3" xfId="12113" xr:uid="{00000000-0005-0000-0000-0000E1000000}"/>
    <cellStyle name="20% - Accent1 3 5 3" xfId="5750" xr:uid="{00000000-0005-0000-0000-0000E2000000}"/>
    <cellStyle name="20% - Accent1 3 5 3 2" xfId="14186" xr:uid="{00000000-0005-0000-0000-0000E3000000}"/>
    <cellStyle name="20% - Accent1 3 5 4" xfId="9968" xr:uid="{00000000-0005-0000-0000-0000E4000000}"/>
    <cellStyle name="20% - Accent1 3 6" xfId="1856" xr:uid="{00000000-0005-0000-0000-0000E5000000}"/>
    <cellStyle name="20% - Accent1 3 6 2" xfId="4085" xr:uid="{00000000-0005-0000-0000-0000E6000000}"/>
    <cellStyle name="20% - Accent1 3 6 2 2" xfId="8308" xr:uid="{00000000-0005-0000-0000-0000E7000000}"/>
    <cellStyle name="20% - Accent1 3 6 2 2 2" xfId="16744" xr:uid="{00000000-0005-0000-0000-0000E8000000}"/>
    <cellStyle name="20% - Accent1 3 6 2 3" xfId="12526" xr:uid="{00000000-0005-0000-0000-0000E9000000}"/>
    <cellStyle name="20% - Accent1 3 6 3" xfId="6163" xr:uid="{00000000-0005-0000-0000-0000EA000000}"/>
    <cellStyle name="20% - Accent1 3 6 3 2" xfId="14599" xr:uid="{00000000-0005-0000-0000-0000EB000000}"/>
    <cellStyle name="20% - Accent1 3 6 4" xfId="10381" xr:uid="{00000000-0005-0000-0000-0000EC000000}"/>
    <cellStyle name="20% - Accent1 3 7" xfId="2269" xr:uid="{00000000-0005-0000-0000-0000ED000000}"/>
    <cellStyle name="20% - Accent1 3 7 2" xfId="6576" xr:uid="{00000000-0005-0000-0000-0000EE000000}"/>
    <cellStyle name="20% - Accent1 3 7 2 2" xfId="15012" xr:uid="{00000000-0005-0000-0000-0000EF000000}"/>
    <cellStyle name="20% - Accent1 3 7 3" xfId="10794" xr:uid="{00000000-0005-0000-0000-0000F0000000}"/>
    <cellStyle name="20% - Accent1 3 8" xfId="4510" xr:uid="{00000000-0005-0000-0000-0000F1000000}"/>
    <cellStyle name="20% - Accent1 3 8 2" xfId="12946" xr:uid="{00000000-0005-0000-0000-0000F2000000}"/>
    <cellStyle name="20% - Accent1 3 9" xfId="8728" xr:uid="{00000000-0005-0000-0000-0000F3000000}"/>
    <cellStyle name="20% - Accent1 4" xfId="8" xr:uid="{00000000-0005-0000-0000-0000F4000000}"/>
    <cellStyle name="20% - Accent1 4 2" xfId="577" xr:uid="{00000000-0005-0000-0000-0000F5000000}"/>
    <cellStyle name="20% - Accent1 4 2 2" xfId="2848" xr:uid="{00000000-0005-0000-0000-0000F6000000}"/>
    <cellStyle name="20% - Accent1 4 2 2 2" xfId="7071" xr:uid="{00000000-0005-0000-0000-0000F7000000}"/>
    <cellStyle name="20% - Accent1 4 2 2 2 2" xfId="15507" xr:uid="{00000000-0005-0000-0000-0000F8000000}"/>
    <cellStyle name="20% - Accent1 4 2 2 3" xfId="11289" xr:uid="{00000000-0005-0000-0000-0000F9000000}"/>
    <cellStyle name="20% - Accent1 4 2 3" xfId="4926" xr:uid="{00000000-0005-0000-0000-0000FA000000}"/>
    <cellStyle name="20% - Accent1 4 2 3 2" xfId="13362" xr:uid="{00000000-0005-0000-0000-0000FB000000}"/>
    <cellStyle name="20% - Accent1 4 2 4" xfId="9144" xr:uid="{00000000-0005-0000-0000-0000FC000000}"/>
    <cellStyle name="20% - Accent1 4 3" xfId="1030" xr:uid="{00000000-0005-0000-0000-0000FD000000}"/>
    <cellStyle name="20% - Accent1 4 3 2" xfId="3261" xr:uid="{00000000-0005-0000-0000-0000FE000000}"/>
    <cellStyle name="20% - Accent1 4 3 2 2" xfId="7484" xr:uid="{00000000-0005-0000-0000-0000FF000000}"/>
    <cellStyle name="20% - Accent1 4 3 2 2 2" xfId="15920" xr:uid="{00000000-0005-0000-0000-000000010000}"/>
    <cellStyle name="20% - Accent1 4 3 2 3" xfId="11702" xr:uid="{00000000-0005-0000-0000-000001010000}"/>
    <cellStyle name="20% - Accent1 4 3 3" xfId="5339" xr:uid="{00000000-0005-0000-0000-000002010000}"/>
    <cellStyle name="20% - Accent1 4 3 3 2" xfId="13775" xr:uid="{00000000-0005-0000-0000-000003010000}"/>
    <cellStyle name="20% - Accent1 4 3 4" xfId="9557" xr:uid="{00000000-0005-0000-0000-000004010000}"/>
    <cellStyle name="20% - Accent1 4 4" xfId="1444" xr:uid="{00000000-0005-0000-0000-000005010000}"/>
    <cellStyle name="20% - Accent1 4 4 2" xfId="3674" xr:uid="{00000000-0005-0000-0000-000006010000}"/>
    <cellStyle name="20% - Accent1 4 4 2 2" xfId="7897" xr:uid="{00000000-0005-0000-0000-000007010000}"/>
    <cellStyle name="20% - Accent1 4 4 2 2 2" xfId="16333" xr:uid="{00000000-0005-0000-0000-000008010000}"/>
    <cellStyle name="20% - Accent1 4 4 2 3" xfId="12115" xr:uid="{00000000-0005-0000-0000-000009010000}"/>
    <cellStyle name="20% - Accent1 4 4 3" xfId="5752" xr:uid="{00000000-0005-0000-0000-00000A010000}"/>
    <cellStyle name="20% - Accent1 4 4 3 2" xfId="14188" xr:uid="{00000000-0005-0000-0000-00000B010000}"/>
    <cellStyle name="20% - Accent1 4 4 4" xfId="9970" xr:uid="{00000000-0005-0000-0000-00000C010000}"/>
    <cellStyle name="20% - Accent1 4 5" xfId="1858" xr:uid="{00000000-0005-0000-0000-00000D010000}"/>
    <cellStyle name="20% - Accent1 4 5 2" xfId="4087" xr:uid="{00000000-0005-0000-0000-00000E010000}"/>
    <cellStyle name="20% - Accent1 4 5 2 2" xfId="8310" xr:uid="{00000000-0005-0000-0000-00000F010000}"/>
    <cellStyle name="20% - Accent1 4 5 2 2 2" xfId="16746" xr:uid="{00000000-0005-0000-0000-000010010000}"/>
    <cellStyle name="20% - Accent1 4 5 2 3" xfId="12528" xr:uid="{00000000-0005-0000-0000-000011010000}"/>
    <cellStyle name="20% - Accent1 4 5 3" xfId="6165" xr:uid="{00000000-0005-0000-0000-000012010000}"/>
    <cellStyle name="20% - Accent1 4 5 3 2" xfId="14601" xr:uid="{00000000-0005-0000-0000-000013010000}"/>
    <cellStyle name="20% - Accent1 4 5 4" xfId="10383" xr:uid="{00000000-0005-0000-0000-000014010000}"/>
    <cellStyle name="20% - Accent1 4 6" xfId="2271" xr:uid="{00000000-0005-0000-0000-000015010000}"/>
    <cellStyle name="20% - Accent1 4 6 2" xfId="6578" xr:uid="{00000000-0005-0000-0000-000016010000}"/>
    <cellStyle name="20% - Accent1 4 6 2 2" xfId="15014" xr:uid="{00000000-0005-0000-0000-000017010000}"/>
    <cellStyle name="20% - Accent1 4 6 3" xfId="10796" xr:uid="{00000000-0005-0000-0000-000018010000}"/>
    <cellStyle name="20% - Accent1 4 7" xfId="4512" xr:uid="{00000000-0005-0000-0000-000019010000}"/>
    <cellStyle name="20% - Accent1 4 7 2" xfId="12948" xr:uid="{00000000-0005-0000-0000-00001A010000}"/>
    <cellStyle name="20% - Accent1 4 8" xfId="8730" xr:uid="{00000000-0005-0000-0000-00001B010000}"/>
    <cellStyle name="20% - Accent1 5" xfId="570" xr:uid="{00000000-0005-0000-0000-00001C010000}"/>
    <cellStyle name="20% - Accent1 5 2" xfId="2841" xr:uid="{00000000-0005-0000-0000-00001D010000}"/>
    <cellStyle name="20% - Accent1 5 2 2" xfId="7064" xr:uid="{00000000-0005-0000-0000-00001E010000}"/>
    <cellStyle name="20% - Accent1 5 2 2 2" xfId="15500" xr:uid="{00000000-0005-0000-0000-00001F010000}"/>
    <cellStyle name="20% - Accent1 5 2 3" xfId="11282" xr:uid="{00000000-0005-0000-0000-000020010000}"/>
    <cellStyle name="20% - Accent1 5 3" xfId="4919" xr:uid="{00000000-0005-0000-0000-000021010000}"/>
    <cellStyle name="20% - Accent1 5 3 2" xfId="13355" xr:uid="{00000000-0005-0000-0000-000022010000}"/>
    <cellStyle name="20% - Accent1 5 4" xfId="9137" xr:uid="{00000000-0005-0000-0000-000023010000}"/>
    <cellStyle name="20% - Accent1 6" xfId="1023" xr:uid="{00000000-0005-0000-0000-000024010000}"/>
    <cellStyle name="20% - Accent1 6 2" xfId="3254" xr:uid="{00000000-0005-0000-0000-000025010000}"/>
    <cellStyle name="20% - Accent1 6 2 2" xfId="7477" xr:uid="{00000000-0005-0000-0000-000026010000}"/>
    <cellStyle name="20% - Accent1 6 2 2 2" xfId="15913" xr:uid="{00000000-0005-0000-0000-000027010000}"/>
    <cellStyle name="20% - Accent1 6 2 3" xfId="11695" xr:uid="{00000000-0005-0000-0000-000028010000}"/>
    <cellStyle name="20% - Accent1 6 3" xfId="5332" xr:uid="{00000000-0005-0000-0000-000029010000}"/>
    <cellStyle name="20% - Accent1 6 3 2" xfId="13768" xr:uid="{00000000-0005-0000-0000-00002A010000}"/>
    <cellStyle name="20% - Accent1 6 4" xfId="9550" xr:uid="{00000000-0005-0000-0000-00002B010000}"/>
    <cellStyle name="20% - Accent1 7" xfId="1437" xr:uid="{00000000-0005-0000-0000-00002C010000}"/>
    <cellStyle name="20% - Accent1 7 2" xfId="3667" xr:uid="{00000000-0005-0000-0000-00002D010000}"/>
    <cellStyle name="20% - Accent1 7 2 2" xfId="7890" xr:uid="{00000000-0005-0000-0000-00002E010000}"/>
    <cellStyle name="20% - Accent1 7 2 2 2" xfId="16326" xr:uid="{00000000-0005-0000-0000-00002F010000}"/>
    <cellStyle name="20% - Accent1 7 2 3" xfId="12108" xr:uid="{00000000-0005-0000-0000-000030010000}"/>
    <cellStyle name="20% - Accent1 7 3" xfId="5745" xr:uid="{00000000-0005-0000-0000-000031010000}"/>
    <cellStyle name="20% - Accent1 7 3 2" xfId="14181" xr:uid="{00000000-0005-0000-0000-000032010000}"/>
    <cellStyle name="20% - Accent1 7 4" xfId="9963" xr:uid="{00000000-0005-0000-0000-000033010000}"/>
    <cellStyle name="20% - Accent1 8" xfId="1851" xr:uid="{00000000-0005-0000-0000-000034010000}"/>
    <cellStyle name="20% - Accent1 8 2" xfId="4080" xr:uid="{00000000-0005-0000-0000-000035010000}"/>
    <cellStyle name="20% - Accent1 8 2 2" xfId="8303" xr:uid="{00000000-0005-0000-0000-000036010000}"/>
    <cellStyle name="20% - Accent1 8 2 2 2" xfId="16739" xr:uid="{00000000-0005-0000-0000-000037010000}"/>
    <cellStyle name="20% - Accent1 8 2 3" xfId="12521" xr:uid="{00000000-0005-0000-0000-000038010000}"/>
    <cellStyle name="20% - Accent1 8 3" xfId="6158" xr:uid="{00000000-0005-0000-0000-000039010000}"/>
    <cellStyle name="20% - Accent1 8 3 2" xfId="14594" xr:uid="{00000000-0005-0000-0000-00003A010000}"/>
    <cellStyle name="20% - Accent1 8 4" xfId="10376" xr:uid="{00000000-0005-0000-0000-00003B010000}"/>
    <cellStyle name="20% - Accent1 9" xfId="2264" xr:uid="{00000000-0005-0000-0000-00003C010000}"/>
    <cellStyle name="20% - Accent1 9 2" xfId="6571" xr:uid="{00000000-0005-0000-0000-00003D010000}"/>
    <cellStyle name="20% - Accent1 9 2 2" xfId="15007" xr:uid="{00000000-0005-0000-0000-00003E010000}"/>
    <cellStyle name="20% - Accent1 9 3" xfId="10789" xr:uid="{00000000-0005-0000-0000-00003F010000}"/>
    <cellStyle name="20% - Accent2" xfId="9" builtinId="34" customBuiltin="1"/>
    <cellStyle name="20% - Accent2 10" xfId="4513" xr:uid="{00000000-0005-0000-0000-000041010000}"/>
    <cellStyle name="20% - Accent2 10 2" xfId="12949" xr:uid="{00000000-0005-0000-0000-000042010000}"/>
    <cellStyle name="20% - Accent2 11" xfId="8731" xr:uid="{00000000-0005-0000-0000-000043010000}"/>
    <cellStyle name="20% - Accent2 2" xfId="10" xr:uid="{00000000-0005-0000-0000-000044010000}"/>
    <cellStyle name="20% - Accent2 2 10" xfId="8732" xr:uid="{00000000-0005-0000-0000-000045010000}"/>
    <cellStyle name="20% - Accent2 2 2" xfId="11" xr:uid="{00000000-0005-0000-0000-000046010000}"/>
    <cellStyle name="20% - Accent2 2 2 2" xfId="12" xr:uid="{00000000-0005-0000-0000-000047010000}"/>
    <cellStyle name="20% - Accent2 2 2 2 2" xfId="581" xr:uid="{00000000-0005-0000-0000-000048010000}"/>
    <cellStyle name="20% - Accent2 2 2 2 2 2" xfId="2852" xr:uid="{00000000-0005-0000-0000-000049010000}"/>
    <cellStyle name="20% - Accent2 2 2 2 2 2 2" xfId="7075" xr:uid="{00000000-0005-0000-0000-00004A010000}"/>
    <cellStyle name="20% - Accent2 2 2 2 2 2 2 2" xfId="15511" xr:uid="{00000000-0005-0000-0000-00004B010000}"/>
    <cellStyle name="20% - Accent2 2 2 2 2 2 3" xfId="11293" xr:uid="{00000000-0005-0000-0000-00004C010000}"/>
    <cellStyle name="20% - Accent2 2 2 2 2 3" xfId="4930" xr:uid="{00000000-0005-0000-0000-00004D010000}"/>
    <cellStyle name="20% - Accent2 2 2 2 2 3 2" xfId="13366" xr:uid="{00000000-0005-0000-0000-00004E010000}"/>
    <cellStyle name="20% - Accent2 2 2 2 2 4" xfId="9148" xr:uid="{00000000-0005-0000-0000-00004F010000}"/>
    <cellStyle name="20% - Accent2 2 2 2 3" xfId="1034" xr:uid="{00000000-0005-0000-0000-000050010000}"/>
    <cellStyle name="20% - Accent2 2 2 2 3 2" xfId="3265" xr:uid="{00000000-0005-0000-0000-000051010000}"/>
    <cellStyle name="20% - Accent2 2 2 2 3 2 2" xfId="7488" xr:uid="{00000000-0005-0000-0000-000052010000}"/>
    <cellStyle name="20% - Accent2 2 2 2 3 2 2 2" xfId="15924" xr:uid="{00000000-0005-0000-0000-000053010000}"/>
    <cellStyle name="20% - Accent2 2 2 2 3 2 3" xfId="11706" xr:uid="{00000000-0005-0000-0000-000054010000}"/>
    <cellStyle name="20% - Accent2 2 2 2 3 3" xfId="5343" xr:uid="{00000000-0005-0000-0000-000055010000}"/>
    <cellStyle name="20% - Accent2 2 2 2 3 3 2" xfId="13779" xr:uid="{00000000-0005-0000-0000-000056010000}"/>
    <cellStyle name="20% - Accent2 2 2 2 3 4" xfId="9561" xr:uid="{00000000-0005-0000-0000-000057010000}"/>
    <cellStyle name="20% - Accent2 2 2 2 4" xfId="1448" xr:uid="{00000000-0005-0000-0000-000058010000}"/>
    <cellStyle name="20% - Accent2 2 2 2 4 2" xfId="3678" xr:uid="{00000000-0005-0000-0000-000059010000}"/>
    <cellStyle name="20% - Accent2 2 2 2 4 2 2" xfId="7901" xr:uid="{00000000-0005-0000-0000-00005A010000}"/>
    <cellStyle name="20% - Accent2 2 2 2 4 2 2 2" xfId="16337" xr:uid="{00000000-0005-0000-0000-00005B010000}"/>
    <cellStyle name="20% - Accent2 2 2 2 4 2 3" xfId="12119" xr:uid="{00000000-0005-0000-0000-00005C010000}"/>
    <cellStyle name="20% - Accent2 2 2 2 4 3" xfId="5756" xr:uid="{00000000-0005-0000-0000-00005D010000}"/>
    <cellStyle name="20% - Accent2 2 2 2 4 3 2" xfId="14192" xr:uid="{00000000-0005-0000-0000-00005E010000}"/>
    <cellStyle name="20% - Accent2 2 2 2 4 4" xfId="9974" xr:uid="{00000000-0005-0000-0000-00005F010000}"/>
    <cellStyle name="20% - Accent2 2 2 2 5" xfId="1862" xr:uid="{00000000-0005-0000-0000-000060010000}"/>
    <cellStyle name="20% - Accent2 2 2 2 5 2" xfId="4091" xr:uid="{00000000-0005-0000-0000-000061010000}"/>
    <cellStyle name="20% - Accent2 2 2 2 5 2 2" xfId="8314" xr:uid="{00000000-0005-0000-0000-000062010000}"/>
    <cellStyle name="20% - Accent2 2 2 2 5 2 2 2" xfId="16750" xr:uid="{00000000-0005-0000-0000-000063010000}"/>
    <cellStyle name="20% - Accent2 2 2 2 5 2 3" xfId="12532" xr:uid="{00000000-0005-0000-0000-000064010000}"/>
    <cellStyle name="20% - Accent2 2 2 2 5 3" xfId="6169" xr:uid="{00000000-0005-0000-0000-000065010000}"/>
    <cellStyle name="20% - Accent2 2 2 2 5 3 2" xfId="14605" xr:uid="{00000000-0005-0000-0000-000066010000}"/>
    <cellStyle name="20% - Accent2 2 2 2 5 4" xfId="10387" xr:uid="{00000000-0005-0000-0000-000067010000}"/>
    <cellStyle name="20% - Accent2 2 2 2 6" xfId="2275" xr:uid="{00000000-0005-0000-0000-000068010000}"/>
    <cellStyle name="20% - Accent2 2 2 2 6 2" xfId="6582" xr:uid="{00000000-0005-0000-0000-000069010000}"/>
    <cellStyle name="20% - Accent2 2 2 2 6 2 2" xfId="15018" xr:uid="{00000000-0005-0000-0000-00006A010000}"/>
    <cellStyle name="20% - Accent2 2 2 2 6 3" xfId="10800" xr:uid="{00000000-0005-0000-0000-00006B010000}"/>
    <cellStyle name="20% - Accent2 2 2 2 7" xfId="4516" xr:uid="{00000000-0005-0000-0000-00006C010000}"/>
    <cellStyle name="20% - Accent2 2 2 2 7 2" xfId="12952" xr:uid="{00000000-0005-0000-0000-00006D010000}"/>
    <cellStyle name="20% - Accent2 2 2 2 8" xfId="8734" xr:uid="{00000000-0005-0000-0000-00006E010000}"/>
    <cellStyle name="20% - Accent2 2 2 3" xfId="580" xr:uid="{00000000-0005-0000-0000-00006F010000}"/>
    <cellStyle name="20% - Accent2 2 2 3 2" xfId="2851" xr:uid="{00000000-0005-0000-0000-000070010000}"/>
    <cellStyle name="20% - Accent2 2 2 3 2 2" xfId="7074" xr:uid="{00000000-0005-0000-0000-000071010000}"/>
    <cellStyle name="20% - Accent2 2 2 3 2 2 2" xfId="15510" xr:uid="{00000000-0005-0000-0000-000072010000}"/>
    <cellStyle name="20% - Accent2 2 2 3 2 3" xfId="11292" xr:uid="{00000000-0005-0000-0000-000073010000}"/>
    <cellStyle name="20% - Accent2 2 2 3 3" xfId="4929" xr:uid="{00000000-0005-0000-0000-000074010000}"/>
    <cellStyle name="20% - Accent2 2 2 3 3 2" xfId="13365" xr:uid="{00000000-0005-0000-0000-000075010000}"/>
    <cellStyle name="20% - Accent2 2 2 3 4" xfId="9147" xr:uid="{00000000-0005-0000-0000-000076010000}"/>
    <cellStyle name="20% - Accent2 2 2 4" xfId="1033" xr:uid="{00000000-0005-0000-0000-000077010000}"/>
    <cellStyle name="20% - Accent2 2 2 4 2" xfId="3264" xr:uid="{00000000-0005-0000-0000-000078010000}"/>
    <cellStyle name="20% - Accent2 2 2 4 2 2" xfId="7487" xr:uid="{00000000-0005-0000-0000-000079010000}"/>
    <cellStyle name="20% - Accent2 2 2 4 2 2 2" xfId="15923" xr:uid="{00000000-0005-0000-0000-00007A010000}"/>
    <cellStyle name="20% - Accent2 2 2 4 2 3" xfId="11705" xr:uid="{00000000-0005-0000-0000-00007B010000}"/>
    <cellStyle name="20% - Accent2 2 2 4 3" xfId="5342" xr:uid="{00000000-0005-0000-0000-00007C010000}"/>
    <cellStyle name="20% - Accent2 2 2 4 3 2" xfId="13778" xr:uid="{00000000-0005-0000-0000-00007D010000}"/>
    <cellStyle name="20% - Accent2 2 2 4 4" xfId="9560" xr:uid="{00000000-0005-0000-0000-00007E010000}"/>
    <cellStyle name="20% - Accent2 2 2 5" xfId="1447" xr:uid="{00000000-0005-0000-0000-00007F010000}"/>
    <cellStyle name="20% - Accent2 2 2 5 2" xfId="3677" xr:uid="{00000000-0005-0000-0000-000080010000}"/>
    <cellStyle name="20% - Accent2 2 2 5 2 2" xfId="7900" xr:uid="{00000000-0005-0000-0000-000081010000}"/>
    <cellStyle name="20% - Accent2 2 2 5 2 2 2" xfId="16336" xr:uid="{00000000-0005-0000-0000-000082010000}"/>
    <cellStyle name="20% - Accent2 2 2 5 2 3" xfId="12118" xr:uid="{00000000-0005-0000-0000-000083010000}"/>
    <cellStyle name="20% - Accent2 2 2 5 3" xfId="5755" xr:uid="{00000000-0005-0000-0000-000084010000}"/>
    <cellStyle name="20% - Accent2 2 2 5 3 2" xfId="14191" xr:uid="{00000000-0005-0000-0000-000085010000}"/>
    <cellStyle name="20% - Accent2 2 2 5 4" xfId="9973" xr:uid="{00000000-0005-0000-0000-000086010000}"/>
    <cellStyle name="20% - Accent2 2 2 6" xfId="1861" xr:uid="{00000000-0005-0000-0000-000087010000}"/>
    <cellStyle name="20% - Accent2 2 2 6 2" xfId="4090" xr:uid="{00000000-0005-0000-0000-000088010000}"/>
    <cellStyle name="20% - Accent2 2 2 6 2 2" xfId="8313" xr:uid="{00000000-0005-0000-0000-000089010000}"/>
    <cellStyle name="20% - Accent2 2 2 6 2 2 2" xfId="16749" xr:uid="{00000000-0005-0000-0000-00008A010000}"/>
    <cellStyle name="20% - Accent2 2 2 6 2 3" xfId="12531" xr:uid="{00000000-0005-0000-0000-00008B010000}"/>
    <cellStyle name="20% - Accent2 2 2 6 3" xfId="6168" xr:uid="{00000000-0005-0000-0000-00008C010000}"/>
    <cellStyle name="20% - Accent2 2 2 6 3 2" xfId="14604" xr:uid="{00000000-0005-0000-0000-00008D010000}"/>
    <cellStyle name="20% - Accent2 2 2 6 4" xfId="10386" xr:uid="{00000000-0005-0000-0000-00008E010000}"/>
    <cellStyle name="20% - Accent2 2 2 7" xfId="2274" xr:uid="{00000000-0005-0000-0000-00008F010000}"/>
    <cellStyle name="20% - Accent2 2 2 7 2" xfId="6581" xr:uid="{00000000-0005-0000-0000-000090010000}"/>
    <cellStyle name="20% - Accent2 2 2 7 2 2" xfId="15017" xr:uid="{00000000-0005-0000-0000-000091010000}"/>
    <cellStyle name="20% - Accent2 2 2 7 3" xfId="10799" xr:uid="{00000000-0005-0000-0000-000092010000}"/>
    <cellStyle name="20% - Accent2 2 2 8" xfId="4515" xr:uid="{00000000-0005-0000-0000-000093010000}"/>
    <cellStyle name="20% - Accent2 2 2 8 2" xfId="12951" xr:uid="{00000000-0005-0000-0000-000094010000}"/>
    <cellStyle name="20% - Accent2 2 2 9" xfId="8733" xr:uid="{00000000-0005-0000-0000-000095010000}"/>
    <cellStyle name="20% - Accent2 2 3" xfId="13" xr:uid="{00000000-0005-0000-0000-000096010000}"/>
    <cellStyle name="20% - Accent2 2 3 2" xfId="582" xr:uid="{00000000-0005-0000-0000-000097010000}"/>
    <cellStyle name="20% - Accent2 2 3 2 2" xfId="2853" xr:uid="{00000000-0005-0000-0000-000098010000}"/>
    <cellStyle name="20% - Accent2 2 3 2 2 2" xfId="7076" xr:uid="{00000000-0005-0000-0000-000099010000}"/>
    <cellStyle name="20% - Accent2 2 3 2 2 2 2" xfId="15512" xr:uid="{00000000-0005-0000-0000-00009A010000}"/>
    <cellStyle name="20% - Accent2 2 3 2 2 3" xfId="11294" xr:uid="{00000000-0005-0000-0000-00009B010000}"/>
    <cellStyle name="20% - Accent2 2 3 2 3" xfId="4931" xr:uid="{00000000-0005-0000-0000-00009C010000}"/>
    <cellStyle name="20% - Accent2 2 3 2 3 2" xfId="13367" xr:uid="{00000000-0005-0000-0000-00009D010000}"/>
    <cellStyle name="20% - Accent2 2 3 2 4" xfId="9149" xr:uid="{00000000-0005-0000-0000-00009E010000}"/>
    <cellStyle name="20% - Accent2 2 3 3" xfId="1035" xr:uid="{00000000-0005-0000-0000-00009F010000}"/>
    <cellStyle name="20% - Accent2 2 3 3 2" xfId="3266" xr:uid="{00000000-0005-0000-0000-0000A0010000}"/>
    <cellStyle name="20% - Accent2 2 3 3 2 2" xfId="7489" xr:uid="{00000000-0005-0000-0000-0000A1010000}"/>
    <cellStyle name="20% - Accent2 2 3 3 2 2 2" xfId="15925" xr:uid="{00000000-0005-0000-0000-0000A2010000}"/>
    <cellStyle name="20% - Accent2 2 3 3 2 3" xfId="11707" xr:uid="{00000000-0005-0000-0000-0000A3010000}"/>
    <cellStyle name="20% - Accent2 2 3 3 3" xfId="5344" xr:uid="{00000000-0005-0000-0000-0000A4010000}"/>
    <cellStyle name="20% - Accent2 2 3 3 3 2" xfId="13780" xr:uid="{00000000-0005-0000-0000-0000A5010000}"/>
    <cellStyle name="20% - Accent2 2 3 3 4" xfId="9562" xr:uid="{00000000-0005-0000-0000-0000A6010000}"/>
    <cellStyle name="20% - Accent2 2 3 4" xfId="1449" xr:uid="{00000000-0005-0000-0000-0000A7010000}"/>
    <cellStyle name="20% - Accent2 2 3 4 2" xfId="3679" xr:uid="{00000000-0005-0000-0000-0000A8010000}"/>
    <cellStyle name="20% - Accent2 2 3 4 2 2" xfId="7902" xr:uid="{00000000-0005-0000-0000-0000A9010000}"/>
    <cellStyle name="20% - Accent2 2 3 4 2 2 2" xfId="16338" xr:uid="{00000000-0005-0000-0000-0000AA010000}"/>
    <cellStyle name="20% - Accent2 2 3 4 2 3" xfId="12120" xr:uid="{00000000-0005-0000-0000-0000AB010000}"/>
    <cellStyle name="20% - Accent2 2 3 4 3" xfId="5757" xr:uid="{00000000-0005-0000-0000-0000AC010000}"/>
    <cellStyle name="20% - Accent2 2 3 4 3 2" xfId="14193" xr:uid="{00000000-0005-0000-0000-0000AD010000}"/>
    <cellStyle name="20% - Accent2 2 3 4 4" xfId="9975" xr:uid="{00000000-0005-0000-0000-0000AE010000}"/>
    <cellStyle name="20% - Accent2 2 3 5" xfId="1863" xr:uid="{00000000-0005-0000-0000-0000AF010000}"/>
    <cellStyle name="20% - Accent2 2 3 5 2" xfId="4092" xr:uid="{00000000-0005-0000-0000-0000B0010000}"/>
    <cellStyle name="20% - Accent2 2 3 5 2 2" xfId="8315" xr:uid="{00000000-0005-0000-0000-0000B1010000}"/>
    <cellStyle name="20% - Accent2 2 3 5 2 2 2" xfId="16751" xr:uid="{00000000-0005-0000-0000-0000B2010000}"/>
    <cellStyle name="20% - Accent2 2 3 5 2 3" xfId="12533" xr:uid="{00000000-0005-0000-0000-0000B3010000}"/>
    <cellStyle name="20% - Accent2 2 3 5 3" xfId="6170" xr:uid="{00000000-0005-0000-0000-0000B4010000}"/>
    <cellStyle name="20% - Accent2 2 3 5 3 2" xfId="14606" xr:uid="{00000000-0005-0000-0000-0000B5010000}"/>
    <cellStyle name="20% - Accent2 2 3 5 4" xfId="10388" xr:uid="{00000000-0005-0000-0000-0000B6010000}"/>
    <cellStyle name="20% - Accent2 2 3 6" xfId="2276" xr:uid="{00000000-0005-0000-0000-0000B7010000}"/>
    <cellStyle name="20% - Accent2 2 3 6 2" xfId="6583" xr:uid="{00000000-0005-0000-0000-0000B8010000}"/>
    <cellStyle name="20% - Accent2 2 3 6 2 2" xfId="15019" xr:uid="{00000000-0005-0000-0000-0000B9010000}"/>
    <cellStyle name="20% - Accent2 2 3 6 3" xfId="10801" xr:uid="{00000000-0005-0000-0000-0000BA010000}"/>
    <cellStyle name="20% - Accent2 2 3 7" xfId="4517" xr:uid="{00000000-0005-0000-0000-0000BB010000}"/>
    <cellStyle name="20% - Accent2 2 3 7 2" xfId="12953" xr:uid="{00000000-0005-0000-0000-0000BC010000}"/>
    <cellStyle name="20% - Accent2 2 3 8" xfId="8735" xr:uid="{00000000-0005-0000-0000-0000BD010000}"/>
    <cellStyle name="20% - Accent2 2 4" xfId="579" xr:uid="{00000000-0005-0000-0000-0000BE010000}"/>
    <cellStyle name="20% - Accent2 2 4 2" xfId="2850" xr:uid="{00000000-0005-0000-0000-0000BF010000}"/>
    <cellStyle name="20% - Accent2 2 4 2 2" xfId="7073" xr:uid="{00000000-0005-0000-0000-0000C0010000}"/>
    <cellStyle name="20% - Accent2 2 4 2 2 2" xfId="15509" xr:uid="{00000000-0005-0000-0000-0000C1010000}"/>
    <cellStyle name="20% - Accent2 2 4 2 3" xfId="11291" xr:uid="{00000000-0005-0000-0000-0000C2010000}"/>
    <cellStyle name="20% - Accent2 2 4 3" xfId="4928" xr:uid="{00000000-0005-0000-0000-0000C3010000}"/>
    <cellStyle name="20% - Accent2 2 4 3 2" xfId="13364" xr:uid="{00000000-0005-0000-0000-0000C4010000}"/>
    <cellStyle name="20% - Accent2 2 4 4" xfId="9146" xr:uid="{00000000-0005-0000-0000-0000C5010000}"/>
    <cellStyle name="20% - Accent2 2 5" xfId="1032" xr:uid="{00000000-0005-0000-0000-0000C6010000}"/>
    <cellStyle name="20% - Accent2 2 5 2" xfId="3263" xr:uid="{00000000-0005-0000-0000-0000C7010000}"/>
    <cellStyle name="20% - Accent2 2 5 2 2" xfId="7486" xr:uid="{00000000-0005-0000-0000-0000C8010000}"/>
    <cellStyle name="20% - Accent2 2 5 2 2 2" xfId="15922" xr:uid="{00000000-0005-0000-0000-0000C9010000}"/>
    <cellStyle name="20% - Accent2 2 5 2 3" xfId="11704" xr:uid="{00000000-0005-0000-0000-0000CA010000}"/>
    <cellStyle name="20% - Accent2 2 5 3" xfId="5341" xr:uid="{00000000-0005-0000-0000-0000CB010000}"/>
    <cellStyle name="20% - Accent2 2 5 3 2" xfId="13777" xr:uid="{00000000-0005-0000-0000-0000CC010000}"/>
    <cellStyle name="20% - Accent2 2 5 4" xfId="9559" xr:uid="{00000000-0005-0000-0000-0000CD010000}"/>
    <cellStyle name="20% - Accent2 2 6" xfId="1446" xr:uid="{00000000-0005-0000-0000-0000CE010000}"/>
    <cellStyle name="20% - Accent2 2 6 2" xfId="3676" xr:uid="{00000000-0005-0000-0000-0000CF010000}"/>
    <cellStyle name="20% - Accent2 2 6 2 2" xfId="7899" xr:uid="{00000000-0005-0000-0000-0000D0010000}"/>
    <cellStyle name="20% - Accent2 2 6 2 2 2" xfId="16335" xr:uid="{00000000-0005-0000-0000-0000D1010000}"/>
    <cellStyle name="20% - Accent2 2 6 2 3" xfId="12117" xr:uid="{00000000-0005-0000-0000-0000D2010000}"/>
    <cellStyle name="20% - Accent2 2 6 3" xfId="5754" xr:uid="{00000000-0005-0000-0000-0000D3010000}"/>
    <cellStyle name="20% - Accent2 2 6 3 2" xfId="14190" xr:uid="{00000000-0005-0000-0000-0000D4010000}"/>
    <cellStyle name="20% - Accent2 2 6 4" xfId="9972" xr:uid="{00000000-0005-0000-0000-0000D5010000}"/>
    <cellStyle name="20% - Accent2 2 7" xfId="1860" xr:uid="{00000000-0005-0000-0000-0000D6010000}"/>
    <cellStyle name="20% - Accent2 2 7 2" xfId="4089" xr:uid="{00000000-0005-0000-0000-0000D7010000}"/>
    <cellStyle name="20% - Accent2 2 7 2 2" xfId="8312" xr:uid="{00000000-0005-0000-0000-0000D8010000}"/>
    <cellStyle name="20% - Accent2 2 7 2 2 2" xfId="16748" xr:uid="{00000000-0005-0000-0000-0000D9010000}"/>
    <cellStyle name="20% - Accent2 2 7 2 3" xfId="12530" xr:uid="{00000000-0005-0000-0000-0000DA010000}"/>
    <cellStyle name="20% - Accent2 2 7 3" xfId="6167" xr:uid="{00000000-0005-0000-0000-0000DB010000}"/>
    <cellStyle name="20% - Accent2 2 7 3 2" xfId="14603" xr:uid="{00000000-0005-0000-0000-0000DC010000}"/>
    <cellStyle name="20% - Accent2 2 7 4" xfId="10385" xr:uid="{00000000-0005-0000-0000-0000DD010000}"/>
    <cellStyle name="20% - Accent2 2 8" xfId="2273" xr:uid="{00000000-0005-0000-0000-0000DE010000}"/>
    <cellStyle name="20% - Accent2 2 8 2" xfId="6580" xr:uid="{00000000-0005-0000-0000-0000DF010000}"/>
    <cellStyle name="20% - Accent2 2 8 2 2" xfId="15016" xr:uid="{00000000-0005-0000-0000-0000E0010000}"/>
    <cellStyle name="20% - Accent2 2 8 3" xfId="10798" xr:uid="{00000000-0005-0000-0000-0000E1010000}"/>
    <cellStyle name="20% - Accent2 2 9" xfId="4514" xr:uid="{00000000-0005-0000-0000-0000E2010000}"/>
    <cellStyle name="20% - Accent2 2 9 2" xfId="12950" xr:uid="{00000000-0005-0000-0000-0000E3010000}"/>
    <cellStyle name="20% - Accent2 3" xfId="14" xr:uid="{00000000-0005-0000-0000-0000E4010000}"/>
    <cellStyle name="20% - Accent2 3 2" xfId="15" xr:uid="{00000000-0005-0000-0000-0000E5010000}"/>
    <cellStyle name="20% - Accent2 3 2 2" xfId="584" xr:uid="{00000000-0005-0000-0000-0000E6010000}"/>
    <cellStyle name="20% - Accent2 3 2 2 2" xfId="2855" xr:uid="{00000000-0005-0000-0000-0000E7010000}"/>
    <cellStyle name="20% - Accent2 3 2 2 2 2" xfId="7078" xr:uid="{00000000-0005-0000-0000-0000E8010000}"/>
    <cellStyle name="20% - Accent2 3 2 2 2 2 2" xfId="15514" xr:uid="{00000000-0005-0000-0000-0000E9010000}"/>
    <cellStyle name="20% - Accent2 3 2 2 2 3" xfId="11296" xr:uid="{00000000-0005-0000-0000-0000EA010000}"/>
    <cellStyle name="20% - Accent2 3 2 2 3" xfId="4933" xr:uid="{00000000-0005-0000-0000-0000EB010000}"/>
    <cellStyle name="20% - Accent2 3 2 2 3 2" xfId="13369" xr:uid="{00000000-0005-0000-0000-0000EC010000}"/>
    <cellStyle name="20% - Accent2 3 2 2 4" xfId="9151" xr:uid="{00000000-0005-0000-0000-0000ED010000}"/>
    <cellStyle name="20% - Accent2 3 2 3" xfId="1037" xr:uid="{00000000-0005-0000-0000-0000EE010000}"/>
    <cellStyle name="20% - Accent2 3 2 3 2" xfId="3268" xr:uid="{00000000-0005-0000-0000-0000EF010000}"/>
    <cellStyle name="20% - Accent2 3 2 3 2 2" xfId="7491" xr:uid="{00000000-0005-0000-0000-0000F0010000}"/>
    <cellStyle name="20% - Accent2 3 2 3 2 2 2" xfId="15927" xr:uid="{00000000-0005-0000-0000-0000F1010000}"/>
    <cellStyle name="20% - Accent2 3 2 3 2 3" xfId="11709" xr:uid="{00000000-0005-0000-0000-0000F2010000}"/>
    <cellStyle name="20% - Accent2 3 2 3 3" xfId="5346" xr:uid="{00000000-0005-0000-0000-0000F3010000}"/>
    <cellStyle name="20% - Accent2 3 2 3 3 2" xfId="13782" xr:uid="{00000000-0005-0000-0000-0000F4010000}"/>
    <cellStyle name="20% - Accent2 3 2 3 4" xfId="9564" xr:uid="{00000000-0005-0000-0000-0000F5010000}"/>
    <cellStyle name="20% - Accent2 3 2 4" xfId="1451" xr:uid="{00000000-0005-0000-0000-0000F6010000}"/>
    <cellStyle name="20% - Accent2 3 2 4 2" xfId="3681" xr:uid="{00000000-0005-0000-0000-0000F7010000}"/>
    <cellStyle name="20% - Accent2 3 2 4 2 2" xfId="7904" xr:uid="{00000000-0005-0000-0000-0000F8010000}"/>
    <cellStyle name="20% - Accent2 3 2 4 2 2 2" xfId="16340" xr:uid="{00000000-0005-0000-0000-0000F9010000}"/>
    <cellStyle name="20% - Accent2 3 2 4 2 3" xfId="12122" xr:uid="{00000000-0005-0000-0000-0000FA010000}"/>
    <cellStyle name="20% - Accent2 3 2 4 3" xfId="5759" xr:uid="{00000000-0005-0000-0000-0000FB010000}"/>
    <cellStyle name="20% - Accent2 3 2 4 3 2" xfId="14195" xr:uid="{00000000-0005-0000-0000-0000FC010000}"/>
    <cellStyle name="20% - Accent2 3 2 4 4" xfId="9977" xr:uid="{00000000-0005-0000-0000-0000FD010000}"/>
    <cellStyle name="20% - Accent2 3 2 5" xfId="1865" xr:uid="{00000000-0005-0000-0000-0000FE010000}"/>
    <cellStyle name="20% - Accent2 3 2 5 2" xfId="4094" xr:uid="{00000000-0005-0000-0000-0000FF010000}"/>
    <cellStyle name="20% - Accent2 3 2 5 2 2" xfId="8317" xr:uid="{00000000-0005-0000-0000-000000020000}"/>
    <cellStyle name="20% - Accent2 3 2 5 2 2 2" xfId="16753" xr:uid="{00000000-0005-0000-0000-000001020000}"/>
    <cellStyle name="20% - Accent2 3 2 5 2 3" xfId="12535" xr:uid="{00000000-0005-0000-0000-000002020000}"/>
    <cellStyle name="20% - Accent2 3 2 5 3" xfId="6172" xr:uid="{00000000-0005-0000-0000-000003020000}"/>
    <cellStyle name="20% - Accent2 3 2 5 3 2" xfId="14608" xr:uid="{00000000-0005-0000-0000-000004020000}"/>
    <cellStyle name="20% - Accent2 3 2 5 4" xfId="10390" xr:uid="{00000000-0005-0000-0000-000005020000}"/>
    <cellStyle name="20% - Accent2 3 2 6" xfId="2278" xr:uid="{00000000-0005-0000-0000-000006020000}"/>
    <cellStyle name="20% - Accent2 3 2 6 2" xfId="6585" xr:uid="{00000000-0005-0000-0000-000007020000}"/>
    <cellStyle name="20% - Accent2 3 2 6 2 2" xfId="15021" xr:uid="{00000000-0005-0000-0000-000008020000}"/>
    <cellStyle name="20% - Accent2 3 2 6 3" xfId="10803" xr:uid="{00000000-0005-0000-0000-000009020000}"/>
    <cellStyle name="20% - Accent2 3 2 7" xfId="4519" xr:uid="{00000000-0005-0000-0000-00000A020000}"/>
    <cellStyle name="20% - Accent2 3 2 7 2" xfId="12955" xr:uid="{00000000-0005-0000-0000-00000B020000}"/>
    <cellStyle name="20% - Accent2 3 2 8" xfId="8737" xr:uid="{00000000-0005-0000-0000-00000C020000}"/>
    <cellStyle name="20% - Accent2 3 3" xfId="583" xr:uid="{00000000-0005-0000-0000-00000D020000}"/>
    <cellStyle name="20% - Accent2 3 3 2" xfId="2854" xr:uid="{00000000-0005-0000-0000-00000E020000}"/>
    <cellStyle name="20% - Accent2 3 3 2 2" xfId="7077" xr:uid="{00000000-0005-0000-0000-00000F020000}"/>
    <cellStyle name="20% - Accent2 3 3 2 2 2" xfId="15513" xr:uid="{00000000-0005-0000-0000-000010020000}"/>
    <cellStyle name="20% - Accent2 3 3 2 3" xfId="11295" xr:uid="{00000000-0005-0000-0000-000011020000}"/>
    <cellStyle name="20% - Accent2 3 3 3" xfId="4932" xr:uid="{00000000-0005-0000-0000-000012020000}"/>
    <cellStyle name="20% - Accent2 3 3 3 2" xfId="13368" xr:uid="{00000000-0005-0000-0000-000013020000}"/>
    <cellStyle name="20% - Accent2 3 3 4" xfId="9150" xr:uid="{00000000-0005-0000-0000-000014020000}"/>
    <cellStyle name="20% - Accent2 3 4" xfId="1036" xr:uid="{00000000-0005-0000-0000-000015020000}"/>
    <cellStyle name="20% - Accent2 3 4 2" xfId="3267" xr:uid="{00000000-0005-0000-0000-000016020000}"/>
    <cellStyle name="20% - Accent2 3 4 2 2" xfId="7490" xr:uid="{00000000-0005-0000-0000-000017020000}"/>
    <cellStyle name="20% - Accent2 3 4 2 2 2" xfId="15926" xr:uid="{00000000-0005-0000-0000-000018020000}"/>
    <cellStyle name="20% - Accent2 3 4 2 3" xfId="11708" xr:uid="{00000000-0005-0000-0000-000019020000}"/>
    <cellStyle name="20% - Accent2 3 4 3" xfId="5345" xr:uid="{00000000-0005-0000-0000-00001A020000}"/>
    <cellStyle name="20% - Accent2 3 4 3 2" xfId="13781" xr:uid="{00000000-0005-0000-0000-00001B020000}"/>
    <cellStyle name="20% - Accent2 3 4 4" xfId="9563" xr:uid="{00000000-0005-0000-0000-00001C020000}"/>
    <cellStyle name="20% - Accent2 3 5" xfId="1450" xr:uid="{00000000-0005-0000-0000-00001D020000}"/>
    <cellStyle name="20% - Accent2 3 5 2" xfId="3680" xr:uid="{00000000-0005-0000-0000-00001E020000}"/>
    <cellStyle name="20% - Accent2 3 5 2 2" xfId="7903" xr:uid="{00000000-0005-0000-0000-00001F020000}"/>
    <cellStyle name="20% - Accent2 3 5 2 2 2" xfId="16339" xr:uid="{00000000-0005-0000-0000-000020020000}"/>
    <cellStyle name="20% - Accent2 3 5 2 3" xfId="12121" xr:uid="{00000000-0005-0000-0000-000021020000}"/>
    <cellStyle name="20% - Accent2 3 5 3" xfId="5758" xr:uid="{00000000-0005-0000-0000-000022020000}"/>
    <cellStyle name="20% - Accent2 3 5 3 2" xfId="14194" xr:uid="{00000000-0005-0000-0000-000023020000}"/>
    <cellStyle name="20% - Accent2 3 5 4" xfId="9976" xr:uid="{00000000-0005-0000-0000-000024020000}"/>
    <cellStyle name="20% - Accent2 3 6" xfId="1864" xr:uid="{00000000-0005-0000-0000-000025020000}"/>
    <cellStyle name="20% - Accent2 3 6 2" xfId="4093" xr:uid="{00000000-0005-0000-0000-000026020000}"/>
    <cellStyle name="20% - Accent2 3 6 2 2" xfId="8316" xr:uid="{00000000-0005-0000-0000-000027020000}"/>
    <cellStyle name="20% - Accent2 3 6 2 2 2" xfId="16752" xr:uid="{00000000-0005-0000-0000-000028020000}"/>
    <cellStyle name="20% - Accent2 3 6 2 3" xfId="12534" xr:uid="{00000000-0005-0000-0000-000029020000}"/>
    <cellStyle name="20% - Accent2 3 6 3" xfId="6171" xr:uid="{00000000-0005-0000-0000-00002A020000}"/>
    <cellStyle name="20% - Accent2 3 6 3 2" xfId="14607" xr:uid="{00000000-0005-0000-0000-00002B020000}"/>
    <cellStyle name="20% - Accent2 3 6 4" xfId="10389" xr:uid="{00000000-0005-0000-0000-00002C020000}"/>
    <cellStyle name="20% - Accent2 3 7" xfId="2277" xr:uid="{00000000-0005-0000-0000-00002D020000}"/>
    <cellStyle name="20% - Accent2 3 7 2" xfId="6584" xr:uid="{00000000-0005-0000-0000-00002E020000}"/>
    <cellStyle name="20% - Accent2 3 7 2 2" xfId="15020" xr:uid="{00000000-0005-0000-0000-00002F020000}"/>
    <cellStyle name="20% - Accent2 3 7 3" xfId="10802" xr:uid="{00000000-0005-0000-0000-000030020000}"/>
    <cellStyle name="20% - Accent2 3 8" xfId="4518" xr:uid="{00000000-0005-0000-0000-000031020000}"/>
    <cellStyle name="20% - Accent2 3 8 2" xfId="12954" xr:uid="{00000000-0005-0000-0000-000032020000}"/>
    <cellStyle name="20% - Accent2 3 9" xfId="8736" xr:uid="{00000000-0005-0000-0000-000033020000}"/>
    <cellStyle name="20% - Accent2 4" xfId="16" xr:uid="{00000000-0005-0000-0000-000034020000}"/>
    <cellStyle name="20% - Accent2 4 2" xfId="585" xr:uid="{00000000-0005-0000-0000-000035020000}"/>
    <cellStyle name="20% - Accent2 4 2 2" xfId="2856" xr:uid="{00000000-0005-0000-0000-000036020000}"/>
    <cellStyle name="20% - Accent2 4 2 2 2" xfId="7079" xr:uid="{00000000-0005-0000-0000-000037020000}"/>
    <cellStyle name="20% - Accent2 4 2 2 2 2" xfId="15515" xr:uid="{00000000-0005-0000-0000-000038020000}"/>
    <cellStyle name="20% - Accent2 4 2 2 3" xfId="11297" xr:uid="{00000000-0005-0000-0000-000039020000}"/>
    <cellStyle name="20% - Accent2 4 2 3" xfId="4934" xr:uid="{00000000-0005-0000-0000-00003A020000}"/>
    <cellStyle name="20% - Accent2 4 2 3 2" xfId="13370" xr:uid="{00000000-0005-0000-0000-00003B020000}"/>
    <cellStyle name="20% - Accent2 4 2 4" xfId="9152" xr:uid="{00000000-0005-0000-0000-00003C020000}"/>
    <cellStyle name="20% - Accent2 4 3" xfId="1038" xr:uid="{00000000-0005-0000-0000-00003D020000}"/>
    <cellStyle name="20% - Accent2 4 3 2" xfId="3269" xr:uid="{00000000-0005-0000-0000-00003E020000}"/>
    <cellStyle name="20% - Accent2 4 3 2 2" xfId="7492" xr:uid="{00000000-0005-0000-0000-00003F020000}"/>
    <cellStyle name="20% - Accent2 4 3 2 2 2" xfId="15928" xr:uid="{00000000-0005-0000-0000-000040020000}"/>
    <cellStyle name="20% - Accent2 4 3 2 3" xfId="11710" xr:uid="{00000000-0005-0000-0000-000041020000}"/>
    <cellStyle name="20% - Accent2 4 3 3" xfId="5347" xr:uid="{00000000-0005-0000-0000-000042020000}"/>
    <cellStyle name="20% - Accent2 4 3 3 2" xfId="13783" xr:uid="{00000000-0005-0000-0000-000043020000}"/>
    <cellStyle name="20% - Accent2 4 3 4" xfId="9565" xr:uid="{00000000-0005-0000-0000-000044020000}"/>
    <cellStyle name="20% - Accent2 4 4" xfId="1452" xr:uid="{00000000-0005-0000-0000-000045020000}"/>
    <cellStyle name="20% - Accent2 4 4 2" xfId="3682" xr:uid="{00000000-0005-0000-0000-000046020000}"/>
    <cellStyle name="20% - Accent2 4 4 2 2" xfId="7905" xr:uid="{00000000-0005-0000-0000-000047020000}"/>
    <cellStyle name="20% - Accent2 4 4 2 2 2" xfId="16341" xr:uid="{00000000-0005-0000-0000-000048020000}"/>
    <cellStyle name="20% - Accent2 4 4 2 3" xfId="12123" xr:uid="{00000000-0005-0000-0000-000049020000}"/>
    <cellStyle name="20% - Accent2 4 4 3" xfId="5760" xr:uid="{00000000-0005-0000-0000-00004A020000}"/>
    <cellStyle name="20% - Accent2 4 4 3 2" xfId="14196" xr:uid="{00000000-0005-0000-0000-00004B020000}"/>
    <cellStyle name="20% - Accent2 4 4 4" xfId="9978" xr:uid="{00000000-0005-0000-0000-00004C020000}"/>
    <cellStyle name="20% - Accent2 4 5" xfId="1866" xr:uid="{00000000-0005-0000-0000-00004D020000}"/>
    <cellStyle name="20% - Accent2 4 5 2" xfId="4095" xr:uid="{00000000-0005-0000-0000-00004E020000}"/>
    <cellStyle name="20% - Accent2 4 5 2 2" xfId="8318" xr:uid="{00000000-0005-0000-0000-00004F020000}"/>
    <cellStyle name="20% - Accent2 4 5 2 2 2" xfId="16754" xr:uid="{00000000-0005-0000-0000-000050020000}"/>
    <cellStyle name="20% - Accent2 4 5 2 3" xfId="12536" xr:uid="{00000000-0005-0000-0000-000051020000}"/>
    <cellStyle name="20% - Accent2 4 5 3" xfId="6173" xr:uid="{00000000-0005-0000-0000-000052020000}"/>
    <cellStyle name="20% - Accent2 4 5 3 2" xfId="14609" xr:uid="{00000000-0005-0000-0000-000053020000}"/>
    <cellStyle name="20% - Accent2 4 5 4" xfId="10391" xr:uid="{00000000-0005-0000-0000-000054020000}"/>
    <cellStyle name="20% - Accent2 4 6" xfId="2279" xr:uid="{00000000-0005-0000-0000-000055020000}"/>
    <cellStyle name="20% - Accent2 4 6 2" xfId="6586" xr:uid="{00000000-0005-0000-0000-000056020000}"/>
    <cellStyle name="20% - Accent2 4 6 2 2" xfId="15022" xr:uid="{00000000-0005-0000-0000-000057020000}"/>
    <cellStyle name="20% - Accent2 4 6 3" xfId="10804" xr:uid="{00000000-0005-0000-0000-000058020000}"/>
    <cellStyle name="20% - Accent2 4 7" xfId="4520" xr:uid="{00000000-0005-0000-0000-000059020000}"/>
    <cellStyle name="20% - Accent2 4 7 2" xfId="12956" xr:uid="{00000000-0005-0000-0000-00005A020000}"/>
    <cellStyle name="20% - Accent2 4 8" xfId="8738" xr:uid="{00000000-0005-0000-0000-00005B020000}"/>
    <cellStyle name="20% - Accent2 5" xfId="578" xr:uid="{00000000-0005-0000-0000-00005C020000}"/>
    <cellStyle name="20% - Accent2 5 2" xfId="2849" xr:uid="{00000000-0005-0000-0000-00005D020000}"/>
    <cellStyle name="20% - Accent2 5 2 2" xfId="7072" xr:uid="{00000000-0005-0000-0000-00005E020000}"/>
    <cellStyle name="20% - Accent2 5 2 2 2" xfId="15508" xr:uid="{00000000-0005-0000-0000-00005F020000}"/>
    <cellStyle name="20% - Accent2 5 2 3" xfId="11290" xr:uid="{00000000-0005-0000-0000-000060020000}"/>
    <cellStyle name="20% - Accent2 5 3" xfId="4927" xr:uid="{00000000-0005-0000-0000-000061020000}"/>
    <cellStyle name="20% - Accent2 5 3 2" xfId="13363" xr:uid="{00000000-0005-0000-0000-000062020000}"/>
    <cellStyle name="20% - Accent2 5 4" xfId="9145" xr:uid="{00000000-0005-0000-0000-000063020000}"/>
    <cellStyle name="20% - Accent2 6" xfId="1031" xr:uid="{00000000-0005-0000-0000-000064020000}"/>
    <cellStyle name="20% - Accent2 6 2" xfId="3262" xr:uid="{00000000-0005-0000-0000-000065020000}"/>
    <cellStyle name="20% - Accent2 6 2 2" xfId="7485" xr:uid="{00000000-0005-0000-0000-000066020000}"/>
    <cellStyle name="20% - Accent2 6 2 2 2" xfId="15921" xr:uid="{00000000-0005-0000-0000-000067020000}"/>
    <cellStyle name="20% - Accent2 6 2 3" xfId="11703" xr:uid="{00000000-0005-0000-0000-000068020000}"/>
    <cellStyle name="20% - Accent2 6 3" xfId="5340" xr:uid="{00000000-0005-0000-0000-000069020000}"/>
    <cellStyle name="20% - Accent2 6 3 2" xfId="13776" xr:uid="{00000000-0005-0000-0000-00006A020000}"/>
    <cellStyle name="20% - Accent2 6 4" xfId="9558" xr:uid="{00000000-0005-0000-0000-00006B020000}"/>
    <cellStyle name="20% - Accent2 7" xfId="1445" xr:uid="{00000000-0005-0000-0000-00006C020000}"/>
    <cellStyle name="20% - Accent2 7 2" xfId="3675" xr:uid="{00000000-0005-0000-0000-00006D020000}"/>
    <cellStyle name="20% - Accent2 7 2 2" xfId="7898" xr:uid="{00000000-0005-0000-0000-00006E020000}"/>
    <cellStyle name="20% - Accent2 7 2 2 2" xfId="16334" xr:uid="{00000000-0005-0000-0000-00006F020000}"/>
    <cellStyle name="20% - Accent2 7 2 3" xfId="12116" xr:uid="{00000000-0005-0000-0000-000070020000}"/>
    <cellStyle name="20% - Accent2 7 3" xfId="5753" xr:uid="{00000000-0005-0000-0000-000071020000}"/>
    <cellStyle name="20% - Accent2 7 3 2" xfId="14189" xr:uid="{00000000-0005-0000-0000-000072020000}"/>
    <cellStyle name="20% - Accent2 7 4" xfId="9971" xr:uid="{00000000-0005-0000-0000-000073020000}"/>
    <cellStyle name="20% - Accent2 8" xfId="1859" xr:uid="{00000000-0005-0000-0000-000074020000}"/>
    <cellStyle name="20% - Accent2 8 2" xfId="4088" xr:uid="{00000000-0005-0000-0000-000075020000}"/>
    <cellStyle name="20% - Accent2 8 2 2" xfId="8311" xr:uid="{00000000-0005-0000-0000-000076020000}"/>
    <cellStyle name="20% - Accent2 8 2 2 2" xfId="16747" xr:uid="{00000000-0005-0000-0000-000077020000}"/>
    <cellStyle name="20% - Accent2 8 2 3" xfId="12529" xr:uid="{00000000-0005-0000-0000-000078020000}"/>
    <cellStyle name="20% - Accent2 8 3" xfId="6166" xr:uid="{00000000-0005-0000-0000-000079020000}"/>
    <cellStyle name="20% - Accent2 8 3 2" xfId="14602" xr:uid="{00000000-0005-0000-0000-00007A020000}"/>
    <cellStyle name="20% - Accent2 8 4" xfId="10384" xr:uid="{00000000-0005-0000-0000-00007B020000}"/>
    <cellStyle name="20% - Accent2 9" xfId="2272" xr:uid="{00000000-0005-0000-0000-00007C020000}"/>
    <cellStyle name="20% - Accent2 9 2" xfId="6579" xr:uid="{00000000-0005-0000-0000-00007D020000}"/>
    <cellStyle name="20% - Accent2 9 2 2" xfId="15015" xr:uid="{00000000-0005-0000-0000-00007E020000}"/>
    <cellStyle name="20% - Accent2 9 3" xfId="10797" xr:uid="{00000000-0005-0000-0000-00007F020000}"/>
    <cellStyle name="20% - Accent3" xfId="17" builtinId="38" customBuiltin="1"/>
    <cellStyle name="20% - Accent3 10" xfId="4521" xr:uid="{00000000-0005-0000-0000-000081020000}"/>
    <cellStyle name="20% - Accent3 10 2" xfId="12957" xr:uid="{00000000-0005-0000-0000-000082020000}"/>
    <cellStyle name="20% - Accent3 11" xfId="8739" xr:uid="{00000000-0005-0000-0000-000083020000}"/>
    <cellStyle name="20% - Accent3 2" xfId="18" xr:uid="{00000000-0005-0000-0000-000084020000}"/>
    <cellStyle name="20% - Accent3 2 10" xfId="8740" xr:uid="{00000000-0005-0000-0000-000085020000}"/>
    <cellStyle name="20% - Accent3 2 2" xfId="19" xr:uid="{00000000-0005-0000-0000-000086020000}"/>
    <cellStyle name="20% - Accent3 2 2 2" xfId="20" xr:uid="{00000000-0005-0000-0000-000087020000}"/>
    <cellStyle name="20% - Accent3 2 2 2 2" xfId="589" xr:uid="{00000000-0005-0000-0000-000088020000}"/>
    <cellStyle name="20% - Accent3 2 2 2 2 2" xfId="2860" xr:uid="{00000000-0005-0000-0000-000089020000}"/>
    <cellStyle name="20% - Accent3 2 2 2 2 2 2" xfId="7083" xr:uid="{00000000-0005-0000-0000-00008A020000}"/>
    <cellStyle name="20% - Accent3 2 2 2 2 2 2 2" xfId="15519" xr:uid="{00000000-0005-0000-0000-00008B020000}"/>
    <cellStyle name="20% - Accent3 2 2 2 2 2 3" xfId="11301" xr:uid="{00000000-0005-0000-0000-00008C020000}"/>
    <cellStyle name="20% - Accent3 2 2 2 2 3" xfId="4938" xr:uid="{00000000-0005-0000-0000-00008D020000}"/>
    <cellStyle name="20% - Accent3 2 2 2 2 3 2" xfId="13374" xr:uid="{00000000-0005-0000-0000-00008E020000}"/>
    <cellStyle name="20% - Accent3 2 2 2 2 4" xfId="9156" xr:uid="{00000000-0005-0000-0000-00008F020000}"/>
    <cellStyle name="20% - Accent3 2 2 2 3" xfId="1042" xr:uid="{00000000-0005-0000-0000-000090020000}"/>
    <cellStyle name="20% - Accent3 2 2 2 3 2" xfId="3273" xr:uid="{00000000-0005-0000-0000-000091020000}"/>
    <cellStyle name="20% - Accent3 2 2 2 3 2 2" xfId="7496" xr:uid="{00000000-0005-0000-0000-000092020000}"/>
    <cellStyle name="20% - Accent3 2 2 2 3 2 2 2" xfId="15932" xr:uid="{00000000-0005-0000-0000-000093020000}"/>
    <cellStyle name="20% - Accent3 2 2 2 3 2 3" xfId="11714" xr:uid="{00000000-0005-0000-0000-000094020000}"/>
    <cellStyle name="20% - Accent3 2 2 2 3 3" xfId="5351" xr:uid="{00000000-0005-0000-0000-000095020000}"/>
    <cellStyle name="20% - Accent3 2 2 2 3 3 2" xfId="13787" xr:uid="{00000000-0005-0000-0000-000096020000}"/>
    <cellStyle name="20% - Accent3 2 2 2 3 4" xfId="9569" xr:uid="{00000000-0005-0000-0000-000097020000}"/>
    <cellStyle name="20% - Accent3 2 2 2 4" xfId="1456" xr:uid="{00000000-0005-0000-0000-000098020000}"/>
    <cellStyle name="20% - Accent3 2 2 2 4 2" xfId="3686" xr:uid="{00000000-0005-0000-0000-000099020000}"/>
    <cellStyle name="20% - Accent3 2 2 2 4 2 2" xfId="7909" xr:uid="{00000000-0005-0000-0000-00009A020000}"/>
    <cellStyle name="20% - Accent3 2 2 2 4 2 2 2" xfId="16345" xr:uid="{00000000-0005-0000-0000-00009B020000}"/>
    <cellStyle name="20% - Accent3 2 2 2 4 2 3" xfId="12127" xr:uid="{00000000-0005-0000-0000-00009C020000}"/>
    <cellStyle name="20% - Accent3 2 2 2 4 3" xfId="5764" xr:uid="{00000000-0005-0000-0000-00009D020000}"/>
    <cellStyle name="20% - Accent3 2 2 2 4 3 2" xfId="14200" xr:uid="{00000000-0005-0000-0000-00009E020000}"/>
    <cellStyle name="20% - Accent3 2 2 2 4 4" xfId="9982" xr:uid="{00000000-0005-0000-0000-00009F020000}"/>
    <cellStyle name="20% - Accent3 2 2 2 5" xfId="1870" xr:uid="{00000000-0005-0000-0000-0000A0020000}"/>
    <cellStyle name="20% - Accent3 2 2 2 5 2" xfId="4099" xr:uid="{00000000-0005-0000-0000-0000A1020000}"/>
    <cellStyle name="20% - Accent3 2 2 2 5 2 2" xfId="8322" xr:uid="{00000000-0005-0000-0000-0000A2020000}"/>
    <cellStyle name="20% - Accent3 2 2 2 5 2 2 2" xfId="16758" xr:uid="{00000000-0005-0000-0000-0000A3020000}"/>
    <cellStyle name="20% - Accent3 2 2 2 5 2 3" xfId="12540" xr:uid="{00000000-0005-0000-0000-0000A4020000}"/>
    <cellStyle name="20% - Accent3 2 2 2 5 3" xfId="6177" xr:uid="{00000000-0005-0000-0000-0000A5020000}"/>
    <cellStyle name="20% - Accent3 2 2 2 5 3 2" xfId="14613" xr:uid="{00000000-0005-0000-0000-0000A6020000}"/>
    <cellStyle name="20% - Accent3 2 2 2 5 4" xfId="10395" xr:uid="{00000000-0005-0000-0000-0000A7020000}"/>
    <cellStyle name="20% - Accent3 2 2 2 6" xfId="2283" xr:uid="{00000000-0005-0000-0000-0000A8020000}"/>
    <cellStyle name="20% - Accent3 2 2 2 6 2" xfId="6590" xr:uid="{00000000-0005-0000-0000-0000A9020000}"/>
    <cellStyle name="20% - Accent3 2 2 2 6 2 2" xfId="15026" xr:uid="{00000000-0005-0000-0000-0000AA020000}"/>
    <cellStyle name="20% - Accent3 2 2 2 6 3" xfId="10808" xr:uid="{00000000-0005-0000-0000-0000AB020000}"/>
    <cellStyle name="20% - Accent3 2 2 2 7" xfId="4524" xr:uid="{00000000-0005-0000-0000-0000AC020000}"/>
    <cellStyle name="20% - Accent3 2 2 2 7 2" xfId="12960" xr:uid="{00000000-0005-0000-0000-0000AD020000}"/>
    <cellStyle name="20% - Accent3 2 2 2 8" xfId="8742" xr:uid="{00000000-0005-0000-0000-0000AE020000}"/>
    <cellStyle name="20% - Accent3 2 2 3" xfId="588" xr:uid="{00000000-0005-0000-0000-0000AF020000}"/>
    <cellStyle name="20% - Accent3 2 2 3 2" xfId="2859" xr:uid="{00000000-0005-0000-0000-0000B0020000}"/>
    <cellStyle name="20% - Accent3 2 2 3 2 2" xfId="7082" xr:uid="{00000000-0005-0000-0000-0000B1020000}"/>
    <cellStyle name="20% - Accent3 2 2 3 2 2 2" xfId="15518" xr:uid="{00000000-0005-0000-0000-0000B2020000}"/>
    <cellStyle name="20% - Accent3 2 2 3 2 3" xfId="11300" xr:uid="{00000000-0005-0000-0000-0000B3020000}"/>
    <cellStyle name="20% - Accent3 2 2 3 3" xfId="4937" xr:uid="{00000000-0005-0000-0000-0000B4020000}"/>
    <cellStyle name="20% - Accent3 2 2 3 3 2" xfId="13373" xr:uid="{00000000-0005-0000-0000-0000B5020000}"/>
    <cellStyle name="20% - Accent3 2 2 3 4" xfId="9155" xr:uid="{00000000-0005-0000-0000-0000B6020000}"/>
    <cellStyle name="20% - Accent3 2 2 4" xfId="1041" xr:uid="{00000000-0005-0000-0000-0000B7020000}"/>
    <cellStyle name="20% - Accent3 2 2 4 2" xfId="3272" xr:uid="{00000000-0005-0000-0000-0000B8020000}"/>
    <cellStyle name="20% - Accent3 2 2 4 2 2" xfId="7495" xr:uid="{00000000-0005-0000-0000-0000B9020000}"/>
    <cellStyle name="20% - Accent3 2 2 4 2 2 2" xfId="15931" xr:uid="{00000000-0005-0000-0000-0000BA020000}"/>
    <cellStyle name="20% - Accent3 2 2 4 2 3" xfId="11713" xr:uid="{00000000-0005-0000-0000-0000BB020000}"/>
    <cellStyle name="20% - Accent3 2 2 4 3" xfId="5350" xr:uid="{00000000-0005-0000-0000-0000BC020000}"/>
    <cellStyle name="20% - Accent3 2 2 4 3 2" xfId="13786" xr:uid="{00000000-0005-0000-0000-0000BD020000}"/>
    <cellStyle name="20% - Accent3 2 2 4 4" xfId="9568" xr:uid="{00000000-0005-0000-0000-0000BE020000}"/>
    <cellStyle name="20% - Accent3 2 2 5" xfId="1455" xr:uid="{00000000-0005-0000-0000-0000BF020000}"/>
    <cellStyle name="20% - Accent3 2 2 5 2" xfId="3685" xr:uid="{00000000-0005-0000-0000-0000C0020000}"/>
    <cellStyle name="20% - Accent3 2 2 5 2 2" xfId="7908" xr:uid="{00000000-0005-0000-0000-0000C1020000}"/>
    <cellStyle name="20% - Accent3 2 2 5 2 2 2" xfId="16344" xr:uid="{00000000-0005-0000-0000-0000C2020000}"/>
    <cellStyle name="20% - Accent3 2 2 5 2 3" xfId="12126" xr:uid="{00000000-0005-0000-0000-0000C3020000}"/>
    <cellStyle name="20% - Accent3 2 2 5 3" xfId="5763" xr:uid="{00000000-0005-0000-0000-0000C4020000}"/>
    <cellStyle name="20% - Accent3 2 2 5 3 2" xfId="14199" xr:uid="{00000000-0005-0000-0000-0000C5020000}"/>
    <cellStyle name="20% - Accent3 2 2 5 4" xfId="9981" xr:uid="{00000000-0005-0000-0000-0000C6020000}"/>
    <cellStyle name="20% - Accent3 2 2 6" xfId="1869" xr:uid="{00000000-0005-0000-0000-0000C7020000}"/>
    <cellStyle name="20% - Accent3 2 2 6 2" xfId="4098" xr:uid="{00000000-0005-0000-0000-0000C8020000}"/>
    <cellStyle name="20% - Accent3 2 2 6 2 2" xfId="8321" xr:uid="{00000000-0005-0000-0000-0000C9020000}"/>
    <cellStyle name="20% - Accent3 2 2 6 2 2 2" xfId="16757" xr:uid="{00000000-0005-0000-0000-0000CA020000}"/>
    <cellStyle name="20% - Accent3 2 2 6 2 3" xfId="12539" xr:uid="{00000000-0005-0000-0000-0000CB020000}"/>
    <cellStyle name="20% - Accent3 2 2 6 3" xfId="6176" xr:uid="{00000000-0005-0000-0000-0000CC020000}"/>
    <cellStyle name="20% - Accent3 2 2 6 3 2" xfId="14612" xr:uid="{00000000-0005-0000-0000-0000CD020000}"/>
    <cellStyle name="20% - Accent3 2 2 6 4" xfId="10394" xr:uid="{00000000-0005-0000-0000-0000CE020000}"/>
    <cellStyle name="20% - Accent3 2 2 7" xfId="2282" xr:uid="{00000000-0005-0000-0000-0000CF020000}"/>
    <cellStyle name="20% - Accent3 2 2 7 2" xfId="6589" xr:uid="{00000000-0005-0000-0000-0000D0020000}"/>
    <cellStyle name="20% - Accent3 2 2 7 2 2" xfId="15025" xr:uid="{00000000-0005-0000-0000-0000D1020000}"/>
    <cellStyle name="20% - Accent3 2 2 7 3" xfId="10807" xr:uid="{00000000-0005-0000-0000-0000D2020000}"/>
    <cellStyle name="20% - Accent3 2 2 8" xfId="4523" xr:uid="{00000000-0005-0000-0000-0000D3020000}"/>
    <cellStyle name="20% - Accent3 2 2 8 2" xfId="12959" xr:uid="{00000000-0005-0000-0000-0000D4020000}"/>
    <cellStyle name="20% - Accent3 2 2 9" xfId="8741" xr:uid="{00000000-0005-0000-0000-0000D5020000}"/>
    <cellStyle name="20% - Accent3 2 3" xfId="21" xr:uid="{00000000-0005-0000-0000-0000D6020000}"/>
    <cellStyle name="20% - Accent3 2 3 2" xfId="590" xr:uid="{00000000-0005-0000-0000-0000D7020000}"/>
    <cellStyle name="20% - Accent3 2 3 2 2" xfId="2861" xr:uid="{00000000-0005-0000-0000-0000D8020000}"/>
    <cellStyle name="20% - Accent3 2 3 2 2 2" xfId="7084" xr:uid="{00000000-0005-0000-0000-0000D9020000}"/>
    <cellStyle name="20% - Accent3 2 3 2 2 2 2" xfId="15520" xr:uid="{00000000-0005-0000-0000-0000DA020000}"/>
    <cellStyle name="20% - Accent3 2 3 2 2 3" xfId="11302" xr:uid="{00000000-0005-0000-0000-0000DB020000}"/>
    <cellStyle name="20% - Accent3 2 3 2 3" xfId="4939" xr:uid="{00000000-0005-0000-0000-0000DC020000}"/>
    <cellStyle name="20% - Accent3 2 3 2 3 2" xfId="13375" xr:uid="{00000000-0005-0000-0000-0000DD020000}"/>
    <cellStyle name="20% - Accent3 2 3 2 4" xfId="9157" xr:uid="{00000000-0005-0000-0000-0000DE020000}"/>
    <cellStyle name="20% - Accent3 2 3 3" xfId="1043" xr:uid="{00000000-0005-0000-0000-0000DF020000}"/>
    <cellStyle name="20% - Accent3 2 3 3 2" xfId="3274" xr:uid="{00000000-0005-0000-0000-0000E0020000}"/>
    <cellStyle name="20% - Accent3 2 3 3 2 2" xfId="7497" xr:uid="{00000000-0005-0000-0000-0000E1020000}"/>
    <cellStyle name="20% - Accent3 2 3 3 2 2 2" xfId="15933" xr:uid="{00000000-0005-0000-0000-0000E2020000}"/>
    <cellStyle name="20% - Accent3 2 3 3 2 3" xfId="11715" xr:uid="{00000000-0005-0000-0000-0000E3020000}"/>
    <cellStyle name="20% - Accent3 2 3 3 3" xfId="5352" xr:uid="{00000000-0005-0000-0000-0000E4020000}"/>
    <cellStyle name="20% - Accent3 2 3 3 3 2" xfId="13788" xr:uid="{00000000-0005-0000-0000-0000E5020000}"/>
    <cellStyle name="20% - Accent3 2 3 3 4" xfId="9570" xr:uid="{00000000-0005-0000-0000-0000E6020000}"/>
    <cellStyle name="20% - Accent3 2 3 4" xfId="1457" xr:uid="{00000000-0005-0000-0000-0000E7020000}"/>
    <cellStyle name="20% - Accent3 2 3 4 2" xfId="3687" xr:uid="{00000000-0005-0000-0000-0000E8020000}"/>
    <cellStyle name="20% - Accent3 2 3 4 2 2" xfId="7910" xr:uid="{00000000-0005-0000-0000-0000E9020000}"/>
    <cellStyle name="20% - Accent3 2 3 4 2 2 2" xfId="16346" xr:uid="{00000000-0005-0000-0000-0000EA020000}"/>
    <cellStyle name="20% - Accent3 2 3 4 2 3" xfId="12128" xr:uid="{00000000-0005-0000-0000-0000EB020000}"/>
    <cellStyle name="20% - Accent3 2 3 4 3" xfId="5765" xr:uid="{00000000-0005-0000-0000-0000EC020000}"/>
    <cellStyle name="20% - Accent3 2 3 4 3 2" xfId="14201" xr:uid="{00000000-0005-0000-0000-0000ED020000}"/>
    <cellStyle name="20% - Accent3 2 3 4 4" xfId="9983" xr:uid="{00000000-0005-0000-0000-0000EE020000}"/>
    <cellStyle name="20% - Accent3 2 3 5" xfId="1871" xr:uid="{00000000-0005-0000-0000-0000EF020000}"/>
    <cellStyle name="20% - Accent3 2 3 5 2" xfId="4100" xr:uid="{00000000-0005-0000-0000-0000F0020000}"/>
    <cellStyle name="20% - Accent3 2 3 5 2 2" xfId="8323" xr:uid="{00000000-0005-0000-0000-0000F1020000}"/>
    <cellStyle name="20% - Accent3 2 3 5 2 2 2" xfId="16759" xr:uid="{00000000-0005-0000-0000-0000F2020000}"/>
    <cellStyle name="20% - Accent3 2 3 5 2 3" xfId="12541" xr:uid="{00000000-0005-0000-0000-0000F3020000}"/>
    <cellStyle name="20% - Accent3 2 3 5 3" xfId="6178" xr:uid="{00000000-0005-0000-0000-0000F4020000}"/>
    <cellStyle name="20% - Accent3 2 3 5 3 2" xfId="14614" xr:uid="{00000000-0005-0000-0000-0000F5020000}"/>
    <cellStyle name="20% - Accent3 2 3 5 4" xfId="10396" xr:uid="{00000000-0005-0000-0000-0000F6020000}"/>
    <cellStyle name="20% - Accent3 2 3 6" xfId="2284" xr:uid="{00000000-0005-0000-0000-0000F7020000}"/>
    <cellStyle name="20% - Accent3 2 3 6 2" xfId="6591" xr:uid="{00000000-0005-0000-0000-0000F8020000}"/>
    <cellStyle name="20% - Accent3 2 3 6 2 2" xfId="15027" xr:uid="{00000000-0005-0000-0000-0000F9020000}"/>
    <cellStyle name="20% - Accent3 2 3 6 3" xfId="10809" xr:uid="{00000000-0005-0000-0000-0000FA020000}"/>
    <cellStyle name="20% - Accent3 2 3 7" xfId="4525" xr:uid="{00000000-0005-0000-0000-0000FB020000}"/>
    <cellStyle name="20% - Accent3 2 3 7 2" xfId="12961" xr:uid="{00000000-0005-0000-0000-0000FC020000}"/>
    <cellStyle name="20% - Accent3 2 3 8" xfId="8743" xr:uid="{00000000-0005-0000-0000-0000FD020000}"/>
    <cellStyle name="20% - Accent3 2 4" xfId="587" xr:uid="{00000000-0005-0000-0000-0000FE020000}"/>
    <cellStyle name="20% - Accent3 2 4 2" xfId="2858" xr:uid="{00000000-0005-0000-0000-0000FF020000}"/>
    <cellStyle name="20% - Accent3 2 4 2 2" xfId="7081" xr:uid="{00000000-0005-0000-0000-000000030000}"/>
    <cellStyle name="20% - Accent3 2 4 2 2 2" xfId="15517" xr:uid="{00000000-0005-0000-0000-000001030000}"/>
    <cellStyle name="20% - Accent3 2 4 2 3" xfId="11299" xr:uid="{00000000-0005-0000-0000-000002030000}"/>
    <cellStyle name="20% - Accent3 2 4 3" xfId="4936" xr:uid="{00000000-0005-0000-0000-000003030000}"/>
    <cellStyle name="20% - Accent3 2 4 3 2" xfId="13372" xr:uid="{00000000-0005-0000-0000-000004030000}"/>
    <cellStyle name="20% - Accent3 2 4 4" xfId="9154" xr:uid="{00000000-0005-0000-0000-000005030000}"/>
    <cellStyle name="20% - Accent3 2 5" xfId="1040" xr:uid="{00000000-0005-0000-0000-000006030000}"/>
    <cellStyle name="20% - Accent3 2 5 2" xfId="3271" xr:uid="{00000000-0005-0000-0000-000007030000}"/>
    <cellStyle name="20% - Accent3 2 5 2 2" xfId="7494" xr:uid="{00000000-0005-0000-0000-000008030000}"/>
    <cellStyle name="20% - Accent3 2 5 2 2 2" xfId="15930" xr:uid="{00000000-0005-0000-0000-000009030000}"/>
    <cellStyle name="20% - Accent3 2 5 2 3" xfId="11712" xr:uid="{00000000-0005-0000-0000-00000A030000}"/>
    <cellStyle name="20% - Accent3 2 5 3" xfId="5349" xr:uid="{00000000-0005-0000-0000-00000B030000}"/>
    <cellStyle name="20% - Accent3 2 5 3 2" xfId="13785" xr:uid="{00000000-0005-0000-0000-00000C030000}"/>
    <cellStyle name="20% - Accent3 2 5 4" xfId="9567" xr:uid="{00000000-0005-0000-0000-00000D030000}"/>
    <cellStyle name="20% - Accent3 2 6" xfId="1454" xr:uid="{00000000-0005-0000-0000-00000E030000}"/>
    <cellStyle name="20% - Accent3 2 6 2" xfId="3684" xr:uid="{00000000-0005-0000-0000-00000F030000}"/>
    <cellStyle name="20% - Accent3 2 6 2 2" xfId="7907" xr:uid="{00000000-0005-0000-0000-000010030000}"/>
    <cellStyle name="20% - Accent3 2 6 2 2 2" xfId="16343" xr:uid="{00000000-0005-0000-0000-000011030000}"/>
    <cellStyle name="20% - Accent3 2 6 2 3" xfId="12125" xr:uid="{00000000-0005-0000-0000-000012030000}"/>
    <cellStyle name="20% - Accent3 2 6 3" xfId="5762" xr:uid="{00000000-0005-0000-0000-000013030000}"/>
    <cellStyle name="20% - Accent3 2 6 3 2" xfId="14198" xr:uid="{00000000-0005-0000-0000-000014030000}"/>
    <cellStyle name="20% - Accent3 2 6 4" xfId="9980" xr:uid="{00000000-0005-0000-0000-000015030000}"/>
    <cellStyle name="20% - Accent3 2 7" xfId="1868" xr:uid="{00000000-0005-0000-0000-000016030000}"/>
    <cellStyle name="20% - Accent3 2 7 2" xfId="4097" xr:uid="{00000000-0005-0000-0000-000017030000}"/>
    <cellStyle name="20% - Accent3 2 7 2 2" xfId="8320" xr:uid="{00000000-0005-0000-0000-000018030000}"/>
    <cellStyle name="20% - Accent3 2 7 2 2 2" xfId="16756" xr:uid="{00000000-0005-0000-0000-000019030000}"/>
    <cellStyle name="20% - Accent3 2 7 2 3" xfId="12538" xr:uid="{00000000-0005-0000-0000-00001A030000}"/>
    <cellStyle name="20% - Accent3 2 7 3" xfId="6175" xr:uid="{00000000-0005-0000-0000-00001B030000}"/>
    <cellStyle name="20% - Accent3 2 7 3 2" xfId="14611" xr:uid="{00000000-0005-0000-0000-00001C030000}"/>
    <cellStyle name="20% - Accent3 2 7 4" xfId="10393" xr:uid="{00000000-0005-0000-0000-00001D030000}"/>
    <cellStyle name="20% - Accent3 2 8" xfId="2281" xr:uid="{00000000-0005-0000-0000-00001E030000}"/>
    <cellStyle name="20% - Accent3 2 8 2" xfId="6588" xr:uid="{00000000-0005-0000-0000-00001F030000}"/>
    <cellStyle name="20% - Accent3 2 8 2 2" xfId="15024" xr:uid="{00000000-0005-0000-0000-000020030000}"/>
    <cellStyle name="20% - Accent3 2 8 3" xfId="10806" xr:uid="{00000000-0005-0000-0000-000021030000}"/>
    <cellStyle name="20% - Accent3 2 9" xfId="4522" xr:uid="{00000000-0005-0000-0000-000022030000}"/>
    <cellStyle name="20% - Accent3 2 9 2" xfId="12958" xr:uid="{00000000-0005-0000-0000-000023030000}"/>
    <cellStyle name="20% - Accent3 3" xfId="22" xr:uid="{00000000-0005-0000-0000-000024030000}"/>
    <cellStyle name="20% - Accent3 3 2" xfId="23" xr:uid="{00000000-0005-0000-0000-000025030000}"/>
    <cellStyle name="20% - Accent3 3 2 2" xfId="592" xr:uid="{00000000-0005-0000-0000-000026030000}"/>
    <cellStyle name="20% - Accent3 3 2 2 2" xfId="2863" xr:uid="{00000000-0005-0000-0000-000027030000}"/>
    <cellStyle name="20% - Accent3 3 2 2 2 2" xfId="7086" xr:uid="{00000000-0005-0000-0000-000028030000}"/>
    <cellStyle name="20% - Accent3 3 2 2 2 2 2" xfId="15522" xr:uid="{00000000-0005-0000-0000-000029030000}"/>
    <cellStyle name="20% - Accent3 3 2 2 2 3" xfId="11304" xr:uid="{00000000-0005-0000-0000-00002A030000}"/>
    <cellStyle name="20% - Accent3 3 2 2 3" xfId="4941" xr:uid="{00000000-0005-0000-0000-00002B030000}"/>
    <cellStyle name="20% - Accent3 3 2 2 3 2" xfId="13377" xr:uid="{00000000-0005-0000-0000-00002C030000}"/>
    <cellStyle name="20% - Accent3 3 2 2 4" xfId="9159" xr:uid="{00000000-0005-0000-0000-00002D030000}"/>
    <cellStyle name="20% - Accent3 3 2 3" xfId="1045" xr:uid="{00000000-0005-0000-0000-00002E030000}"/>
    <cellStyle name="20% - Accent3 3 2 3 2" xfId="3276" xr:uid="{00000000-0005-0000-0000-00002F030000}"/>
    <cellStyle name="20% - Accent3 3 2 3 2 2" xfId="7499" xr:uid="{00000000-0005-0000-0000-000030030000}"/>
    <cellStyle name="20% - Accent3 3 2 3 2 2 2" xfId="15935" xr:uid="{00000000-0005-0000-0000-000031030000}"/>
    <cellStyle name="20% - Accent3 3 2 3 2 3" xfId="11717" xr:uid="{00000000-0005-0000-0000-000032030000}"/>
    <cellStyle name="20% - Accent3 3 2 3 3" xfId="5354" xr:uid="{00000000-0005-0000-0000-000033030000}"/>
    <cellStyle name="20% - Accent3 3 2 3 3 2" xfId="13790" xr:uid="{00000000-0005-0000-0000-000034030000}"/>
    <cellStyle name="20% - Accent3 3 2 3 4" xfId="9572" xr:uid="{00000000-0005-0000-0000-000035030000}"/>
    <cellStyle name="20% - Accent3 3 2 4" xfId="1459" xr:uid="{00000000-0005-0000-0000-000036030000}"/>
    <cellStyle name="20% - Accent3 3 2 4 2" xfId="3689" xr:uid="{00000000-0005-0000-0000-000037030000}"/>
    <cellStyle name="20% - Accent3 3 2 4 2 2" xfId="7912" xr:uid="{00000000-0005-0000-0000-000038030000}"/>
    <cellStyle name="20% - Accent3 3 2 4 2 2 2" xfId="16348" xr:uid="{00000000-0005-0000-0000-000039030000}"/>
    <cellStyle name="20% - Accent3 3 2 4 2 3" xfId="12130" xr:uid="{00000000-0005-0000-0000-00003A030000}"/>
    <cellStyle name="20% - Accent3 3 2 4 3" xfId="5767" xr:uid="{00000000-0005-0000-0000-00003B030000}"/>
    <cellStyle name="20% - Accent3 3 2 4 3 2" xfId="14203" xr:uid="{00000000-0005-0000-0000-00003C030000}"/>
    <cellStyle name="20% - Accent3 3 2 4 4" xfId="9985" xr:uid="{00000000-0005-0000-0000-00003D030000}"/>
    <cellStyle name="20% - Accent3 3 2 5" xfId="1873" xr:uid="{00000000-0005-0000-0000-00003E030000}"/>
    <cellStyle name="20% - Accent3 3 2 5 2" xfId="4102" xr:uid="{00000000-0005-0000-0000-00003F030000}"/>
    <cellStyle name="20% - Accent3 3 2 5 2 2" xfId="8325" xr:uid="{00000000-0005-0000-0000-000040030000}"/>
    <cellStyle name="20% - Accent3 3 2 5 2 2 2" xfId="16761" xr:uid="{00000000-0005-0000-0000-000041030000}"/>
    <cellStyle name="20% - Accent3 3 2 5 2 3" xfId="12543" xr:uid="{00000000-0005-0000-0000-000042030000}"/>
    <cellStyle name="20% - Accent3 3 2 5 3" xfId="6180" xr:uid="{00000000-0005-0000-0000-000043030000}"/>
    <cellStyle name="20% - Accent3 3 2 5 3 2" xfId="14616" xr:uid="{00000000-0005-0000-0000-000044030000}"/>
    <cellStyle name="20% - Accent3 3 2 5 4" xfId="10398" xr:uid="{00000000-0005-0000-0000-000045030000}"/>
    <cellStyle name="20% - Accent3 3 2 6" xfId="2286" xr:uid="{00000000-0005-0000-0000-000046030000}"/>
    <cellStyle name="20% - Accent3 3 2 6 2" xfId="6593" xr:uid="{00000000-0005-0000-0000-000047030000}"/>
    <cellStyle name="20% - Accent3 3 2 6 2 2" xfId="15029" xr:uid="{00000000-0005-0000-0000-000048030000}"/>
    <cellStyle name="20% - Accent3 3 2 6 3" xfId="10811" xr:uid="{00000000-0005-0000-0000-000049030000}"/>
    <cellStyle name="20% - Accent3 3 2 7" xfId="4527" xr:uid="{00000000-0005-0000-0000-00004A030000}"/>
    <cellStyle name="20% - Accent3 3 2 7 2" xfId="12963" xr:uid="{00000000-0005-0000-0000-00004B030000}"/>
    <cellStyle name="20% - Accent3 3 2 8" xfId="8745" xr:uid="{00000000-0005-0000-0000-00004C030000}"/>
    <cellStyle name="20% - Accent3 3 3" xfId="591" xr:uid="{00000000-0005-0000-0000-00004D030000}"/>
    <cellStyle name="20% - Accent3 3 3 2" xfId="2862" xr:uid="{00000000-0005-0000-0000-00004E030000}"/>
    <cellStyle name="20% - Accent3 3 3 2 2" xfId="7085" xr:uid="{00000000-0005-0000-0000-00004F030000}"/>
    <cellStyle name="20% - Accent3 3 3 2 2 2" xfId="15521" xr:uid="{00000000-0005-0000-0000-000050030000}"/>
    <cellStyle name="20% - Accent3 3 3 2 3" xfId="11303" xr:uid="{00000000-0005-0000-0000-000051030000}"/>
    <cellStyle name="20% - Accent3 3 3 3" xfId="4940" xr:uid="{00000000-0005-0000-0000-000052030000}"/>
    <cellStyle name="20% - Accent3 3 3 3 2" xfId="13376" xr:uid="{00000000-0005-0000-0000-000053030000}"/>
    <cellStyle name="20% - Accent3 3 3 4" xfId="9158" xr:uid="{00000000-0005-0000-0000-000054030000}"/>
    <cellStyle name="20% - Accent3 3 4" xfId="1044" xr:uid="{00000000-0005-0000-0000-000055030000}"/>
    <cellStyle name="20% - Accent3 3 4 2" xfId="3275" xr:uid="{00000000-0005-0000-0000-000056030000}"/>
    <cellStyle name="20% - Accent3 3 4 2 2" xfId="7498" xr:uid="{00000000-0005-0000-0000-000057030000}"/>
    <cellStyle name="20% - Accent3 3 4 2 2 2" xfId="15934" xr:uid="{00000000-0005-0000-0000-000058030000}"/>
    <cellStyle name="20% - Accent3 3 4 2 3" xfId="11716" xr:uid="{00000000-0005-0000-0000-000059030000}"/>
    <cellStyle name="20% - Accent3 3 4 3" xfId="5353" xr:uid="{00000000-0005-0000-0000-00005A030000}"/>
    <cellStyle name="20% - Accent3 3 4 3 2" xfId="13789" xr:uid="{00000000-0005-0000-0000-00005B030000}"/>
    <cellStyle name="20% - Accent3 3 4 4" xfId="9571" xr:uid="{00000000-0005-0000-0000-00005C030000}"/>
    <cellStyle name="20% - Accent3 3 5" xfId="1458" xr:uid="{00000000-0005-0000-0000-00005D030000}"/>
    <cellStyle name="20% - Accent3 3 5 2" xfId="3688" xr:uid="{00000000-0005-0000-0000-00005E030000}"/>
    <cellStyle name="20% - Accent3 3 5 2 2" xfId="7911" xr:uid="{00000000-0005-0000-0000-00005F030000}"/>
    <cellStyle name="20% - Accent3 3 5 2 2 2" xfId="16347" xr:uid="{00000000-0005-0000-0000-000060030000}"/>
    <cellStyle name="20% - Accent3 3 5 2 3" xfId="12129" xr:uid="{00000000-0005-0000-0000-000061030000}"/>
    <cellStyle name="20% - Accent3 3 5 3" xfId="5766" xr:uid="{00000000-0005-0000-0000-000062030000}"/>
    <cellStyle name="20% - Accent3 3 5 3 2" xfId="14202" xr:uid="{00000000-0005-0000-0000-000063030000}"/>
    <cellStyle name="20% - Accent3 3 5 4" xfId="9984" xr:uid="{00000000-0005-0000-0000-000064030000}"/>
    <cellStyle name="20% - Accent3 3 6" xfId="1872" xr:uid="{00000000-0005-0000-0000-000065030000}"/>
    <cellStyle name="20% - Accent3 3 6 2" xfId="4101" xr:uid="{00000000-0005-0000-0000-000066030000}"/>
    <cellStyle name="20% - Accent3 3 6 2 2" xfId="8324" xr:uid="{00000000-0005-0000-0000-000067030000}"/>
    <cellStyle name="20% - Accent3 3 6 2 2 2" xfId="16760" xr:uid="{00000000-0005-0000-0000-000068030000}"/>
    <cellStyle name="20% - Accent3 3 6 2 3" xfId="12542" xr:uid="{00000000-0005-0000-0000-000069030000}"/>
    <cellStyle name="20% - Accent3 3 6 3" xfId="6179" xr:uid="{00000000-0005-0000-0000-00006A030000}"/>
    <cellStyle name="20% - Accent3 3 6 3 2" xfId="14615" xr:uid="{00000000-0005-0000-0000-00006B030000}"/>
    <cellStyle name="20% - Accent3 3 6 4" xfId="10397" xr:uid="{00000000-0005-0000-0000-00006C030000}"/>
    <cellStyle name="20% - Accent3 3 7" xfId="2285" xr:uid="{00000000-0005-0000-0000-00006D030000}"/>
    <cellStyle name="20% - Accent3 3 7 2" xfId="6592" xr:uid="{00000000-0005-0000-0000-00006E030000}"/>
    <cellStyle name="20% - Accent3 3 7 2 2" xfId="15028" xr:uid="{00000000-0005-0000-0000-00006F030000}"/>
    <cellStyle name="20% - Accent3 3 7 3" xfId="10810" xr:uid="{00000000-0005-0000-0000-000070030000}"/>
    <cellStyle name="20% - Accent3 3 8" xfId="4526" xr:uid="{00000000-0005-0000-0000-000071030000}"/>
    <cellStyle name="20% - Accent3 3 8 2" xfId="12962" xr:uid="{00000000-0005-0000-0000-000072030000}"/>
    <cellStyle name="20% - Accent3 3 9" xfId="8744" xr:uid="{00000000-0005-0000-0000-000073030000}"/>
    <cellStyle name="20% - Accent3 4" xfId="24" xr:uid="{00000000-0005-0000-0000-000074030000}"/>
    <cellStyle name="20% - Accent3 4 2" xfId="593" xr:uid="{00000000-0005-0000-0000-000075030000}"/>
    <cellStyle name="20% - Accent3 4 2 2" xfId="2864" xr:uid="{00000000-0005-0000-0000-000076030000}"/>
    <cellStyle name="20% - Accent3 4 2 2 2" xfId="7087" xr:uid="{00000000-0005-0000-0000-000077030000}"/>
    <cellStyle name="20% - Accent3 4 2 2 2 2" xfId="15523" xr:uid="{00000000-0005-0000-0000-000078030000}"/>
    <cellStyle name="20% - Accent3 4 2 2 3" xfId="11305" xr:uid="{00000000-0005-0000-0000-000079030000}"/>
    <cellStyle name="20% - Accent3 4 2 3" xfId="4942" xr:uid="{00000000-0005-0000-0000-00007A030000}"/>
    <cellStyle name="20% - Accent3 4 2 3 2" xfId="13378" xr:uid="{00000000-0005-0000-0000-00007B030000}"/>
    <cellStyle name="20% - Accent3 4 2 4" xfId="9160" xr:uid="{00000000-0005-0000-0000-00007C030000}"/>
    <cellStyle name="20% - Accent3 4 3" xfId="1046" xr:uid="{00000000-0005-0000-0000-00007D030000}"/>
    <cellStyle name="20% - Accent3 4 3 2" xfId="3277" xr:uid="{00000000-0005-0000-0000-00007E030000}"/>
    <cellStyle name="20% - Accent3 4 3 2 2" xfId="7500" xr:uid="{00000000-0005-0000-0000-00007F030000}"/>
    <cellStyle name="20% - Accent3 4 3 2 2 2" xfId="15936" xr:uid="{00000000-0005-0000-0000-000080030000}"/>
    <cellStyle name="20% - Accent3 4 3 2 3" xfId="11718" xr:uid="{00000000-0005-0000-0000-000081030000}"/>
    <cellStyle name="20% - Accent3 4 3 3" xfId="5355" xr:uid="{00000000-0005-0000-0000-000082030000}"/>
    <cellStyle name="20% - Accent3 4 3 3 2" xfId="13791" xr:uid="{00000000-0005-0000-0000-000083030000}"/>
    <cellStyle name="20% - Accent3 4 3 4" xfId="9573" xr:uid="{00000000-0005-0000-0000-000084030000}"/>
    <cellStyle name="20% - Accent3 4 4" xfId="1460" xr:uid="{00000000-0005-0000-0000-000085030000}"/>
    <cellStyle name="20% - Accent3 4 4 2" xfId="3690" xr:uid="{00000000-0005-0000-0000-000086030000}"/>
    <cellStyle name="20% - Accent3 4 4 2 2" xfId="7913" xr:uid="{00000000-0005-0000-0000-000087030000}"/>
    <cellStyle name="20% - Accent3 4 4 2 2 2" xfId="16349" xr:uid="{00000000-0005-0000-0000-000088030000}"/>
    <cellStyle name="20% - Accent3 4 4 2 3" xfId="12131" xr:uid="{00000000-0005-0000-0000-000089030000}"/>
    <cellStyle name="20% - Accent3 4 4 3" xfId="5768" xr:uid="{00000000-0005-0000-0000-00008A030000}"/>
    <cellStyle name="20% - Accent3 4 4 3 2" xfId="14204" xr:uid="{00000000-0005-0000-0000-00008B030000}"/>
    <cellStyle name="20% - Accent3 4 4 4" xfId="9986" xr:uid="{00000000-0005-0000-0000-00008C030000}"/>
    <cellStyle name="20% - Accent3 4 5" xfId="1874" xr:uid="{00000000-0005-0000-0000-00008D030000}"/>
    <cellStyle name="20% - Accent3 4 5 2" xfId="4103" xr:uid="{00000000-0005-0000-0000-00008E030000}"/>
    <cellStyle name="20% - Accent3 4 5 2 2" xfId="8326" xr:uid="{00000000-0005-0000-0000-00008F030000}"/>
    <cellStyle name="20% - Accent3 4 5 2 2 2" xfId="16762" xr:uid="{00000000-0005-0000-0000-000090030000}"/>
    <cellStyle name="20% - Accent3 4 5 2 3" xfId="12544" xr:uid="{00000000-0005-0000-0000-000091030000}"/>
    <cellStyle name="20% - Accent3 4 5 3" xfId="6181" xr:uid="{00000000-0005-0000-0000-000092030000}"/>
    <cellStyle name="20% - Accent3 4 5 3 2" xfId="14617" xr:uid="{00000000-0005-0000-0000-000093030000}"/>
    <cellStyle name="20% - Accent3 4 5 4" xfId="10399" xr:uid="{00000000-0005-0000-0000-000094030000}"/>
    <cellStyle name="20% - Accent3 4 6" xfId="2287" xr:uid="{00000000-0005-0000-0000-000095030000}"/>
    <cellStyle name="20% - Accent3 4 6 2" xfId="6594" xr:uid="{00000000-0005-0000-0000-000096030000}"/>
    <cellStyle name="20% - Accent3 4 6 2 2" xfId="15030" xr:uid="{00000000-0005-0000-0000-000097030000}"/>
    <cellStyle name="20% - Accent3 4 6 3" xfId="10812" xr:uid="{00000000-0005-0000-0000-000098030000}"/>
    <cellStyle name="20% - Accent3 4 7" xfId="4528" xr:uid="{00000000-0005-0000-0000-000099030000}"/>
    <cellStyle name="20% - Accent3 4 7 2" xfId="12964" xr:uid="{00000000-0005-0000-0000-00009A030000}"/>
    <cellStyle name="20% - Accent3 4 8" xfId="8746" xr:uid="{00000000-0005-0000-0000-00009B030000}"/>
    <cellStyle name="20% - Accent3 5" xfId="586" xr:uid="{00000000-0005-0000-0000-00009C030000}"/>
    <cellStyle name="20% - Accent3 5 2" xfId="2857" xr:uid="{00000000-0005-0000-0000-00009D030000}"/>
    <cellStyle name="20% - Accent3 5 2 2" xfId="7080" xr:uid="{00000000-0005-0000-0000-00009E030000}"/>
    <cellStyle name="20% - Accent3 5 2 2 2" xfId="15516" xr:uid="{00000000-0005-0000-0000-00009F030000}"/>
    <cellStyle name="20% - Accent3 5 2 3" xfId="11298" xr:uid="{00000000-0005-0000-0000-0000A0030000}"/>
    <cellStyle name="20% - Accent3 5 3" xfId="4935" xr:uid="{00000000-0005-0000-0000-0000A1030000}"/>
    <cellStyle name="20% - Accent3 5 3 2" xfId="13371" xr:uid="{00000000-0005-0000-0000-0000A2030000}"/>
    <cellStyle name="20% - Accent3 5 4" xfId="9153" xr:uid="{00000000-0005-0000-0000-0000A3030000}"/>
    <cellStyle name="20% - Accent3 6" xfId="1039" xr:uid="{00000000-0005-0000-0000-0000A4030000}"/>
    <cellStyle name="20% - Accent3 6 2" xfId="3270" xr:uid="{00000000-0005-0000-0000-0000A5030000}"/>
    <cellStyle name="20% - Accent3 6 2 2" xfId="7493" xr:uid="{00000000-0005-0000-0000-0000A6030000}"/>
    <cellStyle name="20% - Accent3 6 2 2 2" xfId="15929" xr:uid="{00000000-0005-0000-0000-0000A7030000}"/>
    <cellStyle name="20% - Accent3 6 2 3" xfId="11711" xr:uid="{00000000-0005-0000-0000-0000A8030000}"/>
    <cellStyle name="20% - Accent3 6 3" xfId="5348" xr:uid="{00000000-0005-0000-0000-0000A9030000}"/>
    <cellStyle name="20% - Accent3 6 3 2" xfId="13784" xr:uid="{00000000-0005-0000-0000-0000AA030000}"/>
    <cellStyle name="20% - Accent3 6 4" xfId="9566" xr:uid="{00000000-0005-0000-0000-0000AB030000}"/>
    <cellStyle name="20% - Accent3 7" xfId="1453" xr:uid="{00000000-0005-0000-0000-0000AC030000}"/>
    <cellStyle name="20% - Accent3 7 2" xfId="3683" xr:uid="{00000000-0005-0000-0000-0000AD030000}"/>
    <cellStyle name="20% - Accent3 7 2 2" xfId="7906" xr:uid="{00000000-0005-0000-0000-0000AE030000}"/>
    <cellStyle name="20% - Accent3 7 2 2 2" xfId="16342" xr:uid="{00000000-0005-0000-0000-0000AF030000}"/>
    <cellStyle name="20% - Accent3 7 2 3" xfId="12124" xr:uid="{00000000-0005-0000-0000-0000B0030000}"/>
    <cellStyle name="20% - Accent3 7 3" xfId="5761" xr:uid="{00000000-0005-0000-0000-0000B1030000}"/>
    <cellStyle name="20% - Accent3 7 3 2" xfId="14197" xr:uid="{00000000-0005-0000-0000-0000B2030000}"/>
    <cellStyle name="20% - Accent3 7 4" xfId="9979" xr:uid="{00000000-0005-0000-0000-0000B3030000}"/>
    <cellStyle name="20% - Accent3 8" xfId="1867" xr:uid="{00000000-0005-0000-0000-0000B4030000}"/>
    <cellStyle name="20% - Accent3 8 2" xfId="4096" xr:uid="{00000000-0005-0000-0000-0000B5030000}"/>
    <cellStyle name="20% - Accent3 8 2 2" xfId="8319" xr:uid="{00000000-0005-0000-0000-0000B6030000}"/>
    <cellStyle name="20% - Accent3 8 2 2 2" xfId="16755" xr:uid="{00000000-0005-0000-0000-0000B7030000}"/>
    <cellStyle name="20% - Accent3 8 2 3" xfId="12537" xr:uid="{00000000-0005-0000-0000-0000B8030000}"/>
    <cellStyle name="20% - Accent3 8 3" xfId="6174" xr:uid="{00000000-0005-0000-0000-0000B9030000}"/>
    <cellStyle name="20% - Accent3 8 3 2" xfId="14610" xr:uid="{00000000-0005-0000-0000-0000BA030000}"/>
    <cellStyle name="20% - Accent3 8 4" xfId="10392" xr:uid="{00000000-0005-0000-0000-0000BB030000}"/>
    <cellStyle name="20% - Accent3 9" xfId="2280" xr:uid="{00000000-0005-0000-0000-0000BC030000}"/>
    <cellStyle name="20% - Accent3 9 2" xfId="6587" xr:uid="{00000000-0005-0000-0000-0000BD030000}"/>
    <cellStyle name="20% - Accent3 9 2 2" xfId="15023" xr:uid="{00000000-0005-0000-0000-0000BE030000}"/>
    <cellStyle name="20% - Accent3 9 3" xfId="10805" xr:uid="{00000000-0005-0000-0000-0000BF030000}"/>
    <cellStyle name="20% - Accent4" xfId="25" builtinId="42" customBuiltin="1"/>
    <cellStyle name="20% - Accent4 10" xfId="4529" xr:uid="{00000000-0005-0000-0000-0000C1030000}"/>
    <cellStyle name="20% - Accent4 10 2" xfId="12965" xr:uid="{00000000-0005-0000-0000-0000C2030000}"/>
    <cellStyle name="20% - Accent4 11" xfId="8747" xr:uid="{00000000-0005-0000-0000-0000C3030000}"/>
    <cellStyle name="20% - Accent4 2" xfId="26" xr:uid="{00000000-0005-0000-0000-0000C4030000}"/>
    <cellStyle name="20% - Accent4 2 10" xfId="8748" xr:uid="{00000000-0005-0000-0000-0000C5030000}"/>
    <cellStyle name="20% - Accent4 2 2" xfId="27" xr:uid="{00000000-0005-0000-0000-0000C6030000}"/>
    <cellStyle name="20% - Accent4 2 2 2" xfId="28" xr:uid="{00000000-0005-0000-0000-0000C7030000}"/>
    <cellStyle name="20% - Accent4 2 2 2 2" xfId="597" xr:uid="{00000000-0005-0000-0000-0000C8030000}"/>
    <cellStyle name="20% - Accent4 2 2 2 2 2" xfId="2868" xr:uid="{00000000-0005-0000-0000-0000C9030000}"/>
    <cellStyle name="20% - Accent4 2 2 2 2 2 2" xfId="7091" xr:uid="{00000000-0005-0000-0000-0000CA030000}"/>
    <cellStyle name="20% - Accent4 2 2 2 2 2 2 2" xfId="15527" xr:uid="{00000000-0005-0000-0000-0000CB030000}"/>
    <cellStyle name="20% - Accent4 2 2 2 2 2 3" xfId="11309" xr:uid="{00000000-0005-0000-0000-0000CC030000}"/>
    <cellStyle name="20% - Accent4 2 2 2 2 3" xfId="4946" xr:uid="{00000000-0005-0000-0000-0000CD030000}"/>
    <cellStyle name="20% - Accent4 2 2 2 2 3 2" xfId="13382" xr:uid="{00000000-0005-0000-0000-0000CE030000}"/>
    <cellStyle name="20% - Accent4 2 2 2 2 4" xfId="9164" xr:uid="{00000000-0005-0000-0000-0000CF030000}"/>
    <cellStyle name="20% - Accent4 2 2 2 3" xfId="1050" xr:uid="{00000000-0005-0000-0000-0000D0030000}"/>
    <cellStyle name="20% - Accent4 2 2 2 3 2" xfId="3281" xr:uid="{00000000-0005-0000-0000-0000D1030000}"/>
    <cellStyle name="20% - Accent4 2 2 2 3 2 2" xfId="7504" xr:uid="{00000000-0005-0000-0000-0000D2030000}"/>
    <cellStyle name="20% - Accent4 2 2 2 3 2 2 2" xfId="15940" xr:uid="{00000000-0005-0000-0000-0000D3030000}"/>
    <cellStyle name="20% - Accent4 2 2 2 3 2 3" xfId="11722" xr:uid="{00000000-0005-0000-0000-0000D4030000}"/>
    <cellStyle name="20% - Accent4 2 2 2 3 3" xfId="5359" xr:uid="{00000000-0005-0000-0000-0000D5030000}"/>
    <cellStyle name="20% - Accent4 2 2 2 3 3 2" xfId="13795" xr:uid="{00000000-0005-0000-0000-0000D6030000}"/>
    <cellStyle name="20% - Accent4 2 2 2 3 4" xfId="9577" xr:uid="{00000000-0005-0000-0000-0000D7030000}"/>
    <cellStyle name="20% - Accent4 2 2 2 4" xfId="1464" xr:uid="{00000000-0005-0000-0000-0000D8030000}"/>
    <cellStyle name="20% - Accent4 2 2 2 4 2" xfId="3694" xr:uid="{00000000-0005-0000-0000-0000D9030000}"/>
    <cellStyle name="20% - Accent4 2 2 2 4 2 2" xfId="7917" xr:uid="{00000000-0005-0000-0000-0000DA030000}"/>
    <cellStyle name="20% - Accent4 2 2 2 4 2 2 2" xfId="16353" xr:uid="{00000000-0005-0000-0000-0000DB030000}"/>
    <cellStyle name="20% - Accent4 2 2 2 4 2 3" xfId="12135" xr:uid="{00000000-0005-0000-0000-0000DC030000}"/>
    <cellStyle name="20% - Accent4 2 2 2 4 3" xfId="5772" xr:uid="{00000000-0005-0000-0000-0000DD030000}"/>
    <cellStyle name="20% - Accent4 2 2 2 4 3 2" xfId="14208" xr:uid="{00000000-0005-0000-0000-0000DE030000}"/>
    <cellStyle name="20% - Accent4 2 2 2 4 4" xfId="9990" xr:uid="{00000000-0005-0000-0000-0000DF030000}"/>
    <cellStyle name="20% - Accent4 2 2 2 5" xfId="1878" xr:uid="{00000000-0005-0000-0000-0000E0030000}"/>
    <cellStyle name="20% - Accent4 2 2 2 5 2" xfId="4107" xr:uid="{00000000-0005-0000-0000-0000E1030000}"/>
    <cellStyle name="20% - Accent4 2 2 2 5 2 2" xfId="8330" xr:uid="{00000000-0005-0000-0000-0000E2030000}"/>
    <cellStyle name="20% - Accent4 2 2 2 5 2 2 2" xfId="16766" xr:uid="{00000000-0005-0000-0000-0000E3030000}"/>
    <cellStyle name="20% - Accent4 2 2 2 5 2 3" xfId="12548" xr:uid="{00000000-0005-0000-0000-0000E4030000}"/>
    <cellStyle name="20% - Accent4 2 2 2 5 3" xfId="6185" xr:uid="{00000000-0005-0000-0000-0000E5030000}"/>
    <cellStyle name="20% - Accent4 2 2 2 5 3 2" xfId="14621" xr:uid="{00000000-0005-0000-0000-0000E6030000}"/>
    <cellStyle name="20% - Accent4 2 2 2 5 4" xfId="10403" xr:uid="{00000000-0005-0000-0000-0000E7030000}"/>
    <cellStyle name="20% - Accent4 2 2 2 6" xfId="2291" xr:uid="{00000000-0005-0000-0000-0000E8030000}"/>
    <cellStyle name="20% - Accent4 2 2 2 6 2" xfId="6598" xr:uid="{00000000-0005-0000-0000-0000E9030000}"/>
    <cellStyle name="20% - Accent4 2 2 2 6 2 2" xfId="15034" xr:uid="{00000000-0005-0000-0000-0000EA030000}"/>
    <cellStyle name="20% - Accent4 2 2 2 6 3" xfId="10816" xr:uid="{00000000-0005-0000-0000-0000EB030000}"/>
    <cellStyle name="20% - Accent4 2 2 2 7" xfId="4532" xr:uid="{00000000-0005-0000-0000-0000EC030000}"/>
    <cellStyle name="20% - Accent4 2 2 2 7 2" xfId="12968" xr:uid="{00000000-0005-0000-0000-0000ED030000}"/>
    <cellStyle name="20% - Accent4 2 2 2 8" xfId="8750" xr:uid="{00000000-0005-0000-0000-0000EE030000}"/>
    <cellStyle name="20% - Accent4 2 2 3" xfId="596" xr:uid="{00000000-0005-0000-0000-0000EF030000}"/>
    <cellStyle name="20% - Accent4 2 2 3 2" xfId="2867" xr:uid="{00000000-0005-0000-0000-0000F0030000}"/>
    <cellStyle name="20% - Accent4 2 2 3 2 2" xfId="7090" xr:uid="{00000000-0005-0000-0000-0000F1030000}"/>
    <cellStyle name="20% - Accent4 2 2 3 2 2 2" xfId="15526" xr:uid="{00000000-0005-0000-0000-0000F2030000}"/>
    <cellStyle name="20% - Accent4 2 2 3 2 3" xfId="11308" xr:uid="{00000000-0005-0000-0000-0000F3030000}"/>
    <cellStyle name="20% - Accent4 2 2 3 3" xfId="4945" xr:uid="{00000000-0005-0000-0000-0000F4030000}"/>
    <cellStyle name="20% - Accent4 2 2 3 3 2" xfId="13381" xr:uid="{00000000-0005-0000-0000-0000F5030000}"/>
    <cellStyle name="20% - Accent4 2 2 3 4" xfId="9163" xr:uid="{00000000-0005-0000-0000-0000F6030000}"/>
    <cellStyle name="20% - Accent4 2 2 4" xfId="1049" xr:uid="{00000000-0005-0000-0000-0000F7030000}"/>
    <cellStyle name="20% - Accent4 2 2 4 2" xfId="3280" xr:uid="{00000000-0005-0000-0000-0000F8030000}"/>
    <cellStyle name="20% - Accent4 2 2 4 2 2" xfId="7503" xr:uid="{00000000-0005-0000-0000-0000F9030000}"/>
    <cellStyle name="20% - Accent4 2 2 4 2 2 2" xfId="15939" xr:uid="{00000000-0005-0000-0000-0000FA030000}"/>
    <cellStyle name="20% - Accent4 2 2 4 2 3" xfId="11721" xr:uid="{00000000-0005-0000-0000-0000FB030000}"/>
    <cellStyle name="20% - Accent4 2 2 4 3" xfId="5358" xr:uid="{00000000-0005-0000-0000-0000FC030000}"/>
    <cellStyle name="20% - Accent4 2 2 4 3 2" xfId="13794" xr:uid="{00000000-0005-0000-0000-0000FD030000}"/>
    <cellStyle name="20% - Accent4 2 2 4 4" xfId="9576" xr:uid="{00000000-0005-0000-0000-0000FE030000}"/>
    <cellStyle name="20% - Accent4 2 2 5" xfId="1463" xr:uid="{00000000-0005-0000-0000-0000FF030000}"/>
    <cellStyle name="20% - Accent4 2 2 5 2" xfId="3693" xr:uid="{00000000-0005-0000-0000-000000040000}"/>
    <cellStyle name="20% - Accent4 2 2 5 2 2" xfId="7916" xr:uid="{00000000-0005-0000-0000-000001040000}"/>
    <cellStyle name="20% - Accent4 2 2 5 2 2 2" xfId="16352" xr:uid="{00000000-0005-0000-0000-000002040000}"/>
    <cellStyle name="20% - Accent4 2 2 5 2 3" xfId="12134" xr:uid="{00000000-0005-0000-0000-000003040000}"/>
    <cellStyle name="20% - Accent4 2 2 5 3" xfId="5771" xr:uid="{00000000-0005-0000-0000-000004040000}"/>
    <cellStyle name="20% - Accent4 2 2 5 3 2" xfId="14207" xr:uid="{00000000-0005-0000-0000-000005040000}"/>
    <cellStyle name="20% - Accent4 2 2 5 4" xfId="9989" xr:uid="{00000000-0005-0000-0000-000006040000}"/>
    <cellStyle name="20% - Accent4 2 2 6" xfId="1877" xr:uid="{00000000-0005-0000-0000-000007040000}"/>
    <cellStyle name="20% - Accent4 2 2 6 2" xfId="4106" xr:uid="{00000000-0005-0000-0000-000008040000}"/>
    <cellStyle name="20% - Accent4 2 2 6 2 2" xfId="8329" xr:uid="{00000000-0005-0000-0000-000009040000}"/>
    <cellStyle name="20% - Accent4 2 2 6 2 2 2" xfId="16765" xr:uid="{00000000-0005-0000-0000-00000A040000}"/>
    <cellStyle name="20% - Accent4 2 2 6 2 3" xfId="12547" xr:uid="{00000000-0005-0000-0000-00000B040000}"/>
    <cellStyle name="20% - Accent4 2 2 6 3" xfId="6184" xr:uid="{00000000-0005-0000-0000-00000C040000}"/>
    <cellStyle name="20% - Accent4 2 2 6 3 2" xfId="14620" xr:uid="{00000000-0005-0000-0000-00000D040000}"/>
    <cellStyle name="20% - Accent4 2 2 6 4" xfId="10402" xr:uid="{00000000-0005-0000-0000-00000E040000}"/>
    <cellStyle name="20% - Accent4 2 2 7" xfId="2290" xr:uid="{00000000-0005-0000-0000-00000F040000}"/>
    <cellStyle name="20% - Accent4 2 2 7 2" xfId="6597" xr:uid="{00000000-0005-0000-0000-000010040000}"/>
    <cellStyle name="20% - Accent4 2 2 7 2 2" xfId="15033" xr:uid="{00000000-0005-0000-0000-000011040000}"/>
    <cellStyle name="20% - Accent4 2 2 7 3" xfId="10815" xr:uid="{00000000-0005-0000-0000-000012040000}"/>
    <cellStyle name="20% - Accent4 2 2 8" xfId="4531" xr:uid="{00000000-0005-0000-0000-000013040000}"/>
    <cellStyle name="20% - Accent4 2 2 8 2" xfId="12967" xr:uid="{00000000-0005-0000-0000-000014040000}"/>
    <cellStyle name="20% - Accent4 2 2 9" xfId="8749" xr:uid="{00000000-0005-0000-0000-000015040000}"/>
    <cellStyle name="20% - Accent4 2 3" xfId="29" xr:uid="{00000000-0005-0000-0000-000016040000}"/>
    <cellStyle name="20% - Accent4 2 3 2" xfId="598" xr:uid="{00000000-0005-0000-0000-000017040000}"/>
    <cellStyle name="20% - Accent4 2 3 2 2" xfId="2869" xr:uid="{00000000-0005-0000-0000-000018040000}"/>
    <cellStyle name="20% - Accent4 2 3 2 2 2" xfId="7092" xr:uid="{00000000-0005-0000-0000-000019040000}"/>
    <cellStyle name="20% - Accent4 2 3 2 2 2 2" xfId="15528" xr:uid="{00000000-0005-0000-0000-00001A040000}"/>
    <cellStyle name="20% - Accent4 2 3 2 2 3" xfId="11310" xr:uid="{00000000-0005-0000-0000-00001B040000}"/>
    <cellStyle name="20% - Accent4 2 3 2 3" xfId="4947" xr:uid="{00000000-0005-0000-0000-00001C040000}"/>
    <cellStyle name="20% - Accent4 2 3 2 3 2" xfId="13383" xr:uid="{00000000-0005-0000-0000-00001D040000}"/>
    <cellStyle name="20% - Accent4 2 3 2 4" xfId="9165" xr:uid="{00000000-0005-0000-0000-00001E040000}"/>
    <cellStyle name="20% - Accent4 2 3 3" xfId="1051" xr:uid="{00000000-0005-0000-0000-00001F040000}"/>
    <cellStyle name="20% - Accent4 2 3 3 2" xfId="3282" xr:uid="{00000000-0005-0000-0000-000020040000}"/>
    <cellStyle name="20% - Accent4 2 3 3 2 2" xfId="7505" xr:uid="{00000000-0005-0000-0000-000021040000}"/>
    <cellStyle name="20% - Accent4 2 3 3 2 2 2" xfId="15941" xr:uid="{00000000-0005-0000-0000-000022040000}"/>
    <cellStyle name="20% - Accent4 2 3 3 2 3" xfId="11723" xr:uid="{00000000-0005-0000-0000-000023040000}"/>
    <cellStyle name="20% - Accent4 2 3 3 3" xfId="5360" xr:uid="{00000000-0005-0000-0000-000024040000}"/>
    <cellStyle name="20% - Accent4 2 3 3 3 2" xfId="13796" xr:uid="{00000000-0005-0000-0000-000025040000}"/>
    <cellStyle name="20% - Accent4 2 3 3 4" xfId="9578" xr:uid="{00000000-0005-0000-0000-000026040000}"/>
    <cellStyle name="20% - Accent4 2 3 4" xfId="1465" xr:uid="{00000000-0005-0000-0000-000027040000}"/>
    <cellStyle name="20% - Accent4 2 3 4 2" xfId="3695" xr:uid="{00000000-0005-0000-0000-000028040000}"/>
    <cellStyle name="20% - Accent4 2 3 4 2 2" xfId="7918" xr:uid="{00000000-0005-0000-0000-000029040000}"/>
    <cellStyle name="20% - Accent4 2 3 4 2 2 2" xfId="16354" xr:uid="{00000000-0005-0000-0000-00002A040000}"/>
    <cellStyle name="20% - Accent4 2 3 4 2 3" xfId="12136" xr:uid="{00000000-0005-0000-0000-00002B040000}"/>
    <cellStyle name="20% - Accent4 2 3 4 3" xfId="5773" xr:uid="{00000000-0005-0000-0000-00002C040000}"/>
    <cellStyle name="20% - Accent4 2 3 4 3 2" xfId="14209" xr:uid="{00000000-0005-0000-0000-00002D040000}"/>
    <cellStyle name="20% - Accent4 2 3 4 4" xfId="9991" xr:uid="{00000000-0005-0000-0000-00002E040000}"/>
    <cellStyle name="20% - Accent4 2 3 5" xfId="1879" xr:uid="{00000000-0005-0000-0000-00002F040000}"/>
    <cellStyle name="20% - Accent4 2 3 5 2" xfId="4108" xr:uid="{00000000-0005-0000-0000-000030040000}"/>
    <cellStyle name="20% - Accent4 2 3 5 2 2" xfId="8331" xr:uid="{00000000-0005-0000-0000-000031040000}"/>
    <cellStyle name="20% - Accent4 2 3 5 2 2 2" xfId="16767" xr:uid="{00000000-0005-0000-0000-000032040000}"/>
    <cellStyle name="20% - Accent4 2 3 5 2 3" xfId="12549" xr:uid="{00000000-0005-0000-0000-000033040000}"/>
    <cellStyle name="20% - Accent4 2 3 5 3" xfId="6186" xr:uid="{00000000-0005-0000-0000-000034040000}"/>
    <cellStyle name="20% - Accent4 2 3 5 3 2" xfId="14622" xr:uid="{00000000-0005-0000-0000-000035040000}"/>
    <cellStyle name="20% - Accent4 2 3 5 4" xfId="10404" xr:uid="{00000000-0005-0000-0000-000036040000}"/>
    <cellStyle name="20% - Accent4 2 3 6" xfId="2292" xr:uid="{00000000-0005-0000-0000-000037040000}"/>
    <cellStyle name="20% - Accent4 2 3 6 2" xfId="6599" xr:uid="{00000000-0005-0000-0000-000038040000}"/>
    <cellStyle name="20% - Accent4 2 3 6 2 2" xfId="15035" xr:uid="{00000000-0005-0000-0000-000039040000}"/>
    <cellStyle name="20% - Accent4 2 3 6 3" xfId="10817" xr:uid="{00000000-0005-0000-0000-00003A040000}"/>
    <cellStyle name="20% - Accent4 2 3 7" xfId="4533" xr:uid="{00000000-0005-0000-0000-00003B040000}"/>
    <cellStyle name="20% - Accent4 2 3 7 2" xfId="12969" xr:uid="{00000000-0005-0000-0000-00003C040000}"/>
    <cellStyle name="20% - Accent4 2 3 8" xfId="8751" xr:uid="{00000000-0005-0000-0000-00003D040000}"/>
    <cellStyle name="20% - Accent4 2 4" xfId="595" xr:uid="{00000000-0005-0000-0000-00003E040000}"/>
    <cellStyle name="20% - Accent4 2 4 2" xfId="2866" xr:uid="{00000000-0005-0000-0000-00003F040000}"/>
    <cellStyle name="20% - Accent4 2 4 2 2" xfId="7089" xr:uid="{00000000-0005-0000-0000-000040040000}"/>
    <cellStyle name="20% - Accent4 2 4 2 2 2" xfId="15525" xr:uid="{00000000-0005-0000-0000-000041040000}"/>
    <cellStyle name="20% - Accent4 2 4 2 3" xfId="11307" xr:uid="{00000000-0005-0000-0000-000042040000}"/>
    <cellStyle name="20% - Accent4 2 4 3" xfId="4944" xr:uid="{00000000-0005-0000-0000-000043040000}"/>
    <cellStyle name="20% - Accent4 2 4 3 2" xfId="13380" xr:uid="{00000000-0005-0000-0000-000044040000}"/>
    <cellStyle name="20% - Accent4 2 4 4" xfId="9162" xr:uid="{00000000-0005-0000-0000-000045040000}"/>
    <cellStyle name="20% - Accent4 2 5" xfId="1048" xr:uid="{00000000-0005-0000-0000-000046040000}"/>
    <cellStyle name="20% - Accent4 2 5 2" xfId="3279" xr:uid="{00000000-0005-0000-0000-000047040000}"/>
    <cellStyle name="20% - Accent4 2 5 2 2" xfId="7502" xr:uid="{00000000-0005-0000-0000-000048040000}"/>
    <cellStyle name="20% - Accent4 2 5 2 2 2" xfId="15938" xr:uid="{00000000-0005-0000-0000-000049040000}"/>
    <cellStyle name="20% - Accent4 2 5 2 3" xfId="11720" xr:uid="{00000000-0005-0000-0000-00004A040000}"/>
    <cellStyle name="20% - Accent4 2 5 3" xfId="5357" xr:uid="{00000000-0005-0000-0000-00004B040000}"/>
    <cellStyle name="20% - Accent4 2 5 3 2" xfId="13793" xr:uid="{00000000-0005-0000-0000-00004C040000}"/>
    <cellStyle name="20% - Accent4 2 5 4" xfId="9575" xr:uid="{00000000-0005-0000-0000-00004D040000}"/>
    <cellStyle name="20% - Accent4 2 6" xfId="1462" xr:uid="{00000000-0005-0000-0000-00004E040000}"/>
    <cellStyle name="20% - Accent4 2 6 2" xfId="3692" xr:uid="{00000000-0005-0000-0000-00004F040000}"/>
    <cellStyle name="20% - Accent4 2 6 2 2" xfId="7915" xr:uid="{00000000-0005-0000-0000-000050040000}"/>
    <cellStyle name="20% - Accent4 2 6 2 2 2" xfId="16351" xr:uid="{00000000-0005-0000-0000-000051040000}"/>
    <cellStyle name="20% - Accent4 2 6 2 3" xfId="12133" xr:uid="{00000000-0005-0000-0000-000052040000}"/>
    <cellStyle name="20% - Accent4 2 6 3" xfId="5770" xr:uid="{00000000-0005-0000-0000-000053040000}"/>
    <cellStyle name="20% - Accent4 2 6 3 2" xfId="14206" xr:uid="{00000000-0005-0000-0000-000054040000}"/>
    <cellStyle name="20% - Accent4 2 6 4" xfId="9988" xr:uid="{00000000-0005-0000-0000-000055040000}"/>
    <cellStyle name="20% - Accent4 2 7" xfId="1876" xr:uid="{00000000-0005-0000-0000-000056040000}"/>
    <cellStyle name="20% - Accent4 2 7 2" xfId="4105" xr:uid="{00000000-0005-0000-0000-000057040000}"/>
    <cellStyle name="20% - Accent4 2 7 2 2" xfId="8328" xr:uid="{00000000-0005-0000-0000-000058040000}"/>
    <cellStyle name="20% - Accent4 2 7 2 2 2" xfId="16764" xr:uid="{00000000-0005-0000-0000-000059040000}"/>
    <cellStyle name="20% - Accent4 2 7 2 3" xfId="12546" xr:uid="{00000000-0005-0000-0000-00005A040000}"/>
    <cellStyle name="20% - Accent4 2 7 3" xfId="6183" xr:uid="{00000000-0005-0000-0000-00005B040000}"/>
    <cellStyle name="20% - Accent4 2 7 3 2" xfId="14619" xr:uid="{00000000-0005-0000-0000-00005C040000}"/>
    <cellStyle name="20% - Accent4 2 7 4" xfId="10401" xr:uid="{00000000-0005-0000-0000-00005D040000}"/>
    <cellStyle name="20% - Accent4 2 8" xfId="2289" xr:uid="{00000000-0005-0000-0000-00005E040000}"/>
    <cellStyle name="20% - Accent4 2 8 2" xfId="6596" xr:uid="{00000000-0005-0000-0000-00005F040000}"/>
    <cellStyle name="20% - Accent4 2 8 2 2" xfId="15032" xr:uid="{00000000-0005-0000-0000-000060040000}"/>
    <cellStyle name="20% - Accent4 2 8 3" xfId="10814" xr:uid="{00000000-0005-0000-0000-000061040000}"/>
    <cellStyle name="20% - Accent4 2 9" xfId="4530" xr:uid="{00000000-0005-0000-0000-000062040000}"/>
    <cellStyle name="20% - Accent4 2 9 2" xfId="12966" xr:uid="{00000000-0005-0000-0000-000063040000}"/>
    <cellStyle name="20% - Accent4 3" xfId="30" xr:uid="{00000000-0005-0000-0000-000064040000}"/>
    <cellStyle name="20% - Accent4 3 2" xfId="31" xr:uid="{00000000-0005-0000-0000-000065040000}"/>
    <cellStyle name="20% - Accent4 3 2 2" xfId="600" xr:uid="{00000000-0005-0000-0000-000066040000}"/>
    <cellStyle name="20% - Accent4 3 2 2 2" xfId="2871" xr:uid="{00000000-0005-0000-0000-000067040000}"/>
    <cellStyle name="20% - Accent4 3 2 2 2 2" xfId="7094" xr:uid="{00000000-0005-0000-0000-000068040000}"/>
    <cellStyle name="20% - Accent4 3 2 2 2 2 2" xfId="15530" xr:uid="{00000000-0005-0000-0000-000069040000}"/>
    <cellStyle name="20% - Accent4 3 2 2 2 3" xfId="11312" xr:uid="{00000000-0005-0000-0000-00006A040000}"/>
    <cellStyle name="20% - Accent4 3 2 2 3" xfId="4949" xr:uid="{00000000-0005-0000-0000-00006B040000}"/>
    <cellStyle name="20% - Accent4 3 2 2 3 2" xfId="13385" xr:uid="{00000000-0005-0000-0000-00006C040000}"/>
    <cellStyle name="20% - Accent4 3 2 2 4" xfId="9167" xr:uid="{00000000-0005-0000-0000-00006D040000}"/>
    <cellStyle name="20% - Accent4 3 2 3" xfId="1053" xr:uid="{00000000-0005-0000-0000-00006E040000}"/>
    <cellStyle name="20% - Accent4 3 2 3 2" xfId="3284" xr:uid="{00000000-0005-0000-0000-00006F040000}"/>
    <cellStyle name="20% - Accent4 3 2 3 2 2" xfId="7507" xr:uid="{00000000-0005-0000-0000-000070040000}"/>
    <cellStyle name="20% - Accent4 3 2 3 2 2 2" xfId="15943" xr:uid="{00000000-0005-0000-0000-000071040000}"/>
    <cellStyle name="20% - Accent4 3 2 3 2 3" xfId="11725" xr:uid="{00000000-0005-0000-0000-000072040000}"/>
    <cellStyle name="20% - Accent4 3 2 3 3" xfId="5362" xr:uid="{00000000-0005-0000-0000-000073040000}"/>
    <cellStyle name="20% - Accent4 3 2 3 3 2" xfId="13798" xr:uid="{00000000-0005-0000-0000-000074040000}"/>
    <cellStyle name="20% - Accent4 3 2 3 4" xfId="9580" xr:uid="{00000000-0005-0000-0000-000075040000}"/>
    <cellStyle name="20% - Accent4 3 2 4" xfId="1467" xr:uid="{00000000-0005-0000-0000-000076040000}"/>
    <cellStyle name="20% - Accent4 3 2 4 2" xfId="3697" xr:uid="{00000000-0005-0000-0000-000077040000}"/>
    <cellStyle name="20% - Accent4 3 2 4 2 2" xfId="7920" xr:uid="{00000000-0005-0000-0000-000078040000}"/>
    <cellStyle name="20% - Accent4 3 2 4 2 2 2" xfId="16356" xr:uid="{00000000-0005-0000-0000-000079040000}"/>
    <cellStyle name="20% - Accent4 3 2 4 2 3" xfId="12138" xr:uid="{00000000-0005-0000-0000-00007A040000}"/>
    <cellStyle name="20% - Accent4 3 2 4 3" xfId="5775" xr:uid="{00000000-0005-0000-0000-00007B040000}"/>
    <cellStyle name="20% - Accent4 3 2 4 3 2" xfId="14211" xr:uid="{00000000-0005-0000-0000-00007C040000}"/>
    <cellStyle name="20% - Accent4 3 2 4 4" xfId="9993" xr:uid="{00000000-0005-0000-0000-00007D040000}"/>
    <cellStyle name="20% - Accent4 3 2 5" xfId="1881" xr:uid="{00000000-0005-0000-0000-00007E040000}"/>
    <cellStyle name="20% - Accent4 3 2 5 2" xfId="4110" xr:uid="{00000000-0005-0000-0000-00007F040000}"/>
    <cellStyle name="20% - Accent4 3 2 5 2 2" xfId="8333" xr:uid="{00000000-0005-0000-0000-000080040000}"/>
    <cellStyle name="20% - Accent4 3 2 5 2 2 2" xfId="16769" xr:uid="{00000000-0005-0000-0000-000081040000}"/>
    <cellStyle name="20% - Accent4 3 2 5 2 3" xfId="12551" xr:uid="{00000000-0005-0000-0000-000082040000}"/>
    <cellStyle name="20% - Accent4 3 2 5 3" xfId="6188" xr:uid="{00000000-0005-0000-0000-000083040000}"/>
    <cellStyle name="20% - Accent4 3 2 5 3 2" xfId="14624" xr:uid="{00000000-0005-0000-0000-000084040000}"/>
    <cellStyle name="20% - Accent4 3 2 5 4" xfId="10406" xr:uid="{00000000-0005-0000-0000-000085040000}"/>
    <cellStyle name="20% - Accent4 3 2 6" xfId="2294" xr:uid="{00000000-0005-0000-0000-000086040000}"/>
    <cellStyle name="20% - Accent4 3 2 6 2" xfId="6601" xr:uid="{00000000-0005-0000-0000-000087040000}"/>
    <cellStyle name="20% - Accent4 3 2 6 2 2" xfId="15037" xr:uid="{00000000-0005-0000-0000-000088040000}"/>
    <cellStyle name="20% - Accent4 3 2 6 3" xfId="10819" xr:uid="{00000000-0005-0000-0000-000089040000}"/>
    <cellStyle name="20% - Accent4 3 2 7" xfId="4535" xr:uid="{00000000-0005-0000-0000-00008A040000}"/>
    <cellStyle name="20% - Accent4 3 2 7 2" xfId="12971" xr:uid="{00000000-0005-0000-0000-00008B040000}"/>
    <cellStyle name="20% - Accent4 3 2 8" xfId="8753" xr:uid="{00000000-0005-0000-0000-00008C040000}"/>
    <cellStyle name="20% - Accent4 3 3" xfId="599" xr:uid="{00000000-0005-0000-0000-00008D040000}"/>
    <cellStyle name="20% - Accent4 3 3 2" xfId="2870" xr:uid="{00000000-0005-0000-0000-00008E040000}"/>
    <cellStyle name="20% - Accent4 3 3 2 2" xfId="7093" xr:uid="{00000000-0005-0000-0000-00008F040000}"/>
    <cellStyle name="20% - Accent4 3 3 2 2 2" xfId="15529" xr:uid="{00000000-0005-0000-0000-000090040000}"/>
    <cellStyle name="20% - Accent4 3 3 2 3" xfId="11311" xr:uid="{00000000-0005-0000-0000-000091040000}"/>
    <cellStyle name="20% - Accent4 3 3 3" xfId="4948" xr:uid="{00000000-0005-0000-0000-000092040000}"/>
    <cellStyle name="20% - Accent4 3 3 3 2" xfId="13384" xr:uid="{00000000-0005-0000-0000-000093040000}"/>
    <cellStyle name="20% - Accent4 3 3 4" xfId="9166" xr:uid="{00000000-0005-0000-0000-000094040000}"/>
    <cellStyle name="20% - Accent4 3 4" xfId="1052" xr:uid="{00000000-0005-0000-0000-000095040000}"/>
    <cellStyle name="20% - Accent4 3 4 2" xfId="3283" xr:uid="{00000000-0005-0000-0000-000096040000}"/>
    <cellStyle name="20% - Accent4 3 4 2 2" xfId="7506" xr:uid="{00000000-0005-0000-0000-000097040000}"/>
    <cellStyle name="20% - Accent4 3 4 2 2 2" xfId="15942" xr:uid="{00000000-0005-0000-0000-000098040000}"/>
    <cellStyle name="20% - Accent4 3 4 2 3" xfId="11724" xr:uid="{00000000-0005-0000-0000-000099040000}"/>
    <cellStyle name="20% - Accent4 3 4 3" xfId="5361" xr:uid="{00000000-0005-0000-0000-00009A040000}"/>
    <cellStyle name="20% - Accent4 3 4 3 2" xfId="13797" xr:uid="{00000000-0005-0000-0000-00009B040000}"/>
    <cellStyle name="20% - Accent4 3 4 4" xfId="9579" xr:uid="{00000000-0005-0000-0000-00009C040000}"/>
    <cellStyle name="20% - Accent4 3 5" xfId="1466" xr:uid="{00000000-0005-0000-0000-00009D040000}"/>
    <cellStyle name="20% - Accent4 3 5 2" xfId="3696" xr:uid="{00000000-0005-0000-0000-00009E040000}"/>
    <cellStyle name="20% - Accent4 3 5 2 2" xfId="7919" xr:uid="{00000000-0005-0000-0000-00009F040000}"/>
    <cellStyle name="20% - Accent4 3 5 2 2 2" xfId="16355" xr:uid="{00000000-0005-0000-0000-0000A0040000}"/>
    <cellStyle name="20% - Accent4 3 5 2 3" xfId="12137" xr:uid="{00000000-0005-0000-0000-0000A1040000}"/>
    <cellStyle name="20% - Accent4 3 5 3" xfId="5774" xr:uid="{00000000-0005-0000-0000-0000A2040000}"/>
    <cellStyle name="20% - Accent4 3 5 3 2" xfId="14210" xr:uid="{00000000-0005-0000-0000-0000A3040000}"/>
    <cellStyle name="20% - Accent4 3 5 4" xfId="9992" xr:uid="{00000000-0005-0000-0000-0000A4040000}"/>
    <cellStyle name="20% - Accent4 3 6" xfId="1880" xr:uid="{00000000-0005-0000-0000-0000A5040000}"/>
    <cellStyle name="20% - Accent4 3 6 2" xfId="4109" xr:uid="{00000000-0005-0000-0000-0000A6040000}"/>
    <cellStyle name="20% - Accent4 3 6 2 2" xfId="8332" xr:uid="{00000000-0005-0000-0000-0000A7040000}"/>
    <cellStyle name="20% - Accent4 3 6 2 2 2" xfId="16768" xr:uid="{00000000-0005-0000-0000-0000A8040000}"/>
    <cellStyle name="20% - Accent4 3 6 2 3" xfId="12550" xr:uid="{00000000-0005-0000-0000-0000A9040000}"/>
    <cellStyle name="20% - Accent4 3 6 3" xfId="6187" xr:uid="{00000000-0005-0000-0000-0000AA040000}"/>
    <cellStyle name="20% - Accent4 3 6 3 2" xfId="14623" xr:uid="{00000000-0005-0000-0000-0000AB040000}"/>
    <cellStyle name="20% - Accent4 3 6 4" xfId="10405" xr:uid="{00000000-0005-0000-0000-0000AC040000}"/>
    <cellStyle name="20% - Accent4 3 7" xfId="2293" xr:uid="{00000000-0005-0000-0000-0000AD040000}"/>
    <cellStyle name="20% - Accent4 3 7 2" xfId="6600" xr:uid="{00000000-0005-0000-0000-0000AE040000}"/>
    <cellStyle name="20% - Accent4 3 7 2 2" xfId="15036" xr:uid="{00000000-0005-0000-0000-0000AF040000}"/>
    <cellStyle name="20% - Accent4 3 7 3" xfId="10818" xr:uid="{00000000-0005-0000-0000-0000B0040000}"/>
    <cellStyle name="20% - Accent4 3 8" xfId="4534" xr:uid="{00000000-0005-0000-0000-0000B1040000}"/>
    <cellStyle name="20% - Accent4 3 8 2" xfId="12970" xr:uid="{00000000-0005-0000-0000-0000B2040000}"/>
    <cellStyle name="20% - Accent4 3 9" xfId="8752" xr:uid="{00000000-0005-0000-0000-0000B3040000}"/>
    <cellStyle name="20% - Accent4 4" xfId="32" xr:uid="{00000000-0005-0000-0000-0000B4040000}"/>
    <cellStyle name="20% - Accent4 4 2" xfId="601" xr:uid="{00000000-0005-0000-0000-0000B5040000}"/>
    <cellStyle name="20% - Accent4 4 2 2" xfId="2872" xr:uid="{00000000-0005-0000-0000-0000B6040000}"/>
    <cellStyle name="20% - Accent4 4 2 2 2" xfId="7095" xr:uid="{00000000-0005-0000-0000-0000B7040000}"/>
    <cellStyle name="20% - Accent4 4 2 2 2 2" xfId="15531" xr:uid="{00000000-0005-0000-0000-0000B8040000}"/>
    <cellStyle name="20% - Accent4 4 2 2 3" xfId="11313" xr:uid="{00000000-0005-0000-0000-0000B9040000}"/>
    <cellStyle name="20% - Accent4 4 2 3" xfId="4950" xr:uid="{00000000-0005-0000-0000-0000BA040000}"/>
    <cellStyle name="20% - Accent4 4 2 3 2" xfId="13386" xr:uid="{00000000-0005-0000-0000-0000BB040000}"/>
    <cellStyle name="20% - Accent4 4 2 4" xfId="9168" xr:uid="{00000000-0005-0000-0000-0000BC040000}"/>
    <cellStyle name="20% - Accent4 4 3" xfId="1054" xr:uid="{00000000-0005-0000-0000-0000BD040000}"/>
    <cellStyle name="20% - Accent4 4 3 2" xfId="3285" xr:uid="{00000000-0005-0000-0000-0000BE040000}"/>
    <cellStyle name="20% - Accent4 4 3 2 2" xfId="7508" xr:uid="{00000000-0005-0000-0000-0000BF040000}"/>
    <cellStyle name="20% - Accent4 4 3 2 2 2" xfId="15944" xr:uid="{00000000-0005-0000-0000-0000C0040000}"/>
    <cellStyle name="20% - Accent4 4 3 2 3" xfId="11726" xr:uid="{00000000-0005-0000-0000-0000C1040000}"/>
    <cellStyle name="20% - Accent4 4 3 3" xfId="5363" xr:uid="{00000000-0005-0000-0000-0000C2040000}"/>
    <cellStyle name="20% - Accent4 4 3 3 2" xfId="13799" xr:uid="{00000000-0005-0000-0000-0000C3040000}"/>
    <cellStyle name="20% - Accent4 4 3 4" xfId="9581" xr:uid="{00000000-0005-0000-0000-0000C4040000}"/>
    <cellStyle name="20% - Accent4 4 4" xfId="1468" xr:uid="{00000000-0005-0000-0000-0000C5040000}"/>
    <cellStyle name="20% - Accent4 4 4 2" xfId="3698" xr:uid="{00000000-0005-0000-0000-0000C6040000}"/>
    <cellStyle name="20% - Accent4 4 4 2 2" xfId="7921" xr:uid="{00000000-0005-0000-0000-0000C7040000}"/>
    <cellStyle name="20% - Accent4 4 4 2 2 2" xfId="16357" xr:uid="{00000000-0005-0000-0000-0000C8040000}"/>
    <cellStyle name="20% - Accent4 4 4 2 3" xfId="12139" xr:uid="{00000000-0005-0000-0000-0000C9040000}"/>
    <cellStyle name="20% - Accent4 4 4 3" xfId="5776" xr:uid="{00000000-0005-0000-0000-0000CA040000}"/>
    <cellStyle name="20% - Accent4 4 4 3 2" xfId="14212" xr:uid="{00000000-0005-0000-0000-0000CB040000}"/>
    <cellStyle name="20% - Accent4 4 4 4" xfId="9994" xr:uid="{00000000-0005-0000-0000-0000CC040000}"/>
    <cellStyle name="20% - Accent4 4 5" xfId="1882" xr:uid="{00000000-0005-0000-0000-0000CD040000}"/>
    <cellStyle name="20% - Accent4 4 5 2" xfId="4111" xr:uid="{00000000-0005-0000-0000-0000CE040000}"/>
    <cellStyle name="20% - Accent4 4 5 2 2" xfId="8334" xr:uid="{00000000-0005-0000-0000-0000CF040000}"/>
    <cellStyle name="20% - Accent4 4 5 2 2 2" xfId="16770" xr:uid="{00000000-0005-0000-0000-0000D0040000}"/>
    <cellStyle name="20% - Accent4 4 5 2 3" xfId="12552" xr:uid="{00000000-0005-0000-0000-0000D1040000}"/>
    <cellStyle name="20% - Accent4 4 5 3" xfId="6189" xr:uid="{00000000-0005-0000-0000-0000D2040000}"/>
    <cellStyle name="20% - Accent4 4 5 3 2" xfId="14625" xr:uid="{00000000-0005-0000-0000-0000D3040000}"/>
    <cellStyle name="20% - Accent4 4 5 4" xfId="10407" xr:uid="{00000000-0005-0000-0000-0000D4040000}"/>
    <cellStyle name="20% - Accent4 4 6" xfId="2295" xr:uid="{00000000-0005-0000-0000-0000D5040000}"/>
    <cellStyle name="20% - Accent4 4 6 2" xfId="6602" xr:uid="{00000000-0005-0000-0000-0000D6040000}"/>
    <cellStyle name="20% - Accent4 4 6 2 2" xfId="15038" xr:uid="{00000000-0005-0000-0000-0000D7040000}"/>
    <cellStyle name="20% - Accent4 4 6 3" xfId="10820" xr:uid="{00000000-0005-0000-0000-0000D8040000}"/>
    <cellStyle name="20% - Accent4 4 7" xfId="4536" xr:uid="{00000000-0005-0000-0000-0000D9040000}"/>
    <cellStyle name="20% - Accent4 4 7 2" xfId="12972" xr:uid="{00000000-0005-0000-0000-0000DA040000}"/>
    <cellStyle name="20% - Accent4 4 8" xfId="8754" xr:uid="{00000000-0005-0000-0000-0000DB040000}"/>
    <cellStyle name="20% - Accent4 5" xfId="594" xr:uid="{00000000-0005-0000-0000-0000DC040000}"/>
    <cellStyle name="20% - Accent4 5 2" xfId="2865" xr:uid="{00000000-0005-0000-0000-0000DD040000}"/>
    <cellStyle name="20% - Accent4 5 2 2" xfId="7088" xr:uid="{00000000-0005-0000-0000-0000DE040000}"/>
    <cellStyle name="20% - Accent4 5 2 2 2" xfId="15524" xr:uid="{00000000-0005-0000-0000-0000DF040000}"/>
    <cellStyle name="20% - Accent4 5 2 3" xfId="11306" xr:uid="{00000000-0005-0000-0000-0000E0040000}"/>
    <cellStyle name="20% - Accent4 5 3" xfId="4943" xr:uid="{00000000-0005-0000-0000-0000E1040000}"/>
    <cellStyle name="20% - Accent4 5 3 2" xfId="13379" xr:uid="{00000000-0005-0000-0000-0000E2040000}"/>
    <cellStyle name="20% - Accent4 5 4" xfId="9161" xr:uid="{00000000-0005-0000-0000-0000E3040000}"/>
    <cellStyle name="20% - Accent4 6" xfId="1047" xr:uid="{00000000-0005-0000-0000-0000E4040000}"/>
    <cellStyle name="20% - Accent4 6 2" xfId="3278" xr:uid="{00000000-0005-0000-0000-0000E5040000}"/>
    <cellStyle name="20% - Accent4 6 2 2" xfId="7501" xr:uid="{00000000-0005-0000-0000-0000E6040000}"/>
    <cellStyle name="20% - Accent4 6 2 2 2" xfId="15937" xr:uid="{00000000-0005-0000-0000-0000E7040000}"/>
    <cellStyle name="20% - Accent4 6 2 3" xfId="11719" xr:uid="{00000000-0005-0000-0000-0000E8040000}"/>
    <cellStyle name="20% - Accent4 6 3" xfId="5356" xr:uid="{00000000-0005-0000-0000-0000E9040000}"/>
    <cellStyle name="20% - Accent4 6 3 2" xfId="13792" xr:uid="{00000000-0005-0000-0000-0000EA040000}"/>
    <cellStyle name="20% - Accent4 6 4" xfId="9574" xr:uid="{00000000-0005-0000-0000-0000EB040000}"/>
    <cellStyle name="20% - Accent4 7" xfId="1461" xr:uid="{00000000-0005-0000-0000-0000EC040000}"/>
    <cellStyle name="20% - Accent4 7 2" xfId="3691" xr:uid="{00000000-0005-0000-0000-0000ED040000}"/>
    <cellStyle name="20% - Accent4 7 2 2" xfId="7914" xr:uid="{00000000-0005-0000-0000-0000EE040000}"/>
    <cellStyle name="20% - Accent4 7 2 2 2" xfId="16350" xr:uid="{00000000-0005-0000-0000-0000EF040000}"/>
    <cellStyle name="20% - Accent4 7 2 3" xfId="12132" xr:uid="{00000000-0005-0000-0000-0000F0040000}"/>
    <cellStyle name="20% - Accent4 7 3" xfId="5769" xr:uid="{00000000-0005-0000-0000-0000F1040000}"/>
    <cellStyle name="20% - Accent4 7 3 2" xfId="14205" xr:uid="{00000000-0005-0000-0000-0000F2040000}"/>
    <cellStyle name="20% - Accent4 7 4" xfId="9987" xr:uid="{00000000-0005-0000-0000-0000F3040000}"/>
    <cellStyle name="20% - Accent4 8" xfId="1875" xr:uid="{00000000-0005-0000-0000-0000F4040000}"/>
    <cellStyle name="20% - Accent4 8 2" xfId="4104" xr:uid="{00000000-0005-0000-0000-0000F5040000}"/>
    <cellStyle name="20% - Accent4 8 2 2" xfId="8327" xr:uid="{00000000-0005-0000-0000-0000F6040000}"/>
    <cellStyle name="20% - Accent4 8 2 2 2" xfId="16763" xr:uid="{00000000-0005-0000-0000-0000F7040000}"/>
    <cellStyle name="20% - Accent4 8 2 3" xfId="12545" xr:uid="{00000000-0005-0000-0000-0000F8040000}"/>
    <cellStyle name="20% - Accent4 8 3" xfId="6182" xr:uid="{00000000-0005-0000-0000-0000F9040000}"/>
    <cellStyle name="20% - Accent4 8 3 2" xfId="14618" xr:uid="{00000000-0005-0000-0000-0000FA040000}"/>
    <cellStyle name="20% - Accent4 8 4" xfId="10400" xr:uid="{00000000-0005-0000-0000-0000FB040000}"/>
    <cellStyle name="20% - Accent4 9" xfId="2288" xr:uid="{00000000-0005-0000-0000-0000FC040000}"/>
    <cellStyle name="20% - Accent4 9 2" xfId="6595" xr:uid="{00000000-0005-0000-0000-0000FD040000}"/>
    <cellStyle name="20% - Accent4 9 2 2" xfId="15031" xr:uid="{00000000-0005-0000-0000-0000FE040000}"/>
    <cellStyle name="20% - Accent4 9 3" xfId="10813" xr:uid="{00000000-0005-0000-0000-0000FF040000}"/>
    <cellStyle name="20% - Accent5" xfId="33" builtinId="46" customBuiltin="1"/>
    <cellStyle name="20% - Accent5 10" xfId="4537" xr:uid="{00000000-0005-0000-0000-000001050000}"/>
    <cellStyle name="20% - Accent5 10 2" xfId="12973" xr:uid="{00000000-0005-0000-0000-000002050000}"/>
    <cellStyle name="20% - Accent5 11" xfId="8755" xr:uid="{00000000-0005-0000-0000-000003050000}"/>
    <cellStyle name="20% - Accent5 2" xfId="34" xr:uid="{00000000-0005-0000-0000-000004050000}"/>
    <cellStyle name="20% - Accent5 2 10" xfId="8756" xr:uid="{00000000-0005-0000-0000-000005050000}"/>
    <cellStyle name="20% - Accent5 2 2" xfId="35" xr:uid="{00000000-0005-0000-0000-000006050000}"/>
    <cellStyle name="20% - Accent5 2 2 2" xfId="36" xr:uid="{00000000-0005-0000-0000-000007050000}"/>
    <cellStyle name="20% - Accent5 2 2 2 2" xfId="605" xr:uid="{00000000-0005-0000-0000-000008050000}"/>
    <cellStyle name="20% - Accent5 2 2 2 2 2" xfId="2876" xr:uid="{00000000-0005-0000-0000-000009050000}"/>
    <cellStyle name="20% - Accent5 2 2 2 2 2 2" xfId="7099" xr:uid="{00000000-0005-0000-0000-00000A050000}"/>
    <cellStyle name="20% - Accent5 2 2 2 2 2 2 2" xfId="15535" xr:uid="{00000000-0005-0000-0000-00000B050000}"/>
    <cellStyle name="20% - Accent5 2 2 2 2 2 3" xfId="11317" xr:uid="{00000000-0005-0000-0000-00000C050000}"/>
    <cellStyle name="20% - Accent5 2 2 2 2 3" xfId="4954" xr:uid="{00000000-0005-0000-0000-00000D050000}"/>
    <cellStyle name="20% - Accent5 2 2 2 2 3 2" xfId="13390" xr:uid="{00000000-0005-0000-0000-00000E050000}"/>
    <cellStyle name="20% - Accent5 2 2 2 2 4" xfId="9172" xr:uid="{00000000-0005-0000-0000-00000F050000}"/>
    <cellStyle name="20% - Accent5 2 2 2 3" xfId="1058" xr:uid="{00000000-0005-0000-0000-000010050000}"/>
    <cellStyle name="20% - Accent5 2 2 2 3 2" xfId="3289" xr:uid="{00000000-0005-0000-0000-000011050000}"/>
    <cellStyle name="20% - Accent5 2 2 2 3 2 2" xfId="7512" xr:uid="{00000000-0005-0000-0000-000012050000}"/>
    <cellStyle name="20% - Accent5 2 2 2 3 2 2 2" xfId="15948" xr:uid="{00000000-0005-0000-0000-000013050000}"/>
    <cellStyle name="20% - Accent5 2 2 2 3 2 3" xfId="11730" xr:uid="{00000000-0005-0000-0000-000014050000}"/>
    <cellStyle name="20% - Accent5 2 2 2 3 3" xfId="5367" xr:uid="{00000000-0005-0000-0000-000015050000}"/>
    <cellStyle name="20% - Accent5 2 2 2 3 3 2" xfId="13803" xr:uid="{00000000-0005-0000-0000-000016050000}"/>
    <cellStyle name="20% - Accent5 2 2 2 3 4" xfId="9585" xr:uid="{00000000-0005-0000-0000-000017050000}"/>
    <cellStyle name="20% - Accent5 2 2 2 4" xfId="1472" xr:uid="{00000000-0005-0000-0000-000018050000}"/>
    <cellStyle name="20% - Accent5 2 2 2 4 2" xfId="3702" xr:uid="{00000000-0005-0000-0000-000019050000}"/>
    <cellStyle name="20% - Accent5 2 2 2 4 2 2" xfId="7925" xr:uid="{00000000-0005-0000-0000-00001A050000}"/>
    <cellStyle name="20% - Accent5 2 2 2 4 2 2 2" xfId="16361" xr:uid="{00000000-0005-0000-0000-00001B050000}"/>
    <cellStyle name="20% - Accent5 2 2 2 4 2 3" xfId="12143" xr:uid="{00000000-0005-0000-0000-00001C050000}"/>
    <cellStyle name="20% - Accent5 2 2 2 4 3" xfId="5780" xr:uid="{00000000-0005-0000-0000-00001D050000}"/>
    <cellStyle name="20% - Accent5 2 2 2 4 3 2" xfId="14216" xr:uid="{00000000-0005-0000-0000-00001E050000}"/>
    <cellStyle name="20% - Accent5 2 2 2 4 4" xfId="9998" xr:uid="{00000000-0005-0000-0000-00001F050000}"/>
    <cellStyle name="20% - Accent5 2 2 2 5" xfId="1886" xr:uid="{00000000-0005-0000-0000-000020050000}"/>
    <cellStyle name="20% - Accent5 2 2 2 5 2" xfId="4115" xr:uid="{00000000-0005-0000-0000-000021050000}"/>
    <cellStyle name="20% - Accent5 2 2 2 5 2 2" xfId="8338" xr:uid="{00000000-0005-0000-0000-000022050000}"/>
    <cellStyle name="20% - Accent5 2 2 2 5 2 2 2" xfId="16774" xr:uid="{00000000-0005-0000-0000-000023050000}"/>
    <cellStyle name="20% - Accent5 2 2 2 5 2 3" xfId="12556" xr:uid="{00000000-0005-0000-0000-000024050000}"/>
    <cellStyle name="20% - Accent5 2 2 2 5 3" xfId="6193" xr:uid="{00000000-0005-0000-0000-000025050000}"/>
    <cellStyle name="20% - Accent5 2 2 2 5 3 2" xfId="14629" xr:uid="{00000000-0005-0000-0000-000026050000}"/>
    <cellStyle name="20% - Accent5 2 2 2 5 4" xfId="10411" xr:uid="{00000000-0005-0000-0000-000027050000}"/>
    <cellStyle name="20% - Accent5 2 2 2 6" xfId="2299" xr:uid="{00000000-0005-0000-0000-000028050000}"/>
    <cellStyle name="20% - Accent5 2 2 2 6 2" xfId="6606" xr:uid="{00000000-0005-0000-0000-000029050000}"/>
    <cellStyle name="20% - Accent5 2 2 2 6 2 2" xfId="15042" xr:uid="{00000000-0005-0000-0000-00002A050000}"/>
    <cellStyle name="20% - Accent5 2 2 2 6 3" xfId="10824" xr:uid="{00000000-0005-0000-0000-00002B050000}"/>
    <cellStyle name="20% - Accent5 2 2 2 7" xfId="4540" xr:uid="{00000000-0005-0000-0000-00002C050000}"/>
    <cellStyle name="20% - Accent5 2 2 2 7 2" xfId="12976" xr:uid="{00000000-0005-0000-0000-00002D050000}"/>
    <cellStyle name="20% - Accent5 2 2 2 8" xfId="8758" xr:uid="{00000000-0005-0000-0000-00002E050000}"/>
    <cellStyle name="20% - Accent5 2 2 3" xfId="604" xr:uid="{00000000-0005-0000-0000-00002F050000}"/>
    <cellStyle name="20% - Accent5 2 2 3 2" xfId="2875" xr:uid="{00000000-0005-0000-0000-000030050000}"/>
    <cellStyle name="20% - Accent5 2 2 3 2 2" xfId="7098" xr:uid="{00000000-0005-0000-0000-000031050000}"/>
    <cellStyle name="20% - Accent5 2 2 3 2 2 2" xfId="15534" xr:uid="{00000000-0005-0000-0000-000032050000}"/>
    <cellStyle name="20% - Accent5 2 2 3 2 3" xfId="11316" xr:uid="{00000000-0005-0000-0000-000033050000}"/>
    <cellStyle name="20% - Accent5 2 2 3 3" xfId="4953" xr:uid="{00000000-0005-0000-0000-000034050000}"/>
    <cellStyle name="20% - Accent5 2 2 3 3 2" xfId="13389" xr:uid="{00000000-0005-0000-0000-000035050000}"/>
    <cellStyle name="20% - Accent5 2 2 3 4" xfId="9171" xr:uid="{00000000-0005-0000-0000-000036050000}"/>
    <cellStyle name="20% - Accent5 2 2 4" xfId="1057" xr:uid="{00000000-0005-0000-0000-000037050000}"/>
    <cellStyle name="20% - Accent5 2 2 4 2" xfId="3288" xr:uid="{00000000-0005-0000-0000-000038050000}"/>
    <cellStyle name="20% - Accent5 2 2 4 2 2" xfId="7511" xr:uid="{00000000-0005-0000-0000-000039050000}"/>
    <cellStyle name="20% - Accent5 2 2 4 2 2 2" xfId="15947" xr:uid="{00000000-0005-0000-0000-00003A050000}"/>
    <cellStyle name="20% - Accent5 2 2 4 2 3" xfId="11729" xr:uid="{00000000-0005-0000-0000-00003B050000}"/>
    <cellStyle name="20% - Accent5 2 2 4 3" xfId="5366" xr:uid="{00000000-0005-0000-0000-00003C050000}"/>
    <cellStyle name="20% - Accent5 2 2 4 3 2" xfId="13802" xr:uid="{00000000-0005-0000-0000-00003D050000}"/>
    <cellStyle name="20% - Accent5 2 2 4 4" xfId="9584" xr:uid="{00000000-0005-0000-0000-00003E050000}"/>
    <cellStyle name="20% - Accent5 2 2 5" xfId="1471" xr:uid="{00000000-0005-0000-0000-00003F050000}"/>
    <cellStyle name="20% - Accent5 2 2 5 2" xfId="3701" xr:uid="{00000000-0005-0000-0000-000040050000}"/>
    <cellStyle name="20% - Accent5 2 2 5 2 2" xfId="7924" xr:uid="{00000000-0005-0000-0000-000041050000}"/>
    <cellStyle name="20% - Accent5 2 2 5 2 2 2" xfId="16360" xr:uid="{00000000-0005-0000-0000-000042050000}"/>
    <cellStyle name="20% - Accent5 2 2 5 2 3" xfId="12142" xr:uid="{00000000-0005-0000-0000-000043050000}"/>
    <cellStyle name="20% - Accent5 2 2 5 3" xfId="5779" xr:uid="{00000000-0005-0000-0000-000044050000}"/>
    <cellStyle name="20% - Accent5 2 2 5 3 2" xfId="14215" xr:uid="{00000000-0005-0000-0000-000045050000}"/>
    <cellStyle name="20% - Accent5 2 2 5 4" xfId="9997" xr:uid="{00000000-0005-0000-0000-000046050000}"/>
    <cellStyle name="20% - Accent5 2 2 6" xfId="1885" xr:uid="{00000000-0005-0000-0000-000047050000}"/>
    <cellStyle name="20% - Accent5 2 2 6 2" xfId="4114" xr:uid="{00000000-0005-0000-0000-000048050000}"/>
    <cellStyle name="20% - Accent5 2 2 6 2 2" xfId="8337" xr:uid="{00000000-0005-0000-0000-000049050000}"/>
    <cellStyle name="20% - Accent5 2 2 6 2 2 2" xfId="16773" xr:uid="{00000000-0005-0000-0000-00004A050000}"/>
    <cellStyle name="20% - Accent5 2 2 6 2 3" xfId="12555" xr:uid="{00000000-0005-0000-0000-00004B050000}"/>
    <cellStyle name="20% - Accent5 2 2 6 3" xfId="6192" xr:uid="{00000000-0005-0000-0000-00004C050000}"/>
    <cellStyle name="20% - Accent5 2 2 6 3 2" xfId="14628" xr:uid="{00000000-0005-0000-0000-00004D050000}"/>
    <cellStyle name="20% - Accent5 2 2 6 4" xfId="10410" xr:uid="{00000000-0005-0000-0000-00004E050000}"/>
    <cellStyle name="20% - Accent5 2 2 7" xfId="2298" xr:uid="{00000000-0005-0000-0000-00004F050000}"/>
    <cellStyle name="20% - Accent5 2 2 7 2" xfId="6605" xr:uid="{00000000-0005-0000-0000-000050050000}"/>
    <cellStyle name="20% - Accent5 2 2 7 2 2" xfId="15041" xr:uid="{00000000-0005-0000-0000-000051050000}"/>
    <cellStyle name="20% - Accent5 2 2 7 3" xfId="10823" xr:uid="{00000000-0005-0000-0000-000052050000}"/>
    <cellStyle name="20% - Accent5 2 2 8" xfId="4539" xr:uid="{00000000-0005-0000-0000-000053050000}"/>
    <cellStyle name="20% - Accent5 2 2 8 2" xfId="12975" xr:uid="{00000000-0005-0000-0000-000054050000}"/>
    <cellStyle name="20% - Accent5 2 2 9" xfId="8757" xr:uid="{00000000-0005-0000-0000-000055050000}"/>
    <cellStyle name="20% - Accent5 2 3" xfId="37" xr:uid="{00000000-0005-0000-0000-000056050000}"/>
    <cellStyle name="20% - Accent5 2 3 2" xfId="606" xr:uid="{00000000-0005-0000-0000-000057050000}"/>
    <cellStyle name="20% - Accent5 2 3 2 2" xfId="2877" xr:uid="{00000000-0005-0000-0000-000058050000}"/>
    <cellStyle name="20% - Accent5 2 3 2 2 2" xfId="7100" xr:uid="{00000000-0005-0000-0000-000059050000}"/>
    <cellStyle name="20% - Accent5 2 3 2 2 2 2" xfId="15536" xr:uid="{00000000-0005-0000-0000-00005A050000}"/>
    <cellStyle name="20% - Accent5 2 3 2 2 3" xfId="11318" xr:uid="{00000000-0005-0000-0000-00005B050000}"/>
    <cellStyle name="20% - Accent5 2 3 2 3" xfId="4955" xr:uid="{00000000-0005-0000-0000-00005C050000}"/>
    <cellStyle name="20% - Accent5 2 3 2 3 2" xfId="13391" xr:uid="{00000000-0005-0000-0000-00005D050000}"/>
    <cellStyle name="20% - Accent5 2 3 2 4" xfId="9173" xr:uid="{00000000-0005-0000-0000-00005E050000}"/>
    <cellStyle name="20% - Accent5 2 3 3" xfId="1059" xr:uid="{00000000-0005-0000-0000-00005F050000}"/>
    <cellStyle name="20% - Accent5 2 3 3 2" xfId="3290" xr:uid="{00000000-0005-0000-0000-000060050000}"/>
    <cellStyle name="20% - Accent5 2 3 3 2 2" xfId="7513" xr:uid="{00000000-0005-0000-0000-000061050000}"/>
    <cellStyle name="20% - Accent5 2 3 3 2 2 2" xfId="15949" xr:uid="{00000000-0005-0000-0000-000062050000}"/>
    <cellStyle name="20% - Accent5 2 3 3 2 3" xfId="11731" xr:uid="{00000000-0005-0000-0000-000063050000}"/>
    <cellStyle name="20% - Accent5 2 3 3 3" xfId="5368" xr:uid="{00000000-0005-0000-0000-000064050000}"/>
    <cellStyle name="20% - Accent5 2 3 3 3 2" xfId="13804" xr:uid="{00000000-0005-0000-0000-000065050000}"/>
    <cellStyle name="20% - Accent5 2 3 3 4" xfId="9586" xr:uid="{00000000-0005-0000-0000-000066050000}"/>
    <cellStyle name="20% - Accent5 2 3 4" xfId="1473" xr:uid="{00000000-0005-0000-0000-000067050000}"/>
    <cellStyle name="20% - Accent5 2 3 4 2" xfId="3703" xr:uid="{00000000-0005-0000-0000-000068050000}"/>
    <cellStyle name="20% - Accent5 2 3 4 2 2" xfId="7926" xr:uid="{00000000-0005-0000-0000-000069050000}"/>
    <cellStyle name="20% - Accent5 2 3 4 2 2 2" xfId="16362" xr:uid="{00000000-0005-0000-0000-00006A050000}"/>
    <cellStyle name="20% - Accent5 2 3 4 2 3" xfId="12144" xr:uid="{00000000-0005-0000-0000-00006B050000}"/>
    <cellStyle name="20% - Accent5 2 3 4 3" xfId="5781" xr:uid="{00000000-0005-0000-0000-00006C050000}"/>
    <cellStyle name="20% - Accent5 2 3 4 3 2" xfId="14217" xr:uid="{00000000-0005-0000-0000-00006D050000}"/>
    <cellStyle name="20% - Accent5 2 3 4 4" xfId="9999" xr:uid="{00000000-0005-0000-0000-00006E050000}"/>
    <cellStyle name="20% - Accent5 2 3 5" xfId="1887" xr:uid="{00000000-0005-0000-0000-00006F050000}"/>
    <cellStyle name="20% - Accent5 2 3 5 2" xfId="4116" xr:uid="{00000000-0005-0000-0000-000070050000}"/>
    <cellStyle name="20% - Accent5 2 3 5 2 2" xfId="8339" xr:uid="{00000000-0005-0000-0000-000071050000}"/>
    <cellStyle name="20% - Accent5 2 3 5 2 2 2" xfId="16775" xr:uid="{00000000-0005-0000-0000-000072050000}"/>
    <cellStyle name="20% - Accent5 2 3 5 2 3" xfId="12557" xr:uid="{00000000-0005-0000-0000-000073050000}"/>
    <cellStyle name="20% - Accent5 2 3 5 3" xfId="6194" xr:uid="{00000000-0005-0000-0000-000074050000}"/>
    <cellStyle name="20% - Accent5 2 3 5 3 2" xfId="14630" xr:uid="{00000000-0005-0000-0000-000075050000}"/>
    <cellStyle name="20% - Accent5 2 3 5 4" xfId="10412" xr:uid="{00000000-0005-0000-0000-000076050000}"/>
    <cellStyle name="20% - Accent5 2 3 6" xfId="2300" xr:uid="{00000000-0005-0000-0000-000077050000}"/>
    <cellStyle name="20% - Accent5 2 3 6 2" xfId="6607" xr:uid="{00000000-0005-0000-0000-000078050000}"/>
    <cellStyle name="20% - Accent5 2 3 6 2 2" xfId="15043" xr:uid="{00000000-0005-0000-0000-000079050000}"/>
    <cellStyle name="20% - Accent5 2 3 6 3" xfId="10825" xr:uid="{00000000-0005-0000-0000-00007A050000}"/>
    <cellStyle name="20% - Accent5 2 3 7" xfId="4541" xr:uid="{00000000-0005-0000-0000-00007B050000}"/>
    <cellStyle name="20% - Accent5 2 3 7 2" xfId="12977" xr:uid="{00000000-0005-0000-0000-00007C050000}"/>
    <cellStyle name="20% - Accent5 2 3 8" xfId="8759" xr:uid="{00000000-0005-0000-0000-00007D050000}"/>
    <cellStyle name="20% - Accent5 2 4" xfId="603" xr:uid="{00000000-0005-0000-0000-00007E050000}"/>
    <cellStyle name="20% - Accent5 2 4 2" xfId="2874" xr:uid="{00000000-0005-0000-0000-00007F050000}"/>
    <cellStyle name="20% - Accent5 2 4 2 2" xfId="7097" xr:uid="{00000000-0005-0000-0000-000080050000}"/>
    <cellStyle name="20% - Accent5 2 4 2 2 2" xfId="15533" xr:uid="{00000000-0005-0000-0000-000081050000}"/>
    <cellStyle name="20% - Accent5 2 4 2 3" xfId="11315" xr:uid="{00000000-0005-0000-0000-000082050000}"/>
    <cellStyle name="20% - Accent5 2 4 3" xfId="4952" xr:uid="{00000000-0005-0000-0000-000083050000}"/>
    <cellStyle name="20% - Accent5 2 4 3 2" xfId="13388" xr:uid="{00000000-0005-0000-0000-000084050000}"/>
    <cellStyle name="20% - Accent5 2 4 4" xfId="9170" xr:uid="{00000000-0005-0000-0000-000085050000}"/>
    <cellStyle name="20% - Accent5 2 5" xfId="1056" xr:uid="{00000000-0005-0000-0000-000086050000}"/>
    <cellStyle name="20% - Accent5 2 5 2" xfId="3287" xr:uid="{00000000-0005-0000-0000-000087050000}"/>
    <cellStyle name="20% - Accent5 2 5 2 2" xfId="7510" xr:uid="{00000000-0005-0000-0000-000088050000}"/>
    <cellStyle name="20% - Accent5 2 5 2 2 2" xfId="15946" xr:uid="{00000000-0005-0000-0000-000089050000}"/>
    <cellStyle name="20% - Accent5 2 5 2 3" xfId="11728" xr:uid="{00000000-0005-0000-0000-00008A050000}"/>
    <cellStyle name="20% - Accent5 2 5 3" xfId="5365" xr:uid="{00000000-0005-0000-0000-00008B050000}"/>
    <cellStyle name="20% - Accent5 2 5 3 2" xfId="13801" xr:uid="{00000000-0005-0000-0000-00008C050000}"/>
    <cellStyle name="20% - Accent5 2 5 4" xfId="9583" xr:uid="{00000000-0005-0000-0000-00008D050000}"/>
    <cellStyle name="20% - Accent5 2 6" xfId="1470" xr:uid="{00000000-0005-0000-0000-00008E050000}"/>
    <cellStyle name="20% - Accent5 2 6 2" xfId="3700" xr:uid="{00000000-0005-0000-0000-00008F050000}"/>
    <cellStyle name="20% - Accent5 2 6 2 2" xfId="7923" xr:uid="{00000000-0005-0000-0000-000090050000}"/>
    <cellStyle name="20% - Accent5 2 6 2 2 2" xfId="16359" xr:uid="{00000000-0005-0000-0000-000091050000}"/>
    <cellStyle name="20% - Accent5 2 6 2 3" xfId="12141" xr:uid="{00000000-0005-0000-0000-000092050000}"/>
    <cellStyle name="20% - Accent5 2 6 3" xfId="5778" xr:uid="{00000000-0005-0000-0000-000093050000}"/>
    <cellStyle name="20% - Accent5 2 6 3 2" xfId="14214" xr:uid="{00000000-0005-0000-0000-000094050000}"/>
    <cellStyle name="20% - Accent5 2 6 4" xfId="9996" xr:uid="{00000000-0005-0000-0000-000095050000}"/>
    <cellStyle name="20% - Accent5 2 7" xfId="1884" xr:uid="{00000000-0005-0000-0000-000096050000}"/>
    <cellStyle name="20% - Accent5 2 7 2" xfId="4113" xr:uid="{00000000-0005-0000-0000-000097050000}"/>
    <cellStyle name="20% - Accent5 2 7 2 2" xfId="8336" xr:uid="{00000000-0005-0000-0000-000098050000}"/>
    <cellStyle name="20% - Accent5 2 7 2 2 2" xfId="16772" xr:uid="{00000000-0005-0000-0000-000099050000}"/>
    <cellStyle name="20% - Accent5 2 7 2 3" xfId="12554" xr:uid="{00000000-0005-0000-0000-00009A050000}"/>
    <cellStyle name="20% - Accent5 2 7 3" xfId="6191" xr:uid="{00000000-0005-0000-0000-00009B050000}"/>
    <cellStyle name="20% - Accent5 2 7 3 2" xfId="14627" xr:uid="{00000000-0005-0000-0000-00009C050000}"/>
    <cellStyle name="20% - Accent5 2 7 4" xfId="10409" xr:uid="{00000000-0005-0000-0000-00009D050000}"/>
    <cellStyle name="20% - Accent5 2 8" xfId="2297" xr:uid="{00000000-0005-0000-0000-00009E050000}"/>
    <cellStyle name="20% - Accent5 2 8 2" xfId="6604" xr:uid="{00000000-0005-0000-0000-00009F050000}"/>
    <cellStyle name="20% - Accent5 2 8 2 2" xfId="15040" xr:uid="{00000000-0005-0000-0000-0000A0050000}"/>
    <cellStyle name="20% - Accent5 2 8 3" xfId="10822" xr:uid="{00000000-0005-0000-0000-0000A1050000}"/>
    <cellStyle name="20% - Accent5 2 9" xfId="4538" xr:uid="{00000000-0005-0000-0000-0000A2050000}"/>
    <cellStyle name="20% - Accent5 2 9 2" xfId="12974" xr:uid="{00000000-0005-0000-0000-0000A3050000}"/>
    <cellStyle name="20% - Accent5 3" xfId="38" xr:uid="{00000000-0005-0000-0000-0000A4050000}"/>
    <cellStyle name="20% - Accent5 3 2" xfId="39" xr:uid="{00000000-0005-0000-0000-0000A5050000}"/>
    <cellStyle name="20% - Accent5 3 2 2" xfId="608" xr:uid="{00000000-0005-0000-0000-0000A6050000}"/>
    <cellStyle name="20% - Accent5 3 2 2 2" xfId="2879" xr:uid="{00000000-0005-0000-0000-0000A7050000}"/>
    <cellStyle name="20% - Accent5 3 2 2 2 2" xfId="7102" xr:uid="{00000000-0005-0000-0000-0000A8050000}"/>
    <cellStyle name="20% - Accent5 3 2 2 2 2 2" xfId="15538" xr:uid="{00000000-0005-0000-0000-0000A9050000}"/>
    <cellStyle name="20% - Accent5 3 2 2 2 3" xfId="11320" xr:uid="{00000000-0005-0000-0000-0000AA050000}"/>
    <cellStyle name="20% - Accent5 3 2 2 3" xfId="4957" xr:uid="{00000000-0005-0000-0000-0000AB050000}"/>
    <cellStyle name="20% - Accent5 3 2 2 3 2" xfId="13393" xr:uid="{00000000-0005-0000-0000-0000AC050000}"/>
    <cellStyle name="20% - Accent5 3 2 2 4" xfId="9175" xr:uid="{00000000-0005-0000-0000-0000AD050000}"/>
    <cellStyle name="20% - Accent5 3 2 3" xfId="1061" xr:uid="{00000000-0005-0000-0000-0000AE050000}"/>
    <cellStyle name="20% - Accent5 3 2 3 2" xfId="3292" xr:uid="{00000000-0005-0000-0000-0000AF050000}"/>
    <cellStyle name="20% - Accent5 3 2 3 2 2" xfId="7515" xr:uid="{00000000-0005-0000-0000-0000B0050000}"/>
    <cellStyle name="20% - Accent5 3 2 3 2 2 2" xfId="15951" xr:uid="{00000000-0005-0000-0000-0000B1050000}"/>
    <cellStyle name="20% - Accent5 3 2 3 2 3" xfId="11733" xr:uid="{00000000-0005-0000-0000-0000B2050000}"/>
    <cellStyle name="20% - Accent5 3 2 3 3" xfId="5370" xr:uid="{00000000-0005-0000-0000-0000B3050000}"/>
    <cellStyle name="20% - Accent5 3 2 3 3 2" xfId="13806" xr:uid="{00000000-0005-0000-0000-0000B4050000}"/>
    <cellStyle name="20% - Accent5 3 2 3 4" xfId="9588" xr:uid="{00000000-0005-0000-0000-0000B5050000}"/>
    <cellStyle name="20% - Accent5 3 2 4" xfId="1475" xr:uid="{00000000-0005-0000-0000-0000B6050000}"/>
    <cellStyle name="20% - Accent5 3 2 4 2" xfId="3705" xr:uid="{00000000-0005-0000-0000-0000B7050000}"/>
    <cellStyle name="20% - Accent5 3 2 4 2 2" xfId="7928" xr:uid="{00000000-0005-0000-0000-0000B8050000}"/>
    <cellStyle name="20% - Accent5 3 2 4 2 2 2" xfId="16364" xr:uid="{00000000-0005-0000-0000-0000B9050000}"/>
    <cellStyle name="20% - Accent5 3 2 4 2 3" xfId="12146" xr:uid="{00000000-0005-0000-0000-0000BA050000}"/>
    <cellStyle name="20% - Accent5 3 2 4 3" xfId="5783" xr:uid="{00000000-0005-0000-0000-0000BB050000}"/>
    <cellStyle name="20% - Accent5 3 2 4 3 2" xfId="14219" xr:uid="{00000000-0005-0000-0000-0000BC050000}"/>
    <cellStyle name="20% - Accent5 3 2 4 4" xfId="10001" xr:uid="{00000000-0005-0000-0000-0000BD050000}"/>
    <cellStyle name="20% - Accent5 3 2 5" xfId="1889" xr:uid="{00000000-0005-0000-0000-0000BE050000}"/>
    <cellStyle name="20% - Accent5 3 2 5 2" xfId="4118" xr:uid="{00000000-0005-0000-0000-0000BF050000}"/>
    <cellStyle name="20% - Accent5 3 2 5 2 2" xfId="8341" xr:uid="{00000000-0005-0000-0000-0000C0050000}"/>
    <cellStyle name="20% - Accent5 3 2 5 2 2 2" xfId="16777" xr:uid="{00000000-0005-0000-0000-0000C1050000}"/>
    <cellStyle name="20% - Accent5 3 2 5 2 3" xfId="12559" xr:uid="{00000000-0005-0000-0000-0000C2050000}"/>
    <cellStyle name="20% - Accent5 3 2 5 3" xfId="6196" xr:uid="{00000000-0005-0000-0000-0000C3050000}"/>
    <cellStyle name="20% - Accent5 3 2 5 3 2" xfId="14632" xr:uid="{00000000-0005-0000-0000-0000C4050000}"/>
    <cellStyle name="20% - Accent5 3 2 5 4" xfId="10414" xr:uid="{00000000-0005-0000-0000-0000C5050000}"/>
    <cellStyle name="20% - Accent5 3 2 6" xfId="2302" xr:uid="{00000000-0005-0000-0000-0000C6050000}"/>
    <cellStyle name="20% - Accent5 3 2 6 2" xfId="6609" xr:uid="{00000000-0005-0000-0000-0000C7050000}"/>
    <cellStyle name="20% - Accent5 3 2 6 2 2" xfId="15045" xr:uid="{00000000-0005-0000-0000-0000C8050000}"/>
    <cellStyle name="20% - Accent5 3 2 6 3" xfId="10827" xr:uid="{00000000-0005-0000-0000-0000C9050000}"/>
    <cellStyle name="20% - Accent5 3 2 7" xfId="4543" xr:uid="{00000000-0005-0000-0000-0000CA050000}"/>
    <cellStyle name="20% - Accent5 3 2 7 2" xfId="12979" xr:uid="{00000000-0005-0000-0000-0000CB050000}"/>
    <cellStyle name="20% - Accent5 3 2 8" xfId="8761" xr:uid="{00000000-0005-0000-0000-0000CC050000}"/>
    <cellStyle name="20% - Accent5 3 3" xfId="607" xr:uid="{00000000-0005-0000-0000-0000CD050000}"/>
    <cellStyle name="20% - Accent5 3 3 2" xfId="2878" xr:uid="{00000000-0005-0000-0000-0000CE050000}"/>
    <cellStyle name="20% - Accent5 3 3 2 2" xfId="7101" xr:uid="{00000000-0005-0000-0000-0000CF050000}"/>
    <cellStyle name="20% - Accent5 3 3 2 2 2" xfId="15537" xr:uid="{00000000-0005-0000-0000-0000D0050000}"/>
    <cellStyle name="20% - Accent5 3 3 2 3" xfId="11319" xr:uid="{00000000-0005-0000-0000-0000D1050000}"/>
    <cellStyle name="20% - Accent5 3 3 3" xfId="4956" xr:uid="{00000000-0005-0000-0000-0000D2050000}"/>
    <cellStyle name="20% - Accent5 3 3 3 2" xfId="13392" xr:uid="{00000000-0005-0000-0000-0000D3050000}"/>
    <cellStyle name="20% - Accent5 3 3 4" xfId="9174" xr:uid="{00000000-0005-0000-0000-0000D4050000}"/>
    <cellStyle name="20% - Accent5 3 4" xfId="1060" xr:uid="{00000000-0005-0000-0000-0000D5050000}"/>
    <cellStyle name="20% - Accent5 3 4 2" xfId="3291" xr:uid="{00000000-0005-0000-0000-0000D6050000}"/>
    <cellStyle name="20% - Accent5 3 4 2 2" xfId="7514" xr:uid="{00000000-0005-0000-0000-0000D7050000}"/>
    <cellStyle name="20% - Accent5 3 4 2 2 2" xfId="15950" xr:uid="{00000000-0005-0000-0000-0000D8050000}"/>
    <cellStyle name="20% - Accent5 3 4 2 3" xfId="11732" xr:uid="{00000000-0005-0000-0000-0000D9050000}"/>
    <cellStyle name="20% - Accent5 3 4 3" xfId="5369" xr:uid="{00000000-0005-0000-0000-0000DA050000}"/>
    <cellStyle name="20% - Accent5 3 4 3 2" xfId="13805" xr:uid="{00000000-0005-0000-0000-0000DB050000}"/>
    <cellStyle name="20% - Accent5 3 4 4" xfId="9587" xr:uid="{00000000-0005-0000-0000-0000DC050000}"/>
    <cellStyle name="20% - Accent5 3 5" xfId="1474" xr:uid="{00000000-0005-0000-0000-0000DD050000}"/>
    <cellStyle name="20% - Accent5 3 5 2" xfId="3704" xr:uid="{00000000-0005-0000-0000-0000DE050000}"/>
    <cellStyle name="20% - Accent5 3 5 2 2" xfId="7927" xr:uid="{00000000-0005-0000-0000-0000DF050000}"/>
    <cellStyle name="20% - Accent5 3 5 2 2 2" xfId="16363" xr:uid="{00000000-0005-0000-0000-0000E0050000}"/>
    <cellStyle name="20% - Accent5 3 5 2 3" xfId="12145" xr:uid="{00000000-0005-0000-0000-0000E1050000}"/>
    <cellStyle name="20% - Accent5 3 5 3" xfId="5782" xr:uid="{00000000-0005-0000-0000-0000E2050000}"/>
    <cellStyle name="20% - Accent5 3 5 3 2" xfId="14218" xr:uid="{00000000-0005-0000-0000-0000E3050000}"/>
    <cellStyle name="20% - Accent5 3 5 4" xfId="10000" xr:uid="{00000000-0005-0000-0000-0000E4050000}"/>
    <cellStyle name="20% - Accent5 3 6" xfId="1888" xr:uid="{00000000-0005-0000-0000-0000E5050000}"/>
    <cellStyle name="20% - Accent5 3 6 2" xfId="4117" xr:uid="{00000000-0005-0000-0000-0000E6050000}"/>
    <cellStyle name="20% - Accent5 3 6 2 2" xfId="8340" xr:uid="{00000000-0005-0000-0000-0000E7050000}"/>
    <cellStyle name="20% - Accent5 3 6 2 2 2" xfId="16776" xr:uid="{00000000-0005-0000-0000-0000E8050000}"/>
    <cellStyle name="20% - Accent5 3 6 2 3" xfId="12558" xr:uid="{00000000-0005-0000-0000-0000E9050000}"/>
    <cellStyle name="20% - Accent5 3 6 3" xfId="6195" xr:uid="{00000000-0005-0000-0000-0000EA050000}"/>
    <cellStyle name="20% - Accent5 3 6 3 2" xfId="14631" xr:uid="{00000000-0005-0000-0000-0000EB050000}"/>
    <cellStyle name="20% - Accent5 3 6 4" xfId="10413" xr:uid="{00000000-0005-0000-0000-0000EC050000}"/>
    <cellStyle name="20% - Accent5 3 7" xfId="2301" xr:uid="{00000000-0005-0000-0000-0000ED050000}"/>
    <cellStyle name="20% - Accent5 3 7 2" xfId="6608" xr:uid="{00000000-0005-0000-0000-0000EE050000}"/>
    <cellStyle name="20% - Accent5 3 7 2 2" xfId="15044" xr:uid="{00000000-0005-0000-0000-0000EF050000}"/>
    <cellStyle name="20% - Accent5 3 7 3" xfId="10826" xr:uid="{00000000-0005-0000-0000-0000F0050000}"/>
    <cellStyle name="20% - Accent5 3 8" xfId="4542" xr:uid="{00000000-0005-0000-0000-0000F1050000}"/>
    <cellStyle name="20% - Accent5 3 8 2" xfId="12978" xr:uid="{00000000-0005-0000-0000-0000F2050000}"/>
    <cellStyle name="20% - Accent5 3 9" xfId="8760" xr:uid="{00000000-0005-0000-0000-0000F3050000}"/>
    <cellStyle name="20% - Accent5 4" xfId="40" xr:uid="{00000000-0005-0000-0000-0000F4050000}"/>
    <cellStyle name="20% - Accent5 4 2" xfId="609" xr:uid="{00000000-0005-0000-0000-0000F5050000}"/>
    <cellStyle name="20% - Accent5 4 2 2" xfId="2880" xr:uid="{00000000-0005-0000-0000-0000F6050000}"/>
    <cellStyle name="20% - Accent5 4 2 2 2" xfId="7103" xr:uid="{00000000-0005-0000-0000-0000F7050000}"/>
    <cellStyle name="20% - Accent5 4 2 2 2 2" xfId="15539" xr:uid="{00000000-0005-0000-0000-0000F8050000}"/>
    <cellStyle name="20% - Accent5 4 2 2 3" xfId="11321" xr:uid="{00000000-0005-0000-0000-0000F9050000}"/>
    <cellStyle name="20% - Accent5 4 2 3" xfId="4958" xr:uid="{00000000-0005-0000-0000-0000FA050000}"/>
    <cellStyle name="20% - Accent5 4 2 3 2" xfId="13394" xr:uid="{00000000-0005-0000-0000-0000FB050000}"/>
    <cellStyle name="20% - Accent5 4 2 4" xfId="9176" xr:uid="{00000000-0005-0000-0000-0000FC050000}"/>
    <cellStyle name="20% - Accent5 4 3" xfId="1062" xr:uid="{00000000-0005-0000-0000-0000FD050000}"/>
    <cellStyle name="20% - Accent5 4 3 2" xfId="3293" xr:uid="{00000000-0005-0000-0000-0000FE050000}"/>
    <cellStyle name="20% - Accent5 4 3 2 2" xfId="7516" xr:uid="{00000000-0005-0000-0000-0000FF050000}"/>
    <cellStyle name="20% - Accent5 4 3 2 2 2" xfId="15952" xr:uid="{00000000-0005-0000-0000-000000060000}"/>
    <cellStyle name="20% - Accent5 4 3 2 3" xfId="11734" xr:uid="{00000000-0005-0000-0000-000001060000}"/>
    <cellStyle name="20% - Accent5 4 3 3" xfId="5371" xr:uid="{00000000-0005-0000-0000-000002060000}"/>
    <cellStyle name="20% - Accent5 4 3 3 2" xfId="13807" xr:uid="{00000000-0005-0000-0000-000003060000}"/>
    <cellStyle name="20% - Accent5 4 3 4" xfId="9589" xr:uid="{00000000-0005-0000-0000-000004060000}"/>
    <cellStyle name="20% - Accent5 4 4" xfId="1476" xr:uid="{00000000-0005-0000-0000-000005060000}"/>
    <cellStyle name="20% - Accent5 4 4 2" xfId="3706" xr:uid="{00000000-0005-0000-0000-000006060000}"/>
    <cellStyle name="20% - Accent5 4 4 2 2" xfId="7929" xr:uid="{00000000-0005-0000-0000-000007060000}"/>
    <cellStyle name="20% - Accent5 4 4 2 2 2" xfId="16365" xr:uid="{00000000-0005-0000-0000-000008060000}"/>
    <cellStyle name="20% - Accent5 4 4 2 3" xfId="12147" xr:uid="{00000000-0005-0000-0000-000009060000}"/>
    <cellStyle name="20% - Accent5 4 4 3" xfId="5784" xr:uid="{00000000-0005-0000-0000-00000A060000}"/>
    <cellStyle name="20% - Accent5 4 4 3 2" xfId="14220" xr:uid="{00000000-0005-0000-0000-00000B060000}"/>
    <cellStyle name="20% - Accent5 4 4 4" xfId="10002" xr:uid="{00000000-0005-0000-0000-00000C060000}"/>
    <cellStyle name="20% - Accent5 4 5" xfId="1890" xr:uid="{00000000-0005-0000-0000-00000D060000}"/>
    <cellStyle name="20% - Accent5 4 5 2" xfId="4119" xr:uid="{00000000-0005-0000-0000-00000E060000}"/>
    <cellStyle name="20% - Accent5 4 5 2 2" xfId="8342" xr:uid="{00000000-0005-0000-0000-00000F060000}"/>
    <cellStyle name="20% - Accent5 4 5 2 2 2" xfId="16778" xr:uid="{00000000-0005-0000-0000-000010060000}"/>
    <cellStyle name="20% - Accent5 4 5 2 3" xfId="12560" xr:uid="{00000000-0005-0000-0000-000011060000}"/>
    <cellStyle name="20% - Accent5 4 5 3" xfId="6197" xr:uid="{00000000-0005-0000-0000-000012060000}"/>
    <cellStyle name="20% - Accent5 4 5 3 2" xfId="14633" xr:uid="{00000000-0005-0000-0000-000013060000}"/>
    <cellStyle name="20% - Accent5 4 5 4" xfId="10415" xr:uid="{00000000-0005-0000-0000-000014060000}"/>
    <cellStyle name="20% - Accent5 4 6" xfId="2303" xr:uid="{00000000-0005-0000-0000-000015060000}"/>
    <cellStyle name="20% - Accent5 4 6 2" xfId="6610" xr:uid="{00000000-0005-0000-0000-000016060000}"/>
    <cellStyle name="20% - Accent5 4 6 2 2" xfId="15046" xr:uid="{00000000-0005-0000-0000-000017060000}"/>
    <cellStyle name="20% - Accent5 4 6 3" xfId="10828" xr:uid="{00000000-0005-0000-0000-000018060000}"/>
    <cellStyle name="20% - Accent5 4 7" xfId="4544" xr:uid="{00000000-0005-0000-0000-000019060000}"/>
    <cellStyle name="20% - Accent5 4 7 2" xfId="12980" xr:uid="{00000000-0005-0000-0000-00001A060000}"/>
    <cellStyle name="20% - Accent5 4 8" xfId="8762" xr:uid="{00000000-0005-0000-0000-00001B060000}"/>
    <cellStyle name="20% - Accent5 5" xfId="602" xr:uid="{00000000-0005-0000-0000-00001C060000}"/>
    <cellStyle name="20% - Accent5 5 2" xfId="2873" xr:uid="{00000000-0005-0000-0000-00001D060000}"/>
    <cellStyle name="20% - Accent5 5 2 2" xfId="7096" xr:uid="{00000000-0005-0000-0000-00001E060000}"/>
    <cellStyle name="20% - Accent5 5 2 2 2" xfId="15532" xr:uid="{00000000-0005-0000-0000-00001F060000}"/>
    <cellStyle name="20% - Accent5 5 2 3" xfId="11314" xr:uid="{00000000-0005-0000-0000-000020060000}"/>
    <cellStyle name="20% - Accent5 5 3" xfId="4951" xr:uid="{00000000-0005-0000-0000-000021060000}"/>
    <cellStyle name="20% - Accent5 5 3 2" xfId="13387" xr:uid="{00000000-0005-0000-0000-000022060000}"/>
    <cellStyle name="20% - Accent5 5 4" xfId="9169" xr:uid="{00000000-0005-0000-0000-000023060000}"/>
    <cellStyle name="20% - Accent5 6" xfId="1055" xr:uid="{00000000-0005-0000-0000-000024060000}"/>
    <cellStyle name="20% - Accent5 6 2" xfId="3286" xr:uid="{00000000-0005-0000-0000-000025060000}"/>
    <cellStyle name="20% - Accent5 6 2 2" xfId="7509" xr:uid="{00000000-0005-0000-0000-000026060000}"/>
    <cellStyle name="20% - Accent5 6 2 2 2" xfId="15945" xr:uid="{00000000-0005-0000-0000-000027060000}"/>
    <cellStyle name="20% - Accent5 6 2 3" xfId="11727" xr:uid="{00000000-0005-0000-0000-000028060000}"/>
    <cellStyle name="20% - Accent5 6 3" xfId="5364" xr:uid="{00000000-0005-0000-0000-000029060000}"/>
    <cellStyle name="20% - Accent5 6 3 2" xfId="13800" xr:uid="{00000000-0005-0000-0000-00002A060000}"/>
    <cellStyle name="20% - Accent5 6 4" xfId="9582" xr:uid="{00000000-0005-0000-0000-00002B060000}"/>
    <cellStyle name="20% - Accent5 7" xfId="1469" xr:uid="{00000000-0005-0000-0000-00002C060000}"/>
    <cellStyle name="20% - Accent5 7 2" xfId="3699" xr:uid="{00000000-0005-0000-0000-00002D060000}"/>
    <cellStyle name="20% - Accent5 7 2 2" xfId="7922" xr:uid="{00000000-0005-0000-0000-00002E060000}"/>
    <cellStyle name="20% - Accent5 7 2 2 2" xfId="16358" xr:uid="{00000000-0005-0000-0000-00002F060000}"/>
    <cellStyle name="20% - Accent5 7 2 3" xfId="12140" xr:uid="{00000000-0005-0000-0000-000030060000}"/>
    <cellStyle name="20% - Accent5 7 3" xfId="5777" xr:uid="{00000000-0005-0000-0000-000031060000}"/>
    <cellStyle name="20% - Accent5 7 3 2" xfId="14213" xr:uid="{00000000-0005-0000-0000-000032060000}"/>
    <cellStyle name="20% - Accent5 7 4" xfId="9995" xr:uid="{00000000-0005-0000-0000-000033060000}"/>
    <cellStyle name="20% - Accent5 8" xfId="1883" xr:uid="{00000000-0005-0000-0000-000034060000}"/>
    <cellStyle name="20% - Accent5 8 2" xfId="4112" xr:uid="{00000000-0005-0000-0000-000035060000}"/>
    <cellStyle name="20% - Accent5 8 2 2" xfId="8335" xr:uid="{00000000-0005-0000-0000-000036060000}"/>
    <cellStyle name="20% - Accent5 8 2 2 2" xfId="16771" xr:uid="{00000000-0005-0000-0000-000037060000}"/>
    <cellStyle name="20% - Accent5 8 2 3" xfId="12553" xr:uid="{00000000-0005-0000-0000-000038060000}"/>
    <cellStyle name="20% - Accent5 8 3" xfId="6190" xr:uid="{00000000-0005-0000-0000-000039060000}"/>
    <cellStyle name="20% - Accent5 8 3 2" xfId="14626" xr:uid="{00000000-0005-0000-0000-00003A060000}"/>
    <cellStyle name="20% - Accent5 8 4" xfId="10408" xr:uid="{00000000-0005-0000-0000-00003B060000}"/>
    <cellStyle name="20% - Accent5 9" xfId="2296" xr:uid="{00000000-0005-0000-0000-00003C060000}"/>
    <cellStyle name="20% - Accent5 9 2" xfId="6603" xr:uid="{00000000-0005-0000-0000-00003D060000}"/>
    <cellStyle name="20% - Accent5 9 2 2" xfId="15039" xr:uid="{00000000-0005-0000-0000-00003E060000}"/>
    <cellStyle name="20% - Accent5 9 3" xfId="10821" xr:uid="{00000000-0005-0000-0000-00003F060000}"/>
    <cellStyle name="20% - Accent6" xfId="41" builtinId="50" customBuiltin="1"/>
    <cellStyle name="20% - Accent6 10" xfId="4545" xr:uid="{00000000-0005-0000-0000-000041060000}"/>
    <cellStyle name="20% - Accent6 10 2" xfId="12981" xr:uid="{00000000-0005-0000-0000-000042060000}"/>
    <cellStyle name="20% - Accent6 11" xfId="8763" xr:uid="{00000000-0005-0000-0000-000043060000}"/>
    <cellStyle name="20% - Accent6 2" xfId="42" xr:uid="{00000000-0005-0000-0000-000044060000}"/>
    <cellStyle name="20% - Accent6 2 10" xfId="8764" xr:uid="{00000000-0005-0000-0000-000045060000}"/>
    <cellStyle name="20% - Accent6 2 2" xfId="43" xr:uid="{00000000-0005-0000-0000-000046060000}"/>
    <cellStyle name="20% - Accent6 2 2 2" xfId="44" xr:uid="{00000000-0005-0000-0000-000047060000}"/>
    <cellStyle name="20% - Accent6 2 2 2 2" xfId="613" xr:uid="{00000000-0005-0000-0000-000048060000}"/>
    <cellStyle name="20% - Accent6 2 2 2 2 2" xfId="2884" xr:uid="{00000000-0005-0000-0000-000049060000}"/>
    <cellStyle name="20% - Accent6 2 2 2 2 2 2" xfId="7107" xr:uid="{00000000-0005-0000-0000-00004A060000}"/>
    <cellStyle name="20% - Accent6 2 2 2 2 2 2 2" xfId="15543" xr:uid="{00000000-0005-0000-0000-00004B060000}"/>
    <cellStyle name="20% - Accent6 2 2 2 2 2 3" xfId="11325" xr:uid="{00000000-0005-0000-0000-00004C060000}"/>
    <cellStyle name="20% - Accent6 2 2 2 2 3" xfId="4962" xr:uid="{00000000-0005-0000-0000-00004D060000}"/>
    <cellStyle name="20% - Accent6 2 2 2 2 3 2" xfId="13398" xr:uid="{00000000-0005-0000-0000-00004E060000}"/>
    <cellStyle name="20% - Accent6 2 2 2 2 4" xfId="9180" xr:uid="{00000000-0005-0000-0000-00004F060000}"/>
    <cellStyle name="20% - Accent6 2 2 2 3" xfId="1066" xr:uid="{00000000-0005-0000-0000-000050060000}"/>
    <cellStyle name="20% - Accent6 2 2 2 3 2" xfId="3297" xr:uid="{00000000-0005-0000-0000-000051060000}"/>
    <cellStyle name="20% - Accent6 2 2 2 3 2 2" xfId="7520" xr:uid="{00000000-0005-0000-0000-000052060000}"/>
    <cellStyle name="20% - Accent6 2 2 2 3 2 2 2" xfId="15956" xr:uid="{00000000-0005-0000-0000-000053060000}"/>
    <cellStyle name="20% - Accent6 2 2 2 3 2 3" xfId="11738" xr:uid="{00000000-0005-0000-0000-000054060000}"/>
    <cellStyle name="20% - Accent6 2 2 2 3 3" xfId="5375" xr:uid="{00000000-0005-0000-0000-000055060000}"/>
    <cellStyle name="20% - Accent6 2 2 2 3 3 2" xfId="13811" xr:uid="{00000000-0005-0000-0000-000056060000}"/>
    <cellStyle name="20% - Accent6 2 2 2 3 4" xfId="9593" xr:uid="{00000000-0005-0000-0000-000057060000}"/>
    <cellStyle name="20% - Accent6 2 2 2 4" xfId="1480" xr:uid="{00000000-0005-0000-0000-000058060000}"/>
    <cellStyle name="20% - Accent6 2 2 2 4 2" xfId="3710" xr:uid="{00000000-0005-0000-0000-000059060000}"/>
    <cellStyle name="20% - Accent6 2 2 2 4 2 2" xfId="7933" xr:uid="{00000000-0005-0000-0000-00005A060000}"/>
    <cellStyle name="20% - Accent6 2 2 2 4 2 2 2" xfId="16369" xr:uid="{00000000-0005-0000-0000-00005B060000}"/>
    <cellStyle name="20% - Accent6 2 2 2 4 2 3" xfId="12151" xr:uid="{00000000-0005-0000-0000-00005C060000}"/>
    <cellStyle name="20% - Accent6 2 2 2 4 3" xfId="5788" xr:uid="{00000000-0005-0000-0000-00005D060000}"/>
    <cellStyle name="20% - Accent6 2 2 2 4 3 2" xfId="14224" xr:uid="{00000000-0005-0000-0000-00005E060000}"/>
    <cellStyle name="20% - Accent6 2 2 2 4 4" xfId="10006" xr:uid="{00000000-0005-0000-0000-00005F060000}"/>
    <cellStyle name="20% - Accent6 2 2 2 5" xfId="1894" xr:uid="{00000000-0005-0000-0000-000060060000}"/>
    <cellStyle name="20% - Accent6 2 2 2 5 2" xfId="4123" xr:uid="{00000000-0005-0000-0000-000061060000}"/>
    <cellStyle name="20% - Accent6 2 2 2 5 2 2" xfId="8346" xr:uid="{00000000-0005-0000-0000-000062060000}"/>
    <cellStyle name="20% - Accent6 2 2 2 5 2 2 2" xfId="16782" xr:uid="{00000000-0005-0000-0000-000063060000}"/>
    <cellStyle name="20% - Accent6 2 2 2 5 2 3" xfId="12564" xr:uid="{00000000-0005-0000-0000-000064060000}"/>
    <cellStyle name="20% - Accent6 2 2 2 5 3" xfId="6201" xr:uid="{00000000-0005-0000-0000-000065060000}"/>
    <cellStyle name="20% - Accent6 2 2 2 5 3 2" xfId="14637" xr:uid="{00000000-0005-0000-0000-000066060000}"/>
    <cellStyle name="20% - Accent6 2 2 2 5 4" xfId="10419" xr:uid="{00000000-0005-0000-0000-000067060000}"/>
    <cellStyle name="20% - Accent6 2 2 2 6" xfId="2307" xr:uid="{00000000-0005-0000-0000-000068060000}"/>
    <cellStyle name="20% - Accent6 2 2 2 6 2" xfId="6614" xr:uid="{00000000-0005-0000-0000-000069060000}"/>
    <cellStyle name="20% - Accent6 2 2 2 6 2 2" xfId="15050" xr:uid="{00000000-0005-0000-0000-00006A060000}"/>
    <cellStyle name="20% - Accent6 2 2 2 6 3" xfId="10832" xr:uid="{00000000-0005-0000-0000-00006B060000}"/>
    <cellStyle name="20% - Accent6 2 2 2 7" xfId="4548" xr:uid="{00000000-0005-0000-0000-00006C060000}"/>
    <cellStyle name="20% - Accent6 2 2 2 7 2" xfId="12984" xr:uid="{00000000-0005-0000-0000-00006D060000}"/>
    <cellStyle name="20% - Accent6 2 2 2 8" xfId="8766" xr:uid="{00000000-0005-0000-0000-00006E060000}"/>
    <cellStyle name="20% - Accent6 2 2 3" xfId="612" xr:uid="{00000000-0005-0000-0000-00006F060000}"/>
    <cellStyle name="20% - Accent6 2 2 3 2" xfId="2883" xr:uid="{00000000-0005-0000-0000-000070060000}"/>
    <cellStyle name="20% - Accent6 2 2 3 2 2" xfId="7106" xr:uid="{00000000-0005-0000-0000-000071060000}"/>
    <cellStyle name="20% - Accent6 2 2 3 2 2 2" xfId="15542" xr:uid="{00000000-0005-0000-0000-000072060000}"/>
    <cellStyle name="20% - Accent6 2 2 3 2 3" xfId="11324" xr:uid="{00000000-0005-0000-0000-000073060000}"/>
    <cellStyle name="20% - Accent6 2 2 3 3" xfId="4961" xr:uid="{00000000-0005-0000-0000-000074060000}"/>
    <cellStyle name="20% - Accent6 2 2 3 3 2" xfId="13397" xr:uid="{00000000-0005-0000-0000-000075060000}"/>
    <cellStyle name="20% - Accent6 2 2 3 4" xfId="9179" xr:uid="{00000000-0005-0000-0000-000076060000}"/>
    <cellStyle name="20% - Accent6 2 2 4" xfId="1065" xr:uid="{00000000-0005-0000-0000-000077060000}"/>
    <cellStyle name="20% - Accent6 2 2 4 2" xfId="3296" xr:uid="{00000000-0005-0000-0000-000078060000}"/>
    <cellStyle name="20% - Accent6 2 2 4 2 2" xfId="7519" xr:uid="{00000000-0005-0000-0000-000079060000}"/>
    <cellStyle name="20% - Accent6 2 2 4 2 2 2" xfId="15955" xr:uid="{00000000-0005-0000-0000-00007A060000}"/>
    <cellStyle name="20% - Accent6 2 2 4 2 3" xfId="11737" xr:uid="{00000000-0005-0000-0000-00007B060000}"/>
    <cellStyle name="20% - Accent6 2 2 4 3" xfId="5374" xr:uid="{00000000-0005-0000-0000-00007C060000}"/>
    <cellStyle name="20% - Accent6 2 2 4 3 2" xfId="13810" xr:uid="{00000000-0005-0000-0000-00007D060000}"/>
    <cellStyle name="20% - Accent6 2 2 4 4" xfId="9592" xr:uid="{00000000-0005-0000-0000-00007E060000}"/>
    <cellStyle name="20% - Accent6 2 2 5" xfId="1479" xr:uid="{00000000-0005-0000-0000-00007F060000}"/>
    <cellStyle name="20% - Accent6 2 2 5 2" xfId="3709" xr:uid="{00000000-0005-0000-0000-000080060000}"/>
    <cellStyle name="20% - Accent6 2 2 5 2 2" xfId="7932" xr:uid="{00000000-0005-0000-0000-000081060000}"/>
    <cellStyle name="20% - Accent6 2 2 5 2 2 2" xfId="16368" xr:uid="{00000000-0005-0000-0000-000082060000}"/>
    <cellStyle name="20% - Accent6 2 2 5 2 3" xfId="12150" xr:uid="{00000000-0005-0000-0000-000083060000}"/>
    <cellStyle name="20% - Accent6 2 2 5 3" xfId="5787" xr:uid="{00000000-0005-0000-0000-000084060000}"/>
    <cellStyle name="20% - Accent6 2 2 5 3 2" xfId="14223" xr:uid="{00000000-0005-0000-0000-000085060000}"/>
    <cellStyle name="20% - Accent6 2 2 5 4" xfId="10005" xr:uid="{00000000-0005-0000-0000-000086060000}"/>
    <cellStyle name="20% - Accent6 2 2 6" xfId="1893" xr:uid="{00000000-0005-0000-0000-000087060000}"/>
    <cellStyle name="20% - Accent6 2 2 6 2" xfId="4122" xr:uid="{00000000-0005-0000-0000-000088060000}"/>
    <cellStyle name="20% - Accent6 2 2 6 2 2" xfId="8345" xr:uid="{00000000-0005-0000-0000-000089060000}"/>
    <cellStyle name="20% - Accent6 2 2 6 2 2 2" xfId="16781" xr:uid="{00000000-0005-0000-0000-00008A060000}"/>
    <cellStyle name="20% - Accent6 2 2 6 2 3" xfId="12563" xr:uid="{00000000-0005-0000-0000-00008B060000}"/>
    <cellStyle name="20% - Accent6 2 2 6 3" xfId="6200" xr:uid="{00000000-0005-0000-0000-00008C060000}"/>
    <cellStyle name="20% - Accent6 2 2 6 3 2" xfId="14636" xr:uid="{00000000-0005-0000-0000-00008D060000}"/>
    <cellStyle name="20% - Accent6 2 2 6 4" xfId="10418" xr:uid="{00000000-0005-0000-0000-00008E060000}"/>
    <cellStyle name="20% - Accent6 2 2 7" xfId="2306" xr:uid="{00000000-0005-0000-0000-00008F060000}"/>
    <cellStyle name="20% - Accent6 2 2 7 2" xfId="6613" xr:uid="{00000000-0005-0000-0000-000090060000}"/>
    <cellStyle name="20% - Accent6 2 2 7 2 2" xfId="15049" xr:uid="{00000000-0005-0000-0000-000091060000}"/>
    <cellStyle name="20% - Accent6 2 2 7 3" xfId="10831" xr:uid="{00000000-0005-0000-0000-000092060000}"/>
    <cellStyle name="20% - Accent6 2 2 8" xfId="4547" xr:uid="{00000000-0005-0000-0000-000093060000}"/>
    <cellStyle name="20% - Accent6 2 2 8 2" xfId="12983" xr:uid="{00000000-0005-0000-0000-000094060000}"/>
    <cellStyle name="20% - Accent6 2 2 9" xfId="8765" xr:uid="{00000000-0005-0000-0000-000095060000}"/>
    <cellStyle name="20% - Accent6 2 3" xfId="45" xr:uid="{00000000-0005-0000-0000-000096060000}"/>
    <cellStyle name="20% - Accent6 2 3 2" xfId="614" xr:uid="{00000000-0005-0000-0000-000097060000}"/>
    <cellStyle name="20% - Accent6 2 3 2 2" xfId="2885" xr:uid="{00000000-0005-0000-0000-000098060000}"/>
    <cellStyle name="20% - Accent6 2 3 2 2 2" xfId="7108" xr:uid="{00000000-0005-0000-0000-000099060000}"/>
    <cellStyle name="20% - Accent6 2 3 2 2 2 2" xfId="15544" xr:uid="{00000000-0005-0000-0000-00009A060000}"/>
    <cellStyle name="20% - Accent6 2 3 2 2 3" xfId="11326" xr:uid="{00000000-0005-0000-0000-00009B060000}"/>
    <cellStyle name="20% - Accent6 2 3 2 3" xfId="4963" xr:uid="{00000000-0005-0000-0000-00009C060000}"/>
    <cellStyle name="20% - Accent6 2 3 2 3 2" xfId="13399" xr:uid="{00000000-0005-0000-0000-00009D060000}"/>
    <cellStyle name="20% - Accent6 2 3 2 4" xfId="9181" xr:uid="{00000000-0005-0000-0000-00009E060000}"/>
    <cellStyle name="20% - Accent6 2 3 3" xfId="1067" xr:uid="{00000000-0005-0000-0000-00009F060000}"/>
    <cellStyle name="20% - Accent6 2 3 3 2" xfId="3298" xr:uid="{00000000-0005-0000-0000-0000A0060000}"/>
    <cellStyle name="20% - Accent6 2 3 3 2 2" xfId="7521" xr:uid="{00000000-0005-0000-0000-0000A1060000}"/>
    <cellStyle name="20% - Accent6 2 3 3 2 2 2" xfId="15957" xr:uid="{00000000-0005-0000-0000-0000A2060000}"/>
    <cellStyle name="20% - Accent6 2 3 3 2 3" xfId="11739" xr:uid="{00000000-0005-0000-0000-0000A3060000}"/>
    <cellStyle name="20% - Accent6 2 3 3 3" xfId="5376" xr:uid="{00000000-0005-0000-0000-0000A4060000}"/>
    <cellStyle name="20% - Accent6 2 3 3 3 2" xfId="13812" xr:uid="{00000000-0005-0000-0000-0000A5060000}"/>
    <cellStyle name="20% - Accent6 2 3 3 4" xfId="9594" xr:uid="{00000000-0005-0000-0000-0000A6060000}"/>
    <cellStyle name="20% - Accent6 2 3 4" xfId="1481" xr:uid="{00000000-0005-0000-0000-0000A7060000}"/>
    <cellStyle name="20% - Accent6 2 3 4 2" xfId="3711" xr:uid="{00000000-0005-0000-0000-0000A8060000}"/>
    <cellStyle name="20% - Accent6 2 3 4 2 2" xfId="7934" xr:uid="{00000000-0005-0000-0000-0000A9060000}"/>
    <cellStyle name="20% - Accent6 2 3 4 2 2 2" xfId="16370" xr:uid="{00000000-0005-0000-0000-0000AA060000}"/>
    <cellStyle name="20% - Accent6 2 3 4 2 3" xfId="12152" xr:uid="{00000000-0005-0000-0000-0000AB060000}"/>
    <cellStyle name="20% - Accent6 2 3 4 3" xfId="5789" xr:uid="{00000000-0005-0000-0000-0000AC060000}"/>
    <cellStyle name="20% - Accent6 2 3 4 3 2" xfId="14225" xr:uid="{00000000-0005-0000-0000-0000AD060000}"/>
    <cellStyle name="20% - Accent6 2 3 4 4" xfId="10007" xr:uid="{00000000-0005-0000-0000-0000AE060000}"/>
    <cellStyle name="20% - Accent6 2 3 5" xfId="1895" xr:uid="{00000000-0005-0000-0000-0000AF060000}"/>
    <cellStyle name="20% - Accent6 2 3 5 2" xfId="4124" xr:uid="{00000000-0005-0000-0000-0000B0060000}"/>
    <cellStyle name="20% - Accent6 2 3 5 2 2" xfId="8347" xr:uid="{00000000-0005-0000-0000-0000B1060000}"/>
    <cellStyle name="20% - Accent6 2 3 5 2 2 2" xfId="16783" xr:uid="{00000000-0005-0000-0000-0000B2060000}"/>
    <cellStyle name="20% - Accent6 2 3 5 2 3" xfId="12565" xr:uid="{00000000-0005-0000-0000-0000B3060000}"/>
    <cellStyle name="20% - Accent6 2 3 5 3" xfId="6202" xr:uid="{00000000-0005-0000-0000-0000B4060000}"/>
    <cellStyle name="20% - Accent6 2 3 5 3 2" xfId="14638" xr:uid="{00000000-0005-0000-0000-0000B5060000}"/>
    <cellStyle name="20% - Accent6 2 3 5 4" xfId="10420" xr:uid="{00000000-0005-0000-0000-0000B6060000}"/>
    <cellStyle name="20% - Accent6 2 3 6" xfId="2308" xr:uid="{00000000-0005-0000-0000-0000B7060000}"/>
    <cellStyle name="20% - Accent6 2 3 6 2" xfId="6615" xr:uid="{00000000-0005-0000-0000-0000B8060000}"/>
    <cellStyle name="20% - Accent6 2 3 6 2 2" xfId="15051" xr:uid="{00000000-0005-0000-0000-0000B9060000}"/>
    <cellStyle name="20% - Accent6 2 3 6 3" xfId="10833" xr:uid="{00000000-0005-0000-0000-0000BA060000}"/>
    <cellStyle name="20% - Accent6 2 3 7" xfId="4549" xr:uid="{00000000-0005-0000-0000-0000BB060000}"/>
    <cellStyle name="20% - Accent6 2 3 7 2" xfId="12985" xr:uid="{00000000-0005-0000-0000-0000BC060000}"/>
    <cellStyle name="20% - Accent6 2 3 8" xfId="8767" xr:uid="{00000000-0005-0000-0000-0000BD060000}"/>
    <cellStyle name="20% - Accent6 2 4" xfId="611" xr:uid="{00000000-0005-0000-0000-0000BE060000}"/>
    <cellStyle name="20% - Accent6 2 4 2" xfId="2882" xr:uid="{00000000-0005-0000-0000-0000BF060000}"/>
    <cellStyle name="20% - Accent6 2 4 2 2" xfId="7105" xr:uid="{00000000-0005-0000-0000-0000C0060000}"/>
    <cellStyle name="20% - Accent6 2 4 2 2 2" xfId="15541" xr:uid="{00000000-0005-0000-0000-0000C1060000}"/>
    <cellStyle name="20% - Accent6 2 4 2 3" xfId="11323" xr:uid="{00000000-0005-0000-0000-0000C2060000}"/>
    <cellStyle name="20% - Accent6 2 4 3" xfId="4960" xr:uid="{00000000-0005-0000-0000-0000C3060000}"/>
    <cellStyle name="20% - Accent6 2 4 3 2" xfId="13396" xr:uid="{00000000-0005-0000-0000-0000C4060000}"/>
    <cellStyle name="20% - Accent6 2 4 4" xfId="9178" xr:uid="{00000000-0005-0000-0000-0000C5060000}"/>
    <cellStyle name="20% - Accent6 2 5" xfId="1064" xr:uid="{00000000-0005-0000-0000-0000C6060000}"/>
    <cellStyle name="20% - Accent6 2 5 2" xfId="3295" xr:uid="{00000000-0005-0000-0000-0000C7060000}"/>
    <cellStyle name="20% - Accent6 2 5 2 2" xfId="7518" xr:uid="{00000000-0005-0000-0000-0000C8060000}"/>
    <cellStyle name="20% - Accent6 2 5 2 2 2" xfId="15954" xr:uid="{00000000-0005-0000-0000-0000C9060000}"/>
    <cellStyle name="20% - Accent6 2 5 2 3" xfId="11736" xr:uid="{00000000-0005-0000-0000-0000CA060000}"/>
    <cellStyle name="20% - Accent6 2 5 3" xfId="5373" xr:uid="{00000000-0005-0000-0000-0000CB060000}"/>
    <cellStyle name="20% - Accent6 2 5 3 2" xfId="13809" xr:uid="{00000000-0005-0000-0000-0000CC060000}"/>
    <cellStyle name="20% - Accent6 2 5 4" xfId="9591" xr:uid="{00000000-0005-0000-0000-0000CD060000}"/>
    <cellStyle name="20% - Accent6 2 6" xfId="1478" xr:uid="{00000000-0005-0000-0000-0000CE060000}"/>
    <cellStyle name="20% - Accent6 2 6 2" xfId="3708" xr:uid="{00000000-0005-0000-0000-0000CF060000}"/>
    <cellStyle name="20% - Accent6 2 6 2 2" xfId="7931" xr:uid="{00000000-0005-0000-0000-0000D0060000}"/>
    <cellStyle name="20% - Accent6 2 6 2 2 2" xfId="16367" xr:uid="{00000000-0005-0000-0000-0000D1060000}"/>
    <cellStyle name="20% - Accent6 2 6 2 3" xfId="12149" xr:uid="{00000000-0005-0000-0000-0000D2060000}"/>
    <cellStyle name="20% - Accent6 2 6 3" xfId="5786" xr:uid="{00000000-0005-0000-0000-0000D3060000}"/>
    <cellStyle name="20% - Accent6 2 6 3 2" xfId="14222" xr:uid="{00000000-0005-0000-0000-0000D4060000}"/>
    <cellStyle name="20% - Accent6 2 6 4" xfId="10004" xr:uid="{00000000-0005-0000-0000-0000D5060000}"/>
    <cellStyle name="20% - Accent6 2 7" xfId="1892" xr:uid="{00000000-0005-0000-0000-0000D6060000}"/>
    <cellStyle name="20% - Accent6 2 7 2" xfId="4121" xr:uid="{00000000-0005-0000-0000-0000D7060000}"/>
    <cellStyle name="20% - Accent6 2 7 2 2" xfId="8344" xr:uid="{00000000-0005-0000-0000-0000D8060000}"/>
    <cellStyle name="20% - Accent6 2 7 2 2 2" xfId="16780" xr:uid="{00000000-0005-0000-0000-0000D9060000}"/>
    <cellStyle name="20% - Accent6 2 7 2 3" xfId="12562" xr:uid="{00000000-0005-0000-0000-0000DA060000}"/>
    <cellStyle name="20% - Accent6 2 7 3" xfId="6199" xr:uid="{00000000-0005-0000-0000-0000DB060000}"/>
    <cellStyle name="20% - Accent6 2 7 3 2" xfId="14635" xr:uid="{00000000-0005-0000-0000-0000DC060000}"/>
    <cellStyle name="20% - Accent6 2 7 4" xfId="10417" xr:uid="{00000000-0005-0000-0000-0000DD060000}"/>
    <cellStyle name="20% - Accent6 2 8" xfId="2305" xr:uid="{00000000-0005-0000-0000-0000DE060000}"/>
    <cellStyle name="20% - Accent6 2 8 2" xfId="6612" xr:uid="{00000000-0005-0000-0000-0000DF060000}"/>
    <cellStyle name="20% - Accent6 2 8 2 2" xfId="15048" xr:uid="{00000000-0005-0000-0000-0000E0060000}"/>
    <cellStyle name="20% - Accent6 2 8 3" xfId="10830" xr:uid="{00000000-0005-0000-0000-0000E1060000}"/>
    <cellStyle name="20% - Accent6 2 9" xfId="4546" xr:uid="{00000000-0005-0000-0000-0000E2060000}"/>
    <cellStyle name="20% - Accent6 2 9 2" xfId="12982" xr:uid="{00000000-0005-0000-0000-0000E3060000}"/>
    <cellStyle name="20% - Accent6 3" xfId="46" xr:uid="{00000000-0005-0000-0000-0000E4060000}"/>
    <cellStyle name="20% - Accent6 3 2" xfId="47" xr:uid="{00000000-0005-0000-0000-0000E5060000}"/>
    <cellStyle name="20% - Accent6 3 2 2" xfId="616" xr:uid="{00000000-0005-0000-0000-0000E6060000}"/>
    <cellStyle name="20% - Accent6 3 2 2 2" xfId="2887" xr:uid="{00000000-0005-0000-0000-0000E7060000}"/>
    <cellStyle name="20% - Accent6 3 2 2 2 2" xfId="7110" xr:uid="{00000000-0005-0000-0000-0000E8060000}"/>
    <cellStyle name="20% - Accent6 3 2 2 2 2 2" xfId="15546" xr:uid="{00000000-0005-0000-0000-0000E9060000}"/>
    <cellStyle name="20% - Accent6 3 2 2 2 3" xfId="11328" xr:uid="{00000000-0005-0000-0000-0000EA060000}"/>
    <cellStyle name="20% - Accent6 3 2 2 3" xfId="4965" xr:uid="{00000000-0005-0000-0000-0000EB060000}"/>
    <cellStyle name="20% - Accent6 3 2 2 3 2" xfId="13401" xr:uid="{00000000-0005-0000-0000-0000EC060000}"/>
    <cellStyle name="20% - Accent6 3 2 2 4" xfId="9183" xr:uid="{00000000-0005-0000-0000-0000ED060000}"/>
    <cellStyle name="20% - Accent6 3 2 3" xfId="1069" xr:uid="{00000000-0005-0000-0000-0000EE060000}"/>
    <cellStyle name="20% - Accent6 3 2 3 2" xfId="3300" xr:uid="{00000000-0005-0000-0000-0000EF060000}"/>
    <cellStyle name="20% - Accent6 3 2 3 2 2" xfId="7523" xr:uid="{00000000-0005-0000-0000-0000F0060000}"/>
    <cellStyle name="20% - Accent6 3 2 3 2 2 2" xfId="15959" xr:uid="{00000000-0005-0000-0000-0000F1060000}"/>
    <cellStyle name="20% - Accent6 3 2 3 2 3" xfId="11741" xr:uid="{00000000-0005-0000-0000-0000F2060000}"/>
    <cellStyle name="20% - Accent6 3 2 3 3" xfId="5378" xr:uid="{00000000-0005-0000-0000-0000F3060000}"/>
    <cellStyle name="20% - Accent6 3 2 3 3 2" xfId="13814" xr:uid="{00000000-0005-0000-0000-0000F4060000}"/>
    <cellStyle name="20% - Accent6 3 2 3 4" xfId="9596" xr:uid="{00000000-0005-0000-0000-0000F5060000}"/>
    <cellStyle name="20% - Accent6 3 2 4" xfId="1483" xr:uid="{00000000-0005-0000-0000-0000F6060000}"/>
    <cellStyle name="20% - Accent6 3 2 4 2" xfId="3713" xr:uid="{00000000-0005-0000-0000-0000F7060000}"/>
    <cellStyle name="20% - Accent6 3 2 4 2 2" xfId="7936" xr:uid="{00000000-0005-0000-0000-0000F8060000}"/>
    <cellStyle name="20% - Accent6 3 2 4 2 2 2" xfId="16372" xr:uid="{00000000-0005-0000-0000-0000F9060000}"/>
    <cellStyle name="20% - Accent6 3 2 4 2 3" xfId="12154" xr:uid="{00000000-0005-0000-0000-0000FA060000}"/>
    <cellStyle name="20% - Accent6 3 2 4 3" xfId="5791" xr:uid="{00000000-0005-0000-0000-0000FB060000}"/>
    <cellStyle name="20% - Accent6 3 2 4 3 2" xfId="14227" xr:uid="{00000000-0005-0000-0000-0000FC060000}"/>
    <cellStyle name="20% - Accent6 3 2 4 4" xfId="10009" xr:uid="{00000000-0005-0000-0000-0000FD060000}"/>
    <cellStyle name="20% - Accent6 3 2 5" xfId="1897" xr:uid="{00000000-0005-0000-0000-0000FE060000}"/>
    <cellStyle name="20% - Accent6 3 2 5 2" xfId="4126" xr:uid="{00000000-0005-0000-0000-0000FF060000}"/>
    <cellStyle name="20% - Accent6 3 2 5 2 2" xfId="8349" xr:uid="{00000000-0005-0000-0000-000000070000}"/>
    <cellStyle name="20% - Accent6 3 2 5 2 2 2" xfId="16785" xr:uid="{00000000-0005-0000-0000-000001070000}"/>
    <cellStyle name="20% - Accent6 3 2 5 2 3" xfId="12567" xr:uid="{00000000-0005-0000-0000-000002070000}"/>
    <cellStyle name="20% - Accent6 3 2 5 3" xfId="6204" xr:uid="{00000000-0005-0000-0000-000003070000}"/>
    <cellStyle name="20% - Accent6 3 2 5 3 2" xfId="14640" xr:uid="{00000000-0005-0000-0000-000004070000}"/>
    <cellStyle name="20% - Accent6 3 2 5 4" xfId="10422" xr:uid="{00000000-0005-0000-0000-000005070000}"/>
    <cellStyle name="20% - Accent6 3 2 6" xfId="2310" xr:uid="{00000000-0005-0000-0000-000006070000}"/>
    <cellStyle name="20% - Accent6 3 2 6 2" xfId="6617" xr:uid="{00000000-0005-0000-0000-000007070000}"/>
    <cellStyle name="20% - Accent6 3 2 6 2 2" xfId="15053" xr:uid="{00000000-0005-0000-0000-000008070000}"/>
    <cellStyle name="20% - Accent6 3 2 6 3" xfId="10835" xr:uid="{00000000-0005-0000-0000-000009070000}"/>
    <cellStyle name="20% - Accent6 3 2 7" xfId="4551" xr:uid="{00000000-0005-0000-0000-00000A070000}"/>
    <cellStyle name="20% - Accent6 3 2 7 2" xfId="12987" xr:uid="{00000000-0005-0000-0000-00000B070000}"/>
    <cellStyle name="20% - Accent6 3 2 8" xfId="8769" xr:uid="{00000000-0005-0000-0000-00000C070000}"/>
    <cellStyle name="20% - Accent6 3 3" xfId="615" xr:uid="{00000000-0005-0000-0000-00000D070000}"/>
    <cellStyle name="20% - Accent6 3 3 2" xfId="2886" xr:uid="{00000000-0005-0000-0000-00000E070000}"/>
    <cellStyle name="20% - Accent6 3 3 2 2" xfId="7109" xr:uid="{00000000-0005-0000-0000-00000F070000}"/>
    <cellStyle name="20% - Accent6 3 3 2 2 2" xfId="15545" xr:uid="{00000000-0005-0000-0000-000010070000}"/>
    <cellStyle name="20% - Accent6 3 3 2 3" xfId="11327" xr:uid="{00000000-0005-0000-0000-000011070000}"/>
    <cellStyle name="20% - Accent6 3 3 3" xfId="4964" xr:uid="{00000000-0005-0000-0000-000012070000}"/>
    <cellStyle name="20% - Accent6 3 3 3 2" xfId="13400" xr:uid="{00000000-0005-0000-0000-000013070000}"/>
    <cellStyle name="20% - Accent6 3 3 4" xfId="9182" xr:uid="{00000000-0005-0000-0000-000014070000}"/>
    <cellStyle name="20% - Accent6 3 4" xfId="1068" xr:uid="{00000000-0005-0000-0000-000015070000}"/>
    <cellStyle name="20% - Accent6 3 4 2" xfId="3299" xr:uid="{00000000-0005-0000-0000-000016070000}"/>
    <cellStyle name="20% - Accent6 3 4 2 2" xfId="7522" xr:uid="{00000000-0005-0000-0000-000017070000}"/>
    <cellStyle name="20% - Accent6 3 4 2 2 2" xfId="15958" xr:uid="{00000000-0005-0000-0000-000018070000}"/>
    <cellStyle name="20% - Accent6 3 4 2 3" xfId="11740" xr:uid="{00000000-0005-0000-0000-000019070000}"/>
    <cellStyle name="20% - Accent6 3 4 3" xfId="5377" xr:uid="{00000000-0005-0000-0000-00001A070000}"/>
    <cellStyle name="20% - Accent6 3 4 3 2" xfId="13813" xr:uid="{00000000-0005-0000-0000-00001B070000}"/>
    <cellStyle name="20% - Accent6 3 4 4" xfId="9595" xr:uid="{00000000-0005-0000-0000-00001C070000}"/>
    <cellStyle name="20% - Accent6 3 5" xfId="1482" xr:uid="{00000000-0005-0000-0000-00001D070000}"/>
    <cellStyle name="20% - Accent6 3 5 2" xfId="3712" xr:uid="{00000000-0005-0000-0000-00001E070000}"/>
    <cellStyle name="20% - Accent6 3 5 2 2" xfId="7935" xr:uid="{00000000-0005-0000-0000-00001F070000}"/>
    <cellStyle name="20% - Accent6 3 5 2 2 2" xfId="16371" xr:uid="{00000000-0005-0000-0000-000020070000}"/>
    <cellStyle name="20% - Accent6 3 5 2 3" xfId="12153" xr:uid="{00000000-0005-0000-0000-000021070000}"/>
    <cellStyle name="20% - Accent6 3 5 3" xfId="5790" xr:uid="{00000000-0005-0000-0000-000022070000}"/>
    <cellStyle name="20% - Accent6 3 5 3 2" xfId="14226" xr:uid="{00000000-0005-0000-0000-000023070000}"/>
    <cellStyle name="20% - Accent6 3 5 4" xfId="10008" xr:uid="{00000000-0005-0000-0000-000024070000}"/>
    <cellStyle name="20% - Accent6 3 6" xfId="1896" xr:uid="{00000000-0005-0000-0000-000025070000}"/>
    <cellStyle name="20% - Accent6 3 6 2" xfId="4125" xr:uid="{00000000-0005-0000-0000-000026070000}"/>
    <cellStyle name="20% - Accent6 3 6 2 2" xfId="8348" xr:uid="{00000000-0005-0000-0000-000027070000}"/>
    <cellStyle name="20% - Accent6 3 6 2 2 2" xfId="16784" xr:uid="{00000000-0005-0000-0000-000028070000}"/>
    <cellStyle name="20% - Accent6 3 6 2 3" xfId="12566" xr:uid="{00000000-0005-0000-0000-000029070000}"/>
    <cellStyle name="20% - Accent6 3 6 3" xfId="6203" xr:uid="{00000000-0005-0000-0000-00002A070000}"/>
    <cellStyle name="20% - Accent6 3 6 3 2" xfId="14639" xr:uid="{00000000-0005-0000-0000-00002B070000}"/>
    <cellStyle name="20% - Accent6 3 6 4" xfId="10421" xr:uid="{00000000-0005-0000-0000-00002C070000}"/>
    <cellStyle name="20% - Accent6 3 7" xfId="2309" xr:uid="{00000000-0005-0000-0000-00002D070000}"/>
    <cellStyle name="20% - Accent6 3 7 2" xfId="6616" xr:uid="{00000000-0005-0000-0000-00002E070000}"/>
    <cellStyle name="20% - Accent6 3 7 2 2" xfId="15052" xr:uid="{00000000-0005-0000-0000-00002F070000}"/>
    <cellStyle name="20% - Accent6 3 7 3" xfId="10834" xr:uid="{00000000-0005-0000-0000-000030070000}"/>
    <cellStyle name="20% - Accent6 3 8" xfId="4550" xr:uid="{00000000-0005-0000-0000-000031070000}"/>
    <cellStyle name="20% - Accent6 3 8 2" xfId="12986" xr:uid="{00000000-0005-0000-0000-000032070000}"/>
    <cellStyle name="20% - Accent6 3 9" xfId="8768" xr:uid="{00000000-0005-0000-0000-000033070000}"/>
    <cellStyle name="20% - Accent6 4" xfId="48" xr:uid="{00000000-0005-0000-0000-000034070000}"/>
    <cellStyle name="20% - Accent6 4 2" xfId="617" xr:uid="{00000000-0005-0000-0000-000035070000}"/>
    <cellStyle name="20% - Accent6 4 2 2" xfId="2888" xr:uid="{00000000-0005-0000-0000-000036070000}"/>
    <cellStyle name="20% - Accent6 4 2 2 2" xfId="7111" xr:uid="{00000000-0005-0000-0000-000037070000}"/>
    <cellStyle name="20% - Accent6 4 2 2 2 2" xfId="15547" xr:uid="{00000000-0005-0000-0000-000038070000}"/>
    <cellStyle name="20% - Accent6 4 2 2 3" xfId="11329" xr:uid="{00000000-0005-0000-0000-000039070000}"/>
    <cellStyle name="20% - Accent6 4 2 3" xfId="4966" xr:uid="{00000000-0005-0000-0000-00003A070000}"/>
    <cellStyle name="20% - Accent6 4 2 3 2" xfId="13402" xr:uid="{00000000-0005-0000-0000-00003B070000}"/>
    <cellStyle name="20% - Accent6 4 2 4" xfId="9184" xr:uid="{00000000-0005-0000-0000-00003C070000}"/>
    <cellStyle name="20% - Accent6 4 3" xfId="1070" xr:uid="{00000000-0005-0000-0000-00003D070000}"/>
    <cellStyle name="20% - Accent6 4 3 2" xfId="3301" xr:uid="{00000000-0005-0000-0000-00003E070000}"/>
    <cellStyle name="20% - Accent6 4 3 2 2" xfId="7524" xr:uid="{00000000-0005-0000-0000-00003F070000}"/>
    <cellStyle name="20% - Accent6 4 3 2 2 2" xfId="15960" xr:uid="{00000000-0005-0000-0000-000040070000}"/>
    <cellStyle name="20% - Accent6 4 3 2 3" xfId="11742" xr:uid="{00000000-0005-0000-0000-000041070000}"/>
    <cellStyle name="20% - Accent6 4 3 3" xfId="5379" xr:uid="{00000000-0005-0000-0000-000042070000}"/>
    <cellStyle name="20% - Accent6 4 3 3 2" xfId="13815" xr:uid="{00000000-0005-0000-0000-000043070000}"/>
    <cellStyle name="20% - Accent6 4 3 4" xfId="9597" xr:uid="{00000000-0005-0000-0000-000044070000}"/>
    <cellStyle name="20% - Accent6 4 4" xfId="1484" xr:uid="{00000000-0005-0000-0000-000045070000}"/>
    <cellStyle name="20% - Accent6 4 4 2" xfId="3714" xr:uid="{00000000-0005-0000-0000-000046070000}"/>
    <cellStyle name="20% - Accent6 4 4 2 2" xfId="7937" xr:uid="{00000000-0005-0000-0000-000047070000}"/>
    <cellStyle name="20% - Accent6 4 4 2 2 2" xfId="16373" xr:uid="{00000000-0005-0000-0000-000048070000}"/>
    <cellStyle name="20% - Accent6 4 4 2 3" xfId="12155" xr:uid="{00000000-0005-0000-0000-000049070000}"/>
    <cellStyle name="20% - Accent6 4 4 3" xfId="5792" xr:uid="{00000000-0005-0000-0000-00004A070000}"/>
    <cellStyle name="20% - Accent6 4 4 3 2" xfId="14228" xr:uid="{00000000-0005-0000-0000-00004B070000}"/>
    <cellStyle name="20% - Accent6 4 4 4" xfId="10010" xr:uid="{00000000-0005-0000-0000-00004C070000}"/>
    <cellStyle name="20% - Accent6 4 5" xfId="1898" xr:uid="{00000000-0005-0000-0000-00004D070000}"/>
    <cellStyle name="20% - Accent6 4 5 2" xfId="4127" xr:uid="{00000000-0005-0000-0000-00004E070000}"/>
    <cellStyle name="20% - Accent6 4 5 2 2" xfId="8350" xr:uid="{00000000-0005-0000-0000-00004F070000}"/>
    <cellStyle name="20% - Accent6 4 5 2 2 2" xfId="16786" xr:uid="{00000000-0005-0000-0000-000050070000}"/>
    <cellStyle name="20% - Accent6 4 5 2 3" xfId="12568" xr:uid="{00000000-0005-0000-0000-000051070000}"/>
    <cellStyle name="20% - Accent6 4 5 3" xfId="6205" xr:uid="{00000000-0005-0000-0000-000052070000}"/>
    <cellStyle name="20% - Accent6 4 5 3 2" xfId="14641" xr:uid="{00000000-0005-0000-0000-000053070000}"/>
    <cellStyle name="20% - Accent6 4 5 4" xfId="10423" xr:uid="{00000000-0005-0000-0000-000054070000}"/>
    <cellStyle name="20% - Accent6 4 6" xfId="2311" xr:uid="{00000000-0005-0000-0000-000055070000}"/>
    <cellStyle name="20% - Accent6 4 6 2" xfId="6618" xr:uid="{00000000-0005-0000-0000-000056070000}"/>
    <cellStyle name="20% - Accent6 4 6 2 2" xfId="15054" xr:uid="{00000000-0005-0000-0000-000057070000}"/>
    <cellStyle name="20% - Accent6 4 6 3" xfId="10836" xr:uid="{00000000-0005-0000-0000-000058070000}"/>
    <cellStyle name="20% - Accent6 4 7" xfId="4552" xr:uid="{00000000-0005-0000-0000-000059070000}"/>
    <cellStyle name="20% - Accent6 4 7 2" xfId="12988" xr:uid="{00000000-0005-0000-0000-00005A070000}"/>
    <cellStyle name="20% - Accent6 4 8" xfId="8770" xr:uid="{00000000-0005-0000-0000-00005B070000}"/>
    <cellStyle name="20% - Accent6 5" xfId="610" xr:uid="{00000000-0005-0000-0000-00005C070000}"/>
    <cellStyle name="20% - Accent6 5 2" xfId="2881" xr:uid="{00000000-0005-0000-0000-00005D070000}"/>
    <cellStyle name="20% - Accent6 5 2 2" xfId="7104" xr:uid="{00000000-0005-0000-0000-00005E070000}"/>
    <cellStyle name="20% - Accent6 5 2 2 2" xfId="15540" xr:uid="{00000000-0005-0000-0000-00005F070000}"/>
    <cellStyle name="20% - Accent6 5 2 3" xfId="11322" xr:uid="{00000000-0005-0000-0000-000060070000}"/>
    <cellStyle name="20% - Accent6 5 3" xfId="4959" xr:uid="{00000000-0005-0000-0000-000061070000}"/>
    <cellStyle name="20% - Accent6 5 3 2" xfId="13395" xr:uid="{00000000-0005-0000-0000-000062070000}"/>
    <cellStyle name="20% - Accent6 5 4" xfId="9177" xr:uid="{00000000-0005-0000-0000-000063070000}"/>
    <cellStyle name="20% - Accent6 6" xfId="1063" xr:uid="{00000000-0005-0000-0000-000064070000}"/>
    <cellStyle name="20% - Accent6 6 2" xfId="3294" xr:uid="{00000000-0005-0000-0000-000065070000}"/>
    <cellStyle name="20% - Accent6 6 2 2" xfId="7517" xr:uid="{00000000-0005-0000-0000-000066070000}"/>
    <cellStyle name="20% - Accent6 6 2 2 2" xfId="15953" xr:uid="{00000000-0005-0000-0000-000067070000}"/>
    <cellStyle name="20% - Accent6 6 2 3" xfId="11735" xr:uid="{00000000-0005-0000-0000-000068070000}"/>
    <cellStyle name="20% - Accent6 6 3" xfId="5372" xr:uid="{00000000-0005-0000-0000-000069070000}"/>
    <cellStyle name="20% - Accent6 6 3 2" xfId="13808" xr:uid="{00000000-0005-0000-0000-00006A070000}"/>
    <cellStyle name="20% - Accent6 6 4" xfId="9590" xr:uid="{00000000-0005-0000-0000-00006B070000}"/>
    <cellStyle name="20% - Accent6 7" xfId="1477" xr:uid="{00000000-0005-0000-0000-00006C070000}"/>
    <cellStyle name="20% - Accent6 7 2" xfId="3707" xr:uid="{00000000-0005-0000-0000-00006D070000}"/>
    <cellStyle name="20% - Accent6 7 2 2" xfId="7930" xr:uid="{00000000-0005-0000-0000-00006E070000}"/>
    <cellStyle name="20% - Accent6 7 2 2 2" xfId="16366" xr:uid="{00000000-0005-0000-0000-00006F070000}"/>
    <cellStyle name="20% - Accent6 7 2 3" xfId="12148" xr:uid="{00000000-0005-0000-0000-000070070000}"/>
    <cellStyle name="20% - Accent6 7 3" xfId="5785" xr:uid="{00000000-0005-0000-0000-000071070000}"/>
    <cellStyle name="20% - Accent6 7 3 2" xfId="14221" xr:uid="{00000000-0005-0000-0000-000072070000}"/>
    <cellStyle name="20% - Accent6 7 4" xfId="10003" xr:uid="{00000000-0005-0000-0000-000073070000}"/>
    <cellStyle name="20% - Accent6 8" xfId="1891" xr:uid="{00000000-0005-0000-0000-000074070000}"/>
    <cellStyle name="20% - Accent6 8 2" xfId="4120" xr:uid="{00000000-0005-0000-0000-000075070000}"/>
    <cellStyle name="20% - Accent6 8 2 2" xfId="8343" xr:uid="{00000000-0005-0000-0000-000076070000}"/>
    <cellStyle name="20% - Accent6 8 2 2 2" xfId="16779" xr:uid="{00000000-0005-0000-0000-000077070000}"/>
    <cellStyle name="20% - Accent6 8 2 3" xfId="12561" xr:uid="{00000000-0005-0000-0000-000078070000}"/>
    <cellStyle name="20% - Accent6 8 3" xfId="6198" xr:uid="{00000000-0005-0000-0000-000079070000}"/>
    <cellStyle name="20% - Accent6 8 3 2" xfId="14634" xr:uid="{00000000-0005-0000-0000-00007A070000}"/>
    <cellStyle name="20% - Accent6 8 4" xfId="10416" xr:uid="{00000000-0005-0000-0000-00007B070000}"/>
    <cellStyle name="20% - Accent6 9" xfId="2304" xr:uid="{00000000-0005-0000-0000-00007C070000}"/>
    <cellStyle name="20% - Accent6 9 2" xfId="6611" xr:uid="{00000000-0005-0000-0000-00007D070000}"/>
    <cellStyle name="20% - Accent6 9 2 2" xfId="15047" xr:uid="{00000000-0005-0000-0000-00007E070000}"/>
    <cellStyle name="20% - Accent6 9 3" xfId="10829" xr:uid="{00000000-0005-0000-0000-00007F070000}"/>
    <cellStyle name="40% - Accent1" xfId="49" builtinId="31" customBuiltin="1"/>
    <cellStyle name="40% - Accent1 10" xfId="4553" xr:uid="{00000000-0005-0000-0000-000081070000}"/>
    <cellStyle name="40% - Accent1 10 2" xfId="12989" xr:uid="{00000000-0005-0000-0000-000082070000}"/>
    <cellStyle name="40% - Accent1 11" xfId="8771" xr:uid="{00000000-0005-0000-0000-000083070000}"/>
    <cellStyle name="40% - Accent1 2" xfId="50" xr:uid="{00000000-0005-0000-0000-000084070000}"/>
    <cellStyle name="40% - Accent1 2 10" xfId="8772" xr:uid="{00000000-0005-0000-0000-000085070000}"/>
    <cellStyle name="40% - Accent1 2 2" xfId="51" xr:uid="{00000000-0005-0000-0000-000086070000}"/>
    <cellStyle name="40% - Accent1 2 2 2" xfId="52" xr:uid="{00000000-0005-0000-0000-000087070000}"/>
    <cellStyle name="40% - Accent1 2 2 2 2" xfId="621" xr:uid="{00000000-0005-0000-0000-000088070000}"/>
    <cellStyle name="40% - Accent1 2 2 2 2 2" xfId="2892" xr:uid="{00000000-0005-0000-0000-000089070000}"/>
    <cellStyle name="40% - Accent1 2 2 2 2 2 2" xfId="7115" xr:uid="{00000000-0005-0000-0000-00008A070000}"/>
    <cellStyle name="40% - Accent1 2 2 2 2 2 2 2" xfId="15551" xr:uid="{00000000-0005-0000-0000-00008B070000}"/>
    <cellStyle name="40% - Accent1 2 2 2 2 2 3" xfId="11333" xr:uid="{00000000-0005-0000-0000-00008C070000}"/>
    <cellStyle name="40% - Accent1 2 2 2 2 3" xfId="4970" xr:uid="{00000000-0005-0000-0000-00008D070000}"/>
    <cellStyle name="40% - Accent1 2 2 2 2 3 2" xfId="13406" xr:uid="{00000000-0005-0000-0000-00008E070000}"/>
    <cellStyle name="40% - Accent1 2 2 2 2 4" xfId="9188" xr:uid="{00000000-0005-0000-0000-00008F070000}"/>
    <cellStyle name="40% - Accent1 2 2 2 3" xfId="1074" xr:uid="{00000000-0005-0000-0000-000090070000}"/>
    <cellStyle name="40% - Accent1 2 2 2 3 2" xfId="3305" xr:uid="{00000000-0005-0000-0000-000091070000}"/>
    <cellStyle name="40% - Accent1 2 2 2 3 2 2" xfId="7528" xr:uid="{00000000-0005-0000-0000-000092070000}"/>
    <cellStyle name="40% - Accent1 2 2 2 3 2 2 2" xfId="15964" xr:uid="{00000000-0005-0000-0000-000093070000}"/>
    <cellStyle name="40% - Accent1 2 2 2 3 2 3" xfId="11746" xr:uid="{00000000-0005-0000-0000-000094070000}"/>
    <cellStyle name="40% - Accent1 2 2 2 3 3" xfId="5383" xr:uid="{00000000-0005-0000-0000-000095070000}"/>
    <cellStyle name="40% - Accent1 2 2 2 3 3 2" xfId="13819" xr:uid="{00000000-0005-0000-0000-000096070000}"/>
    <cellStyle name="40% - Accent1 2 2 2 3 4" xfId="9601" xr:uid="{00000000-0005-0000-0000-000097070000}"/>
    <cellStyle name="40% - Accent1 2 2 2 4" xfId="1488" xr:uid="{00000000-0005-0000-0000-000098070000}"/>
    <cellStyle name="40% - Accent1 2 2 2 4 2" xfId="3718" xr:uid="{00000000-0005-0000-0000-000099070000}"/>
    <cellStyle name="40% - Accent1 2 2 2 4 2 2" xfId="7941" xr:uid="{00000000-0005-0000-0000-00009A070000}"/>
    <cellStyle name="40% - Accent1 2 2 2 4 2 2 2" xfId="16377" xr:uid="{00000000-0005-0000-0000-00009B070000}"/>
    <cellStyle name="40% - Accent1 2 2 2 4 2 3" xfId="12159" xr:uid="{00000000-0005-0000-0000-00009C070000}"/>
    <cellStyle name="40% - Accent1 2 2 2 4 3" xfId="5796" xr:uid="{00000000-0005-0000-0000-00009D070000}"/>
    <cellStyle name="40% - Accent1 2 2 2 4 3 2" xfId="14232" xr:uid="{00000000-0005-0000-0000-00009E070000}"/>
    <cellStyle name="40% - Accent1 2 2 2 4 4" xfId="10014" xr:uid="{00000000-0005-0000-0000-00009F070000}"/>
    <cellStyle name="40% - Accent1 2 2 2 5" xfId="1902" xr:uid="{00000000-0005-0000-0000-0000A0070000}"/>
    <cellStyle name="40% - Accent1 2 2 2 5 2" xfId="4131" xr:uid="{00000000-0005-0000-0000-0000A1070000}"/>
    <cellStyle name="40% - Accent1 2 2 2 5 2 2" xfId="8354" xr:uid="{00000000-0005-0000-0000-0000A2070000}"/>
    <cellStyle name="40% - Accent1 2 2 2 5 2 2 2" xfId="16790" xr:uid="{00000000-0005-0000-0000-0000A3070000}"/>
    <cellStyle name="40% - Accent1 2 2 2 5 2 3" xfId="12572" xr:uid="{00000000-0005-0000-0000-0000A4070000}"/>
    <cellStyle name="40% - Accent1 2 2 2 5 3" xfId="6209" xr:uid="{00000000-0005-0000-0000-0000A5070000}"/>
    <cellStyle name="40% - Accent1 2 2 2 5 3 2" xfId="14645" xr:uid="{00000000-0005-0000-0000-0000A6070000}"/>
    <cellStyle name="40% - Accent1 2 2 2 5 4" xfId="10427" xr:uid="{00000000-0005-0000-0000-0000A7070000}"/>
    <cellStyle name="40% - Accent1 2 2 2 6" xfId="2315" xr:uid="{00000000-0005-0000-0000-0000A8070000}"/>
    <cellStyle name="40% - Accent1 2 2 2 6 2" xfId="6622" xr:uid="{00000000-0005-0000-0000-0000A9070000}"/>
    <cellStyle name="40% - Accent1 2 2 2 6 2 2" xfId="15058" xr:uid="{00000000-0005-0000-0000-0000AA070000}"/>
    <cellStyle name="40% - Accent1 2 2 2 6 3" xfId="10840" xr:uid="{00000000-0005-0000-0000-0000AB070000}"/>
    <cellStyle name="40% - Accent1 2 2 2 7" xfId="4556" xr:uid="{00000000-0005-0000-0000-0000AC070000}"/>
    <cellStyle name="40% - Accent1 2 2 2 7 2" xfId="12992" xr:uid="{00000000-0005-0000-0000-0000AD070000}"/>
    <cellStyle name="40% - Accent1 2 2 2 8" xfId="8774" xr:uid="{00000000-0005-0000-0000-0000AE070000}"/>
    <cellStyle name="40% - Accent1 2 2 3" xfId="620" xr:uid="{00000000-0005-0000-0000-0000AF070000}"/>
    <cellStyle name="40% - Accent1 2 2 3 2" xfId="2891" xr:uid="{00000000-0005-0000-0000-0000B0070000}"/>
    <cellStyle name="40% - Accent1 2 2 3 2 2" xfId="7114" xr:uid="{00000000-0005-0000-0000-0000B1070000}"/>
    <cellStyle name="40% - Accent1 2 2 3 2 2 2" xfId="15550" xr:uid="{00000000-0005-0000-0000-0000B2070000}"/>
    <cellStyle name="40% - Accent1 2 2 3 2 3" xfId="11332" xr:uid="{00000000-0005-0000-0000-0000B3070000}"/>
    <cellStyle name="40% - Accent1 2 2 3 3" xfId="4969" xr:uid="{00000000-0005-0000-0000-0000B4070000}"/>
    <cellStyle name="40% - Accent1 2 2 3 3 2" xfId="13405" xr:uid="{00000000-0005-0000-0000-0000B5070000}"/>
    <cellStyle name="40% - Accent1 2 2 3 4" xfId="9187" xr:uid="{00000000-0005-0000-0000-0000B6070000}"/>
    <cellStyle name="40% - Accent1 2 2 4" xfId="1073" xr:uid="{00000000-0005-0000-0000-0000B7070000}"/>
    <cellStyle name="40% - Accent1 2 2 4 2" xfId="3304" xr:uid="{00000000-0005-0000-0000-0000B8070000}"/>
    <cellStyle name="40% - Accent1 2 2 4 2 2" xfId="7527" xr:uid="{00000000-0005-0000-0000-0000B9070000}"/>
    <cellStyle name="40% - Accent1 2 2 4 2 2 2" xfId="15963" xr:uid="{00000000-0005-0000-0000-0000BA070000}"/>
    <cellStyle name="40% - Accent1 2 2 4 2 3" xfId="11745" xr:uid="{00000000-0005-0000-0000-0000BB070000}"/>
    <cellStyle name="40% - Accent1 2 2 4 3" xfId="5382" xr:uid="{00000000-0005-0000-0000-0000BC070000}"/>
    <cellStyle name="40% - Accent1 2 2 4 3 2" xfId="13818" xr:uid="{00000000-0005-0000-0000-0000BD070000}"/>
    <cellStyle name="40% - Accent1 2 2 4 4" xfId="9600" xr:uid="{00000000-0005-0000-0000-0000BE070000}"/>
    <cellStyle name="40% - Accent1 2 2 5" xfId="1487" xr:uid="{00000000-0005-0000-0000-0000BF070000}"/>
    <cellStyle name="40% - Accent1 2 2 5 2" xfId="3717" xr:uid="{00000000-0005-0000-0000-0000C0070000}"/>
    <cellStyle name="40% - Accent1 2 2 5 2 2" xfId="7940" xr:uid="{00000000-0005-0000-0000-0000C1070000}"/>
    <cellStyle name="40% - Accent1 2 2 5 2 2 2" xfId="16376" xr:uid="{00000000-0005-0000-0000-0000C2070000}"/>
    <cellStyle name="40% - Accent1 2 2 5 2 3" xfId="12158" xr:uid="{00000000-0005-0000-0000-0000C3070000}"/>
    <cellStyle name="40% - Accent1 2 2 5 3" xfId="5795" xr:uid="{00000000-0005-0000-0000-0000C4070000}"/>
    <cellStyle name="40% - Accent1 2 2 5 3 2" xfId="14231" xr:uid="{00000000-0005-0000-0000-0000C5070000}"/>
    <cellStyle name="40% - Accent1 2 2 5 4" xfId="10013" xr:uid="{00000000-0005-0000-0000-0000C6070000}"/>
    <cellStyle name="40% - Accent1 2 2 6" xfId="1901" xr:uid="{00000000-0005-0000-0000-0000C7070000}"/>
    <cellStyle name="40% - Accent1 2 2 6 2" xfId="4130" xr:uid="{00000000-0005-0000-0000-0000C8070000}"/>
    <cellStyle name="40% - Accent1 2 2 6 2 2" xfId="8353" xr:uid="{00000000-0005-0000-0000-0000C9070000}"/>
    <cellStyle name="40% - Accent1 2 2 6 2 2 2" xfId="16789" xr:uid="{00000000-0005-0000-0000-0000CA070000}"/>
    <cellStyle name="40% - Accent1 2 2 6 2 3" xfId="12571" xr:uid="{00000000-0005-0000-0000-0000CB070000}"/>
    <cellStyle name="40% - Accent1 2 2 6 3" xfId="6208" xr:uid="{00000000-0005-0000-0000-0000CC070000}"/>
    <cellStyle name="40% - Accent1 2 2 6 3 2" xfId="14644" xr:uid="{00000000-0005-0000-0000-0000CD070000}"/>
    <cellStyle name="40% - Accent1 2 2 6 4" xfId="10426" xr:uid="{00000000-0005-0000-0000-0000CE070000}"/>
    <cellStyle name="40% - Accent1 2 2 7" xfId="2314" xr:uid="{00000000-0005-0000-0000-0000CF070000}"/>
    <cellStyle name="40% - Accent1 2 2 7 2" xfId="6621" xr:uid="{00000000-0005-0000-0000-0000D0070000}"/>
    <cellStyle name="40% - Accent1 2 2 7 2 2" xfId="15057" xr:uid="{00000000-0005-0000-0000-0000D1070000}"/>
    <cellStyle name="40% - Accent1 2 2 7 3" xfId="10839" xr:uid="{00000000-0005-0000-0000-0000D2070000}"/>
    <cellStyle name="40% - Accent1 2 2 8" xfId="4555" xr:uid="{00000000-0005-0000-0000-0000D3070000}"/>
    <cellStyle name="40% - Accent1 2 2 8 2" xfId="12991" xr:uid="{00000000-0005-0000-0000-0000D4070000}"/>
    <cellStyle name="40% - Accent1 2 2 9" xfId="8773" xr:uid="{00000000-0005-0000-0000-0000D5070000}"/>
    <cellStyle name="40% - Accent1 2 3" xfId="53" xr:uid="{00000000-0005-0000-0000-0000D6070000}"/>
    <cellStyle name="40% - Accent1 2 3 2" xfId="622" xr:uid="{00000000-0005-0000-0000-0000D7070000}"/>
    <cellStyle name="40% - Accent1 2 3 2 2" xfId="2893" xr:uid="{00000000-0005-0000-0000-0000D8070000}"/>
    <cellStyle name="40% - Accent1 2 3 2 2 2" xfId="7116" xr:uid="{00000000-0005-0000-0000-0000D9070000}"/>
    <cellStyle name="40% - Accent1 2 3 2 2 2 2" xfId="15552" xr:uid="{00000000-0005-0000-0000-0000DA070000}"/>
    <cellStyle name="40% - Accent1 2 3 2 2 3" xfId="11334" xr:uid="{00000000-0005-0000-0000-0000DB070000}"/>
    <cellStyle name="40% - Accent1 2 3 2 3" xfId="4971" xr:uid="{00000000-0005-0000-0000-0000DC070000}"/>
    <cellStyle name="40% - Accent1 2 3 2 3 2" xfId="13407" xr:uid="{00000000-0005-0000-0000-0000DD070000}"/>
    <cellStyle name="40% - Accent1 2 3 2 4" xfId="9189" xr:uid="{00000000-0005-0000-0000-0000DE070000}"/>
    <cellStyle name="40% - Accent1 2 3 3" xfId="1075" xr:uid="{00000000-0005-0000-0000-0000DF070000}"/>
    <cellStyle name="40% - Accent1 2 3 3 2" xfId="3306" xr:uid="{00000000-0005-0000-0000-0000E0070000}"/>
    <cellStyle name="40% - Accent1 2 3 3 2 2" xfId="7529" xr:uid="{00000000-0005-0000-0000-0000E1070000}"/>
    <cellStyle name="40% - Accent1 2 3 3 2 2 2" xfId="15965" xr:uid="{00000000-0005-0000-0000-0000E2070000}"/>
    <cellStyle name="40% - Accent1 2 3 3 2 3" xfId="11747" xr:uid="{00000000-0005-0000-0000-0000E3070000}"/>
    <cellStyle name="40% - Accent1 2 3 3 3" xfId="5384" xr:uid="{00000000-0005-0000-0000-0000E4070000}"/>
    <cellStyle name="40% - Accent1 2 3 3 3 2" xfId="13820" xr:uid="{00000000-0005-0000-0000-0000E5070000}"/>
    <cellStyle name="40% - Accent1 2 3 3 4" xfId="9602" xr:uid="{00000000-0005-0000-0000-0000E6070000}"/>
    <cellStyle name="40% - Accent1 2 3 4" xfId="1489" xr:uid="{00000000-0005-0000-0000-0000E7070000}"/>
    <cellStyle name="40% - Accent1 2 3 4 2" xfId="3719" xr:uid="{00000000-0005-0000-0000-0000E8070000}"/>
    <cellStyle name="40% - Accent1 2 3 4 2 2" xfId="7942" xr:uid="{00000000-0005-0000-0000-0000E9070000}"/>
    <cellStyle name="40% - Accent1 2 3 4 2 2 2" xfId="16378" xr:uid="{00000000-0005-0000-0000-0000EA070000}"/>
    <cellStyle name="40% - Accent1 2 3 4 2 3" xfId="12160" xr:uid="{00000000-0005-0000-0000-0000EB070000}"/>
    <cellStyle name="40% - Accent1 2 3 4 3" xfId="5797" xr:uid="{00000000-0005-0000-0000-0000EC070000}"/>
    <cellStyle name="40% - Accent1 2 3 4 3 2" xfId="14233" xr:uid="{00000000-0005-0000-0000-0000ED070000}"/>
    <cellStyle name="40% - Accent1 2 3 4 4" xfId="10015" xr:uid="{00000000-0005-0000-0000-0000EE070000}"/>
    <cellStyle name="40% - Accent1 2 3 5" xfId="1903" xr:uid="{00000000-0005-0000-0000-0000EF070000}"/>
    <cellStyle name="40% - Accent1 2 3 5 2" xfId="4132" xr:uid="{00000000-0005-0000-0000-0000F0070000}"/>
    <cellStyle name="40% - Accent1 2 3 5 2 2" xfId="8355" xr:uid="{00000000-0005-0000-0000-0000F1070000}"/>
    <cellStyle name="40% - Accent1 2 3 5 2 2 2" xfId="16791" xr:uid="{00000000-0005-0000-0000-0000F2070000}"/>
    <cellStyle name="40% - Accent1 2 3 5 2 3" xfId="12573" xr:uid="{00000000-0005-0000-0000-0000F3070000}"/>
    <cellStyle name="40% - Accent1 2 3 5 3" xfId="6210" xr:uid="{00000000-0005-0000-0000-0000F4070000}"/>
    <cellStyle name="40% - Accent1 2 3 5 3 2" xfId="14646" xr:uid="{00000000-0005-0000-0000-0000F5070000}"/>
    <cellStyle name="40% - Accent1 2 3 5 4" xfId="10428" xr:uid="{00000000-0005-0000-0000-0000F6070000}"/>
    <cellStyle name="40% - Accent1 2 3 6" xfId="2316" xr:uid="{00000000-0005-0000-0000-0000F7070000}"/>
    <cellStyle name="40% - Accent1 2 3 6 2" xfId="6623" xr:uid="{00000000-0005-0000-0000-0000F8070000}"/>
    <cellStyle name="40% - Accent1 2 3 6 2 2" xfId="15059" xr:uid="{00000000-0005-0000-0000-0000F9070000}"/>
    <cellStyle name="40% - Accent1 2 3 6 3" xfId="10841" xr:uid="{00000000-0005-0000-0000-0000FA070000}"/>
    <cellStyle name="40% - Accent1 2 3 7" xfId="4557" xr:uid="{00000000-0005-0000-0000-0000FB070000}"/>
    <cellStyle name="40% - Accent1 2 3 7 2" xfId="12993" xr:uid="{00000000-0005-0000-0000-0000FC070000}"/>
    <cellStyle name="40% - Accent1 2 3 8" xfId="8775" xr:uid="{00000000-0005-0000-0000-0000FD070000}"/>
    <cellStyle name="40% - Accent1 2 4" xfId="619" xr:uid="{00000000-0005-0000-0000-0000FE070000}"/>
    <cellStyle name="40% - Accent1 2 4 2" xfId="2890" xr:uid="{00000000-0005-0000-0000-0000FF070000}"/>
    <cellStyle name="40% - Accent1 2 4 2 2" xfId="7113" xr:uid="{00000000-0005-0000-0000-000000080000}"/>
    <cellStyle name="40% - Accent1 2 4 2 2 2" xfId="15549" xr:uid="{00000000-0005-0000-0000-000001080000}"/>
    <cellStyle name="40% - Accent1 2 4 2 3" xfId="11331" xr:uid="{00000000-0005-0000-0000-000002080000}"/>
    <cellStyle name="40% - Accent1 2 4 3" xfId="4968" xr:uid="{00000000-0005-0000-0000-000003080000}"/>
    <cellStyle name="40% - Accent1 2 4 3 2" xfId="13404" xr:uid="{00000000-0005-0000-0000-000004080000}"/>
    <cellStyle name="40% - Accent1 2 4 4" xfId="9186" xr:uid="{00000000-0005-0000-0000-000005080000}"/>
    <cellStyle name="40% - Accent1 2 5" xfId="1072" xr:uid="{00000000-0005-0000-0000-000006080000}"/>
    <cellStyle name="40% - Accent1 2 5 2" xfId="3303" xr:uid="{00000000-0005-0000-0000-000007080000}"/>
    <cellStyle name="40% - Accent1 2 5 2 2" xfId="7526" xr:uid="{00000000-0005-0000-0000-000008080000}"/>
    <cellStyle name="40% - Accent1 2 5 2 2 2" xfId="15962" xr:uid="{00000000-0005-0000-0000-000009080000}"/>
    <cellStyle name="40% - Accent1 2 5 2 3" xfId="11744" xr:uid="{00000000-0005-0000-0000-00000A080000}"/>
    <cellStyle name="40% - Accent1 2 5 3" xfId="5381" xr:uid="{00000000-0005-0000-0000-00000B080000}"/>
    <cellStyle name="40% - Accent1 2 5 3 2" xfId="13817" xr:uid="{00000000-0005-0000-0000-00000C080000}"/>
    <cellStyle name="40% - Accent1 2 5 4" xfId="9599" xr:uid="{00000000-0005-0000-0000-00000D080000}"/>
    <cellStyle name="40% - Accent1 2 6" xfId="1486" xr:uid="{00000000-0005-0000-0000-00000E080000}"/>
    <cellStyle name="40% - Accent1 2 6 2" xfId="3716" xr:uid="{00000000-0005-0000-0000-00000F080000}"/>
    <cellStyle name="40% - Accent1 2 6 2 2" xfId="7939" xr:uid="{00000000-0005-0000-0000-000010080000}"/>
    <cellStyle name="40% - Accent1 2 6 2 2 2" xfId="16375" xr:uid="{00000000-0005-0000-0000-000011080000}"/>
    <cellStyle name="40% - Accent1 2 6 2 3" xfId="12157" xr:uid="{00000000-0005-0000-0000-000012080000}"/>
    <cellStyle name="40% - Accent1 2 6 3" xfId="5794" xr:uid="{00000000-0005-0000-0000-000013080000}"/>
    <cellStyle name="40% - Accent1 2 6 3 2" xfId="14230" xr:uid="{00000000-0005-0000-0000-000014080000}"/>
    <cellStyle name="40% - Accent1 2 6 4" xfId="10012" xr:uid="{00000000-0005-0000-0000-000015080000}"/>
    <cellStyle name="40% - Accent1 2 7" xfId="1900" xr:uid="{00000000-0005-0000-0000-000016080000}"/>
    <cellStyle name="40% - Accent1 2 7 2" xfId="4129" xr:uid="{00000000-0005-0000-0000-000017080000}"/>
    <cellStyle name="40% - Accent1 2 7 2 2" xfId="8352" xr:uid="{00000000-0005-0000-0000-000018080000}"/>
    <cellStyle name="40% - Accent1 2 7 2 2 2" xfId="16788" xr:uid="{00000000-0005-0000-0000-000019080000}"/>
    <cellStyle name="40% - Accent1 2 7 2 3" xfId="12570" xr:uid="{00000000-0005-0000-0000-00001A080000}"/>
    <cellStyle name="40% - Accent1 2 7 3" xfId="6207" xr:uid="{00000000-0005-0000-0000-00001B080000}"/>
    <cellStyle name="40% - Accent1 2 7 3 2" xfId="14643" xr:uid="{00000000-0005-0000-0000-00001C080000}"/>
    <cellStyle name="40% - Accent1 2 7 4" xfId="10425" xr:uid="{00000000-0005-0000-0000-00001D080000}"/>
    <cellStyle name="40% - Accent1 2 8" xfId="2313" xr:uid="{00000000-0005-0000-0000-00001E080000}"/>
    <cellStyle name="40% - Accent1 2 8 2" xfId="6620" xr:uid="{00000000-0005-0000-0000-00001F080000}"/>
    <cellStyle name="40% - Accent1 2 8 2 2" xfId="15056" xr:uid="{00000000-0005-0000-0000-000020080000}"/>
    <cellStyle name="40% - Accent1 2 8 3" xfId="10838" xr:uid="{00000000-0005-0000-0000-000021080000}"/>
    <cellStyle name="40% - Accent1 2 9" xfId="4554" xr:uid="{00000000-0005-0000-0000-000022080000}"/>
    <cellStyle name="40% - Accent1 2 9 2" xfId="12990" xr:uid="{00000000-0005-0000-0000-000023080000}"/>
    <cellStyle name="40% - Accent1 3" xfId="54" xr:uid="{00000000-0005-0000-0000-000024080000}"/>
    <cellStyle name="40% - Accent1 3 2" xfId="55" xr:uid="{00000000-0005-0000-0000-000025080000}"/>
    <cellStyle name="40% - Accent1 3 2 2" xfId="624" xr:uid="{00000000-0005-0000-0000-000026080000}"/>
    <cellStyle name="40% - Accent1 3 2 2 2" xfId="2895" xr:uid="{00000000-0005-0000-0000-000027080000}"/>
    <cellStyle name="40% - Accent1 3 2 2 2 2" xfId="7118" xr:uid="{00000000-0005-0000-0000-000028080000}"/>
    <cellStyle name="40% - Accent1 3 2 2 2 2 2" xfId="15554" xr:uid="{00000000-0005-0000-0000-000029080000}"/>
    <cellStyle name="40% - Accent1 3 2 2 2 3" xfId="11336" xr:uid="{00000000-0005-0000-0000-00002A080000}"/>
    <cellStyle name="40% - Accent1 3 2 2 3" xfId="4973" xr:uid="{00000000-0005-0000-0000-00002B080000}"/>
    <cellStyle name="40% - Accent1 3 2 2 3 2" xfId="13409" xr:uid="{00000000-0005-0000-0000-00002C080000}"/>
    <cellStyle name="40% - Accent1 3 2 2 4" xfId="9191" xr:uid="{00000000-0005-0000-0000-00002D080000}"/>
    <cellStyle name="40% - Accent1 3 2 3" xfId="1077" xr:uid="{00000000-0005-0000-0000-00002E080000}"/>
    <cellStyle name="40% - Accent1 3 2 3 2" xfId="3308" xr:uid="{00000000-0005-0000-0000-00002F080000}"/>
    <cellStyle name="40% - Accent1 3 2 3 2 2" xfId="7531" xr:uid="{00000000-0005-0000-0000-000030080000}"/>
    <cellStyle name="40% - Accent1 3 2 3 2 2 2" xfId="15967" xr:uid="{00000000-0005-0000-0000-000031080000}"/>
    <cellStyle name="40% - Accent1 3 2 3 2 3" xfId="11749" xr:uid="{00000000-0005-0000-0000-000032080000}"/>
    <cellStyle name="40% - Accent1 3 2 3 3" xfId="5386" xr:uid="{00000000-0005-0000-0000-000033080000}"/>
    <cellStyle name="40% - Accent1 3 2 3 3 2" xfId="13822" xr:uid="{00000000-0005-0000-0000-000034080000}"/>
    <cellStyle name="40% - Accent1 3 2 3 4" xfId="9604" xr:uid="{00000000-0005-0000-0000-000035080000}"/>
    <cellStyle name="40% - Accent1 3 2 4" xfId="1491" xr:uid="{00000000-0005-0000-0000-000036080000}"/>
    <cellStyle name="40% - Accent1 3 2 4 2" xfId="3721" xr:uid="{00000000-0005-0000-0000-000037080000}"/>
    <cellStyle name="40% - Accent1 3 2 4 2 2" xfId="7944" xr:uid="{00000000-0005-0000-0000-000038080000}"/>
    <cellStyle name="40% - Accent1 3 2 4 2 2 2" xfId="16380" xr:uid="{00000000-0005-0000-0000-000039080000}"/>
    <cellStyle name="40% - Accent1 3 2 4 2 3" xfId="12162" xr:uid="{00000000-0005-0000-0000-00003A080000}"/>
    <cellStyle name="40% - Accent1 3 2 4 3" xfId="5799" xr:uid="{00000000-0005-0000-0000-00003B080000}"/>
    <cellStyle name="40% - Accent1 3 2 4 3 2" xfId="14235" xr:uid="{00000000-0005-0000-0000-00003C080000}"/>
    <cellStyle name="40% - Accent1 3 2 4 4" xfId="10017" xr:uid="{00000000-0005-0000-0000-00003D080000}"/>
    <cellStyle name="40% - Accent1 3 2 5" xfId="1905" xr:uid="{00000000-0005-0000-0000-00003E080000}"/>
    <cellStyle name="40% - Accent1 3 2 5 2" xfId="4134" xr:uid="{00000000-0005-0000-0000-00003F080000}"/>
    <cellStyle name="40% - Accent1 3 2 5 2 2" xfId="8357" xr:uid="{00000000-0005-0000-0000-000040080000}"/>
    <cellStyle name="40% - Accent1 3 2 5 2 2 2" xfId="16793" xr:uid="{00000000-0005-0000-0000-000041080000}"/>
    <cellStyle name="40% - Accent1 3 2 5 2 3" xfId="12575" xr:uid="{00000000-0005-0000-0000-000042080000}"/>
    <cellStyle name="40% - Accent1 3 2 5 3" xfId="6212" xr:uid="{00000000-0005-0000-0000-000043080000}"/>
    <cellStyle name="40% - Accent1 3 2 5 3 2" xfId="14648" xr:uid="{00000000-0005-0000-0000-000044080000}"/>
    <cellStyle name="40% - Accent1 3 2 5 4" xfId="10430" xr:uid="{00000000-0005-0000-0000-000045080000}"/>
    <cellStyle name="40% - Accent1 3 2 6" xfId="2318" xr:uid="{00000000-0005-0000-0000-000046080000}"/>
    <cellStyle name="40% - Accent1 3 2 6 2" xfId="6625" xr:uid="{00000000-0005-0000-0000-000047080000}"/>
    <cellStyle name="40% - Accent1 3 2 6 2 2" xfId="15061" xr:uid="{00000000-0005-0000-0000-000048080000}"/>
    <cellStyle name="40% - Accent1 3 2 6 3" xfId="10843" xr:uid="{00000000-0005-0000-0000-000049080000}"/>
    <cellStyle name="40% - Accent1 3 2 7" xfId="4559" xr:uid="{00000000-0005-0000-0000-00004A080000}"/>
    <cellStyle name="40% - Accent1 3 2 7 2" xfId="12995" xr:uid="{00000000-0005-0000-0000-00004B080000}"/>
    <cellStyle name="40% - Accent1 3 2 8" xfId="8777" xr:uid="{00000000-0005-0000-0000-00004C080000}"/>
    <cellStyle name="40% - Accent1 3 3" xfId="623" xr:uid="{00000000-0005-0000-0000-00004D080000}"/>
    <cellStyle name="40% - Accent1 3 3 2" xfId="2894" xr:uid="{00000000-0005-0000-0000-00004E080000}"/>
    <cellStyle name="40% - Accent1 3 3 2 2" xfId="7117" xr:uid="{00000000-0005-0000-0000-00004F080000}"/>
    <cellStyle name="40% - Accent1 3 3 2 2 2" xfId="15553" xr:uid="{00000000-0005-0000-0000-000050080000}"/>
    <cellStyle name="40% - Accent1 3 3 2 3" xfId="11335" xr:uid="{00000000-0005-0000-0000-000051080000}"/>
    <cellStyle name="40% - Accent1 3 3 3" xfId="4972" xr:uid="{00000000-0005-0000-0000-000052080000}"/>
    <cellStyle name="40% - Accent1 3 3 3 2" xfId="13408" xr:uid="{00000000-0005-0000-0000-000053080000}"/>
    <cellStyle name="40% - Accent1 3 3 4" xfId="9190" xr:uid="{00000000-0005-0000-0000-000054080000}"/>
    <cellStyle name="40% - Accent1 3 4" xfId="1076" xr:uid="{00000000-0005-0000-0000-000055080000}"/>
    <cellStyle name="40% - Accent1 3 4 2" xfId="3307" xr:uid="{00000000-0005-0000-0000-000056080000}"/>
    <cellStyle name="40% - Accent1 3 4 2 2" xfId="7530" xr:uid="{00000000-0005-0000-0000-000057080000}"/>
    <cellStyle name="40% - Accent1 3 4 2 2 2" xfId="15966" xr:uid="{00000000-0005-0000-0000-000058080000}"/>
    <cellStyle name="40% - Accent1 3 4 2 3" xfId="11748" xr:uid="{00000000-0005-0000-0000-000059080000}"/>
    <cellStyle name="40% - Accent1 3 4 3" xfId="5385" xr:uid="{00000000-0005-0000-0000-00005A080000}"/>
    <cellStyle name="40% - Accent1 3 4 3 2" xfId="13821" xr:uid="{00000000-0005-0000-0000-00005B080000}"/>
    <cellStyle name="40% - Accent1 3 4 4" xfId="9603" xr:uid="{00000000-0005-0000-0000-00005C080000}"/>
    <cellStyle name="40% - Accent1 3 5" xfId="1490" xr:uid="{00000000-0005-0000-0000-00005D080000}"/>
    <cellStyle name="40% - Accent1 3 5 2" xfId="3720" xr:uid="{00000000-0005-0000-0000-00005E080000}"/>
    <cellStyle name="40% - Accent1 3 5 2 2" xfId="7943" xr:uid="{00000000-0005-0000-0000-00005F080000}"/>
    <cellStyle name="40% - Accent1 3 5 2 2 2" xfId="16379" xr:uid="{00000000-0005-0000-0000-000060080000}"/>
    <cellStyle name="40% - Accent1 3 5 2 3" xfId="12161" xr:uid="{00000000-0005-0000-0000-000061080000}"/>
    <cellStyle name="40% - Accent1 3 5 3" xfId="5798" xr:uid="{00000000-0005-0000-0000-000062080000}"/>
    <cellStyle name="40% - Accent1 3 5 3 2" xfId="14234" xr:uid="{00000000-0005-0000-0000-000063080000}"/>
    <cellStyle name="40% - Accent1 3 5 4" xfId="10016" xr:uid="{00000000-0005-0000-0000-000064080000}"/>
    <cellStyle name="40% - Accent1 3 6" xfId="1904" xr:uid="{00000000-0005-0000-0000-000065080000}"/>
    <cellStyle name="40% - Accent1 3 6 2" xfId="4133" xr:uid="{00000000-0005-0000-0000-000066080000}"/>
    <cellStyle name="40% - Accent1 3 6 2 2" xfId="8356" xr:uid="{00000000-0005-0000-0000-000067080000}"/>
    <cellStyle name="40% - Accent1 3 6 2 2 2" xfId="16792" xr:uid="{00000000-0005-0000-0000-000068080000}"/>
    <cellStyle name="40% - Accent1 3 6 2 3" xfId="12574" xr:uid="{00000000-0005-0000-0000-000069080000}"/>
    <cellStyle name="40% - Accent1 3 6 3" xfId="6211" xr:uid="{00000000-0005-0000-0000-00006A080000}"/>
    <cellStyle name="40% - Accent1 3 6 3 2" xfId="14647" xr:uid="{00000000-0005-0000-0000-00006B080000}"/>
    <cellStyle name="40% - Accent1 3 6 4" xfId="10429" xr:uid="{00000000-0005-0000-0000-00006C080000}"/>
    <cellStyle name="40% - Accent1 3 7" xfId="2317" xr:uid="{00000000-0005-0000-0000-00006D080000}"/>
    <cellStyle name="40% - Accent1 3 7 2" xfId="6624" xr:uid="{00000000-0005-0000-0000-00006E080000}"/>
    <cellStyle name="40% - Accent1 3 7 2 2" xfId="15060" xr:uid="{00000000-0005-0000-0000-00006F080000}"/>
    <cellStyle name="40% - Accent1 3 7 3" xfId="10842" xr:uid="{00000000-0005-0000-0000-000070080000}"/>
    <cellStyle name="40% - Accent1 3 8" xfId="4558" xr:uid="{00000000-0005-0000-0000-000071080000}"/>
    <cellStyle name="40% - Accent1 3 8 2" xfId="12994" xr:uid="{00000000-0005-0000-0000-000072080000}"/>
    <cellStyle name="40% - Accent1 3 9" xfId="8776" xr:uid="{00000000-0005-0000-0000-000073080000}"/>
    <cellStyle name="40% - Accent1 4" xfId="56" xr:uid="{00000000-0005-0000-0000-000074080000}"/>
    <cellStyle name="40% - Accent1 4 2" xfId="625" xr:uid="{00000000-0005-0000-0000-000075080000}"/>
    <cellStyle name="40% - Accent1 4 2 2" xfId="2896" xr:uid="{00000000-0005-0000-0000-000076080000}"/>
    <cellStyle name="40% - Accent1 4 2 2 2" xfId="7119" xr:uid="{00000000-0005-0000-0000-000077080000}"/>
    <cellStyle name="40% - Accent1 4 2 2 2 2" xfId="15555" xr:uid="{00000000-0005-0000-0000-000078080000}"/>
    <cellStyle name="40% - Accent1 4 2 2 3" xfId="11337" xr:uid="{00000000-0005-0000-0000-000079080000}"/>
    <cellStyle name="40% - Accent1 4 2 3" xfId="4974" xr:uid="{00000000-0005-0000-0000-00007A080000}"/>
    <cellStyle name="40% - Accent1 4 2 3 2" xfId="13410" xr:uid="{00000000-0005-0000-0000-00007B080000}"/>
    <cellStyle name="40% - Accent1 4 2 4" xfId="9192" xr:uid="{00000000-0005-0000-0000-00007C080000}"/>
    <cellStyle name="40% - Accent1 4 3" xfId="1078" xr:uid="{00000000-0005-0000-0000-00007D080000}"/>
    <cellStyle name="40% - Accent1 4 3 2" xfId="3309" xr:uid="{00000000-0005-0000-0000-00007E080000}"/>
    <cellStyle name="40% - Accent1 4 3 2 2" xfId="7532" xr:uid="{00000000-0005-0000-0000-00007F080000}"/>
    <cellStyle name="40% - Accent1 4 3 2 2 2" xfId="15968" xr:uid="{00000000-0005-0000-0000-000080080000}"/>
    <cellStyle name="40% - Accent1 4 3 2 3" xfId="11750" xr:uid="{00000000-0005-0000-0000-000081080000}"/>
    <cellStyle name="40% - Accent1 4 3 3" xfId="5387" xr:uid="{00000000-0005-0000-0000-000082080000}"/>
    <cellStyle name="40% - Accent1 4 3 3 2" xfId="13823" xr:uid="{00000000-0005-0000-0000-000083080000}"/>
    <cellStyle name="40% - Accent1 4 3 4" xfId="9605" xr:uid="{00000000-0005-0000-0000-000084080000}"/>
    <cellStyle name="40% - Accent1 4 4" xfId="1492" xr:uid="{00000000-0005-0000-0000-000085080000}"/>
    <cellStyle name="40% - Accent1 4 4 2" xfId="3722" xr:uid="{00000000-0005-0000-0000-000086080000}"/>
    <cellStyle name="40% - Accent1 4 4 2 2" xfId="7945" xr:uid="{00000000-0005-0000-0000-000087080000}"/>
    <cellStyle name="40% - Accent1 4 4 2 2 2" xfId="16381" xr:uid="{00000000-0005-0000-0000-000088080000}"/>
    <cellStyle name="40% - Accent1 4 4 2 3" xfId="12163" xr:uid="{00000000-0005-0000-0000-000089080000}"/>
    <cellStyle name="40% - Accent1 4 4 3" xfId="5800" xr:uid="{00000000-0005-0000-0000-00008A080000}"/>
    <cellStyle name="40% - Accent1 4 4 3 2" xfId="14236" xr:uid="{00000000-0005-0000-0000-00008B080000}"/>
    <cellStyle name="40% - Accent1 4 4 4" xfId="10018" xr:uid="{00000000-0005-0000-0000-00008C080000}"/>
    <cellStyle name="40% - Accent1 4 5" xfId="1906" xr:uid="{00000000-0005-0000-0000-00008D080000}"/>
    <cellStyle name="40% - Accent1 4 5 2" xfId="4135" xr:uid="{00000000-0005-0000-0000-00008E080000}"/>
    <cellStyle name="40% - Accent1 4 5 2 2" xfId="8358" xr:uid="{00000000-0005-0000-0000-00008F080000}"/>
    <cellStyle name="40% - Accent1 4 5 2 2 2" xfId="16794" xr:uid="{00000000-0005-0000-0000-000090080000}"/>
    <cellStyle name="40% - Accent1 4 5 2 3" xfId="12576" xr:uid="{00000000-0005-0000-0000-000091080000}"/>
    <cellStyle name="40% - Accent1 4 5 3" xfId="6213" xr:uid="{00000000-0005-0000-0000-000092080000}"/>
    <cellStyle name="40% - Accent1 4 5 3 2" xfId="14649" xr:uid="{00000000-0005-0000-0000-000093080000}"/>
    <cellStyle name="40% - Accent1 4 5 4" xfId="10431" xr:uid="{00000000-0005-0000-0000-000094080000}"/>
    <cellStyle name="40% - Accent1 4 6" xfId="2319" xr:uid="{00000000-0005-0000-0000-000095080000}"/>
    <cellStyle name="40% - Accent1 4 6 2" xfId="6626" xr:uid="{00000000-0005-0000-0000-000096080000}"/>
    <cellStyle name="40% - Accent1 4 6 2 2" xfId="15062" xr:uid="{00000000-0005-0000-0000-000097080000}"/>
    <cellStyle name="40% - Accent1 4 6 3" xfId="10844" xr:uid="{00000000-0005-0000-0000-000098080000}"/>
    <cellStyle name="40% - Accent1 4 7" xfId="4560" xr:uid="{00000000-0005-0000-0000-000099080000}"/>
    <cellStyle name="40% - Accent1 4 7 2" xfId="12996" xr:uid="{00000000-0005-0000-0000-00009A080000}"/>
    <cellStyle name="40% - Accent1 4 8" xfId="8778" xr:uid="{00000000-0005-0000-0000-00009B080000}"/>
    <cellStyle name="40% - Accent1 5" xfId="618" xr:uid="{00000000-0005-0000-0000-00009C080000}"/>
    <cellStyle name="40% - Accent1 5 2" xfId="2889" xr:uid="{00000000-0005-0000-0000-00009D080000}"/>
    <cellStyle name="40% - Accent1 5 2 2" xfId="7112" xr:uid="{00000000-0005-0000-0000-00009E080000}"/>
    <cellStyle name="40% - Accent1 5 2 2 2" xfId="15548" xr:uid="{00000000-0005-0000-0000-00009F080000}"/>
    <cellStyle name="40% - Accent1 5 2 3" xfId="11330" xr:uid="{00000000-0005-0000-0000-0000A0080000}"/>
    <cellStyle name="40% - Accent1 5 3" xfId="4967" xr:uid="{00000000-0005-0000-0000-0000A1080000}"/>
    <cellStyle name="40% - Accent1 5 3 2" xfId="13403" xr:uid="{00000000-0005-0000-0000-0000A2080000}"/>
    <cellStyle name="40% - Accent1 5 4" xfId="9185" xr:uid="{00000000-0005-0000-0000-0000A3080000}"/>
    <cellStyle name="40% - Accent1 6" xfId="1071" xr:uid="{00000000-0005-0000-0000-0000A4080000}"/>
    <cellStyle name="40% - Accent1 6 2" xfId="3302" xr:uid="{00000000-0005-0000-0000-0000A5080000}"/>
    <cellStyle name="40% - Accent1 6 2 2" xfId="7525" xr:uid="{00000000-0005-0000-0000-0000A6080000}"/>
    <cellStyle name="40% - Accent1 6 2 2 2" xfId="15961" xr:uid="{00000000-0005-0000-0000-0000A7080000}"/>
    <cellStyle name="40% - Accent1 6 2 3" xfId="11743" xr:uid="{00000000-0005-0000-0000-0000A8080000}"/>
    <cellStyle name="40% - Accent1 6 3" xfId="5380" xr:uid="{00000000-0005-0000-0000-0000A9080000}"/>
    <cellStyle name="40% - Accent1 6 3 2" xfId="13816" xr:uid="{00000000-0005-0000-0000-0000AA080000}"/>
    <cellStyle name="40% - Accent1 6 4" xfId="9598" xr:uid="{00000000-0005-0000-0000-0000AB080000}"/>
    <cellStyle name="40% - Accent1 7" xfId="1485" xr:uid="{00000000-0005-0000-0000-0000AC080000}"/>
    <cellStyle name="40% - Accent1 7 2" xfId="3715" xr:uid="{00000000-0005-0000-0000-0000AD080000}"/>
    <cellStyle name="40% - Accent1 7 2 2" xfId="7938" xr:uid="{00000000-0005-0000-0000-0000AE080000}"/>
    <cellStyle name="40% - Accent1 7 2 2 2" xfId="16374" xr:uid="{00000000-0005-0000-0000-0000AF080000}"/>
    <cellStyle name="40% - Accent1 7 2 3" xfId="12156" xr:uid="{00000000-0005-0000-0000-0000B0080000}"/>
    <cellStyle name="40% - Accent1 7 3" xfId="5793" xr:uid="{00000000-0005-0000-0000-0000B1080000}"/>
    <cellStyle name="40% - Accent1 7 3 2" xfId="14229" xr:uid="{00000000-0005-0000-0000-0000B2080000}"/>
    <cellStyle name="40% - Accent1 7 4" xfId="10011" xr:uid="{00000000-0005-0000-0000-0000B3080000}"/>
    <cellStyle name="40% - Accent1 8" xfId="1899" xr:uid="{00000000-0005-0000-0000-0000B4080000}"/>
    <cellStyle name="40% - Accent1 8 2" xfId="4128" xr:uid="{00000000-0005-0000-0000-0000B5080000}"/>
    <cellStyle name="40% - Accent1 8 2 2" xfId="8351" xr:uid="{00000000-0005-0000-0000-0000B6080000}"/>
    <cellStyle name="40% - Accent1 8 2 2 2" xfId="16787" xr:uid="{00000000-0005-0000-0000-0000B7080000}"/>
    <cellStyle name="40% - Accent1 8 2 3" xfId="12569" xr:uid="{00000000-0005-0000-0000-0000B8080000}"/>
    <cellStyle name="40% - Accent1 8 3" xfId="6206" xr:uid="{00000000-0005-0000-0000-0000B9080000}"/>
    <cellStyle name="40% - Accent1 8 3 2" xfId="14642" xr:uid="{00000000-0005-0000-0000-0000BA080000}"/>
    <cellStyle name="40% - Accent1 8 4" xfId="10424" xr:uid="{00000000-0005-0000-0000-0000BB080000}"/>
    <cellStyle name="40% - Accent1 9" xfId="2312" xr:uid="{00000000-0005-0000-0000-0000BC080000}"/>
    <cellStyle name="40% - Accent1 9 2" xfId="6619" xr:uid="{00000000-0005-0000-0000-0000BD080000}"/>
    <cellStyle name="40% - Accent1 9 2 2" xfId="15055" xr:uid="{00000000-0005-0000-0000-0000BE080000}"/>
    <cellStyle name="40% - Accent1 9 3" xfId="10837" xr:uid="{00000000-0005-0000-0000-0000BF080000}"/>
    <cellStyle name="40% - Accent2" xfId="57" builtinId="35" customBuiltin="1"/>
    <cellStyle name="40% - Accent2 10" xfId="4561" xr:uid="{00000000-0005-0000-0000-0000C1080000}"/>
    <cellStyle name="40% - Accent2 10 2" xfId="12997" xr:uid="{00000000-0005-0000-0000-0000C2080000}"/>
    <cellStyle name="40% - Accent2 11" xfId="8779" xr:uid="{00000000-0005-0000-0000-0000C3080000}"/>
    <cellStyle name="40% - Accent2 2" xfId="58" xr:uid="{00000000-0005-0000-0000-0000C4080000}"/>
    <cellStyle name="40% - Accent2 2 10" xfId="8780" xr:uid="{00000000-0005-0000-0000-0000C5080000}"/>
    <cellStyle name="40% - Accent2 2 2" xfId="59" xr:uid="{00000000-0005-0000-0000-0000C6080000}"/>
    <cellStyle name="40% - Accent2 2 2 2" xfId="60" xr:uid="{00000000-0005-0000-0000-0000C7080000}"/>
    <cellStyle name="40% - Accent2 2 2 2 2" xfId="629" xr:uid="{00000000-0005-0000-0000-0000C8080000}"/>
    <cellStyle name="40% - Accent2 2 2 2 2 2" xfId="2900" xr:uid="{00000000-0005-0000-0000-0000C9080000}"/>
    <cellStyle name="40% - Accent2 2 2 2 2 2 2" xfId="7123" xr:uid="{00000000-0005-0000-0000-0000CA080000}"/>
    <cellStyle name="40% - Accent2 2 2 2 2 2 2 2" xfId="15559" xr:uid="{00000000-0005-0000-0000-0000CB080000}"/>
    <cellStyle name="40% - Accent2 2 2 2 2 2 3" xfId="11341" xr:uid="{00000000-0005-0000-0000-0000CC080000}"/>
    <cellStyle name="40% - Accent2 2 2 2 2 3" xfId="4978" xr:uid="{00000000-0005-0000-0000-0000CD080000}"/>
    <cellStyle name="40% - Accent2 2 2 2 2 3 2" xfId="13414" xr:uid="{00000000-0005-0000-0000-0000CE080000}"/>
    <cellStyle name="40% - Accent2 2 2 2 2 4" xfId="9196" xr:uid="{00000000-0005-0000-0000-0000CF080000}"/>
    <cellStyle name="40% - Accent2 2 2 2 3" xfId="1082" xr:uid="{00000000-0005-0000-0000-0000D0080000}"/>
    <cellStyle name="40% - Accent2 2 2 2 3 2" xfId="3313" xr:uid="{00000000-0005-0000-0000-0000D1080000}"/>
    <cellStyle name="40% - Accent2 2 2 2 3 2 2" xfId="7536" xr:uid="{00000000-0005-0000-0000-0000D2080000}"/>
    <cellStyle name="40% - Accent2 2 2 2 3 2 2 2" xfId="15972" xr:uid="{00000000-0005-0000-0000-0000D3080000}"/>
    <cellStyle name="40% - Accent2 2 2 2 3 2 3" xfId="11754" xr:uid="{00000000-0005-0000-0000-0000D4080000}"/>
    <cellStyle name="40% - Accent2 2 2 2 3 3" xfId="5391" xr:uid="{00000000-0005-0000-0000-0000D5080000}"/>
    <cellStyle name="40% - Accent2 2 2 2 3 3 2" xfId="13827" xr:uid="{00000000-0005-0000-0000-0000D6080000}"/>
    <cellStyle name="40% - Accent2 2 2 2 3 4" xfId="9609" xr:uid="{00000000-0005-0000-0000-0000D7080000}"/>
    <cellStyle name="40% - Accent2 2 2 2 4" xfId="1496" xr:uid="{00000000-0005-0000-0000-0000D8080000}"/>
    <cellStyle name="40% - Accent2 2 2 2 4 2" xfId="3726" xr:uid="{00000000-0005-0000-0000-0000D9080000}"/>
    <cellStyle name="40% - Accent2 2 2 2 4 2 2" xfId="7949" xr:uid="{00000000-0005-0000-0000-0000DA080000}"/>
    <cellStyle name="40% - Accent2 2 2 2 4 2 2 2" xfId="16385" xr:uid="{00000000-0005-0000-0000-0000DB080000}"/>
    <cellStyle name="40% - Accent2 2 2 2 4 2 3" xfId="12167" xr:uid="{00000000-0005-0000-0000-0000DC080000}"/>
    <cellStyle name="40% - Accent2 2 2 2 4 3" xfId="5804" xr:uid="{00000000-0005-0000-0000-0000DD080000}"/>
    <cellStyle name="40% - Accent2 2 2 2 4 3 2" xfId="14240" xr:uid="{00000000-0005-0000-0000-0000DE080000}"/>
    <cellStyle name="40% - Accent2 2 2 2 4 4" xfId="10022" xr:uid="{00000000-0005-0000-0000-0000DF080000}"/>
    <cellStyle name="40% - Accent2 2 2 2 5" xfId="1910" xr:uid="{00000000-0005-0000-0000-0000E0080000}"/>
    <cellStyle name="40% - Accent2 2 2 2 5 2" xfId="4139" xr:uid="{00000000-0005-0000-0000-0000E1080000}"/>
    <cellStyle name="40% - Accent2 2 2 2 5 2 2" xfId="8362" xr:uid="{00000000-0005-0000-0000-0000E2080000}"/>
    <cellStyle name="40% - Accent2 2 2 2 5 2 2 2" xfId="16798" xr:uid="{00000000-0005-0000-0000-0000E3080000}"/>
    <cellStyle name="40% - Accent2 2 2 2 5 2 3" xfId="12580" xr:uid="{00000000-0005-0000-0000-0000E4080000}"/>
    <cellStyle name="40% - Accent2 2 2 2 5 3" xfId="6217" xr:uid="{00000000-0005-0000-0000-0000E5080000}"/>
    <cellStyle name="40% - Accent2 2 2 2 5 3 2" xfId="14653" xr:uid="{00000000-0005-0000-0000-0000E6080000}"/>
    <cellStyle name="40% - Accent2 2 2 2 5 4" xfId="10435" xr:uid="{00000000-0005-0000-0000-0000E7080000}"/>
    <cellStyle name="40% - Accent2 2 2 2 6" xfId="2323" xr:uid="{00000000-0005-0000-0000-0000E8080000}"/>
    <cellStyle name="40% - Accent2 2 2 2 6 2" xfId="6630" xr:uid="{00000000-0005-0000-0000-0000E9080000}"/>
    <cellStyle name="40% - Accent2 2 2 2 6 2 2" xfId="15066" xr:uid="{00000000-0005-0000-0000-0000EA080000}"/>
    <cellStyle name="40% - Accent2 2 2 2 6 3" xfId="10848" xr:uid="{00000000-0005-0000-0000-0000EB080000}"/>
    <cellStyle name="40% - Accent2 2 2 2 7" xfId="4564" xr:uid="{00000000-0005-0000-0000-0000EC080000}"/>
    <cellStyle name="40% - Accent2 2 2 2 7 2" xfId="13000" xr:uid="{00000000-0005-0000-0000-0000ED080000}"/>
    <cellStyle name="40% - Accent2 2 2 2 8" xfId="8782" xr:uid="{00000000-0005-0000-0000-0000EE080000}"/>
    <cellStyle name="40% - Accent2 2 2 3" xfId="628" xr:uid="{00000000-0005-0000-0000-0000EF080000}"/>
    <cellStyle name="40% - Accent2 2 2 3 2" xfId="2899" xr:uid="{00000000-0005-0000-0000-0000F0080000}"/>
    <cellStyle name="40% - Accent2 2 2 3 2 2" xfId="7122" xr:uid="{00000000-0005-0000-0000-0000F1080000}"/>
    <cellStyle name="40% - Accent2 2 2 3 2 2 2" xfId="15558" xr:uid="{00000000-0005-0000-0000-0000F2080000}"/>
    <cellStyle name="40% - Accent2 2 2 3 2 3" xfId="11340" xr:uid="{00000000-0005-0000-0000-0000F3080000}"/>
    <cellStyle name="40% - Accent2 2 2 3 3" xfId="4977" xr:uid="{00000000-0005-0000-0000-0000F4080000}"/>
    <cellStyle name="40% - Accent2 2 2 3 3 2" xfId="13413" xr:uid="{00000000-0005-0000-0000-0000F5080000}"/>
    <cellStyle name="40% - Accent2 2 2 3 4" xfId="9195" xr:uid="{00000000-0005-0000-0000-0000F6080000}"/>
    <cellStyle name="40% - Accent2 2 2 4" xfId="1081" xr:uid="{00000000-0005-0000-0000-0000F7080000}"/>
    <cellStyle name="40% - Accent2 2 2 4 2" xfId="3312" xr:uid="{00000000-0005-0000-0000-0000F8080000}"/>
    <cellStyle name="40% - Accent2 2 2 4 2 2" xfId="7535" xr:uid="{00000000-0005-0000-0000-0000F9080000}"/>
    <cellStyle name="40% - Accent2 2 2 4 2 2 2" xfId="15971" xr:uid="{00000000-0005-0000-0000-0000FA080000}"/>
    <cellStyle name="40% - Accent2 2 2 4 2 3" xfId="11753" xr:uid="{00000000-0005-0000-0000-0000FB080000}"/>
    <cellStyle name="40% - Accent2 2 2 4 3" xfId="5390" xr:uid="{00000000-0005-0000-0000-0000FC080000}"/>
    <cellStyle name="40% - Accent2 2 2 4 3 2" xfId="13826" xr:uid="{00000000-0005-0000-0000-0000FD080000}"/>
    <cellStyle name="40% - Accent2 2 2 4 4" xfId="9608" xr:uid="{00000000-0005-0000-0000-0000FE080000}"/>
    <cellStyle name="40% - Accent2 2 2 5" xfId="1495" xr:uid="{00000000-0005-0000-0000-0000FF080000}"/>
    <cellStyle name="40% - Accent2 2 2 5 2" xfId="3725" xr:uid="{00000000-0005-0000-0000-000000090000}"/>
    <cellStyle name="40% - Accent2 2 2 5 2 2" xfId="7948" xr:uid="{00000000-0005-0000-0000-000001090000}"/>
    <cellStyle name="40% - Accent2 2 2 5 2 2 2" xfId="16384" xr:uid="{00000000-0005-0000-0000-000002090000}"/>
    <cellStyle name="40% - Accent2 2 2 5 2 3" xfId="12166" xr:uid="{00000000-0005-0000-0000-000003090000}"/>
    <cellStyle name="40% - Accent2 2 2 5 3" xfId="5803" xr:uid="{00000000-0005-0000-0000-000004090000}"/>
    <cellStyle name="40% - Accent2 2 2 5 3 2" xfId="14239" xr:uid="{00000000-0005-0000-0000-000005090000}"/>
    <cellStyle name="40% - Accent2 2 2 5 4" xfId="10021" xr:uid="{00000000-0005-0000-0000-000006090000}"/>
    <cellStyle name="40% - Accent2 2 2 6" xfId="1909" xr:uid="{00000000-0005-0000-0000-000007090000}"/>
    <cellStyle name="40% - Accent2 2 2 6 2" xfId="4138" xr:uid="{00000000-0005-0000-0000-000008090000}"/>
    <cellStyle name="40% - Accent2 2 2 6 2 2" xfId="8361" xr:uid="{00000000-0005-0000-0000-000009090000}"/>
    <cellStyle name="40% - Accent2 2 2 6 2 2 2" xfId="16797" xr:uid="{00000000-0005-0000-0000-00000A090000}"/>
    <cellStyle name="40% - Accent2 2 2 6 2 3" xfId="12579" xr:uid="{00000000-0005-0000-0000-00000B090000}"/>
    <cellStyle name="40% - Accent2 2 2 6 3" xfId="6216" xr:uid="{00000000-0005-0000-0000-00000C090000}"/>
    <cellStyle name="40% - Accent2 2 2 6 3 2" xfId="14652" xr:uid="{00000000-0005-0000-0000-00000D090000}"/>
    <cellStyle name="40% - Accent2 2 2 6 4" xfId="10434" xr:uid="{00000000-0005-0000-0000-00000E090000}"/>
    <cellStyle name="40% - Accent2 2 2 7" xfId="2322" xr:uid="{00000000-0005-0000-0000-00000F090000}"/>
    <cellStyle name="40% - Accent2 2 2 7 2" xfId="6629" xr:uid="{00000000-0005-0000-0000-000010090000}"/>
    <cellStyle name="40% - Accent2 2 2 7 2 2" xfId="15065" xr:uid="{00000000-0005-0000-0000-000011090000}"/>
    <cellStyle name="40% - Accent2 2 2 7 3" xfId="10847" xr:uid="{00000000-0005-0000-0000-000012090000}"/>
    <cellStyle name="40% - Accent2 2 2 8" xfId="4563" xr:uid="{00000000-0005-0000-0000-000013090000}"/>
    <cellStyle name="40% - Accent2 2 2 8 2" xfId="12999" xr:uid="{00000000-0005-0000-0000-000014090000}"/>
    <cellStyle name="40% - Accent2 2 2 9" xfId="8781" xr:uid="{00000000-0005-0000-0000-000015090000}"/>
    <cellStyle name="40% - Accent2 2 3" xfId="61" xr:uid="{00000000-0005-0000-0000-000016090000}"/>
    <cellStyle name="40% - Accent2 2 3 2" xfId="630" xr:uid="{00000000-0005-0000-0000-000017090000}"/>
    <cellStyle name="40% - Accent2 2 3 2 2" xfId="2901" xr:uid="{00000000-0005-0000-0000-000018090000}"/>
    <cellStyle name="40% - Accent2 2 3 2 2 2" xfId="7124" xr:uid="{00000000-0005-0000-0000-000019090000}"/>
    <cellStyle name="40% - Accent2 2 3 2 2 2 2" xfId="15560" xr:uid="{00000000-0005-0000-0000-00001A090000}"/>
    <cellStyle name="40% - Accent2 2 3 2 2 3" xfId="11342" xr:uid="{00000000-0005-0000-0000-00001B090000}"/>
    <cellStyle name="40% - Accent2 2 3 2 3" xfId="4979" xr:uid="{00000000-0005-0000-0000-00001C090000}"/>
    <cellStyle name="40% - Accent2 2 3 2 3 2" xfId="13415" xr:uid="{00000000-0005-0000-0000-00001D090000}"/>
    <cellStyle name="40% - Accent2 2 3 2 4" xfId="9197" xr:uid="{00000000-0005-0000-0000-00001E090000}"/>
    <cellStyle name="40% - Accent2 2 3 3" xfId="1083" xr:uid="{00000000-0005-0000-0000-00001F090000}"/>
    <cellStyle name="40% - Accent2 2 3 3 2" xfId="3314" xr:uid="{00000000-0005-0000-0000-000020090000}"/>
    <cellStyle name="40% - Accent2 2 3 3 2 2" xfId="7537" xr:uid="{00000000-0005-0000-0000-000021090000}"/>
    <cellStyle name="40% - Accent2 2 3 3 2 2 2" xfId="15973" xr:uid="{00000000-0005-0000-0000-000022090000}"/>
    <cellStyle name="40% - Accent2 2 3 3 2 3" xfId="11755" xr:uid="{00000000-0005-0000-0000-000023090000}"/>
    <cellStyle name="40% - Accent2 2 3 3 3" xfId="5392" xr:uid="{00000000-0005-0000-0000-000024090000}"/>
    <cellStyle name="40% - Accent2 2 3 3 3 2" xfId="13828" xr:uid="{00000000-0005-0000-0000-000025090000}"/>
    <cellStyle name="40% - Accent2 2 3 3 4" xfId="9610" xr:uid="{00000000-0005-0000-0000-000026090000}"/>
    <cellStyle name="40% - Accent2 2 3 4" xfId="1497" xr:uid="{00000000-0005-0000-0000-000027090000}"/>
    <cellStyle name="40% - Accent2 2 3 4 2" xfId="3727" xr:uid="{00000000-0005-0000-0000-000028090000}"/>
    <cellStyle name="40% - Accent2 2 3 4 2 2" xfId="7950" xr:uid="{00000000-0005-0000-0000-000029090000}"/>
    <cellStyle name="40% - Accent2 2 3 4 2 2 2" xfId="16386" xr:uid="{00000000-0005-0000-0000-00002A090000}"/>
    <cellStyle name="40% - Accent2 2 3 4 2 3" xfId="12168" xr:uid="{00000000-0005-0000-0000-00002B090000}"/>
    <cellStyle name="40% - Accent2 2 3 4 3" xfId="5805" xr:uid="{00000000-0005-0000-0000-00002C090000}"/>
    <cellStyle name="40% - Accent2 2 3 4 3 2" xfId="14241" xr:uid="{00000000-0005-0000-0000-00002D090000}"/>
    <cellStyle name="40% - Accent2 2 3 4 4" xfId="10023" xr:uid="{00000000-0005-0000-0000-00002E090000}"/>
    <cellStyle name="40% - Accent2 2 3 5" xfId="1911" xr:uid="{00000000-0005-0000-0000-00002F090000}"/>
    <cellStyle name="40% - Accent2 2 3 5 2" xfId="4140" xr:uid="{00000000-0005-0000-0000-000030090000}"/>
    <cellStyle name="40% - Accent2 2 3 5 2 2" xfId="8363" xr:uid="{00000000-0005-0000-0000-000031090000}"/>
    <cellStyle name="40% - Accent2 2 3 5 2 2 2" xfId="16799" xr:uid="{00000000-0005-0000-0000-000032090000}"/>
    <cellStyle name="40% - Accent2 2 3 5 2 3" xfId="12581" xr:uid="{00000000-0005-0000-0000-000033090000}"/>
    <cellStyle name="40% - Accent2 2 3 5 3" xfId="6218" xr:uid="{00000000-0005-0000-0000-000034090000}"/>
    <cellStyle name="40% - Accent2 2 3 5 3 2" xfId="14654" xr:uid="{00000000-0005-0000-0000-000035090000}"/>
    <cellStyle name="40% - Accent2 2 3 5 4" xfId="10436" xr:uid="{00000000-0005-0000-0000-000036090000}"/>
    <cellStyle name="40% - Accent2 2 3 6" xfId="2324" xr:uid="{00000000-0005-0000-0000-000037090000}"/>
    <cellStyle name="40% - Accent2 2 3 6 2" xfId="6631" xr:uid="{00000000-0005-0000-0000-000038090000}"/>
    <cellStyle name="40% - Accent2 2 3 6 2 2" xfId="15067" xr:uid="{00000000-0005-0000-0000-000039090000}"/>
    <cellStyle name="40% - Accent2 2 3 6 3" xfId="10849" xr:uid="{00000000-0005-0000-0000-00003A090000}"/>
    <cellStyle name="40% - Accent2 2 3 7" xfId="4565" xr:uid="{00000000-0005-0000-0000-00003B090000}"/>
    <cellStyle name="40% - Accent2 2 3 7 2" xfId="13001" xr:uid="{00000000-0005-0000-0000-00003C090000}"/>
    <cellStyle name="40% - Accent2 2 3 8" xfId="8783" xr:uid="{00000000-0005-0000-0000-00003D090000}"/>
    <cellStyle name="40% - Accent2 2 4" xfId="627" xr:uid="{00000000-0005-0000-0000-00003E090000}"/>
    <cellStyle name="40% - Accent2 2 4 2" xfId="2898" xr:uid="{00000000-0005-0000-0000-00003F090000}"/>
    <cellStyle name="40% - Accent2 2 4 2 2" xfId="7121" xr:uid="{00000000-0005-0000-0000-000040090000}"/>
    <cellStyle name="40% - Accent2 2 4 2 2 2" xfId="15557" xr:uid="{00000000-0005-0000-0000-000041090000}"/>
    <cellStyle name="40% - Accent2 2 4 2 3" xfId="11339" xr:uid="{00000000-0005-0000-0000-000042090000}"/>
    <cellStyle name="40% - Accent2 2 4 3" xfId="4976" xr:uid="{00000000-0005-0000-0000-000043090000}"/>
    <cellStyle name="40% - Accent2 2 4 3 2" xfId="13412" xr:uid="{00000000-0005-0000-0000-000044090000}"/>
    <cellStyle name="40% - Accent2 2 4 4" xfId="9194" xr:uid="{00000000-0005-0000-0000-000045090000}"/>
    <cellStyle name="40% - Accent2 2 5" xfId="1080" xr:uid="{00000000-0005-0000-0000-000046090000}"/>
    <cellStyle name="40% - Accent2 2 5 2" xfId="3311" xr:uid="{00000000-0005-0000-0000-000047090000}"/>
    <cellStyle name="40% - Accent2 2 5 2 2" xfId="7534" xr:uid="{00000000-0005-0000-0000-000048090000}"/>
    <cellStyle name="40% - Accent2 2 5 2 2 2" xfId="15970" xr:uid="{00000000-0005-0000-0000-000049090000}"/>
    <cellStyle name="40% - Accent2 2 5 2 3" xfId="11752" xr:uid="{00000000-0005-0000-0000-00004A090000}"/>
    <cellStyle name="40% - Accent2 2 5 3" xfId="5389" xr:uid="{00000000-0005-0000-0000-00004B090000}"/>
    <cellStyle name="40% - Accent2 2 5 3 2" xfId="13825" xr:uid="{00000000-0005-0000-0000-00004C090000}"/>
    <cellStyle name="40% - Accent2 2 5 4" xfId="9607" xr:uid="{00000000-0005-0000-0000-00004D090000}"/>
    <cellStyle name="40% - Accent2 2 6" xfId="1494" xr:uid="{00000000-0005-0000-0000-00004E090000}"/>
    <cellStyle name="40% - Accent2 2 6 2" xfId="3724" xr:uid="{00000000-0005-0000-0000-00004F090000}"/>
    <cellStyle name="40% - Accent2 2 6 2 2" xfId="7947" xr:uid="{00000000-0005-0000-0000-000050090000}"/>
    <cellStyle name="40% - Accent2 2 6 2 2 2" xfId="16383" xr:uid="{00000000-0005-0000-0000-000051090000}"/>
    <cellStyle name="40% - Accent2 2 6 2 3" xfId="12165" xr:uid="{00000000-0005-0000-0000-000052090000}"/>
    <cellStyle name="40% - Accent2 2 6 3" xfId="5802" xr:uid="{00000000-0005-0000-0000-000053090000}"/>
    <cellStyle name="40% - Accent2 2 6 3 2" xfId="14238" xr:uid="{00000000-0005-0000-0000-000054090000}"/>
    <cellStyle name="40% - Accent2 2 6 4" xfId="10020" xr:uid="{00000000-0005-0000-0000-000055090000}"/>
    <cellStyle name="40% - Accent2 2 7" xfId="1908" xr:uid="{00000000-0005-0000-0000-000056090000}"/>
    <cellStyle name="40% - Accent2 2 7 2" xfId="4137" xr:uid="{00000000-0005-0000-0000-000057090000}"/>
    <cellStyle name="40% - Accent2 2 7 2 2" xfId="8360" xr:uid="{00000000-0005-0000-0000-000058090000}"/>
    <cellStyle name="40% - Accent2 2 7 2 2 2" xfId="16796" xr:uid="{00000000-0005-0000-0000-000059090000}"/>
    <cellStyle name="40% - Accent2 2 7 2 3" xfId="12578" xr:uid="{00000000-0005-0000-0000-00005A090000}"/>
    <cellStyle name="40% - Accent2 2 7 3" xfId="6215" xr:uid="{00000000-0005-0000-0000-00005B090000}"/>
    <cellStyle name="40% - Accent2 2 7 3 2" xfId="14651" xr:uid="{00000000-0005-0000-0000-00005C090000}"/>
    <cellStyle name="40% - Accent2 2 7 4" xfId="10433" xr:uid="{00000000-0005-0000-0000-00005D090000}"/>
    <cellStyle name="40% - Accent2 2 8" xfId="2321" xr:uid="{00000000-0005-0000-0000-00005E090000}"/>
    <cellStyle name="40% - Accent2 2 8 2" xfId="6628" xr:uid="{00000000-0005-0000-0000-00005F090000}"/>
    <cellStyle name="40% - Accent2 2 8 2 2" xfId="15064" xr:uid="{00000000-0005-0000-0000-000060090000}"/>
    <cellStyle name="40% - Accent2 2 8 3" xfId="10846" xr:uid="{00000000-0005-0000-0000-000061090000}"/>
    <cellStyle name="40% - Accent2 2 9" xfId="4562" xr:uid="{00000000-0005-0000-0000-000062090000}"/>
    <cellStyle name="40% - Accent2 2 9 2" xfId="12998" xr:uid="{00000000-0005-0000-0000-000063090000}"/>
    <cellStyle name="40% - Accent2 3" xfId="62" xr:uid="{00000000-0005-0000-0000-000064090000}"/>
    <cellStyle name="40% - Accent2 3 2" xfId="63" xr:uid="{00000000-0005-0000-0000-000065090000}"/>
    <cellStyle name="40% - Accent2 3 2 2" xfId="632" xr:uid="{00000000-0005-0000-0000-000066090000}"/>
    <cellStyle name="40% - Accent2 3 2 2 2" xfId="2903" xr:uid="{00000000-0005-0000-0000-000067090000}"/>
    <cellStyle name="40% - Accent2 3 2 2 2 2" xfId="7126" xr:uid="{00000000-0005-0000-0000-000068090000}"/>
    <cellStyle name="40% - Accent2 3 2 2 2 2 2" xfId="15562" xr:uid="{00000000-0005-0000-0000-000069090000}"/>
    <cellStyle name="40% - Accent2 3 2 2 2 3" xfId="11344" xr:uid="{00000000-0005-0000-0000-00006A090000}"/>
    <cellStyle name="40% - Accent2 3 2 2 3" xfId="4981" xr:uid="{00000000-0005-0000-0000-00006B090000}"/>
    <cellStyle name="40% - Accent2 3 2 2 3 2" xfId="13417" xr:uid="{00000000-0005-0000-0000-00006C090000}"/>
    <cellStyle name="40% - Accent2 3 2 2 4" xfId="9199" xr:uid="{00000000-0005-0000-0000-00006D090000}"/>
    <cellStyle name="40% - Accent2 3 2 3" xfId="1085" xr:uid="{00000000-0005-0000-0000-00006E090000}"/>
    <cellStyle name="40% - Accent2 3 2 3 2" xfId="3316" xr:uid="{00000000-0005-0000-0000-00006F090000}"/>
    <cellStyle name="40% - Accent2 3 2 3 2 2" xfId="7539" xr:uid="{00000000-0005-0000-0000-000070090000}"/>
    <cellStyle name="40% - Accent2 3 2 3 2 2 2" xfId="15975" xr:uid="{00000000-0005-0000-0000-000071090000}"/>
    <cellStyle name="40% - Accent2 3 2 3 2 3" xfId="11757" xr:uid="{00000000-0005-0000-0000-000072090000}"/>
    <cellStyle name="40% - Accent2 3 2 3 3" xfId="5394" xr:uid="{00000000-0005-0000-0000-000073090000}"/>
    <cellStyle name="40% - Accent2 3 2 3 3 2" xfId="13830" xr:uid="{00000000-0005-0000-0000-000074090000}"/>
    <cellStyle name="40% - Accent2 3 2 3 4" xfId="9612" xr:uid="{00000000-0005-0000-0000-000075090000}"/>
    <cellStyle name="40% - Accent2 3 2 4" xfId="1499" xr:uid="{00000000-0005-0000-0000-000076090000}"/>
    <cellStyle name="40% - Accent2 3 2 4 2" xfId="3729" xr:uid="{00000000-0005-0000-0000-000077090000}"/>
    <cellStyle name="40% - Accent2 3 2 4 2 2" xfId="7952" xr:uid="{00000000-0005-0000-0000-000078090000}"/>
    <cellStyle name="40% - Accent2 3 2 4 2 2 2" xfId="16388" xr:uid="{00000000-0005-0000-0000-000079090000}"/>
    <cellStyle name="40% - Accent2 3 2 4 2 3" xfId="12170" xr:uid="{00000000-0005-0000-0000-00007A090000}"/>
    <cellStyle name="40% - Accent2 3 2 4 3" xfId="5807" xr:uid="{00000000-0005-0000-0000-00007B090000}"/>
    <cellStyle name="40% - Accent2 3 2 4 3 2" xfId="14243" xr:uid="{00000000-0005-0000-0000-00007C090000}"/>
    <cellStyle name="40% - Accent2 3 2 4 4" xfId="10025" xr:uid="{00000000-0005-0000-0000-00007D090000}"/>
    <cellStyle name="40% - Accent2 3 2 5" xfId="1913" xr:uid="{00000000-0005-0000-0000-00007E090000}"/>
    <cellStyle name="40% - Accent2 3 2 5 2" xfId="4142" xr:uid="{00000000-0005-0000-0000-00007F090000}"/>
    <cellStyle name="40% - Accent2 3 2 5 2 2" xfId="8365" xr:uid="{00000000-0005-0000-0000-000080090000}"/>
    <cellStyle name="40% - Accent2 3 2 5 2 2 2" xfId="16801" xr:uid="{00000000-0005-0000-0000-000081090000}"/>
    <cellStyle name="40% - Accent2 3 2 5 2 3" xfId="12583" xr:uid="{00000000-0005-0000-0000-000082090000}"/>
    <cellStyle name="40% - Accent2 3 2 5 3" xfId="6220" xr:uid="{00000000-0005-0000-0000-000083090000}"/>
    <cellStyle name="40% - Accent2 3 2 5 3 2" xfId="14656" xr:uid="{00000000-0005-0000-0000-000084090000}"/>
    <cellStyle name="40% - Accent2 3 2 5 4" xfId="10438" xr:uid="{00000000-0005-0000-0000-000085090000}"/>
    <cellStyle name="40% - Accent2 3 2 6" xfId="2326" xr:uid="{00000000-0005-0000-0000-000086090000}"/>
    <cellStyle name="40% - Accent2 3 2 6 2" xfId="6633" xr:uid="{00000000-0005-0000-0000-000087090000}"/>
    <cellStyle name="40% - Accent2 3 2 6 2 2" xfId="15069" xr:uid="{00000000-0005-0000-0000-000088090000}"/>
    <cellStyle name="40% - Accent2 3 2 6 3" xfId="10851" xr:uid="{00000000-0005-0000-0000-000089090000}"/>
    <cellStyle name="40% - Accent2 3 2 7" xfId="4567" xr:uid="{00000000-0005-0000-0000-00008A090000}"/>
    <cellStyle name="40% - Accent2 3 2 7 2" xfId="13003" xr:uid="{00000000-0005-0000-0000-00008B090000}"/>
    <cellStyle name="40% - Accent2 3 2 8" xfId="8785" xr:uid="{00000000-0005-0000-0000-00008C090000}"/>
    <cellStyle name="40% - Accent2 3 3" xfId="631" xr:uid="{00000000-0005-0000-0000-00008D090000}"/>
    <cellStyle name="40% - Accent2 3 3 2" xfId="2902" xr:uid="{00000000-0005-0000-0000-00008E090000}"/>
    <cellStyle name="40% - Accent2 3 3 2 2" xfId="7125" xr:uid="{00000000-0005-0000-0000-00008F090000}"/>
    <cellStyle name="40% - Accent2 3 3 2 2 2" xfId="15561" xr:uid="{00000000-0005-0000-0000-000090090000}"/>
    <cellStyle name="40% - Accent2 3 3 2 3" xfId="11343" xr:uid="{00000000-0005-0000-0000-000091090000}"/>
    <cellStyle name="40% - Accent2 3 3 3" xfId="4980" xr:uid="{00000000-0005-0000-0000-000092090000}"/>
    <cellStyle name="40% - Accent2 3 3 3 2" xfId="13416" xr:uid="{00000000-0005-0000-0000-000093090000}"/>
    <cellStyle name="40% - Accent2 3 3 4" xfId="9198" xr:uid="{00000000-0005-0000-0000-000094090000}"/>
    <cellStyle name="40% - Accent2 3 4" xfId="1084" xr:uid="{00000000-0005-0000-0000-000095090000}"/>
    <cellStyle name="40% - Accent2 3 4 2" xfId="3315" xr:uid="{00000000-0005-0000-0000-000096090000}"/>
    <cellStyle name="40% - Accent2 3 4 2 2" xfId="7538" xr:uid="{00000000-0005-0000-0000-000097090000}"/>
    <cellStyle name="40% - Accent2 3 4 2 2 2" xfId="15974" xr:uid="{00000000-0005-0000-0000-000098090000}"/>
    <cellStyle name="40% - Accent2 3 4 2 3" xfId="11756" xr:uid="{00000000-0005-0000-0000-000099090000}"/>
    <cellStyle name="40% - Accent2 3 4 3" xfId="5393" xr:uid="{00000000-0005-0000-0000-00009A090000}"/>
    <cellStyle name="40% - Accent2 3 4 3 2" xfId="13829" xr:uid="{00000000-0005-0000-0000-00009B090000}"/>
    <cellStyle name="40% - Accent2 3 4 4" xfId="9611" xr:uid="{00000000-0005-0000-0000-00009C090000}"/>
    <cellStyle name="40% - Accent2 3 5" xfId="1498" xr:uid="{00000000-0005-0000-0000-00009D090000}"/>
    <cellStyle name="40% - Accent2 3 5 2" xfId="3728" xr:uid="{00000000-0005-0000-0000-00009E090000}"/>
    <cellStyle name="40% - Accent2 3 5 2 2" xfId="7951" xr:uid="{00000000-0005-0000-0000-00009F090000}"/>
    <cellStyle name="40% - Accent2 3 5 2 2 2" xfId="16387" xr:uid="{00000000-0005-0000-0000-0000A0090000}"/>
    <cellStyle name="40% - Accent2 3 5 2 3" xfId="12169" xr:uid="{00000000-0005-0000-0000-0000A1090000}"/>
    <cellStyle name="40% - Accent2 3 5 3" xfId="5806" xr:uid="{00000000-0005-0000-0000-0000A2090000}"/>
    <cellStyle name="40% - Accent2 3 5 3 2" xfId="14242" xr:uid="{00000000-0005-0000-0000-0000A3090000}"/>
    <cellStyle name="40% - Accent2 3 5 4" xfId="10024" xr:uid="{00000000-0005-0000-0000-0000A4090000}"/>
    <cellStyle name="40% - Accent2 3 6" xfId="1912" xr:uid="{00000000-0005-0000-0000-0000A5090000}"/>
    <cellStyle name="40% - Accent2 3 6 2" xfId="4141" xr:uid="{00000000-0005-0000-0000-0000A6090000}"/>
    <cellStyle name="40% - Accent2 3 6 2 2" xfId="8364" xr:uid="{00000000-0005-0000-0000-0000A7090000}"/>
    <cellStyle name="40% - Accent2 3 6 2 2 2" xfId="16800" xr:uid="{00000000-0005-0000-0000-0000A8090000}"/>
    <cellStyle name="40% - Accent2 3 6 2 3" xfId="12582" xr:uid="{00000000-0005-0000-0000-0000A9090000}"/>
    <cellStyle name="40% - Accent2 3 6 3" xfId="6219" xr:uid="{00000000-0005-0000-0000-0000AA090000}"/>
    <cellStyle name="40% - Accent2 3 6 3 2" xfId="14655" xr:uid="{00000000-0005-0000-0000-0000AB090000}"/>
    <cellStyle name="40% - Accent2 3 6 4" xfId="10437" xr:uid="{00000000-0005-0000-0000-0000AC090000}"/>
    <cellStyle name="40% - Accent2 3 7" xfId="2325" xr:uid="{00000000-0005-0000-0000-0000AD090000}"/>
    <cellStyle name="40% - Accent2 3 7 2" xfId="6632" xr:uid="{00000000-0005-0000-0000-0000AE090000}"/>
    <cellStyle name="40% - Accent2 3 7 2 2" xfId="15068" xr:uid="{00000000-0005-0000-0000-0000AF090000}"/>
    <cellStyle name="40% - Accent2 3 7 3" xfId="10850" xr:uid="{00000000-0005-0000-0000-0000B0090000}"/>
    <cellStyle name="40% - Accent2 3 8" xfId="4566" xr:uid="{00000000-0005-0000-0000-0000B1090000}"/>
    <cellStyle name="40% - Accent2 3 8 2" xfId="13002" xr:uid="{00000000-0005-0000-0000-0000B2090000}"/>
    <cellStyle name="40% - Accent2 3 9" xfId="8784" xr:uid="{00000000-0005-0000-0000-0000B3090000}"/>
    <cellStyle name="40% - Accent2 4" xfId="64" xr:uid="{00000000-0005-0000-0000-0000B4090000}"/>
    <cellStyle name="40% - Accent2 4 2" xfId="633" xr:uid="{00000000-0005-0000-0000-0000B5090000}"/>
    <cellStyle name="40% - Accent2 4 2 2" xfId="2904" xr:uid="{00000000-0005-0000-0000-0000B6090000}"/>
    <cellStyle name="40% - Accent2 4 2 2 2" xfId="7127" xr:uid="{00000000-0005-0000-0000-0000B7090000}"/>
    <cellStyle name="40% - Accent2 4 2 2 2 2" xfId="15563" xr:uid="{00000000-0005-0000-0000-0000B8090000}"/>
    <cellStyle name="40% - Accent2 4 2 2 3" xfId="11345" xr:uid="{00000000-0005-0000-0000-0000B9090000}"/>
    <cellStyle name="40% - Accent2 4 2 3" xfId="4982" xr:uid="{00000000-0005-0000-0000-0000BA090000}"/>
    <cellStyle name="40% - Accent2 4 2 3 2" xfId="13418" xr:uid="{00000000-0005-0000-0000-0000BB090000}"/>
    <cellStyle name="40% - Accent2 4 2 4" xfId="9200" xr:uid="{00000000-0005-0000-0000-0000BC090000}"/>
    <cellStyle name="40% - Accent2 4 3" xfId="1086" xr:uid="{00000000-0005-0000-0000-0000BD090000}"/>
    <cellStyle name="40% - Accent2 4 3 2" xfId="3317" xr:uid="{00000000-0005-0000-0000-0000BE090000}"/>
    <cellStyle name="40% - Accent2 4 3 2 2" xfId="7540" xr:uid="{00000000-0005-0000-0000-0000BF090000}"/>
    <cellStyle name="40% - Accent2 4 3 2 2 2" xfId="15976" xr:uid="{00000000-0005-0000-0000-0000C0090000}"/>
    <cellStyle name="40% - Accent2 4 3 2 3" xfId="11758" xr:uid="{00000000-0005-0000-0000-0000C1090000}"/>
    <cellStyle name="40% - Accent2 4 3 3" xfId="5395" xr:uid="{00000000-0005-0000-0000-0000C2090000}"/>
    <cellStyle name="40% - Accent2 4 3 3 2" xfId="13831" xr:uid="{00000000-0005-0000-0000-0000C3090000}"/>
    <cellStyle name="40% - Accent2 4 3 4" xfId="9613" xr:uid="{00000000-0005-0000-0000-0000C4090000}"/>
    <cellStyle name="40% - Accent2 4 4" xfId="1500" xr:uid="{00000000-0005-0000-0000-0000C5090000}"/>
    <cellStyle name="40% - Accent2 4 4 2" xfId="3730" xr:uid="{00000000-0005-0000-0000-0000C6090000}"/>
    <cellStyle name="40% - Accent2 4 4 2 2" xfId="7953" xr:uid="{00000000-0005-0000-0000-0000C7090000}"/>
    <cellStyle name="40% - Accent2 4 4 2 2 2" xfId="16389" xr:uid="{00000000-0005-0000-0000-0000C8090000}"/>
    <cellStyle name="40% - Accent2 4 4 2 3" xfId="12171" xr:uid="{00000000-0005-0000-0000-0000C9090000}"/>
    <cellStyle name="40% - Accent2 4 4 3" xfId="5808" xr:uid="{00000000-0005-0000-0000-0000CA090000}"/>
    <cellStyle name="40% - Accent2 4 4 3 2" xfId="14244" xr:uid="{00000000-0005-0000-0000-0000CB090000}"/>
    <cellStyle name="40% - Accent2 4 4 4" xfId="10026" xr:uid="{00000000-0005-0000-0000-0000CC090000}"/>
    <cellStyle name="40% - Accent2 4 5" xfId="1914" xr:uid="{00000000-0005-0000-0000-0000CD090000}"/>
    <cellStyle name="40% - Accent2 4 5 2" xfId="4143" xr:uid="{00000000-0005-0000-0000-0000CE090000}"/>
    <cellStyle name="40% - Accent2 4 5 2 2" xfId="8366" xr:uid="{00000000-0005-0000-0000-0000CF090000}"/>
    <cellStyle name="40% - Accent2 4 5 2 2 2" xfId="16802" xr:uid="{00000000-0005-0000-0000-0000D0090000}"/>
    <cellStyle name="40% - Accent2 4 5 2 3" xfId="12584" xr:uid="{00000000-0005-0000-0000-0000D1090000}"/>
    <cellStyle name="40% - Accent2 4 5 3" xfId="6221" xr:uid="{00000000-0005-0000-0000-0000D2090000}"/>
    <cellStyle name="40% - Accent2 4 5 3 2" xfId="14657" xr:uid="{00000000-0005-0000-0000-0000D3090000}"/>
    <cellStyle name="40% - Accent2 4 5 4" xfId="10439" xr:uid="{00000000-0005-0000-0000-0000D4090000}"/>
    <cellStyle name="40% - Accent2 4 6" xfId="2327" xr:uid="{00000000-0005-0000-0000-0000D5090000}"/>
    <cellStyle name="40% - Accent2 4 6 2" xfId="6634" xr:uid="{00000000-0005-0000-0000-0000D6090000}"/>
    <cellStyle name="40% - Accent2 4 6 2 2" xfId="15070" xr:uid="{00000000-0005-0000-0000-0000D7090000}"/>
    <cellStyle name="40% - Accent2 4 6 3" xfId="10852" xr:uid="{00000000-0005-0000-0000-0000D8090000}"/>
    <cellStyle name="40% - Accent2 4 7" xfId="4568" xr:uid="{00000000-0005-0000-0000-0000D9090000}"/>
    <cellStyle name="40% - Accent2 4 7 2" xfId="13004" xr:uid="{00000000-0005-0000-0000-0000DA090000}"/>
    <cellStyle name="40% - Accent2 4 8" xfId="8786" xr:uid="{00000000-0005-0000-0000-0000DB090000}"/>
    <cellStyle name="40% - Accent2 5" xfId="626" xr:uid="{00000000-0005-0000-0000-0000DC090000}"/>
    <cellStyle name="40% - Accent2 5 2" xfId="2897" xr:uid="{00000000-0005-0000-0000-0000DD090000}"/>
    <cellStyle name="40% - Accent2 5 2 2" xfId="7120" xr:uid="{00000000-0005-0000-0000-0000DE090000}"/>
    <cellStyle name="40% - Accent2 5 2 2 2" xfId="15556" xr:uid="{00000000-0005-0000-0000-0000DF090000}"/>
    <cellStyle name="40% - Accent2 5 2 3" xfId="11338" xr:uid="{00000000-0005-0000-0000-0000E0090000}"/>
    <cellStyle name="40% - Accent2 5 3" xfId="4975" xr:uid="{00000000-0005-0000-0000-0000E1090000}"/>
    <cellStyle name="40% - Accent2 5 3 2" xfId="13411" xr:uid="{00000000-0005-0000-0000-0000E2090000}"/>
    <cellStyle name="40% - Accent2 5 4" xfId="9193" xr:uid="{00000000-0005-0000-0000-0000E3090000}"/>
    <cellStyle name="40% - Accent2 6" xfId="1079" xr:uid="{00000000-0005-0000-0000-0000E4090000}"/>
    <cellStyle name="40% - Accent2 6 2" xfId="3310" xr:uid="{00000000-0005-0000-0000-0000E5090000}"/>
    <cellStyle name="40% - Accent2 6 2 2" xfId="7533" xr:uid="{00000000-0005-0000-0000-0000E6090000}"/>
    <cellStyle name="40% - Accent2 6 2 2 2" xfId="15969" xr:uid="{00000000-0005-0000-0000-0000E7090000}"/>
    <cellStyle name="40% - Accent2 6 2 3" xfId="11751" xr:uid="{00000000-0005-0000-0000-0000E8090000}"/>
    <cellStyle name="40% - Accent2 6 3" xfId="5388" xr:uid="{00000000-0005-0000-0000-0000E9090000}"/>
    <cellStyle name="40% - Accent2 6 3 2" xfId="13824" xr:uid="{00000000-0005-0000-0000-0000EA090000}"/>
    <cellStyle name="40% - Accent2 6 4" xfId="9606" xr:uid="{00000000-0005-0000-0000-0000EB090000}"/>
    <cellStyle name="40% - Accent2 7" xfId="1493" xr:uid="{00000000-0005-0000-0000-0000EC090000}"/>
    <cellStyle name="40% - Accent2 7 2" xfId="3723" xr:uid="{00000000-0005-0000-0000-0000ED090000}"/>
    <cellStyle name="40% - Accent2 7 2 2" xfId="7946" xr:uid="{00000000-0005-0000-0000-0000EE090000}"/>
    <cellStyle name="40% - Accent2 7 2 2 2" xfId="16382" xr:uid="{00000000-0005-0000-0000-0000EF090000}"/>
    <cellStyle name="40% - Accent2 7 2 3" xfId="12164" xr:uid="{00000000-0005-0000-0000-0000F0090000}"/>
    <cellStyle name="40% - Accent2 7 3" xfId="5801" xr:uid="{00000000-0005-0000-0000-0000F1090000}"/>
    <cellStyle name="40% - Accent2 7 3 2" xfId="14237" xr:uid="{00000000-0005-0000-0000-0000F2090000}"/>
    <cellStyle name="40% - Accent2 7 4" xfId="10019" xr:uid="{00000000-0005-0000-0000-0000F3090000}"/>
    <cellStyle name="40% - Accent2 8" xfId="1907" xr:uid="{00000000-0005-0000-0000-0000F4090000}"/>
    <cellStyle name="40% - Accent2 8 2" xfId="4136" xr:uid="{00000000-0005-0000-0000-0000F5090000}"/>
    <cellStyle name="40% - Accent2 8 2 2" xfId="8359" xr:uid="{00000000-0005-0000-0000-0000F6090000}"/>
    <cellStyle name="40% - Accent2 8 2 2 2" xfId="16795" xr:uid="{00000000-0005-0000-0000-0000F7090000}"/>
    <cellStyle name="40% - Accent2 8 2 3" xfId="12577" xr:uid="{00000000-0005-0000-0000-0000F8090000}"/>
    <cellStyle name="40% - Accent2 8 3" xfId="6214" xr:uid="{00000000-0005-0000-0000-0000F9090000}"/>
    <cellStyle name="40% - Accent2 8 3 2" xfId="14650" xr:uid="{00000000-0005-0000-0000-0000FA090000}"/>
    <cellStyle name="40% - Accent2 8 4" xfId="10432" xr:uid="{00000000-0005-0000-0000-0000FB090000}"/>
    <cellStyle name="40% - Accent2 9" xfId="2320" xr:uid="{00000000-0005-0000-0000-0000FC090000}"/>
    <cellStyle name="40% - Accent2 9 2" xfId="6627" xr:uid="{00000000-0005-0000-0000-0000FD090000}"/>
    <cellStyle name="40% - Accent2 9 2 2" xfId="15063" xr:uid="{00000000-0005-0000-0000-0000FE090000}"/>
    <cellStyle name="40% - Accent2 9 3" xfId="10845" xr:uid="{00000000-0005-0000-0000-0000FF090000}"/>
    <cellStyle name="40% - Accent3" xfId="65" builtinId="39" customBuiltin="1"/>
    <cellStyle name="40% - Accent3 10" xfId="4569" xr:uid="{00000000-0005-0000-0000-0000010A0000}"/>
    <cellStyle name="40% - Accent3 10 2" xfId="13005" xr:uid="{00000000-0005-0000-0000-0000020A0000}"/>
    <cellStyle name="40% - Accent3 11" xfId="8787" xr:uid="{00000000-0005-0000-0000-0000030A0000}"/>
    <cellStyle name="40% - Accent3 2" xfId="66" xr:uid="{00000000-0005-0000-0000-0000040A0000}"/>
    <cellStyle name="40% - Accent3 2 10" xfId="8788" xr:uid="{00000000-0005-0000-0000-0000050A0000}"/>
    <cellStyle name="40% - Accent3 2 2" xfId="67" xr:uid="{00000000-0005-0000-0000-0000060A0000}"/>
    <cellStyle name="40% - Accent3 2 2 2" xfId="68" xr:uid="{00000000-0005-0000-0000-0000070A0000}"/>
    <cellStyle name="40% - Accent3 2 2 2 2" xfId="637" xr:uid="{00000000-0005-0000-0000-0000080A0000}"/>
    <cellStyle name="40% - Accent3 2 2 2 2 2" xfId="2908" xr:uid="{00000000-0005-0000-0000-0000090A0000}"/>
    <cellStyle name="40% - Accent3 2 2 2 2 2 2" xfId="7131" xr:uid="{00000000-0005-0000-0000-00000A0A0000}"/>
    <cellStyle name="40% - Accent3 2 2 2 2 2 2 2" xfId="15567" xr:uid="{00000000-0005-0000-0000-00000B0A0000}"/>
    <cellStyle name="40% - Accent3 2 2 2 2 2 3" xfId="11349" xr:uid="{00000000-0005-0000-0000-00000C0A0000}"/>
    <cellStyle name="40% - Accent3 2 2 2 2 3" xfId="4986" xr:uid="{00000000-0005-0000-0000-00000D0A0000}"/>
    <cellStyle name="40% - Accent3 2 2 2 2 3 2" xfId="13422" xr:uid="{00000000-0005-0000-0000-00000E0A0000}"/>
    <cellStyle name="40% - Accent3 2 2 2 2 4" xfId="9204" xr:uid="{00000000-0005-0000-0000-00000F0A0000}"/>
    <cellStyle name="40% - Accent3 2 2 2 3" xfId="1090" xr:uid="{00000000-0005-0000-0000-0000100A0000}"/>
    <cellStyle name="40% - Accent3 2 2 2 3 2" xfId="3321" xr:uid="{00000000-0005-0000-0000-0000110A0000}"/>
    <cellStyle name="40% - Accent3 2 2 2 3 2 2" xfId="7544" xr:uid="{00000000-0005-0000-0000-0000120A0000}"/>
    <cellStyle name="40% - Accent3 2 2 2 3 2 2 2" xfId="15980" xr:uid="{00000000-0005-0000-0000-0000130A0000}"/>
    <cellStyle name="40% - Accent3 2 2 2 3 2 3" xfId="11762" xr:uid="{00000000-0005-0000-0000-0000140A0000}"/>
    <cellStyle name="40% - Accent3 2 2 2 3 3" xfId="5399" xr:uid="{00000000-0005-0000-0000-0000150A0000}"/>
    <cellStyle name="40% - Accent3 2 2 2 3 3 2" xfId="13835" xr:uid="{00000000-0005-0000-0000-0000160A0000}"/>
    <cellStyle name="40% - Accent3 2 2 2 3 4" xfId="9617" xr:uid="{00000000-0005-0000-0000-0000170A0000}"/>
    <cellStyle name="40% - Accent3 2 2 2 4" xfId="1504" xr:uid="{00000000-0005-0000-0000-0000180A0000}"/>
    <cellStyle name="40% - Accent3 2 2 2 4 2" xfId="3734" xr:uid="{00000000-0005-0000-0000-0000190A0000}"/>
    <cellStyle name="40% - Accent3 2 2 2 4 2 2" xfId="7957" xr:uid="{00000000-0005-0000-0000-00001A0A0000}"/>
    <cellStyle name="40% - Accent3 2 2 2 4 2 2 2" xfId="16393" xr:uid="{00000000-0005-0000-0000-00001B0A0000}"/>
    <cellStyle name="40% - Accent3 2 2 2 4 2 3" xfId="12175" xr:uid="{00000000-0005-0000-0000-00001C0A0000}"/>
    <cellStyle name="40% - Accent3 2 2 2 4 3" xfId="5812" xr:uid="{00000000-0005-0000-0000-00001D0A0000}"/>
    <cellStyle name="40% - Accent3 2 2 2 4 3 2" xfId="14248" xr:uid="{00000000-0005-0000-0000-00001E0A0000}"/>
    <cellStyle name="40% - Accent3 2 2 2 4 4" xfId="10030" xr:uid="{00000000-0005-0000-0000-00001F0A0000}"/>
    <cellStyle name="40% - Accent3 2 2 2 5" xfId="1918" xr:uid="{00000000-0005-0000-0000-0000200A0000}"/>
    <cellStyle name="40% - Accent3 2 2 2 5 2" xfId="4147" xr:uid="{00000000-0005-0000-0000-0000210A0000}"/>
    <cellStyle name="40% - Accent3 2 2 2 5 2 2" xfId="8370" xr:uid="{00000000-0005-0000-0000-0000220A0000}"/>
    <cellStyle name="40% - Accent3 2 2 2 5 2 2 2" xfId="16806" xr:uid="{00000000-0005-0000-0000-0000230A0000}"/>
    <cellStyle name="40% - Accent3 2 2 2 5 2 3" xfId="12588" xr:uid="{00000000-0005-0000-0000-0000240A0000}"/>
    <cellStyle name="40% - Accent3 2 2 2 5 3" xfId="6225" xr:uid="{00000000-0005-0000-0000-0000250A0000}"/>
    <cellStyle name="40% - Accent3 2 2 2 5 3 2" xfId="14661" xr:uid="{00000000-0005-0000-0000-0000260A0000}"/>
    <cellStyle name="40% - Accent3 2 2 2 5 4" xfId="10443" xr:uid="{00000000-0005-0000-0000-0000270A0000}"/>
    <cellStyle name="40% - Accent3 2 2 2 6" xfId="2331" xr:uid="{00000000-0005-0000-0000-0000280A0000}"/>
    <cellStyle name="40% - Accent3 2 2 2 6 2" xfId="6638" xr:uid="{00000000-0005-0000-0000-0000290A0000}"/>
    <cellStyle name="40% - Accent3 2 2 2 6 2 2" xfId="15074" xr:uid="{00000000-0005-0000-0000-00002A0A0000}"/>
    <cellStyle name="40% - Accent3 2 2 2 6 3" xfId="10856" xr:uid="{00000000-0005-0000-0000-00002B0A0000}"/>
    <cellStyle name="40% - Accent3 2 2 2 7" xfId="4572" xr:uid="{00000000-0005-0000-0000-00002C0A0000}"/>
    <cellStyle name="40% - Accent3 2 2 2 7 2" xfId="13008" xr:uid="{00000000-0005-0000-0000-00002D0A0000}"/>
    <cellStyle name="40% - Accent3 2 2 2 8" xfId="8790" xr:uid="{00000000-0005-0000-0000-00002E0A0000}"/>
    <cellStyle name="40% - Accent3 2 2 3" xfId="636" xr:uid="{00000000-0005-0000-0000-00002F0A0000}"/>
    <cellStyle name="40% - Accent3 2 2 3 2" xfId="2907" xr:uid="{00000000-0005-0000-0000-0000300A0000}"/>
    <cellStyle name="40% - Accent3 2 2 3 2 2" xfId="7130" xr:uid="{00000000-0005-0000-0000-0000310A0000}"/>
    <cellStyle name="40% - Accent3 2 2 3 2 2 2" xfId="15566" xr:uid="{00000000-0005-0000-0000-0000320A0000}"/>
    <cellStyle name="40% - Accent3 2 2 3 2 3" xfId="11348" xr:uid="{00000000-0005-0000-0000-0000330A0000}"/>
    <cellStyle name="40% - Accent3 2 2 3 3" xfId="4985" xr:uid="{00000000-0005-0000-0000-0000340A0000}"/>
    <cellStyle name="40% - Accent3 2 2 3 3 2" xfId="13421" xr:uid="{00000000-0005-0000-0000-0000350A0000}"/>
    <cellStyle name="40% - Accent3 2 2 3 4" xfId="9203" xr:uid="{00000000-0005-0000-0000-0000360A0000}"/>
    <cellStyle name="40% - Accent3 2 2 4" xfId="1089" xr:uid="{00000000-0005-0000-0000-0000370A0000}"/>
    <cellStyle name="40% - Accent3 2 2 4 2" xfId="3320" xr:uid="{00000000-0005-0000-0000-0000380A0000}"/>
    <cellStyle name="40% - Accent3 2 2 4 2 2" xfId="7543" xr:uid="{00000000-0005-0000-0000-0000390A0000}"/>
    <cellStyle name="40% - Accent3 2 2 4 2 2 2" xfId="15979" xr:uid="{00000000-0005-0000-0000-00003A0A0000}"/>
    <cellStyle name="40% - Accent3 2 2 4 2 3" xfId="11761" xr:uid="{00000000-0005-0000-0000-00003B0A0000}"/>
    <cellStyle name="40% - Accent3 2 2 4 3" xfId="5398" xr:uid="{00000000-0005-0000-0000-00003C0A0000}"/>
    <cellStyle name="40% - Accent3 2 2 4 3 2" xfId="13834" xr:uid="{00000000-0005-0000-0000-00003D0A0000}"/>
    <cellStyle name="40% - Accent3 2 2 4 4" xfId="9616" xr:uid="{00000000-0005-0000-0000-00003E0A0000}"/>
    <cellStyle name="40% - Accent3 2 2 5" xfId="1503" xr:uid="{00000000-0005-0000-0000-00003F0A0000}"/>
    <cellStyle name="40% - Accent3 2 2 5 2" xfId="3733" xr:uid="{00000000-0005-0000-0000-0000400A0000}"/>
    <cellStyle name="40% - Accent3 2 2 5 2 2" xfId="7956" xr:uid="{00000000-0005-0000-0000-0000410A0000}"/>
    <cellStyle name="40% - Accent3 2 2 5 2 2 2" xfId="16392" xr:uid="{00000000-0005-0000-0000-0000420A0000}"/>
    <cellStyle name="40% - Accent3 2 2 5 2 3" xfId="12174" xr:uid="{00000000-0005-0000-0000-0000430A0000}"/>
    <cellStyle name="40% - Accent3 2 2 5 3" xfId="5811" xr:uid="{00000000-0005-0000-0000-0000440A0000}"/>
    <cellStyle name="40% - Accent3 2 2 5 3 2" xfId="14247" xr:uid="{00000000-0005-0000-0000-0000450A0000}"/>
    <cellStyle name="40% - Accent3 2 2 5 4" xfId="10029" xr:uid="{00000000-0005-0000-0000-0000460A0000}"/>
    <cellStyle name="40% - Accent3 2 2 6" xfId="1917" xr:uid="{00000000-0005-0000-0000-0000470A0000}"/>
    <cellStyle name="40% - Accent3 2 2 6 2" xfId="4146" xr:uid="{00000000-0005-0000-0000-0000480A0000}"/>
    <cellStyle name="40% - Accent3 2 2 6 2 2" xfId="8369" xr:uid="{00000000-0005-0000-0000-0000490A0000}"/>
    <cellStyle name="40% - Accent3 2 2 6 2 2 2" xfId="16805" xr:uid="{00000000-0005-0000-0000-00004A0A0000}"/>
    <cellStyle name="40% - Accent3 2 2 6 2 3" xfId="12587" xr:uid="{00000000-0005-0000-0000-00004B0A0000}"/>
    <cellStyle name="40% - Accent3 2 2 6 3" xfId="6224" xr:uid="{00000000-0005-0000-0000-00004C0A0000}"/>
    <cellStyle name="40% - Accent3 2 2 6 3 2" xfId="14660" xr:uid="{00000000-0005-0000-0000-00004D0A0000}"/>
    <cellStyle name="40% - Accent3 2 2 6 4" xfId="10442" xr:uid="{00000000-0005-0000-0000-00004E0A0000}"/>
    <cellStyle name="40% - Accent3 2 2 7" xfId="2330" xr:uid="{00000000-0005-0000-0000-00004F0A0000}"/>
    <cellStyle name="40% - Accent3 2 2 7 2" xfId="6637" xr:uid="{00000000-0005-0000-0000-0000500A0000}"/>
    <cellStyle name="40% - Accent3 2 2 7 2 2" xfId="15073" xr:uid="{00000000-0005-0000-0000-0000510A0000}"/>
    <cellStyle name="40% - Accent3 2 2 7 3" xfId="10855" xr:uid="{00000000-0005-0000-0000-0000520A0000}"/>
    <cellStyle name="40% - Accent3 2 2 8" xfId="4571" xr:uid="{00000000-0005-0000-0000-0000530A0000}"/>
    <cellStyle name="40% - Accent3 2 2 8 2" xfId="13007" xr:uid="{00000000-0005-0000-0000-0000540A0000}"/>
    <cellStyle name="40% - Accent3 2 2 9" xfId="8789" xr:uid="{00000000-0005-0000-0000-0000550A0000}"/>
    <cellStyle name="40% - Accent3 2 3" xfId="69" xr:uid="{00000000-0005-0000-0000-0000560A0000}"/>
    <cellStyle name="40% - Accent3 2 3 2" xfId="638" xr:uid="{00000000-0005-0000-0000-0000570A0000}"/>
    <cellStyle name="40% - Accent3 2 3 2 2" xfId="2909" xr:uid="{00000000-0005-0000-0000-0000580A0000}"/>
    <cellStyle name="40% - Accent3 2 3 2 2 2" xfId="7132" xr:uid="{00000000-0005-0000-0000-0000590A0000}"/>
    <cellStyle name="40% - Accent3 2 3 2 2 2 2" xfId="15568" xr:uid="{00000000-0005-0000-0000-00005A0A0000}"/>
    <cellStyle name="40% - Accent3 2 3 2 2 3" xfId="11350" xr:uid="{00000000-0005-0000-0000-00005B0A0000}"/>
    <cellStyle name="40% - Accent3 2 3 2 3" xfId="4987" xr:uid="{00000000-0005-0000-0000-00005C0A0000}"/>
    <cellStyle name="40% - Accent3 2 3 2 3 2" xfId="13423" xr:uid="{00000000-0005-0000-0000-00005D0A0000}"/>
    <cellStyle name="40% - Accent3 2 3 2 4" xfId="9205" xr:uid="{00000000-0005-0000-0000-00005E0A0000}"/>
    <cellStyle name="40% - Accent3 2 3 3" xfId="1091" xr:uid="{00000000-0005-0000-0000-00005F0A0000}"/>
    <cellStyle name="40% - Accent3 2 3 3 2" xfId="3322" xr:uid="{00000000-0005-0000-0000-0000600A0000}"/>
    <cellStyle name="40% - Accent3 2 3 3 2 2" xfId="7545" xr:uid="{00000000-0005-0000-0000-0000610A0000}"/>
    <cellStyle name="40% - Accent3 2 3 3 2 2 2" xfId="15981" xr:uid="{00000000-0005-0000-0000-0000620A0000}"/>
    <cellStyle name="40% - Accent3 2 3 3 2 3" xfId="11763" xr:uid="{00000000-0005-0000-0000-0000630A0000}"/>
    <cellStyle name="40% - Accent3 2 3 3 3" xfId="5400" xr:uid="{00000000-0005-0000-0000-0000640A0000}"/>
    <cellStyle name="40% - Accent3 2 3 3 3 2" xfId="13836" xr:uid="{00000000-0005-0000-0000-0000650A0000}"/>
    <cellStyle name="40% - Accent3 2 3 3 4" xfId="9618" xr:uid="{00000000-0005-0000-0000-0000660A0000}"/>
    <cellStyle name="40% - Accent3 2 3 4" xfId="1505" xr:uid="{00000000-0005-0000-0000-0000670A0000}"/>
    <cellStyle name="40% - Accent3 2 3 4 2" xfId="3735" xr:uid="{00000000-0005-0000-0000-0000680A0000}"/>
    <cellStyle name="40% - Accent3 2 3 4 2 2" xfId="7958" xr:uid="{00000000-0005-0000-0000-0000690A0000}"/>
    <cellStyle name="40% - Accent3 2 3 4 2 2 2" xfId="16394" xr:uid="{00000000-0005-0000-0000-00006A0A0000}"/>
    <cellStyle name="40% - Accent3 2 3 4 2 3" xfId="12176" xr:uid="{00000000-0005-0000-0000-00006B0A0000}"/>
    <cellStyle name="40% - Accent3 2 3 4 3" xfId="5813" xr:uid="{00000000-0005-0000-0000-00006C0A0000}"/>
    <cellStyle name="40% - Accent3 2 3 4 3 2" xfId="14249" xr:uid="{00000000-0005-0000-0000-00006D0A0000}"/>
    <cellStyle name="40% - Accent3 2 3 4 4" xfId="10031" xr:uid="{00000000-0005-0000-0000-00006E0A0000}"/>
    <cellStyle name="40% - Accent3 2 3 5" xfId="1919" xr:uid="{00000000-0005-0000-0000-00006F0A0000}"/>
    <cellStyle name="40% - Accent3 2 3 5 2" xfId="4148" xr:uid="{00000000-0005-0000-0000-0000700A0000}"/>
    <cellStyle name="40% - Accent3 2 3 5 2 2" xfId="8371" xr:uid="{00000000-0005-0000-0000-0000710A0000}"/>
    <cellStyle name="40% - Accent3 2 3 5 2 2 2" xfId="16807" xr:uid="{00000000-0005-0000-0000-0000720A0000}"/>
    <cellStyle name="40% - Accent3 2 3 5 2 3" xfId="12589" xr:uid="{00000000-0005-0000-0000-0000730A0000}"/>
    <cellStyle name="40% - Accent3 2 3 5 3" xfId="6226" xr:uid="{00000000-0005-0000-0000-0000740A0000}"/>
    <cellStyle name="40% - Accent3 2 3 5 3 2" xfId="14662" xr:uid="{00000000-0005-0000-0000-0000750A0000}"/>
    <cellStyle name="40% - Accent3 2 3 5 4" xfId="10444" xr:uid="{00000000-0005-0000-0000-0000760A0000}"/>
    <cellStyle name="40% - Accent3 2 3 6" xfId="2332" xr:uid="{00000000-0005-0000-0000-0000770A0000}"/>
    <cellStyle name="40% - Accent3 2 3 6 2" xfId="6639" xr:uid="{00000000-0005-0000-0000-0000780A0000}"/>
    <cellStyle name="40% - Accent3 2 3 6 2 2" xfId="15075" xr:uid="{00000000-0005-0000-0000-0000790A0000}"/>
    <cellStyle name="40% - Accent3 2 3 6 3" xfId="10857" xr:uid="{00000000-0005-0000-0000-00007A0A0000}"/>
    <cellStyle name="40% - Accent3 2 3 7" xfId="4573" xr:uid="{00000000-0005-0000-0000-00007B0A0000}"/>
    <cellStyle name="40% - Accent3 2 3 7 2" xfId="13009" xr:uid="{00000000-0005-0000-0000-00007C0A0000}"/>
    <cellStyle name="40% - Accent3 2 3 8" xfId="8791" xr:uid="{00000000-0005-0000-0000-00007D0A0000}"/>
    <cellStyle name="40% - Accent3 2 4" xfId="635" xr:uid="{00000000-0005-0000-0000-00007E0A0000}"/>
    <cellStyle name="40% - Accent3 2 4 2" xfId="2906" xr:uid="{00000000-0005-0000-0000-00007F0A0000}"/>
    <cellStyle name="40% - Accent3 2 4 2 2" xfId="7129" xr:uid="{00000000-0005-0000-0000-0000800A0000}"/>
    <cellStyle name="40% - Accent3 2 4 2 2 2" xfId="15565" xr:uid="{00000000-0005-0000-0000-0000810A0000}"/>
    <cellStyle name="40% - Accent3 2 4 2 3" xfId="11347" xr:uid="{00000000-0005-0000-0000-0000820A0000}"/>
    <cellStyle name="40% - Accent3 2 4 3" xfId="4984" xr:uid="{00000000-0005-0000-0000-0000830A0000}"/>
    <cellStyle name="40% - Accent3 2 4 3 2" xfId="13420" xr:uid="{00000000-0005-0000-0000-0000840A0000}"/>
    <cellStyle name="40% - Accent3 2 4 4" xfId="9202" xr:uid="{00000000-0005-0000-0000-0000850A0000}"/>
    <cellStyle name="40% - Accent3 2 5" xfId="1088" xr:uid="{00000000-0005-0000-0000-0000860A0000}"/>
    <cellStyle name="40% - Accent3 2 5 2" xfId="3319" xr:uid="{00000000-0005-0000-0000-0000870A0000}"/>
    <cellStyle name="40% - Accent3 2 5 2 2" xfId="7542" xr:uid="{00000000-0005-0000-0000-0000880A0000}"/>
    <cellStyle name="40% - Accent3 2 5 2 2 2" xfId="15978" xr:uid="{00000000-0005-0000-0000-0000890A0000}"/>
    <cellStyle name="40% - Accent3 2 5 2 3" xfId="11760" xr:uid="{00000000-0005-0000-0000-00008A0A0000}"/>
    <cellStyle name="40% - Accent3 2 5 3" xfId="5397" xr:uid="{00000000-0005-0000-0000-00008B0A0000}"/>
    <cellStyle name="40% - Accent3 2 5 3 2" xfId="13833" xr:uid="{00000000-0005-0000-0000-00008C0A0000}"/>
    <cellStyle name="40% - Accent3 2 5 4" xfId="9615" xr:uid="{00000000-0005-0000-0000-00008D0A0000}"/>
    <cellStyle name="40% - Accent3 2 6" xfId="1502" xr:uid="{00000000-0005-0000-0000-00008E0A0000}"/>
    <cellStyle name="40% - Accent3 2 6 2" xfId="3732" xr:uid="{00000000-0005-0000-0000-00008F0A0000}"/>
    <cellStyle name="40% - Accent3 2 6 2 2" xfId="7955" xr:uid="{00000000-0005-0000-0000-0000900A0000}"/>
    <cellStyle name="40% - Accent3 2 6 2 2 2" xfId="16391" xr:uid="{00000000-0005-0000-0000-0000910A0000}"/>
    <cellStyle name="40% - Accent3 2 6 2 3" xfId="12173" xr:uid="{00000000-0005-0000-0000-0000920A0000}"/>
    <cellStyle name="40% - Accent3 2 6 3" xfId="5810" xr:uid="{00000000-0005-0000-0000-0000930A0000}"/>
    <cellStyle name="40% - Accent3 2 6 3 2" xfId="14246" xr:uid="{00000000-0005-0000-0000-0000940A0000}"/>
    <cellStyle name="40% - Accent3 2 6 4" xfId="10028" xr:uid="{00000000-0005-0000-0000-0000950A0000}"/>
    <cellStyle name="40% - Accent3 2 7" xfId="1916" xr:uid="{00000000-0005-0000-0000-0000960A0000}"/>
    <cellStyle name="40% - Accent3 2 7 2" xfId="4145" xr:uid="{00000000-0005-0000-0000-0000970A0000}"/>
    <cellStyle name="40% - Accent3 2 7 2 2" xfId="8368" xr:uid="{00000000-0005-0000-0000-0000980A0000}"/>
    <cellStyle name="40% - Accent3 2 7 2 2 2" xfId="16804" xr:uid="{00000000-0005-0000-0000-0000990A0000}"/>
    <cellStyle name="40% - Accent3 2 7 2 3" xfId="12586" xr:uid="{00000000-0005-0000-0000-00009A0A0000}"/>
    <cellStyle name="40% - Accent3 2 7 3" xfId="6223" xr:uid="{00000000-0005-0000-0000-00009B0A0000}"/>
    <cellStyle name="40% - Accent3 2 7 3 2" xfId="14659" xr:uid="{00000000-0005-0000-0000-00009C0A0000}"/>
    <cellStyle name="40% - Accent3 2 7 4" xfId="10441" xr:uid="{00000000-0005-0000-0000-00009D0A0000}"/>
    <cellStyle name="40% - Accent3 2 8" xfId="2329" xr:uid="{00000000-0005-0000-0000-00009E0A0000}"/>
    <cellStyle name="40% - Accent3 2 8 2" xfId="6636" xr:uid="{00000000-0005-0000-0000-00009F0A0000}"/>
    <cellStyle name="40% - Accent3 2 8 2 2" xfId="15072" xr:uid="{00000000-0005-0000-0000-0000A00A0000}"/>
    <cellStyle name="40% - Accent3 2 8 3" xfId="10854" xr:uid="{00000000-0005-0000-0000-0000A10A0000}"/>
    <cellStyle name="40% - Accent3 2 9" xfId="4570" xr:uid="{00000000-0005-0000-0000-0000A20A0000}"/>
    <cellStyle name="40% - Accent3 2 9 2" xfId="13006" xr:uid="{00000000-0005-0000-0000-0000A30A0000}"/>
    <cellStyle name="40% - Accent3 3" xfId="70" xr:uid="{00000000-0005-0000-0000-0000A40A0000}"/>
    <cellStyle name="40% - Accent3 3 2" xfId="71" xr:uid="{00000000-0005-0000-0000-0000A50A0000}"/>
    <cellStyle name="40% - Accent3 3 2 2" xfId="640" xr:uid="{00000000-0005-0000-0000-0000A60A0000}"/>
    <cellStyle name="40% - Accent3 3 2 2 2" xfId="2911" xr:uid="{00000000-0005-0000-0000-0000A70A0000}"/>
    <cellStyle name="40% - Accent3 3 2 2 2 2" xfId="7134" xr:uid="{00000000-0005-0000-0000-0000A80A0000}"/>
    <cellStyle name="40% - Accent3 3 2 2 2 2 2" xfId="15570" xr:uid="{00000000-0005-0000-0000-0000A90A0000}"/>
    <cellStyle name="40% - Accent3 3 2 2 2 3" xfId="11352" xr:uid="{00000000-0005-0000-0000-0000AA0A0000}"/>
    <cellStyle name="40% - Accent3 3 2 2 3" xfId="4989" xr:uid="{00000000-0005-0000-0000-0000AB0A0000}"/>
    <cellStyle name="40% - Accent3 3 2 2 3 2" xfId="13425" xr:uid="{00000000-0005-0000-0000-0000AC0A0000}"/>
    <cellStyle name="40% - Accent3 3 2 2 4" xfId="9207" xr:uid="{00000000-0005-0000-0000-0000AD0A0000}"/>
    <cellStyle name="40% - Accent3 3 2 3" xfId="1093" xr:uid="{00000000-0005-0000-0000-0000AE0A0000}"/>
    <cellStyle name="40% - Accent3 3 2 3 2" xfId="3324" xr:uid="{00000000-0005-0000-0000-0000AF0A0000}"/>
    <cellStyle name="40% - Accent3 3 2 3 2 2" xfId="7547" xr:uid="{00000000-0005-0000-0000-0000B00A0000}"/>
    <cellStyle name="40% - Accent3 3 2 3 2 2 2" xfId="15983" xr:uid="{00000000-0005-0000-0000-0000B10A0000}"/>
    <cellStyle name="40% - Accent3 3 2 3 2 3" xfId="11765" xr:uid="{00000000-0005-0000-0000-0000B20A0000}"/>
    <cellStyle name="40% - Accent3 3 2 3 3" xfId="5402" xr:uid="{00000000-0005-0000-0000-0000B30A0000}"/>
    <cellStyle name="40% - Accent3 3 2 3 3 2" xfId="13838" xr:uid="{00000000-0005-0000-0000-0000B40A0000}"/>
    <cellStyle name="40% - Accent3 3 2 3 4" xfId="9620" xr:uid="{00000000-0005-0000-0000-0000B50A0000}"/>
    <cellStyle name="40% - Accent3 3 2 4" xfId="1507" xr:uid="{00000000-0005-0000-0000-0000B60A0000}"/>
    <cellStyle name="40% - Accent3 3 2 4 2" xfId="3737" xr:uid="{00000000-0005-0000-0000-0000B70A0000}"/>
    <cellStyle name="40% - Accent3 3 2 4 2 2" xfId="7960" xr:uid="{00000000-0005-0000-0000-0000B80A0000}"/>
    <cellStyle name="40% - Accent3 3 2 4 2 2 2" xfId="16396" xr:uid="{00000000-0005-0000-0000-0000B90A0000}"/>
    <cellStyle name="40% - Accent3 3 2 4 2 3" xfId="12178" xr:uid="{00000000-0005-0000-0000-0000BA0A0000}"/>
    <cellStyle name="40% - Accent3 3 2 4 3" xfId="5815" xr:uid="{00000000-0005-0000-0000-0000BB0A0000}"/>
    <cellStyle name="40% - Accent3 3 2 4 3 2" xfId="14251" xr:uid="{00000000-0005-0000-0000-0000BC0A0000}"/>
    <cellStyle name="40% - Accent3 3 2 4 4" xfId="10033" xr:uid="{00000000-0005-0000-0000-0000BD0A0000}"/>
    <cellStyle name="40% - Accent3 3 2 5" xfId="1921" xr:uid="{00000000-0005-0000-0000-0000BE0A0000}"/>
    <cellStyle name="40% - Accent3 3 2 5 2" xfId="4150" xr:uid="{00000000-0005-0000-0000-0000BF0A0000}"/>
    <cellStyle name="40% - Accent3 3 2 5 2 2" xfId="8373" xr:uid="{00000000-0005-0000-0000-0000C00A0000}"/>
    <cellStyle name="40% - Accent3 3 2 5 2 2 2" xfId="16809" xr:uid="{00000000-0005-0000-0000-0000C10A0000}"/>
    <cellStyle name="40% - Accent3 3 2 5 2 3" xfId="12591" xr:uid="{00000000-0005-0000-0000-0000C20A0000}"/>
    <cellStyle name="40% - Accent3 3 2 5 3" xfId="6228" xr:uid="{00000000-0005-0000-0000-0000C30A0000}"/>
    <cellStyle name="40% - Accent3 3 2 5 3 2" xfId="14664" xr:uid="{00000000-0005-0000-0000-0000C40A0000}"/>
    <cellStyle name="40% - Accent3 3 2 5 4" xfId="10446" xr:uid="{00000000-0005-0000-0000-0000C50A0000}"/>
    <cellStyle name="40% - Accent3 3 2 6" xfId="2334" xr:uid="{00000000-0005-0000-0000-0000C60A0000}"/>
    <cellStyle name="40% - Accent3 3 2 6 2" xfId="6641" xr:uid="{00000000-0005-0000-0000-0000C70A0000}"/>
    <cellStyle name="40% - Accent3 3 2 6 2 2" xfId="15077" xr:uid="{00000000-0005-0000-0000-0000C80A0000}"/>
    <cellStyle name="40% - Accent3 3 2 6 3" xfId="10859" xr:uid="{00000000-0005-0000-0000-0000C90A0000}"/>
    <cellStyle name="40% - Accent3 3 2 7" xfId="4575" xr:uid="{00000000-0005-0000-0000-0000CA0A0000}"/>
    <cellStyle name="40% - Accent3 3 2 7 2" xfId="13011" xr:uid="{00000000-0005-0000-0000-0000CB0A0000}"/>
    <cellStyle name="40% - Accent3 3 2 8" xfId="8793" xr:uid="{00000000-0005-0000-0000-0000CC0A0000}"/>
    <cellStyle name="40% - Accent3 3 3" xfId="639" xr:uid="{00000000-0005-0000-0000-0000CD0A0000}"/>
    <cellStyle name="40% - Accent3 3 3 2" xfId="2910" xr:uid="{00000000-0005-0000-0000-0000CE0A0000}"/>
    <cellStyle name="40% - Accent3 3 3 2 2" xfId="7133" xr:uid="{00000000-0005-0000-0000-0000CF0A0000}"/>
    <cellStyle name="40% - Accent3 3 3 2 2 2" xfId="15569" xr:uid="{00000000-0005-0000-0000-0000D00A0000}"/>
    <cellStyle name="40% - Accent3 3 3 2 3" xfId="11351" xr:uid="{00000000-0005-0000-0000-0000D10A0000}"/>
    <cellStyle name="40% - Accent3 3 3 3" xfId="4988" xr:uid="{00000000-0005-0000-0000-0000D20A0000}"/>
    <cellStyle name="40% - Accent3 3 3 3 2" xfId="13424" xr:uid="{00000000-0005-0000-0000-0000D30A0000}"/>
    <cellStyle name="40% - Accent3 3 3 4" xfId="9206" xr:uid="{00000000-0005-0000-0000-0000D40A0000}"/>
    <cellStyle name="40% - Accent3 3 4" xfId="1092" xr:uid="{00000000-0005-0000-0000-0000D50A0000}"/>
    <cellStyle name="40% - Accent3 3 4 2" xfId="3323" xr:uid="{00000000-0005-0000-0000-0000D60A0000}"/>
    <cellStyle name="40% - Accent3 3 4 2 2" xfId="7546" xr:uid="{00000000-0005-0000-0000-0000D70A0000}"/>
    <cellStyle name="40% - Accent3 3 4 2 2 2" xfId="15982" xr:uid="{00000000-0005-0000-0000-0000D80A0000}"/>
    <cellStyle name="40% - Accent3 3 4 2 3" xfId="11764" xr:uid="{00000000-0005-0000-0000-0000D90A0000}"/>
    <cellStyle name="40% - Accent3 3 4 3" xfId="5401" xr:uid="{00000000-0005-0000-0000-0000DA0A0000}"/>
    <cellStyle name="40% - Accent3 3 4 3 2" xfId="13837" xr:uid="{00000000-0005-0000-0000-0000DB0A0000}"/>
    <cellStyle name="40% - Accent3 3 4 4" xfId="9619" xr:uid="{00000000-0005-0000-0000-0000DC0A0000}"/>
    <cellStyle name="40% - Accent3 3 5" xfId="1506" xr:uid="{00000000-0005-0000-0000-0000DD0A0000}"/>
    <cellStyle name="40% - Accent3 3 5 2" xfId="3736" xr:uid="{00000000-0005-0000-0000-0000DE0A0000}"/>
    <cellStyle name="40% - Accent3 3 5 2 2" xfId="7959" xr:uid="{00000000-0005-0000-0000-0000DF0A0000}"/>
    <cellStyle name="40% - Accent3 3 5 2 2 2" xfId="16395" xr:uid="{00000000-0005-0000-0000-0000E00A0000}"/>
    <cellStyle name="40% - Accent3 3 5 2 3" xfId="12177" xr:uid="{00000000-0005-0000-0000-0000E10A0000}"/>
    <cellStyle name="40% - Accent3 3 5 3" xfId="5814" xr:uid="{00000000-0005-0000-0000-0000E20A0000}"/>
    <cellStyle name="40% - Accent3 3 5 3 2" xfId="14250" xr:uid="{00000000-0005-0000-0000-0000E30A0000}"/>
    <cellStyle name="40% - Accent3 3 5 4" xfId="10032" xr:uid="{00000000-0005-0000-0000-0000E40A0000}"/>
    <cellStyle name="40% - Accent3 3 6" xfId="1920" xr:uid="{00000000-0005-0000-0000-0000E50A0000}"/>
    <cellStyle name="40% - Accent3 3 6 2" xfId="4149" xr:uid="{00000000-0005-0000-0000-0000E60A0000}"/>
    <cellStyle name="40% - Accent3 3 6 2 2" xfId="8372" xr:uid="{00000000-0005-0000-0000-0000E70A0000}"/>
    <cellStyle name="40% - Accent3 3 6 2 2 2" xfId="16808" xr:uid="{00000000-0005-0000-0000-0000E80A0000}"/>
    <cellStyle name="40% - Accent3 3 6 2 3" xfId="12590" xr:uid="{00000000-0005-0000-0000-0000E90A0000}"/>
    <cellStyle name="40% - Accent3 3 6 3" xfId="6227" xr:uid="{00000000-0005-0000-0000-0000EA0A0000}"/>
    <cellStyle name="40% - Accent3 3 6 3 2" xfId="14663" xr:uid="{00000000-0005-0000-0000-0000EB0A0000}"/>
    <cellStyle name="40% - Accent3 3 6 4" xfId="10445" xr:uid="{00000000-0005-0000-0000-0000EC0A0000}"/>
    <cellStyle name="40% - Accent3 3 7" xfId="2333" xr:uid="{00000000-0005-0000-0000-0000ED0A0000}"/>
    <cellStyle name="40% - Accent3 3 7 2" xfId="6640" xr:uid="{00000000-0005-0000-0000-0000EE0A0000}"/>
    <cellStyle name="40% - Accent3 3 7 2 2" xfId="15076" xr:uid="{00000000-0005-0000-0000-0000EF0A0000}"/>
    <cellStyle name="40% - Accent3 3 7 3" xfId="10858" xr:uid="{00000000-0005-0000-0000-0000F00A0000}"/>
    <cellStyle name="40% - Accent3 3 8" xfId="4574" xr:uid="{00000000-0005-0000-0000-0000F10A0000}"/>
    <cellStyle name="40% - Accent3 3 8 2" xfId="13010" xr:uid="{00000000-0005-0000-0000-0000F20A0000}"/>
    <cellStyle name="40% - Accent3 3 9" xfId="8792" xr:uid="{00000000-0005-0000-0000-0000F30A0000}"/>
    <cellStyle name="40% - Accent3 4" xfId="72" xr:uid="{00000000-0005-0000-0000-0000F40A0000}"/>
    <cellStyle name="40% - Accent3 4 2" xfId="641" xr:uid="{00000000-0005-0000-0000-0000F50A0000}"/>
    <cellStyle name="40% - Accent3 4 2 2" xfId="2912" xr:uid="{00000000-0005-0000-0000-0000F60A0000}"/>
    <cellStyle name="40% - Accent3 4 2 2 2" xfId="7135" xr:uid="{00000000-0005-0000-0000-0000F70A0000}"/>
    <cellStyle name="40% - Accent3 4 2 2 2 2" xfId="15571" xr:uid="{00000000-0005-0000-0000-0000F80A0000}"/>
    <cellStyle name="40% - Accent3 4 2 2 3" xfId="11353" xr:uid="{00000000-0005-0000-0000-0000F90A0000}"/>
    <cellStyle name="40% - Accent3 4 2 3" xfId="4990" xr:uid="{00000000-0005-0000-0000-0000FA0A0000}"/>
    <cellStyle name="40% - Accent3 4 2 3 2" xfId="13426" xr:uid="{00000000-0005-0000-0000-0000FB0A0000}"/>
    <cellStyle name="40% - Accent3 4 2 4" xfId="9208" xr:uid="{00000000-0005-0000-0000-0000FC0A0000}"/>
    <cellStyle name="40% - Accent3 4 3" xfId="1094" xr:uid="{00000000-0005-0000-0000-0000FD0A0000}"/>
    <cellStyle name="40% - Accent3 4 3 2" xfId="3325" xr:uid="{00000000-0005-0000-0000-0000FE0A0000}"/>
    <cellStyle name="40% - Accent3 4 3 2 2" xfId="7548" xr:uid="{00000000-0005-0000-0000-0000FF0A0000}"/>
    <cellStyle name="40% - Accent3 4 3 2 2 2" xfId="15984" xr:uid="{00000000-0005-0000-0000-0000000B0000}"/>
    <cellStyle name="40% - Accent3 4 3 2 3" xfId="11766" xr:uid="{00000000-0005-0000-0000-0000010B0000}"/>
    <cellStyle name="40% - Accent3 4 3 3" xfId="5403" xr:uid="{00000000-0005-0000-0000-0000020B0000}"/>
    <cellStyle name="40% - Accent3 4 3 3 2" xfId="13839" xr:uid="{00000000-0005-0000-0000-0000030B0000}"/>
    <cellStyle name="40% - Accent3 4 3 4" xfId="9621" xr:uid="{00000000-0005-0000-0000-0000040B0000}"/>
    <cellStyle name="40% - Accent3 4 4" xfId="1508" xr:uid="{00000000-0005-0000-0000-0000050B0000}"/>
    <cellStyle name="40% - Accent3 4 4 2" xfId="3738" xr:uid="{00000000-0005-0000-0000-0000060B0000}"/>
    <cellStyle name="40% - Accent3 4 4 2 2" xfId="7961" xr:uid="{00000000-0005-0000-0000-0000070B0000}"/>
    <cellStyle name="40% - Accent3 4 4 2 2 2" xfId="16397" xr:uid="{00000000-0005-0000-0000-0000080B0000}"/>
    <cellStyle name="40% - Accent3 4 4 2 3" xfId="12179" xr:uid="{00000000-0005-0000-0000-0000090B0000}"/>
    <cellStyle name="40% - Accent3 4 4 3" xfId="5816" xr:uid="{00000000-0005-0000-0000-00000A0B0000}"/>
    <cellStyle name="40% - Accent3 4 4 3 2" xfId="14252" xr:uid="{00000000-0005-0000-0000-00000B0B0000}"/>
    <cellStyle name="40% - Accent3 4 4 4" xfId="10034" xr:uid="{00000000-0005-0000-0000-00000C0B0000}"/>
    <cellStyle name="40% - Accent3 4 5" xfId="1922" xr:uid="{00000000-0005-0000-0000-00000D0B0000}"/>
    <cellStyle name="40% - Accent3 4 5 2" xfId="4151" xr:uid="{00000000-0005-0000-0000-00000E0B0000}"/>
    <cellStyle name="40% - Accent3 4 5 2 2" xfId="8374" xr:uid="{00000000-0005-0000-0000-00000F0B0000}"/>
    <cellStyle name="40% - Accent3 4 5 2 2 2" xfId="16810" xr:uid="{00000000-0005-0000-0000-0000100B0000}"/>
    <cellStyle name="40% - Accent3 4 5 2 3" xfId="12592" xr:uid="{00000000-0005-0000-0000-0000110B0000}"/>
    <cellStyle name="40% - Accent3 4 5 3" xfId="6229" xr:uid="{00000000-0005-0000-0000-0000120B0000}"/>
    <cellStyle name="40% - Accent3 4 5 3 2" xfId="14665" xr:uid="{00000000-0005-0000-0000-0000130B0000}"/>
    <cellStyle name="40% - Accent3 4 5 4" xfId="10447" xr:uid="{00000000-0005-0000-0000-0000140B0000}"/>
    <cellStyle name="40% - Accent3 4 6" xfId="2335" xr:uid="{00000000-0005-0000-0000-0000150B0000}"/>
    <cellStyle name="40% - Accent3 4 6 2" xfId="6642" xr:uid="{00000000-0005-0000-0000-0000160B0000}"/>
    <cellStyle name="40% - Accent3 4 6 2 2" xfId="15078" xr:uid="{00000000-0005-0000-0000-0000170B0000}"/>
    <cellStyle name="40% - Accent3 4 6 3" xfId="10860" xr:uid="{00000000-0005-0000-0000-0000180B0000}"/>
    <cellStyle name="40% - Accent3 4 7" xfId="4576" xr:uid="{00000000-0005-0000-0000-0000190B0000}"/>
    <cellStyle name="40% - Accent3 4 7 2" xfId="13012" xr:uid="{00000000-0005-0000-0000-00001A0B0000}"/>
    <cellStyle name="40% - Accent3 4 8" xfId="8794" xr:uid="{00000000-0005-0000-0000-00001B0B0000}"/>
    <cellStyle name="40% - Accent3 5" xfId="634" xr:uid="{00000000-0005-0000-0000-00001C0B0000}"/>
    <cellStyle name="40% - Accent3 5 2" xfId="2905" xr:uid="{00000000-0005-0000-0000-00001D0B0000}"/>
    <cellStyle name="40% - Accent3 5 2 2" xfId="7128" xr:uid="{00000000-0005-0000-0000-00001E0B0000}"/>
    <cellStyle name="40% - Accent3 5 2 2 2" xfId="15564" xr:uid="{00000000-0005-0000-0000-00001F0B0000}"/>
    <cellStyle name="40% - Accent3 5 2 3" xfId="11346" xr:uid="{00000000-0005-0000-0000-0000200B0000}"/>
    <cellStyle name="40% - Accent3 5 3" xfId="4983" xr:uid="{00000000-0005-0000-0000-0000210B0000}"/>
    <cellStyle name="40% - Accent3 5 3 2" xfId="13419" xr:uid="{00000000-0005-0000-0000-0000220B0000}"/>
    <cellStyle name="40% - Accent3 5 4" xfId="9201" xr:uid="{00000000-0005-0000-0000-0000230B0000}"/>
    <cellStyle name="40% - Accent3 6" xfId="1087" xr:uid="{00000000-0005-0000-0000-0000240B0000}"/>
    <cellStyle name="40% - Accent3 6 2" xfId="3318" xr:uid="{00000000-0005-0000-0000-0000250B0000}"/>
    <cellStyle name="40% - Accent3 6 2 2" xfId="7541" xr:uid="{00000000-0005-0000-0000-0000260B0000}"/>
    <cellStyle name="40% - Accent3 6 2 2 2" xfId="15977" xr:uid="{00000000-0005-0000-0000-0000270B0000}"/>
    <cellStyle name="40% - Accent3 6 2 3" xfId="11759" xr:uid="{00000000-0005-0000-0000-0000280B0000}"/>
    <cellStyle name="40% - Accent3 6 3" xfId="5396" xr:uid="{00000000-0005-0000-0000-0000290B0000}"/>
    <cellStyle name="40% - Accent3 6 3 2" xfId="13832" xr:uid="{00000000-0005-0000-0000-00002A0B0000}"/>
    <cellStyle name="40% - Accent3 6 4" xfId="9614" xr:uid="{00000000-0005-0000-0000-00002B0B0000}"/>
    <cellStyle name="40% - Accent3 7" xfId="1501" xr:uid="{00000000-0005-0000-0000-00002C0B0000}"/>
    <cellStyle name="40% - Accent3 7 2" xfId="3731" xr:uid="{00000000-0005-0000-0000-00002D0B0000}"/>
    <cellStyle name="40% - Accent3 7 2 2" xfId="7954" xr:uid="{00000000-0005-0000-0000-00002E0B0000}"/>
    <cellStyle name="40% - Accent3 7 2 2 2" xfId="16390" xr:uid="{00000000-0005-0000-0000-00002F0B0000}"/>
    <cellStyle name="40% - Accent3 7 2 3" xfId="12172" xr:uid="{00000000-0005-0000-0000-0000300B0000}"/>
    <cellStyle name="40% - Accent3 7 3" xfId="5809" xr:uid="{00000000-0005-0000-0000-0000310B0000}"/>
    <cellStyle name="40% - Accent3 7 3 2" xfId="14245" xr:uid="{00000000-0005-0000-0000-0000320B0000}"/>
    <cellStyle name="40% - Accent3 7 4" xfId="10027" xr:uid="{00000000-0005-0000-0000-0000330B0000}"/>
    <cellStyle name="40% - Accent3 8" xfId="1915" xr:uid="{00000000-0005-0000-0000-0000340B0000}"/>
    <cellStyle name="40% - Accent3 8 2" xfId="4144" xr:uid="{00000000-0005-0000-0000-0000350B0000}"/>
    <cellStyle name="40% - Accent3 8 2 2" xfId="8367" xr:uid="{00000000-0005-0000-0000-0000360B0000}"/>
    <cellStyle name="40% - Accent3 8 2 2 2" xfId="16803" xr:uid="{00000000-0005-0000-0000-0000370B0000}"/>
    <cellStyle name="40% - Accent3 8 2 3" xfId="12585" xr:uid="{00000000-0005-0000-0000-0000380B0000}"/>
    <cellStyle name="40% - Accent3 8 3" xfId="6222" xr:uid="{00000000-0005-0000-0000-0000390B0000}"/>
    <cellStyle name="40% - Accent3 8 3 2" xfId="14658" xr:uid="{00000000-0005-0000-0000-00003A0B0000}"/>
    <cellStyle name="40% - Accent3 8 4" xfId="10440" xr:uid="{00000000-0005-0000-0000-00003B0B0000}"/>
    <cellStyle name="40% - Accent3 9" xfId="2328" xr:uid="{00000000-0005-0000-0000-00003C0B0000}"/>
    <cellStyle name="40% - Accent3 9 2" xfId="6635" xr:uid="{00000000-0005-0000-0000-00003D0B0000}"/>
    <cellStyle name="40% - Accent3 9 2 2" xfId="15071" xr:uid="{00000000-0005-0000-0000-00003E0B0000}"/>
    <cellStyle name="40% - Accent3 9 3" xfId="10853" xr:uid="{00000000-0005-0000-0000-00003F0B0000}"/>
    <cellStyle name="40% - Accent4" xfId="73" builtinId="43" customBuiltin="1"/>
    <cellStyle name="40% - Accent4 10" xfId="4577" xr:uid="{00000000-0005-0000-0000-0000410B0000}"/>
    <cellStyle name="40% - Accent4 10 2" xfId="13013" xr:uid="{00000000-0005-0000-0000-0000420B0000}"/>
    <cellStyle name="40% - Accent4 11" xfId="8795" xr:uid="{00000000-0005-0000-0000-0000430B0000}"/>
    <cellStyle name="40% - Accent4 2" xfId="74" xr:uid="{00000000-0005-0000-0000-0000440B0000}"/>
    <cellStyle name="40% - Accent4 2 10" xfId="8796" xr:uid="{00000000-0005-0000-0000-0000450B0000}"/>
    <cellStyle name="40% - Accent4 2 2" xfId="75" xr:uid="{00000000-0005-0000-0000-0000460B0000}"/>
    <cellStyle name="40% - Accent4 2 2 2" xfId="76" xr:uid="{00000000-0005-0000-0000-0000470B0000}"/>
    <cellStyle name="40% - Accent4 2 2 2 2" xfId="645" xr:uid="{00000000-0005-0000-0000-0000480B0000}"/>
    <cellStyle name="40% - Accent4 2 2 2 2 2" xfId="2916" xr:uid="{00000000-0005-0000-0000-0000490B0000}"/>
    <cellStyle name="40% - Accent4 2 2 2 2 2 2" xfId="7139" xr:uid="{00000000-0005-0000-0000-00004A0B0000}"/>
    <cellStyle name="40% - Accent4 2 2 2 2 2 2 2" xfId="15575" xr:uid="{00000000-0005-0000-0000-00004B0B0000}"/>
    <cellStyle name="40% - Accent4 2 2 2 2 2 3" xfId="11357" xr:uid="{00000000-0005-0000-0000-00004C0B0000}"/>
    <cellStyle name="40% - Accent4 2 2 2 2 3" xfId="4994" xr:uid="{00000000-0005-0000-0000-00004D0B0000}"/>
    <cellStyle name="40% - Accent4 2 2 2 2 3 2" xfId="13430" xr:uid="{00000000-0005-0000-0000-00004E0B0000}"/>
    <cellStyle name="40% - Accent4 2 2 2 2 4" xfId="9212" xr:uid="{00000000-0005-0000-0000-00004F0B0000}"/>
    <cellStyle name="40% - Accent4 2 2 2 3" xfId="1098" xr:uid="{00000000-0005-0000-0000-0000500B0000}"/>
    <cellStyle name="40% - Accent4 2 2 2 3 2" xfId="3329" xr:uid="{00000000-0005-0000-0000-0000510B0000}"/>
    <cellStyle name="40% - Accent4 2 2 2 3 2 2" xfId="7552" xr:uid="{00000000-0005-0000-0000-0000520B0000}"/>
    <cellStyle name="40% - Accent4 2 2 2 3 2 2 2" xfId="15988" xr:uid="{00000000-0005-0000-0000-0000530B0000}"/>
    <cellStyle name="40% - Accent4 2 2 2 3 2 3" xfId="11770" xr:uid="{00000000-0005-0000-0000-0000540B0000}"/>
    <cellStyle name="40% - Accent4 2 2 2 3 3" xfId="5407" xr:uid="{00000000-0005-0000-0000-0000550B0000}"/>
    <cellStyle name="40% - Accent4 2 2 2 3 3 2" xfId="13843" xr:uid="{00000000-0005-0000-0000-0000560B0000}"/>
    <cellStyle name="40% - Accent4 2 2 2 3 4" xfId="9625" xr:uid="{00000000-0005-0000-0000-0000570B0000}"/>
    <cellStyle name="40% - Accent4 2 2 2 4" xfId="1512" xr:uid="{00000000-0005-0000-0000-0000580B0000}"/>
    <cellStyle name="40% - Accent4 2 2 2 4 2" xfId="3742" xr:uid="{00000000-0005-0000-0000-0000590B0000}"/>
    <cellStyle name="40% - Accent4 2 2 2 4 2 2" xfId="7965" xr:uid="{00000000-0005-0000-0000-00005A0B0000}"/>
    <cellStyle name="40% - Accent4 2 2 2 4 2 2 2" xfId="16401" xr:uid="{00000000-0005-0000-0000-00005B0B0000}"/>
    <cellStyle name="40% - Accent4 2 2 2 4 2 3" xfId="12183" xr:uid="{00000000-0005-0000-0000-00005C0B0000}"/>
    <cellStyle name="40% - Accent4 2 2 2 4 3" xfId="5820" xr:uid="{00000000-0005-0000-0000-00005D0B0000}"/>
    <cellStyle name="40% - Accent4 2 2 2 4 3 2" xfId="14256" xr:uid="{00000000-0005-0000-0000-00005E0B0000}"/>
    <cellStyle name="40% - Accent4 2 2 2 4 4" xfId="10038" xr:uid="{00000000-0005-0000-0000-00005F0B0000}"/>
    <cellStyle name="40% - Accent4 2 2 2 5" xfId="1926" xr:uid="{00000000-0005-0000-0000-0000600B0000}"/>
    <cellStyle name="40% - Accent4 2 2 2 5 2" xfId="4155" xr:uid="{00000000-0005-0000-0000-0000610B0000}"/>
    <cellStyle name="40% - Accent4 2 2 2 5 2 2" xfId="8378" xr:uid="{00000000-0005-0000-0000-0000620B0000}"/>
    <cellStyle name="40% - Accent4 2 2 2 5 2 2 2" xfId="16814" xr:uid="{00000000-0005-0000-0000-0000630B0000}"/>
    <cellStyle name="40% - Accent4 2 2 2 5 2 3" xfId="12596" xr:uid="{00000000-0005-0000-0000-0000640B0000}"/>
    <cellStyle name="40% - Accent4 2 2 2 5 3" xfId="6233" xr:uid="{00000000-0005-0000-0000-0000650B0000}"/>
    <cellStyle name="40% - Accent4 2 2 2 5 3 2" xfId="14669" xr:uid="{00000000-0005-0000-0000-0000660B0000}"/>
    <cellStyle name="40% - Accent4 2 2 2 5 4" xfId="10451" xr:uid="{00000000-0005-0000-0000-0000670B0000}"/>
    <cellStyle name="40% - Accent4 2 2 2 6" xfId="2339" xr:uid="{00000000-0005-0000-0000-0000680B0000}"/>
    <cellStyle name="40% - Accent4 2 2 2 6 2" xfId="6646" xr:uid="{00000000-0005-0000-0000-0000690B0000}"/>
    <cellStyle name="40% - Accent4 2 2 2 6 2 2" xfId="15082" xr:uid="{00000000-0005-0000-0000-00006A0B0000}"/>
    <cellStyle name="40% - Accent4 2 2 2 6 3" xfId="10864" xr:uid="{00000000-0005-0000-0000-00006B0B0000}"/>
    <cellStyle name="40% - Accent4 2 2 2 7" xfId="4580" xr:uid="{00000000-0005-0000-0000-00006C0B0000}"/>
    <cellStyle name="40% - Accent4 2 2 2 7 2" xfId="13016" xr:uid="{00000000-0005-0000-0000-00006D0B0000}"/>
    <cellStyle name="40% - Accent4 2 2 2 8" xfId="8798" xr:uid="{00000000-0005-0000-0000-00006E0B0000}"/>
    <cellStyle name="40% - Accent4 2 2 3" xfId="644" xr:uid="{00000000-0005-0000-0000-00006F0B0000}"/>
    <cellStyle name="40% - Accent4 2 2 3 2" xfId="2915" xr:uid="{00000000-0005-0000-0000-0000700B0000}"/>
    <cellStyle name="40% - Accent4 2 2 3 2 2" xfId="7138" xr:uid="{00000000-0005-0000-0000-0000710B0000}"/>
    <cellStyle name="40% - Accent4 2 2 3 2 2 2" xfId="15574" xr:uid="{00000000-0005-0000-0000-0000720B0000}"/>
    <cellStyle name="40% - Accent4 2 2 3 2 3" xfId="11356" xr:uid="{00000000-0005-0000-0000-0000730B0000}"/>
    <cellStyle name="40% - Accent4 2 2 3 3" xfId="4993" xr:uid="{00000000-0005-0000-0000-0000740B0000}"/>
    <cellStyle name="40% - Accent4 2 2 3 3 2" xfId="13429" xr:uid="{00000000-0005-0000-0000-0000750B0000}"/>
    <cellStyle name="40% - Accent4 2 2 3 4" xfId="9211" xr:uid="{00000000-0005-0000-0000-0000760B0000}"/>
    <cellStyle name="40% - Accent4 2 2 4" xfId="1097" xr:uid="{00000000-0005-0000-0000-0000770B0000}"/>
    <cellStyle name="40% - Accent4 2 2 4 2" xfId="3328" xr:uid="{00000000-0005-0000-0000-0000780B0000}"/>
    <cellStyle name="40% - Accent4 2 2 4 2 2" xfId="7551" xr:uid="{00000000-0005-0000-0000-0000790B0000}"/>
    <cellStyle name="40% - Accent4 2 2 4 2 2 2" xfId="15987" xr:uid="{00000000-0005-0000-0000-00007A0B0000}"/>
    <cellStyle name="40% - Accent4 2 2 4 2 3" xfId="11769" xr:uid="{00000000-0005-0000-0000-00007B0B0000}"/>
    <cellStyle name="40% - Accent4 2 2 4 3" xfId="5406" xr:uid="{00000000-0005-0000-0000-00007C0B0000}"/>
    <cellStyle name="40% - Accent4 2 2 4 3 2" xfId="13842" xr:uid="{00000000-0005-0000-0000-00007D0B0000}"/>
    <cellStyle name="40% - Accent4 2 2 4 4" xfId="9624" xr:uid="{00000000-0005-0000-0000-00007E0B0000}"/>
    <cellStyle name="40% - Accent4 2 2 5" xfId="1511" xr:uid="{00000000-0005-0000-0000-00007F0B0000}"/>
    <cellStyle name="40% - Accent4 2 2 5 2" xfId="3741" xr:uid="{00000000-0005-0000-0000-0000800B0000}"/>
    <cellStyle name="40% - Accent4 2 2 5 2 2" xfId="7964" xr:uid="{00000000-0005-0000-0000-0000810B0000}"/>
    <cellStyle name="40% - Accent4 2 2 5 2 2 2" xfId="16400" xr:uid="{00000000-0005-0000-0000-0000820B0000}"/>
    <cellStyle name="40% - Accent4 2 2 5 2 3" xfId="12182" xr:uid="{00000000-0005-0000-0000-0000830B0000}"/>
    <cellStyle name="40% - Accent4 2 2 5 3" xfId="5819" xr:uid="{00000000-0005-0000-0000-0000840B0000}"/>
    <cellStyle name="40% - Accent4 2 2 5 3 2" xfId="14255" xr:uid="{00000000-0005-0000-0000-0000850B0000}"/>
    <cellStyle name="40% - Accent4 2 2 5 4" xfId="10037" xr:uid="{00000000-0005-0000-0000-0000860B0000}"/>
    <cellStyle name="40% - Accent4 2 2 6" xfId="1925" xr:uid="{00000000-0005-0000-0000-0000870B0000}"/>
    <cellStyle name="40% - Accent4 2 2 6 2" xfId="4154" xr:uid="{00000000-0005-0000-0000-0000880B0000}"/>
    <cellStyle name="40% - Accent4 2 2 6 2 2" xfId="8377" xr:uid="{00000000-0005-0000-0000-0000890B0000}"/>
    <cellStyle name="40% - Accent4 2 2 6 2 2 2" xfId="16813" xr:uid="{00000000-0005-0000-0000-00008A0B0000}"/>
    <cellStyle name="40% - Accent4 2 2 6 2 3" xfId="12595" xr:uid="{00000000-0005-0000-0000-00008B0B0000}"/>
    <cellStyle name="40% - Accent4 2 2 6 3" xfId="6232" xr:uid="{00000000-0005-0000-0000-00008C0B0000}"/>
    <cellStyle name="40% - Accent4 2 2 6 3 2" xfId="14668" xr:uid="{00000000-0005-0000-0000-00008D0B0000}"/>
    <cellStyle name="40% - Accent4 2 2 6 4" xfId="10450" xr:uid="{00000000-0005-0000-0000-00008E0B0000}"/>
    <cellStyle name="40% - Accent4 2 2 7" xfId="2338" xr:uid="{00000000-0005-0000-0000-00008F0B0000}"/>
    <cellStyle name="40% - Accent4 2 2 7 2" xfId="6645" xr:uid="{00000000-0005-0000-0000-0000900B0000}"/>
    <cellStyle name="40% - Accent4 2 2 7 2 2" xfId="15081" xr:uid="{00000000-0005-0000-0000-0000910B0000}"/>
    <cellStyle name="40% - Accent4 2 2 7 3" xfId="10863" xr:uid="{00000000-0005-0000-0000-0000920B0000}"/>
    <cellStyle name="40% - Accent4 2 2 8" xfId="4579" xr:uid="{00000000-0005-0000-0000-0000930B0000}"/>
    <cellStyle name="40% - Accent4 2 2 8 2" xfId="13015" xr:uid="{00000000-0005-0000-0000-0000940B0000}"/>
    <cellStyle name="40% - Accent4 2 2 9" xfId="8797" xr:uid="{00000000-0005-0000-0000-0000950B0000}"/>
    <cellStyle name="40% - Accent4 2 3" xfId="77" xr:uid="{00000000-0005-0000-0000-0000960B0000}"/>
    <cellStyle name="40% - Accent4 2 3 2" xfId="646" xr:uid="{00000000-0005-0000-0000-0000970B0000}"/>
    <cellStyle name="40% - Accent4 2 3 2 2" xfId="2917" xr:uid="{00000000-0005-0000-0000-0000980B0000}"/>
    <cellStyle name="40% - Accent4 2 3 2 2 2" xfId="7140" xr:uid="{00000000-0005-0000-0000-0000990B0000}"/>
    <cellStyle name="40% - Accent4 2 3 2 2 2 2" xfId="15576" xr:uid="{00000000-0005-0000-0000-00009A0B0000}"/>
    <cellStyle name="40% - Accent4 2 3 2 2 3" xfId="11358" xr:uid="{00000000-0005-0000-0000-00009B0B0000}"/>
    <cellStyle name="40% - Accent4 2 3 2 3" xfId="4995" xr:uid="{00000000-0005-0000-0000-00009C0B0000}"/>
    <cellStyle name="40% - Accent4 2 3 2 3 2" xfId="13431" xr:uid="{00000000-0005-0000-0000-00009D0B0000}"/>
    <cellStyle name="40% - Accent4 2 3 2 4" xfId="9213" xr:uid="{00000000-0005-0000-0000-00009E0B0000}"/>
    <cellStyle name="40% - Accent4 2 3 3" xfId="1099" xr:uid="{00000000-0005-0000-0000-00009F0B0000}"/>
    <cellStyle name="40% - Accent4 2 3 3 2" xfId="3330" xr:uid="{00000000-0005-0000-0000-0000A00B0000}"/>
    <cellStyle name="40% - Accent4 2 3 3 2 2" xfId="7553" xr:uid="{00000000-0005-0000-0000-0000A10B0000}"/>
    <cellStyle name="40% - Accent4 2 3 3 2 2 2" xfId="15989" xr:uid="{00000000-0005-0000-0000-0000A20B0000}"/>
    <cellStyle name="40% - Accent4 2 3 3 2 3" xfId="11771" xr:uid="{00000000-0005-0000-0000-0000A30B0000}"/>
    <cellStyle name="40% - Accent4 2 3 3 3" xfId="5408" xr:uid="{00000000-0005-0000-0000-0000A40B0000}"/>
    <cellStyle name="40% - Accent4 2 3 3 3 2" xfId="13844" xr:uid="{00000000-0005-0000-0000-0000A50B0000}"/>
    <cellStyle name="40% - Accent4 2 3 3 4" xfId="9626" xr:uid="{00000000-0005-0000-0000-0000A60B0000}"/>
    <cellStyle name="40% - Accent4 2 3 4" xfId="1513" xr:uid="{00000000-0005-0000-0000-0000A70B0000}"/>
    <cellStyle name="40% - Accent4 2 3 4 2" xfId="3743" xr:uid="{00000000-0005-0000-0000-0000A80B0000}"/>
    <cellStyle name="40% - Accent4 2 3 4 2 2" xfId="7966" xr:uid="{00000000-0005-0000-0000-0000A90B0000}"/>
    <cellStyle name="40% - Accent4 2 3 4 2 2 2" xfId="16402" xr:uid="{00000000-0005-0000-0000-0000AA0B0000}"/>
    <cellStyle name="40% - Accent4 2 3 4 2 3" xfId="12184" xr:uid="{00000000-0005-0000-0000-0000AB0B0000}"/>
    <cellStyle name="40% - Accent4 2 3 4 3" xfId="5821" xr:uid="{00000000-0005-0000-0000-0000AC0B0000}"/>
    <cellStyle name="40% - Accent4 2 3 4 3 2" xfId="14257" xr:uid="{00000000-0005-0000-0000-0000AD0B0000}"/>
    <cellStyle name="40% - Accent4 2 3 4 4" xfId="10039" xr:uid="{00000000-0005-0000-0000-0000AE0B0000}"/>
    <cellStyle name="40% - Accent4 2 3 5" xfId="1927" xr:uid="{00000000-0005-0000-0000-0000AF0B0000}"/>
    <cellStyle name="40% - Accent4 2 3 5 2" xfId="4156" xr:uid="{00000000-0005-0000-0000-0000B00B0000}"/>
    <cellStyle name="40% - Accent4 2 3 5 2 2" xfId="8379" xr:uid="{00000000-0005-0000-0000-0000B10B0000}"/>
    <cellStyle name="40% - Accent4 2 3 5 2 2 2" xfId="16815" xr:uid="{00000000-0005-0000-0000-0000B20B0000}"/>
    <cellStyle name="40% - Accent4 2 3 5 2 3" xfId="12597" xr:uid="{00000000-0005-0000-0000-0000B30B0000}"/>
    <cellStyle name="40% - Accent4 2 3 5 3" xfId="6234" xr:uid="{00000000-0005-0000-0000-0000B40B0000}"/>
    <cellStyle name="40% - Accent4 2 3 5 3 2" xfId="14670" xr:uid="{00000000-0005-0000-0000-0000B50B0000}"/>
    <cellStyle name="40% - Accent4 2 3 5 4" xfId="10452" xr:uid="{00000000-0005-0000-0000-0000B60B0000}"/>
    <cellStyle name="40% - Accent4 2 3 6" xfId="2340" xr:uid="{00000000-0005-0000-0000-0000B70B0000}"/>
    <cellStyle name="40% - Accent4 2 3 6 2" xfId="6647" xr:uid="{00000000-0005-0000-0000-0000B80B0000}"/>
    <cellStyle name="40% - Accent4 2 3 6 2 2" xfId="15083" xr:uid="{00000000-0005-0000-0000-0000B90B0000}"/>
    <cellStyle name="40% - Accent4 2 3 6 3" xfId="10865" xr:uid="{00000000-0005-0000-0000-0000BA0B0000}"/>
    <cellStyle name="40% - Accent4 2 3 7" xfId="4581" xr:uid="{00000000-0005-0000-0000-0000BB0B0000}"/>
    <cellStyle name="40% - Accent4 2 3 7 2" xfId="13017" xr:uid="{00000000-0005-0000-0000-0000BC0B0000}"/>
    <cellStyle name="40% - Accent4 2 3 8" xfId="8799" xr:uid="{00000000-0005-0000-0000-0000BD0B0000}"/>
    <cellStyle name="40% - Accent4 2 4" xfId="643" xr:uid="{00000000-0005-0000-0000-0000BE0B0000}"/>
    <cellStyle name="40% - Accent4 2 4 2" xfId="2914" xr:uid="{00000000-0005-0000-0000-0000BF0B0000}"/>
    <cellStyle name="40% - Accent4 2 4 2 2" xfId="7137" xr:uid="{00000000-0005-0000-0000-0000C00B0000}"/>
    <cellStyle name="40% - Accent4 2 4 2 2 2" xfId="15573" xr:uid="{00000000-0005-0000-0000-0000C10B0000}"/>
    <cellStyle name="40% - Accent4 2 4 2 3" xfId="11355" xr:uid="{00000000-0005-0000-0000-0000C20B0000}"/>
    <cellStyle name="40% - Accent4 2 4 3" xfId="4992" xr:uid="{00000000-0005-0000-0000-0000C30B0000}"/>
    <cellStyle name="40% - Accent4 2 4 3 2" xfId="13428" xr:uid="{00000000-0005-0000-0000-0000C40B0000}"/>
    <cellStyle name="40% - Accent4 2 4 4" xfId="9210" xr:uid="{00000000-0005-0000-0000-0000C50B0000}"/>
    <cellStyle name="40% - Accent4 2 5" xfId="1096" xr:uid="{00000000-0005-0000-0000-0000C60B0000}"/>
    <cellStyle name="40% - Accent4 2 5 2" xfId="3327" xr:uid="{00000000-0005-0000-0000-0000C70B0000}"/>
    <cellStyle name="40% - Accent4 2 5 2 2" xfId="7550" xr:uid="{00000000-0005-0000-0000-0000C80B0000}"/>
    <cellStyle name="40% - Accent4 2 5 2 2 2" xfId="15986" xr:uid="{00000000-0005-0000-0000-0000C90B0000}"/>
    <cellStyle name="40% - Accent4 2 5 2 3" xfId="11768" xr:uid="{00000000-0005-0000-0000-0000CA0B0000}"/>
    <cellStyle name="40% - Accent4 2 5 3" xfId="5405" xr:uid="{00000000-0005-0000-0000-0000CB0B0000}"/>
    <cellStyle name="40% - Accent4 2 5 3 2" xfId="13841" xr:uid="{00000000-0005-0000-0000-0000CC0B0000}"/>
    <cellStyle name="40% - Accent4 2 5 4" xfId="9623" xr:uid="{00000000-0005-0000-0000-0000CD0B0000}"/>
    <cellStyle name="40% - Accent4 2 6" xfId="1510" xr:uid="{00000000-0005-0000-0000-0000CE0B0000}"/>
    <cellStyle name="40% - Accent4 2 6 2" xfId="3740" xr:uid="{00000000-0005-0000-0000-0000CF0B0000}"/>
    <cellStyle name="40% - Accent4 2 6 2 2" xfId="7963" xr:uid="{00000000-0005-0000-0000-0000D00B0000}"/>
    <cellStyle name="40% - Accent4 2 6 2 2 2" xfId="16399" xr:uid="{00000000-0005-0000-0000-0000D10B0000}"/>
    <cellStyle name="40% - Accent4 2 6 2 3" xfId="12181" xr:uid="{00000000-0005-0000-0000-0000D20B0000}"/>
    <cellStyle name="40% - Accent4 2 6 3" xfId="5818" xr:uid="{00000000-0005-0000-0000-0000D30B0000}"/>
    <cellStyle name="40% - Accent4 2 6 3 2" xfId="14254" xr:uid="{00000000-0005-0000-0000-0000D40B0000}"/>
    <cellStyle name="40% - Accent4 2 6 4" xfId="10036" xr:uid="{00000000-0005-0000-0000-0000D50B0000}"/>
    <cellStyle name="40% - Accent4 2 7" xfId="1924" xr:uid="{00000000-0005-0000-0000-0000D60B0000}"/>
    <cellStyle name="40% - Accent4 2 7 2" xfId="4153" xr:uid="{00000000-0005-0000-0000-0000D70B0000}"/>
    <cellStyle name="40% - Accent4 2 7 2 2" xfId="8376" xr:uid="{00000000-0005-0000-0000-0000D80B0000}"/>
    <cellStyle name="40% - Accent4 2 7 2 2 2" xfId="16812" xr:uid="{00000000-0005-0000-0000-0000D90B0000}"/>
    <cellStyle name="40% - Accent4 2 7 2 3" xfId="12594" xr:uid="{00000000-0005-0000-0000-0000DA0B0000}"/>
    <cellStyle name="40% - Accent4 2 7 3" xfId="6231" xr:uid="{00000000-0005-0000-0000-0000DB0B0000}"/>
    <cellStyle name="40% - Accent4 2 7 3 2" xfId="14667" xr:uid="{00000000-0005-0000-0000-0000DC0B0000}"/>
    <cellStyle name="40% - Accent4 2 7 4" xfId="10449" xr:uid="{00000000-0005-0000-0000-0000DD0B0000}"/>
    <cellStyle name="40% - Accent4 2 8" xfId="2337" xr:uid="{00000000-0005-0000-0000-0000DE0B0000}"/>
    <cellStyle name="40% - Accent4 2 8 2" xfId="6644" xr:uid="{00000000-0005-0000-0000-0000DF0B0000}"/>
    <cellStyle name="40% - Accent4 2 8 2 2" xfId="15080" xr:uid="{00000000-0005-0000-0000-0000E00B0000}"/>
    <cellStyle name="40% - Accent4 2 8 3" xfId="10862" xr:uid="{00000000-0005-0000-0000-0000E10B0000}"/>
    <cellStyle name="40% - Accent4 2 9" xfId="4578" xr:uid="{00000000-0005-0000-0000-0000E20B0000}"/>
    <cellStyle name="40% - Accent4 2 9 2" xfId="13014" xr:uid="{00000000-0005-0000-0000-0000E30B0000}"/>
    <cellStyle name="40% - Accent4 3" xfId="78" xr:uid="{00000000-0005-0000-0000-0000E40B0000}"/>
    <cellStyle name="40% - Accent4 3 2" xfId="79" xr:uid="{00000000-0005-0000-0000-0000E50B0000}"/>
    <cellStyle name="40% - Accent4 3 2 2" xfId="648" xr:uid="{00000000-0005-0000-0000-0000E60B0000}"/>
    <cellStyle name="40% - Accent4 3 2 2 2" xfId="2919" xr:uid="{00000000-0005-0000-0000-0000E70B0000}"/>
    <cellStyle name="40% - Accent4 3 2 2 2 2" xfId="7142" xr:uid="{00000000-0005-0000-0000-0000E80B0000}"/>
    <cellStyle name="40% - Accent4 3 2 2 2 2 2" xfId="15578" xr:uid="{00000000-0005-0000-0000-0000E90B0000}"/>
    <cellStyle name="40% - Accent4 3 2 2 2 3" xfId="11360" xr:uid="{00000000-0005-0000-0000-0000EA0B0000}"/>
    <cellStyle name="40% - Accent4 3 2 2 3" xfId="4997" xr:uid="{00000000-0005-0000-0000-0000EB0B0000}"/>
    <cellStyle name="40% - Accent4 3 2 2 3 2" xfId="13433" xr:uid="{00000000-0005-0000-0000-0000EC0B0000}"/>
    <cellStyle name="40% - Accent4 3 2 2 4" xfId="9215" xr:uid="{00000000-0005-0000-0000-0000ED0B0000}"/>
    <cellStyle name="40% - Accent4 3 2 3" xfId="1101" xr:uid="{00000000-0005-0000-0000-0000EE0B0000}"/>
    <cellStyle name="40% - Accent4 3 2 3 2" xfId="3332" xr:uid="{00000000-0005-0000-0000-0000EF0B0000}"/>
    <cellStyle name="40% - Accent4 3 2 3 2 2" xfId="7555" xr:uid="{00000000-0005-0000-0000-0000F00B0000}"/>
    <cellStyle name="40% - Accent4 3 2 3 2 2 2" xfId="15991" xr:uid="{00000000-0005-0000-0000-0000F10B0000}"/>
    <cellStyle name="40% - Accent4 3 2 3 2 3" xfId="11773" xr:uid="{00000000-0005-0000-0000-0000F20B0000}"/>
    <cellStyle name="40% - Accent4 3 2 3 3" xfId="5410" xr:uid="{00000000-0005-0000-0000-0000F30B0000}"/>
    <cellStyle name="40% - Accent4 3 2 3 3 2" xfId="13846" xr:uid="{00000000-0005-0000-0000-0000F40B0000}"/>
    <cellStyle name="40% - Accent4 3 2 3 4" xfId="9628" xr:uid="{00000000-0005-0000-0000-0000F50B0000}"/>
    <cellStyle name="40% - Accent4 3 2 4" xfId="1515" xr:uid="{00000000-0005-0000-0000-0000F60B0000}"/>
    <cellStyle name="40% - Accent4 3 2 4 2" xfId="3745" xr:uid="{00000000-0005-0000-0000-0000F70B0000}"/>
    <cellStyle name="40% - Accent4 3 2 4 2 2" xfId="7968" xr:uid="{00000000-0005-0000-0000-0000F80B0000}"/>
    <cellStyle name="40% - Accent4 3 2 4 2 2 2" xfId="16404" xr:uid="{00000000-0005-0000-0000-0000F90B0000}"/>
    <cellStyle name="40% - Accent4 3 2 4 2 3" xfId="12186" xr:uid="{00000000-0005-0000-0000-0000FA0B0000}"/>
    <cellStyle name="40% - Accent4 3 2 4 3" xfId="5823" xr:uid="{00000000-0005-0000-0000-0000FB0B0000}"/>
    <cellStyle name="40% - Accent4 3 2 4 3 2" xfId="14259" xr:uid="{00000000-0005-0000-0000-0000FC0B0000}"/>
    <cellStyle name="40% - Accent4 3 2 4 4" xfId="10041" xr:uid="{00000000-0005-0000-0000-0000FD0B0000}"/>
    <cellStyle name="40% - Accent4 3 2 5" xfId="1929" xr:uid="{00000000-0005-0000-0000-0000FE0B0000}"/>
    <cellStyle name="40% - Accent4 3 2 5 2" xfId="4158" xr:uid="{00000000-0005-0000-0000-0000FF0B0000}"/>
    <cellStyle name="40% - Accent4 3 2 5 2 2" xfId="8381" xr:uid="{00000000-0005-0000-0000-0000000C0000}"/>
    <cellStyle name="40% - Accent4 3 2 5 2 2 2" xfId="16817" xr:uid="{00000000-0005-0000-0000-0000010C0000}"/>
    <cellStyle name="40% - Accent4 3 2 5 2 3" xfId="12599" xr:uid="{00000000-0005-0000-0000-0000020C0000}"/>
    <cellStyle name="40% - Accent4 3 2 5 3" xfId="6236" xr:uid="{00000000-0005-0000-0000-0000030C0000}"/>
    <cellStyle name="40% - Accent4 3 2 5 3 2" xfId="14672" xr:uid="{00000000-0005-0000-0000-0000040C0000}"/>
    <cellStyle name="40% - Accent4 3 2 5 4" xfId="10454" xr:uid="{00000000-0005-0000-0000-0000050C0000}"/>
    <cellStyle name="40% - Accent4 3 2 6" xfId="2342" xr:uid="{00000000-0005-0000-0000-0000060C0000}"/>
    <cellStyle name="40% - Accent4 3 2 6 2" xfId="6649" xr:uid="{00000000-0005-0000-0000-0000070C0000}"/>
    <cellStyle name="40% - Accent4 3 2 6 2 2" xfId="15085" xr:uid="{00000000-0005-0000-0000-0000080C0000}"/>
    <cellStyle name="40% - Accent4 3 2 6 3" xfId="10867" xr:uid="{00000000-0005-0000-0000-0000090C0000}"/>
    <cellStyle name="40% - Accent4 3 2 7" xfId="4583" xr:uid="{00000000-0005-0000-0000-00000A0C0000}"/>
    <cellStyle name="40% - Accent4 3 2 7 2" xfId="13019" xr:uid="{00000000-0005-0000-0000-00000B0C0000}"/>
    <cellStyle name="40% - Accent4 3 2 8" xfId="8801" xr:uid="{00000000-0005-0000-0000-00000C0C0000}"/>
    <cellStyle name="40% - Accent4 3 3" xfId="647" xr:uid="{00000000-0005-0000-0000-00000D0C0000}"/>
    <cellStyle name="40% - Accent4 3 3 2" xfId="2918" xr:uid="{00000000-0005-0000-0000-00000E0C0000}"/>
    <cellStyle name="40% - Accent4 3 3 2 2" xfId="7141" xr:uid="{00000000-0005-0000-0000-00000F0C0000}"/>
    <cellStyle name="40% - Accent4 3 3 2 2 2" xfId="15577" xr:uid="{00000000-0005-0000-0000-0000100C0000}"/>
    <cellStyle name="40% - Accent4 3 3 2 3" xfId="11359" xr:uid="{00000000-0005-0000-0000-0000110C0000}"/>
    <cellStyle name="40% - Accent4 3 3 3" xfId="4996" xr:uid="{00000000-0005-0000-0000-0000120C0000}"/>
    <cellStyle name="40% - Accent4 3 3 3 2" xfId="13432" xr:uid="{00000000-0005-0000-0000-0000130C0000}"/>
    <cellStyle name="40% - Accent4 3 3 4" xfId="9214" xr:uid="{00000000-0005-0000-0000-0000140C0000}"/>
    <cellStyle name="40% - Accent4 3 4" xfId="1100" xr:uid="{00000000-0005-0000-0000-0000150C0000}"/>
    <cellStyle name="40% - Accent4 3 4 2" xfId="3331" xr:uid="{00000000-0005-0000-0000-0000160C0000}"/>
    <cellStyle name="40% - Accent4 3 4 2 2" xfId="7554" xr:uid="{00000000-0005-0000-0000-0000170C0000}"/>
    <cellStyle name="40% - Accent4 3 4 2 2 2" xfId="15990" xr:uid="{00000000-0005-0000-0000-0000180C0000}"/>
    <cellStyle name="40% - Accent4 3 4 2 3" xfId="11772" xr:uid="{00000000-0005-0000-0000-0000190C0000}"/>
    <cellStyle name="40% - Accent4 3 4 3" xfId="5409" xr:uid="{00000000-0005-0000-0000-00001A0C0000}"/>
    <cellStyle name="40% - Accent4 3 4 3 2" xfId="13845" xr:uid="{00000000-0005-0000-0000-00001B0C0000}"/>
    <cellStyle name="40% - Accent4 3 4 4" xfId="9627" xr:uid="{00000000-0005-0000-0000-00001C0C0000}"/>
    <cellStyle name="40% - Accent4 3 5" xfId="1514" xr:uid="{00000000-0005-0000-0000-00001D0C0000}"/>
    <cellStyle name="40% - Accent4 3 5 2" xfId="3744" xr:uid="{00000000-0005-0000-0000-00001E0C0000}"/>
    <cellStyle name="40% - Accent4 3 5 2 2" xfId="7967" xr:uid="{00000000-0005-0000-0000-00001F0C0000}"/>
    <cellStyle name="40% - Accent4 3 5 2 2 2" xfId="16403" xr:uid="{00000000-0005-0000-0000-0000200C0000}"/>
    <cellStyle name="40% - Accent4 3 5 2 3" xfId="12185" xr:uid="{00000000-0005-0000-0000-0000210C0000}"/>
    <cellStyle name="40% - Accent4 3 5 3" xfId="5822" xr:uid="{00000000-0005-0000-0000-0000220C0000}"/>
    <cellStyle name="40% - Accent4 3 5 3 2" xfId="14258" xr:uid="{00000000-0005-0000-0000-0000230C0000}"/>
    <cellStyle name="40% - Accent4 3 5 4" xfId="10040" xr:uid="{00000000-0005-0000-0000-0000240C0000}"/>
    <cellStyle name="40% - Accent4 3 6" xfId="1928" xr:uid="{00000000-0005-0000-0000-0000250C0000}"/>
    <cellStyle name="40% - Accent4 3 6 2" xfId="4157" xr:uid="{00000000-0005-0000-0000-0000260C0000}"/>
    <cellStyle name="40% - Accent4 3 6 2 2" xfId="8380" xr:uid="{00000000-0005-0000-0000-0000270C0000}"/>
    <cellStyle name="40% - Accent4 3 6 2 2 2" xfId="16816" xr:uid="{00000000-0005-0000-0000-0000280C0000}"/>
    <cellStyle name="40% - Accent4 3 6 2 3" xfId="12598" xr:uid="{00000000-0005-0000-0000-0000290C0000}"/>
    <cellStyle name="40% - Accent4 3 6 3" xfId="6235" xr:uid="{00000000-0005-0000-0000-00002A0C0000}"/>
    <cellStyle name="40% - Accent4 3 6 3 2" xfId="14671" xr:uid="{00000000-0005-0000-0000-00002B0C0000}"/>
    <cellStyle name="40% - Accent4 3 6 4" xfId="10453" xr:uid="{00000000-0005-0000-0000-00002C0C0000}"/>
    <cellStyle name="40% - Accent4 3 7" xfId="2341" xr:uid="{00000000-0005-0000-0000-00002D0C0000}"/>
    <cellStyle name="40% - Accent4 3 7 2" xfId="6648" xr:uid="{00000000-0005-0000-0000-00002E0C0000}"/>
    <cellStyle name="40% - Accent4 3 7 2 2" xfId="15084" xr:uid="{00000000-0005-0000-0000-00002F0C0000}"/>
    <cellStyle name="40% - Accent4 3 7 3" xfId="10866" xr:uid="{00000000-0005-0000-0000-0000300C0000}"/>
    <cellStyle name="40% - Accent4 3 8" xfId="4582" xr:uid="{00000000-0005-0000-0000-0000310C0000}"/>
    <cellStyle name="40% - Accent4 3 8 2" xfId="13018" xr:uid="{00000000-0005-0000-0000-0000320C0000}"/>
    <cellStyle name="40% - Accent4 3 9" xfId="8800" xr:uid="{00000000-0005-0000-0000-0000330C0000}"/>
    <cellStyle name="40% - Accent4 4" xfId="80" xr:uid="{00000000-0005-0000-0000-0000340C0000}"/>
    <cellStyle name="40% - Accent4 4 2" xfId="649" xr:uid="{00000000-0005-0000-0000-0000350C0000}"/>
    <cellStyle name="40% - Accent4 4 2 2" xfId="2920" xr:uid="{00000000-0005-0000-0000-0000360C0000}"/>
    <cellStyle name="40% - Accent4 4 2 2 2" xfId="7143" xr:uid="{00000000-0005-0000-0000-0000370C0000}"/>
    <cellStyle name="40% - Accent4 4 2 2 2 2" xfId="15579" xr:uid="{00000000-0005-0000-0000-0000380C0000}"/>
    <cellStyle name="40% - Accent4 4 2 2 3" xfId="11361" xr:uid="{00000000-0005-0000-0000-0000390C0000}"/>
    <cellStyle name="40% - Accent4 4 2 3" xfId="4998" xr:uid="{00000000-0005-0000-0000-00003A0C0000}"/>
    <cellStyle name="40% - Accent4 4 2 3 2" xfId="13434" xr:uid="{00000000-0005-0000-0000-00003B0C0000}"/>
    <cellStyle name="40% - Accent4 4 2 4" xfId="9216" xr:uid="{00000000-0005-0000-0000-00003C0C0000}"/>
    <cellStyle name="40% - Accent4 4 3" xfId="1102" xr:uid="{00000000-0005-0000-0000-00003D0C0000}"/>
    <cellStyle name="40% - Accent4 4 3 2" xfId="3333" xr:uid="{00000000-0005-0000-0000-00003E0C0000}"/>
    <cellStyle name="40% - Accent4 4 3 2 2" xfId="7556" xr:uid="{00000000-0005-0000-0000-00003F0C0000}"/>
    <cellStyle name="40% - Accent4 4 3 2 2 2" xfId="15992" xr:uid="{00000000-0005-0000-0000-0000400C0000}"/>
    <cellStyle name="40% - Accent4 4 3 2 3" xfId="11774" xr:uid="{00000000-0005-0000-0000-0000410C0000}"/>
    <cellStyle name="40% - Accent4 4 3 3" xfId="5411" xr:uid="{00000000-0005-0000-0000-0000420C0000}"/>
    <cellStyle name="40% - Accent4 4 3 3 2" xfId="13847" xr:uid="{00000000-0005-0000-0000-0000430C0000}"/>
    <cellStyle name="40% - Accent4 4 3 4" xfId="9629" xr:uid="{00000000-0005-0000-0000-0000440C0000}"/>
    <cellStyle name="40% - Accent4 4 4" xfId="1516" xr:uid="{00000000-0005-0000-0000-0000450C0000}"/>
    <cellStyle name="40% - Accent4 4 4 2" xfId="3746" xr:uid="{00000000-0005-0000-0000-0000460C0000}"/>
    <cellStyle name="40% - Accent4 4 4 2 2" xfId="7969" xr:uid="{00000000-0005-0000-0000-0000470C0000}"/>
    <cellStyle name="40% - Accent4 4 4 2 2 2" xfId="16405" xr:uid="{00000000-0005-0000-0000-0000480C0000}"/>
    <cellStyle name="40% - Accent4 4 4 2 3" xfId="12187" xr:uid="{00000000-0005-0000-0000-0000490C0000}"/>
    <cellStyle name="40% - Accent4 4 4 3" xfId="5824" xr:uid="{00000000-0005-0000-0000-00004A0C0000}"/>
    <cellStyle name="40% - Accent4 4 4 3 2" xfId="14260" xr:uid="{00000000-0005-0000-0000-00004B0C0000}"/>
    <cellStyle name="40% - Accent4 4 4 4" xfId="10042" xr:uid="{00000000-0005-0000-0000-00004C0C0000}"/>
    <cellStyle name="40% - Accent4 4 5" xfId="1930" xr:uid="{00000000-0005-0000-0000-00004D0C0000}"/>
    <cellStyle name="40% - Accent4 4 5 2" xfId="4159" xr:uid="{00000000-0005-0000-0000-00004E0C0000}"/>
    <cellStyle name="40% - Accent4 4 5 2 2" xfId="8382" xr:uid="{00000000-0005-0000-0000-00004F0C0000}"/>
    <cellStyle name="40% - Accent4 4 5 2 2 2" xfId="16818" xr:uid="{00000000-0005-0000-0000-0000500C0000}"/>
    <cellStyle name="40% - Accent4 4 5 2 3" xfId="12600" xr:uid="{00000000-0005-0000-0000-0000510C0000}"/>
    <cellStyle name="40% - Accent4 4 5 3" xfId="6237" xr:uid="{00000000-0005-0000-0000-0000520C0000}"/>
    <cellStyle name="40% - Accent4 4 5 3 2" xfId="14673" xr:uid="{00000000-0005-0000-0000-0000530C0000}"/>
    <cellStyle name="40% - Accent4 4 5 4" xfId="10455" xr:uid="{00000000-0005-0000-0000-0000540C0000}"/>
    <cellStyle name="40% - Accent4 4 6" xfId="2343" xr:uid="{00000000-0005-0000-0000-0000550C0000}"/>
    <cellStyle name="40% - Accent4 4 6 2" xfId="6650" xr:uid="{00000000-0005-0000-0000-0000560C0000}"/>
    <cellStyle name="40% - Accent4 4 6 2 2" xfId="15086" xr:uid="{00000000-0005-0000-0000-0000570C0000}"/>
    <cellStyle name="40% - Accent4 4 6 3" xfId="10868" xr:uid="{00000000-0005-0000-0000-0000580C0000}"/>
    <cellStyle name="40% - Accent4 4 7" xfId="4584" xr:uid="{00000000-0005-0000-0000-0000590C0000}"/>
    <cellStyle name="40% - Accent4 4 7 2" xfId="13020" xr:uid="{00000000-0005-0000-0000-00005A0C0000}"/>
    <cellStyle name="40% - Accent4 4 8" xfId="8802" xr:uid="{00000000-0005-0000-0000-00005B0C0000}"/>
    <cellStyle name="40% - Accent4 5" xfId="642" xr:uid="{00000000-0005-0000-0000-00005C0C0000}"/>
    <cellStyle name="40% - Accent4 5 2" xfId="2913" xr:uid="{00000000-0005-0000-0000-00005D0C0000}"/>
    <cellStyle name="40% - Accent4 5 2 2" xfId="7136" xr:uid="{00000000-0005-0000-0000-00005E0C0000}"/>
    <cellStyle name="40% - Accent4 5 2 2 2" xfId="15572" xr:uid="{00000000-0005-0000-0000-00005F0C0000}"/>
    <cellStyle name="40% - Accent4 5 2 3" xfId="11354" xr:uid="{00000000-0005-0000-0000-0000600C0000}"/>
    <cellStyle name="40% - Accent4 5 3" xfId="4991" xr:uid="{00000000-0005-0000-0000-0000610C0000}"/>
    <cellStyle name="40% - Accent4 5 3 2" xfId="13427" xr:uid="{00000000-0005-0000-0000-0000620C0000}"/>
    <cellStyle name="40% - Accent4 5 4" xfId="9209" xr:uid="{00000000-0005-0000-0000-0000630C0000}"/>
    <cellStyle name="40% - Accent4 6" xfId="1095" xr:uid="{00000000-0005-0000-0000-0000640C0000}"/>
    <cellStyle name="40% - Accent4 6 2" xfId="3326" xr:uid="{00000000-0005-0000-0000-0000650C0000}"/>
    <cellStyle name="40% - Accent4 6 2 2" xfId="7549" xr:uid="{00000000-0005-0000-0000-0000660C0000}"/>
    <cellStyle name="40% - Accent4 6 2 2 2" xfId="15985" xr:uid="{00000000-0005-0000-0000-0000670C0000}"/>
    <cellStyle name="40% - Accent4 6 2 3" xfId="11767" xr:uid="{00000000-0005-0000-0000-0000680C0000}"/>
    <cellStyle name="40% - Accent4 6 3" xfId="5404" xr:uid="{00000000-0005-0000-0000-0000690C0000}"/>
    <cellStyle name="40% - Accent4 6 3 2" xfId="13840" xr:uid="{00000000-0005-0000-0000-00006A0C0000}"/>
    <cellStyle name="40% - Accent4 6 4" xfId="9622" xr:uid="{00000000-0005-0000-0000-00006B0C0000}"/>
    <cellStyle name="40% - Accent4 7" xfId="1509" xr:uid="{00000000-0005-0000-0000-00006C0C0000}"/>
    <cellStyle name="40% - Accent4 7 2" xfId="3739" xr:uid="{00000000-0005-0000-0000-00006D0C0000}"/>
    <cellStyle name="40% - Accent4 7 2 2" xfId="7962" xr:uid="{00000000-0005-0000-0000-00006E0C0000}"/>
    <cellStyle name="40% - Accent4 7 2 2 2" xfId="16398" xr:uid="{00000000-0005-0000-0000-00006F0C0000}"/>
    <cellStyle name="40% - Accent4 7 2 3" xfId="12180" xr:uid="{00000000-0005-0000-0000-0000700C0000}"/>
    <cellStyle name="40% - Accent4 7 3" xfId="5817" xr:uid="{00000000-0005-0000-0000-0000710C0000}"/>
    <cellStyle name="40% - Accent4 7 3 2" xfId="14253" xr:uid="{00000000-0005-0000-0000-0000720C0000}"/>
    <cellStyle name="40% - Accent4 7 4" xfId="10035" xr:uid="{00000000-0005-0000-0000-0000730C0000}"/>
    <cellStyle name="40% - Accent4 8" xfId="1923" xr:uid="{00000000-0005-0000-0000-0000740C0000}"/>
    <cellStyle name="40% - Accent4 8 2" xfId="4152" xr:uid="{00000000-0005-0000-0000-0000750C0000}"/>
    <cellStyle name="40% - Accent4 8 2 2" xfId="8375" xr:uid="{00000000-0005-0000-0000-0000760C0000}"/>
    <cellStyle name="40% - Accent4 8 2 2 2" xfId="16811" xr:uid="{00000000-0005-0000-0000-0000770C0000}"/>
    <cellStyle name="40% - Accent4 8 2 3" xfId="12593" xr:uid="{00000000-0005-0000-0000-0000780C0000}"/>
    <cellStyle name="40% - Accent4 8 3" xfId="6230" xr:uid="{00000000-0005-0000-0000-0000790C0000}"/>
    <cellStyle name="40% - Accent4 8 3 2" xfId="14666" xr:uid="{00000000-0005-0000-0000-00007A0C0000}"/>
    <cellStyle name="40% - Accent4 8 4" xfId="10448" xr:uid="{00000000-0005-0000-0000-00007B0C0000}"/>
    <cellStyle name="40% - Accent4 9" xfId="2336" xr:uid="{00000000-0005-0000-0000-00007C0C0000}"/>
    <cellStyle name="40% - Accent4 9 2" xfId="6643" xr:uid="{00000000-0005-0000-0000-00007D0C0000}"/>
    <cellStyle name="40% - Accent4 9 2 2" xfId="15079" xr:uid="{00000000-0005-0000-0000-00007E0C0000}"/>
    <cellStyle name="40% - Accent4 9 3" xfId="10861" xr:uid="{00000000-0005-0000-0000-00007F0C0000}"/>
    <cellStyle name="40% - Accent5" xfId="81" builtinId="47" customBuiltin="1"/>
    <cellStyle name="40% - Accent5 10" xfId="4585" xr:uid="{00000000-0005-0000-0000-0000810C0000}"/>
    <cellStyle name="40% - Accent5 10 2" xfId="13021" xr:uid="{00000000-0005-0000-0000-0000820C0000}"/>
    <cellStyle name="40% - Accent5 11" xfId="8803" xr:uid="{00000000-0005-0000-0000-0000830C0000}"/>
    <cellStyle name="40% - Accent5 2" xfId="82" xr:uid="{00000000-0005-0000-0000-0000840C0000}"/>
    <cellStyle name="40% - Accent5 2 10" xfId="8804" xr:uid="{00000000-0005-0000-0000-0000850C0000}"/>
    <cellStyle name="40% - Accent5 2 2" xfId="83" xr:uid="{00000000-0005-0000-0000-0000860C0000}"/>
    <cellStyle name="40% - Accent5 2 2 2" xfId="84" xr:uid="{00000000-0005-0000-0000-0000870C0000}"/>
    <cellStyle name="40% - Accent5 2 2 2 2" xfId="653" xr:uid="{00000000-0005-0000-0000-0000880C0000}"/>
    <cellStyle name="40% - Accent5 2 2 2 2 2" xfId="2924" xr:uid="{00000000-0005-0000-0000-0000890C0000}"/>
    <cellStyle name="40% - Accent5 2 2 2 2 2 2" xfId="7147" xr:uid="{00000000-0005-0000-0000-00008A0C0000}"/>
    <cellStyle name="40% - Accent5 2 2 2 2 2 2 2" xfId="15583" xr:uid="{00000000-0005-0000-0000-00008B0C0000}"/>
    <cellStyle name="40% - Accent5 2 2 2 2 2 3" xfId="11365" xr:uid="{00000000-0005-0000-0000-00008C0C0000}"/>
    <cellStyle name="40% - Accent5 2 2 2 2 3" xfId="5002" xr:uid="{00000000-0005-0000-0000-00008D0C0000}"/>
    <cellStyle name="40% - Accent5 2 2 2 2 3 2" xfId="13438" xr:uid="{00000000-0005-0000-0000-00008E0C0000}"/>
    <cellStyle name="40% - Accent5 2 2 2 2 4" xfId="9220" xr:uid="{00000000-0005-0000-0000-00008F0C0000}"/>
    <cellStyle name="40% - Accent5 2 2 2 3" xfId="1106" xr:uid="{00000000-0005-0000-0000-0000900C0000}"/>
    <cellStyle name="40% - Accent5 2 2 2 3 2" xfId="3337" xr:uid="{00000000-0005-0000-0000-0000910C0000}"/>
    <cellStyle name="40% - Accent5 2 2 2 3 2 2" xfId="7560" xr:uid="{00000000-0005-0000-0000-0000920C0000}"/>
    <cellStyle name="40% - Accent5 2 2 2 3 2 2 2" xfId="15996" xr:uid="{00000000-0005-0000-0000-0000930C0000}"/>
    <cellStyle name="40% - Accent5 2 2 2 3 2 3" xfId="11778" xr:uid="{00000000-0005-0000-0000-0000940C0000}"/>
    <cellStyle name="40% - Accent5 2 2 2 3 3" xfId="5415" xr:uid="{00000000-0005-0000-0000-0000950C0000}"/>
    <cellStyle name="40% - Accent5 2 2 2 3 3 2" xfId="13851" xr:uid="{00000000-0005-0000-0000-0000960C0000}"/>
    <cellStyle name="40% - Accent5 2 2 2 3 4" xfId="9633" xr:uid="{00000000-0005-0000-0000-0000970C0000}"/>
    <cellStyle name="40% - Accent5 2 2 2 4" xfId="1520" xr:uid="{00000000-0005-0000-0000-0000980C0000}"/>
    <cellStyle name="40% - Accent5 2 2 2 4 2" xfId="3750" xr:uid="{00000000-0005-0000-0000-0000990C0000}"/>
    <cellStyle name="40% - Accent5 2 2 2 4 2 2" xfId="7973" xr:uid="{00000000-0005-0000-0000-00009A0C0000}"/>
    <cellStyle name="40% - Accent5 2 2 2 4 2 2 2" xfId="16409" xr:uid="{00000000-0005-0000-0000-00009B0C0000}"/>
    <cellStyle name="40% - Accent5 2 2 2 4 2 3" xfId="12191" xr:uid="{00000000-0005-0000-0000-00009C0C0000}"/>
    <cellStyle name="40% - Accent5 2 2 2 4 3" xfId="5828" xr:uid="{00000000-0005-0000-0000-00009D0C0000}"/>
    <cellStyle name="40% - Accent5 2 2 2 4 3 2" xfId="14264" xr:uid="{00000000-0005-0000-0000-00009E0C0000}"/>
    <cellStyle name="40% - Accent5 2 2 2 4 4" xfId="10046" xr:uid="{00000000-0005-0000-0000-00009F0C0000}"/>
    <cellStyle name="40% - Accent5 2 2 2 5" xfId="1934" xr:uid="{00000000-0005-0000-0000-0000A00C0000}"/>
    <cellStyle name="40% - Accent5 2 2 2 5 2" xfId="4163" xr:uid="{00000000-0005-0000-0000-0000A10C0000}"/>
    <cellStyle name="40% - Accent5 2 2 2 5 2 2" xfId="8386" xr:uid="{00000000-0005-0000-0000-0000A20C0000}"/>
    <cellStyle name="40% - Accent5 2 2 2 5 2 2 2" xfId="16822" xr:uid="{00000000-0005-0000-0000-0000A30C0000}"/>
    <cellStyle name="40% - Accent5 2 2 2 5 2 3" xfId="12604" xr:uid="{00000000-0005-0000-0000-0000A40C0000}"/>
    <cellStyle name="40% - Accent5 2 2 2 5 3" xfId="6241" xr:uid="{00000000-0005-0000-0000-0000A50C0000}"/>
    <cellStyle name="40% - Accent5 2 2 2 5 3 2" xfId="14677" xr:uid="{00000000-0005-0000-0000-0000A60C0000}"/>
    <cellStyle name="40% - Accent5 2 2 2 5 4" xfId="10459" xr:uid="{00000000-0005-0000-0000-0000A70C0000}"/>
    <cellStyle name="40% - Accent5 2 2 2 6" xfId="2347" xr:uid="{00000000-0005-0000-0000-0000A80C0000}"/>
    <cellStyle name="40% - Accent5 2 2 2 6 2" xfId="6654" xr:uid="{00000000-0005-0000-0000-0000A90C0000}"/>
    <cellStyle name="40% - Accent5 2 2 2 6 2 2" xfId="15090" xr:uid="{00000000-0005-0000-0000-0000AA0C0000}"/>
    <cellStyle name="40% - Accent5 2 2 2 6 3" xfId="10872" xr:uid="{00000000-0005-0000-0000-0000AB0C0000}"/>
    <cellStyle name="40% - Accent5 2 2 2 7" xfId="4588" xr:uid="{00000000-0005-0000-0000-0000AC0C0000}"/>
    <cellStyle name="40% - Accent5 2 2 2 7 2" xfId="13024" xr:uid="{00000000-0005-0000-0000-0000AD0C0000}"/>
    <cellStyle name="40% - Accent5 2 2 2 8" xfId="8806" xr:uid="{00000000-0005-0000-0000-0000AE0C0000}"/>
    <cellStyle name="40% - Accent5 2 2 3" xfId="652" xr:uid="{00000000-0005-0000-0000-0000AF0C0000}"/>
    <cellStyle name="40% - Accent5 2 2 3 2" xfId="2923" xr:uid="{00000000-0005-0000-0000-0000B00C0000}"/>
    <cellStyle name="40% - Accent5 2 2 3 2 2" xfId="7146" xr:uid="{00000000-0005-0000-0000-0000B10C0000}"/>
    <cellStyle name="40% - Accent5 2 2 3 2 2 2" xfId="15582" xr:uid="{00000000-0005-0000-0000-0000B20C0000}"/>
    <cellStyle name="40% - Accent5 2 2 3 2 3" xfId="11364" xr:uid="{00000000-0005-0000-0000-0000B30C0000}"/>
    <cellStyle name="40% - Accent5 2 2 3 3" xfId="5001" xr:uid="{00000000-0005-0000-0000-0000B40C0000}"/>
    <cellStyle name="40% - Accent5 2 2 3 3 2" xfId="13437" xr:uid="{00000000-0005-0000-0000-0000B50C0000}"/>
    <cellStyle name="40% - Accent5 2 2 3 4" xfId="9219" xr:uid="{00000000-0005-0000-0000-0000B60C0000}"/>
    <cellStyle name="40% - Accent5 2 2 4" xfId="1105" xr:uid="{00000000-0005-0000-0000-0000B70C0000}"/>
    <cellStyle name="40% - Accent5 2 2 4 2" xfId="3336" xr:uid="{00000000-0005-0000-0000-0000B80C0000}"/>
    <cellStyle name="40% - Accent5 2 2 4 2 2" xfId="7559" xr:uid="{00000000-0005-0000-0000-0000B90C0000}"/>
    <cellStyle name="40% - Accent5 2 2 4 2 2 2" xfId="15995" xr:uid="{00000000-0005-0000-0000-0000BA0C0000}"/>
    <cellStyle name="40% - Accent5 2 2 4 2 3" xfId="11777" xr:uid="{00000000-0005-0000-0000-0000BB0C0000}"/>
    <cellStyle name="40% - Accent5 2 2 4 3" xfId="5414" xr:uid="{00000000-0005-0000-0000-0000BC0C0000}"/>
    <cellStyle name="40% - Accent5 2 2 4 3 2" xfId="13850" xr:uid="{00000000-0005-0000-0000-0000BD0C0000}"/>
    <cellStyle name="40% - Accent5 2 2 4 4" xfId="9632" xr:uid="{00000000-0005-0000-0000-0000BE0C0000}"/>
    <cellStyle name="40% - Accent5 2 2 5" xfId="1519" xr:uid="{00000000-0005-0000-0000-0000BF0C0000}"/>
    <cellStyle name="40% - Accent5 2 2 5 2" xfId="3749" xr:uid="{00000000-0005-0000-0000-0000C00C0000}"/>
    <cellStyle name="40% - Accent5 2 2 5 2 2" xfId="7972" xr:uid="{00000000-0005-0000-0000-0000C10C0000}"/>
    <cellStyle name="40% - Accent5 2 2 5 2 2 2" xfId="16408" xr:uid="{00000000-0005-0000-0000-0000C20C0000}"/>
    <cellStyle name="40% - Accent5 2 2 5 2 3" xfId="12190" xr:uid="{00000000-0005-0000-0000-0000C30C0000}"/>
    <cellStyle name="40% - Accent5 2 2 5 3" xfId="5827" xr:uid="{00000000-0005-0000-0000-0000C40C0000}"/>
    <cellStyle name="40% - Accent5 2 2 5 3 2" xfId="14263" xr:uid="{00000000-0005-0000-0000-0000C50C0000}"/>
    <cellStyle name="40% - Accent5 2 2 5 4" xfId="10045" xr:uid="{00000000-0005-0000-0000-0000C60C0000}"/>
    <cellStyle name="40% - Accent5 2 2 6" xfId="1933" xr:uid="{00000000-0005-0000-0000-0000C70C0000}"/>
    <cellStyle name="40% - Accent5 2 2 6 2" xfId="4162" xr:uid="{00000000-0005-0000-0000-0000C80C0000}"/>
    <cellStyle name="40% - Accent5 2 2 6 2 2" xfId="8385" xr:uid="{00000000-0005-0000-0000-0000C90C0000}"/>
    <cellStyle name="40% - Accent5 2 2 6 2 2 2" xfId="16821" xr:uid="{00000000-0005-0000-0000-0000CA0C0000}"/>
    <cellStyle name="40% - Accent5 2 2 6 2 3" xfId="12603" xr:uid="{00000000-0005-0000-0000-0000CB0C0000}"/>
    <cellStyle name="40% - Accent5 2 2 6 3" xfId="6240" xr:uid="{00000000-0005-0000-0000-0000CC0C0000}"/>
    <cellStyle name="40% - Accent5 2 2 6 3 2" xfId="14676" xr:uid="{00000000-0005-0000-0000-0000CD0C0000}"/>
    <cellStyle name="40% - Accent5 2 2 6 4" xfId="10458" xr:uid="{00000000-0005-0000-0000-0000CE0C0000}"/>
    <cellStyle name="40% - Accent5 2 2 7" xfId="2346" xr:uid="{00000000-0005-0000-0000-0000CF0C0000}"/>
    <cellStyle name="40% - Accent5 2 2 7 2" xfId="6653" xr:uid="{00000000-0005-0000-0000-0000D00C0000}"/>
    <cellStyle name="40% - Accent5 2 2 7 2 2" xfId="15089" xr:uid="{00000000-0005-0000-0000-0000D10C0000}"/>
    <cellStyle name="40% - Accent5 2 2 7 3" xfId="10871" xr:uid="{00000000-0005-0000-0000-0000D20C0000}"/>
    <cellStyle name="40% - Accent5 2 2 8" xfId="4587" xr:uid="{00000000-0005-0000-0000-0000D30C0000}"/>
    <cellStyle name="40% - Accent5 2 2 8 2" xfId="13023" xr:uid="{00000000-0005-0000-0000-0000D40C0000}"/>
    <cellStyle name="40% - Accent5 2 2 9" xfId="8805" xr:uid="{00000000-0005-0000-0000-0000D50C0000}"/>
    <cellStyle name="40% - Accent5 2 3" xfId="85" xr:uid="{00000000-0005-0000-0000-0000D60C0000}"/>
    <cellStyle name="40% - Accent5 2 3 2" xfId="654" xr:uid="{00000000-0005-0000-0000-0000D70C0000}"/>
    <cellStyle name="40% - Accent5 2 3 2 2" xfId="2925" xr:uid="{00000000-0005-0000-0000-0000D80C0000}"/>
    <cellStyle name="40% - Accent5 2 3 2 2 2" xfId="7148" xr:uid="{00000000-0005-0000-0000-0000D90C0000}"/>
    <cellStyle name="40% - Accent5 2 3 2 2 2 2" xfId="15584" xr:uid="{00000000-0005-0000-0000-0000DA0C0000}"/>
    <cellStyle name="40% - Accent5 2 3 2 2 3" xfId="11366" xr:uid="{00000000-0005-0000-0000-0000DB0C0000}"/>
    <cellStyle name="40% - Accent5 2 3 2 3" xfId="5003" xr:uid="{00000000-0005-0000-0000-0000DC0C0000}"/>
    <cellStyle name="40% - Accent5 2 3 2 3 2" xfId="13439" xr:uid="{00000000-0005-0000-0000-0000DD0C0000}"/>
    <cellStyle name="40% - Accent5 2 3 2 4" xfId="9221" xr:uid="{00000000-0005-0000-0000-0000DE0C0000}"/>
    <cellStyle name="40% - Accent5 2 3 3" xfId="1107" xr:uid="{00000000-0005-0000-0000-0000DF0C0000}"/>
    <cellStyle name="40% - Accent5 2 3 3 2" xfId="3338" xr:uid="{00000000-0005-0000-0000-0000E00C0000}"/>
    <cellStyle name="40% - Accent5 2 3 3 2 2" xfId="7561" xr:uid="{00000000-0005-0000-0000-0000E10C0000}"/>
    <cellStyle name="40% - Accent5 2 3 3 2 2 2" xfId="15997" xr:uid="{00000000-0005-0000-0000-0000E20C0000}"/>
    <cellStyle name="40% - Accent5 2 3 3 2 3" xfId="11779" xr:uid="{00000000-0005-0000-0000-0000E30C0000}"/>
    <cellStyle name="40% - Accent5 2 3 3 3" xfId="5416" xr:uid="{00000000-0005-0000-0000-0000E40C0000}"/>
    <cellStyle name="40% - Accent5 2 3 3 3 2" xfId="13852" xr:uid="{00000000-0005-0000-0000-0000E50C0000}"/>
    <cellStyle name="40% - Accent5 2 3 3 4" xfId="9634" xr:uid="{00000000-0005-0000-0000-0000E60C0000}"/>
    <cellStyle name="40% - Accent5 2 3 4" xfId="1521" xr:uid="{00000000-0005-0000-0000-0000E70C0000}"/>
    <cellStyle name="40% - Accent5 2 3 4 2" xfId="3751" xr:uid="{00000000-0005-0000-0000-0000E80C0000}"/>
    <cellStyle name="40% - Accent5 2 3 4 2 2" xfId="7974" xr:uid="{00000000-0005-0000-0000-0000E90C0000}"/>
    <cellStyle name="40% - Accent5 2 3 4 2 2 2" xfId="16410" xr:uid="{00000000-0005-0000-0000-0000EA0C0000}"/>
    <cellStyle name="40% - Accent5 2 3 4 2 3" xfId="12192" xr:uid="{00000000-0005-0000-0000-0000EB0C0000}"/>
    <cellStyle name="40% - Accent5 2 3 4 3" xfId="5829" xr:uid="{00000000-0005-0000-0000-0000EC0C0000}"/>
    <cellStyle name="40% - Accent5 2 3 4 3 2" xfId="14265" xr:uid="{00000000-0005-0000-0000-0000ED0C0000}"/>
    <cellStyle name="40% - Accent5 2 3 4 4" xfId="10047" xr:uid="{00000000-0005-0000-0000-0000EE0C0000}"/>
    <cellStyle name="40% - Accent5 2 3 5" xfId="1935" xr:uid="{00000000-0005-0000-0000-0000EF0C0000}"/>
    <cellStyle name="40% - Accent5 2 3 5 2" xfId="4164" xr:uid="{00000000-0005-0000-0000-0000F00C0000}"/>
    <cellStyle name="40% - Accent5 2 3 5 2 2" xfId="8387" xr:uid="{00000000-0005-0000-0000-0000F10C0000}"/>
    <cellStyle name="40% - Accent5 2 3 5 2 2 2" xfId="16823" xr:uid="{00000000-0005-0000-0000-0000F20C0000}"/>
    <cellStyle name="40% - Accent5 2 3 5 2 3" xfId="12605" xr:uid="{00000000-0005-0000-0000-0000F30C0000}"/>
    <cellStyle name="40% - Accent5 2 3 5 3" xfId="6242" xr:uid="{00000000-0005-0000-0000-0000F40C0000}"/>
    <cellStyle name="40% - Accent5 2 3 5 3 2" xfId="14678" xr:uid="{00000000-0005-0000-0000-0000F50C0000}"/>
    <cellStyle name="40% - Accent5 2 3 5 4" xfId="10460" xr:uid="{00000000-0005-0000-0000-0000F60C0000}"/>
    <cellStyle name="40% - Accent5 2 3 6" xfId="2348" xr:uid="{00000000-0005-0000-0000-0000F70C0000}"/>
    <cellStyle name="40% - Accent5 2 3 6 2" xfId="6655" xr:uid="{00000000-0005-0000-0000-0000F80C0000}"/>
    <cellStyle name="40% - Accent5 2 3 6 2 2" xfId="15091" xr:uid="{00000000-0005-0000-0000-0000F90C0000}"/>
    <cellStyle name="40% - Accent5 2 3 6 3" xfId="10873" xr:uid="{00000000-0005-0000-0000-0000FA0C0000}"/>
    <cellStyle name="40% - Accent5 2 3 7" xfId="4589" xr:uid="{00000000-0005-0000-0000-0000FB0C0000}"/>
    <cellStyle name="40% - Accent5 2 3 7 2" xfId="13025" xr:uid="{00000000-0005-0000-0000-0000FC0C0000}"/>
    <cellStyle name="40% - Accent5 2 3 8" xfId="8807" xr:uid="{00000000-0005-0000-0000-0000FD0C0000}"/>
    <cellStyle name="40% - Accent5 2 4" xfId="651" xr:uid="{00000000-0005-0000-0000-0000FE0C0000}"/>
    <cellStyle name="40% - Accent5 2 4 2" xfId="2922" xr:uid="{00000000-0005-0000-0000-0000FF0C0000}"/>
    <cellStyle name="40% - Accent5 2 4 2 2" xfId="7145" xr:uid="{00000000-0005-0000-0000-0000000D0000}"/>
    <cellStyle name="40% - Accent5 2 4 2 2 2" xfId="15581" xr:uid="{00000000-0005-0000-0000-0000010D0000}"/>
    <cellStyle name="40% - Accent5 2 4 2 3" xfId="11363" xr:uid="{00000000-0005-0000-0000-0000020D0000}"/>
    <cellStyle name="40% - Accent5 2 4 3" xfId="5000" xr:uid="{00000000-0005-0000-0000-0000030D0000}"/>
    <cellStyle name="40% - Accent5 2 4 3 2" xfId="13436" xr:uid="{00000000-0005-0000-0000-0000040D0000}"/>
    <cellStyle name="40% - Accent5 2 4 4" xfId="9218" xr:uid="{00000000-0005-0000-0000-0000050D0000}"/>
    <cellStyle name="40% - Accent5 2 5" xfId="1104" xr:uid="{00000000-0005-0000-0000-0000060D0000}"/>
    <cellStyle name="40% - Accent5 2 5 2" xfId="3335" xr:uid="{00000000-0005-0000-0000-0000070D0000}"/>
    <cellStyle name="40% - Accent5 2 5 2 2" xfId="7558" xr:uid="{00000000-0005-0000-0000-0000080D0000}"/>
    <cellStyle name="40% - Accent5 2 5 2 2 2" xfId="15994" xr:uid="{00000000-0005-0000-0000-0000090D0000}"/>
    <cellStyle name="40% - Accent5 2 5 2 3" xfId="11776" xr:uid="{00000000-0005-0000-0000-00000A0D0000}"/>
    <cellStyle name="40% - Accent5 2 5 3" xfId="5413" xr:uid="{00000000-0005-0000-0000-00000B0D0000}"/>
    <cellStyle name="40% - Accent5 2 5 3 2" xfId="13849" xr:uid="{00000000-0005-0000-0000-00000C0D0000}"/>
    <cellStyle name="40% - Accent5 2 5 4" xfId="9631" xr:uid="{00000000-0005-0000-0000-00000D0D0000}"/>
    <cellStyle name="40% - Accent5 2 6" xfId="1518" xr:uid="{00000000-0005-0000-0000-00000E0D0000}"/>
    <cellStyle name="40% - Accent5 2 6 2" xfId="3748" xr:uid="{00000000-0005-0000-0000-00000F0D0000}"/>
    <cellStyle name="40% - Accent5 2 6 2 2" xfId="7971" xr:uid="{00000000-0005-0000-0000-0000100D0000}"/>
    <cellStyle name="40% - Accent5 2 6 2 2 2" xfId="16407" xr:uid="{00000000-0005-0000-0000-0000110D0000}"/>
    <cellStyle name="40% - Accent5 2 6 2 3" xfId="12189" xr:uid="{00000000-0005-0000-0000-0000120D0000}"/>
    <cellStyle name="40% - Accent5 2 6 3" xfId="5826" xr:uid="{00000000-0005-0000-0000-0000130D0000}"/>
    <cellStyle name="40% - Accent5 2 6 3 2" xfId="14262" xr:uid="{00000000-0005-0000-0000-0000140D0000}"/>
    <cellStyle name="40% - Accent5 2 6 4" xfId="10044" xr:uid="{00000000-0005-0000-0000-0000150D0000}"/>
    <cellStyle name="40% - Accent5 2 7" xfId="1932" xr:uid="{00000000-0005-0000-0000-0000160D0000}"/>
    <cellStyle name="40% - Accent5 2 7 2" xfId="4161" xr:uid="{00000000-0005-0000-0000-0000170D0000}"/>
    <cellStyle name="40% - Accent5 2 7 2 2" xfId="8384" xr:uid="{00000000-0005-0000-0000-0000180D0000}"/>
    <cellStyle name="40% - Accent5 2 7 2 2 2" xfId="16820" xr:uid="{00000000-0005-0000-0000-0000190D0000}"/>
    <cellStyle name="40% - Accent5 2 7 2 3" xfId="12602" xr:uid="{00000000-0005-0000-0000-00001A0D0000}"/>
    <cellStyle name="40% - Accent5 2 7 3" xfId="6239" xr:uid="{00000000-0005-0000-0000-00001B0D0000}"/>
    <cellStyle name="40% - Accent5 2 7 3 2" xfId="14675" xr:uid="{00000000-0005-0000-0000-00001C0D0000}"/>
    <cellStyle name="40% - Accent5 2 7 4" xfId="10457" xr:uid="{00000000-0005-0000-0000-00001D0D0000}"/>
    <cellStyle name="40% - Accent5 2 8" xfId="2345" xr:uid="{00000000-0005-0000-0000-00001E0D0000}"/>
    <cellStyle name="40% - Accent5 2 8 2" xfId="6652" xr:uid="{00000000-0005-0000-0000-00001F0D0000}"/>
    <cellStyle name="40% - Accent5 2 8 2 2" xfId="15088" xr:uid="{00000000-0005-0000-0000-0000200D0000}"/>
    <cellStyle name="40% - Accent5 2 8 3" xfId="10870" xr:uid="{00000000-0005-0000-0000-0000210D0000}"/>
    <cellStyle name="40% - Accent5 2 9" xfId="4586" xr:uid="{00000000-0005-0000-0000-0000220D0000}"/>
    <cellStyle name="40% - Accent5 2 9 2" xfId="13022" xr:uid="{00000000-0005-0000-0000-0000230D0000}"/>
    <cellStyle name="40% - Accent5 3" xfId="86" xr:uid="{00000000-0005-0000-0000-0000240D0000}"/>
    <cellStyle name="40% - Accent5 3 2" xfId="87" xr:uid="{00000000-0005-0000-0000-0000250D0000}"/>
    <cellStyle name="40% - Accent5 3 2 2" xfId="656" xr:uid="{00000000-0005-0000-0000-0000260D0000}"/>
    <cellStyle name="40% - Accent5 3 2 2 2" xfId="2927" xr:uid="{00000000-0005-0000-0000-0000270D0000}"/>
    <cellStyle name="40% - Accent5 3 2 2 2 2" xfId="7150" xr:uid="{00000000-0005-0000-0000-0000280D0000}"/>
    <cellStyle name="40% - Accent5 3 2 2 2 2 2" xfId="15586" xr:uid="{00000000-0005-0000-0000-0000290D0000}"/>
    <cellStyle name="40% - Accent5 3 2 2 2 3" xfId="11368" xr:uid="{00000000-0005-0000-0000-00002A0D0000}"/>
    <cellStyle name="40% - Accent5 3 2 2 3" xfId="5005" xr:uid="{00000000-0005-0000-0000-00002B0D0000}"/>
    <cellStyle name="40% - Accent5 3 2 2 3 2" xfId="13441" xr:uid="{00000000-0005-0000-0000-00002C0D0000}"/>
    <cellStyle name="40% - Accent5 3 2 2 4" xfId="9223" xr:uid="{00000000-0005-0000-0000-00002D0D0000}"/>
    <cellStyle name="40% - Accent5 3 2 3" xfId="1109" xr:uid="{00000000-0005-0000-0000-00002E0D0000}"/>
    <cellStyle name="40% - Accent5 3 2 3 2" xfId="3340" xr:uid="{00000000-0005-0000-0000-00002F0D0000}"/>
    <cellStyle name="40% - Accent5 3 2 3 2 2" xfId="7563" xr:uid="{00000000-0005-0000-0000-0000300D0000}"/>
    <cellStyle name="40% - Accent5 3 2 3 2 2 2" xfId="15999" xr:uid="{00000000-0005-0000-0000-0000310D0000}"/>
    <cellStyle name="40% - Accent5 3 2 3 2 3" xfId="11781" xr:uid="{00000000-0005-0000-0000-0000320D0000}"/>
    <cellStyle name="40% - Accent5 3 2 3 3" xfId="5418" xr:uid="{00000000-0005-0000-0000-0000330D0000}"/>
    <cellStyle name="40% - Accent5 3 2 3 3 2" xfId="13854" xr:uid="{00000000-0005-0000-0000-0000340D0000}"/>
    <cellStyle name="40% - Accent5 3 2 3 4" xfId="9636" xr:uid="{00000000-0005-0000-0000-0000350D0000}"/>
    <cellStyle name="40% - Accent5 3 2 4" xfId="1523" xr:uid="{00000000-0005-0000-0000-0000360D0000}"/>
    <cellStyle name="40% - Accent5 3 2 4 2" xfId="3753" xr:uid="{00000000-0005-0000-0000-0000370D0000}"/>
    <cellStyle name="40% - Accent5 3 2 4 2 2" xfId="7976" xr:uid="{00000000-0005-0000-0000-0000380D0000}"/>
    <cellStyle name="40% - Accent5 3 2 4 2 2 2" xfId="16412" xr:uid="{00000000-0005-0000-0000-0000390D0000}"/>
    <cellStyle name="40% - Accent5 3 2 4 2 3" xfId="12194" xr:uid="{00000000-0005-0000-0000-00003A0D0000}"/>
    <cellStyle name="40% - Accent5 3 2 4 3" xfId="5831" xr:uid="{00000000-0005-0000-0000-00003B0D0000}"/>
    <cellStyle name="40% - Accent5 3 2 4 3 2" xfId="14267" xr:uid="{00000000-0005-0000-0000-00003C0D0000}"/>
    <cellStyle name="40% - Accent5 3 2 4 4" xfId="10049" xr:uid="{00000000-0005-0000-0000-00003D0D0000}"/>
    <cellStyle name="40% - Accent5 3 2 5" xfId="1937" xr:uid="{00000000-0005-0000-0000-00003E0D0000}"/>
    <cellStyle name="40% - Accent5 3 2 5 2" xfId="4166" xr:uid="{00000000-0005-0000-0000-00003F0D0000}"/>
    <cellStyle name="40% - Accent5 3 2 5 2 2" xfId="8389" xr:uid="{00000000-0005-0000-0000-0000400D0000}"/>
    <cellStyle name="40% - Accent5 3 2 5 2 2 2" xfId="16825" xr:uid="{00000000-0005-0000-0000-0000410D0000}"/>
    <cellStyle name="40% - Accent5 3 2 5 2 3" xfId="12607" xr:uid="{00000000-0005-0000-0000-0000420D0000}"/>
    <cellStyle name="40% - Accent5 3 2 5 3" xfId="6244" xr:uid="{00000000-0005-0000-0000-0000430D0000}"/>
    <cellStyle name="40% - Accent5 3 2 5 3 2" xfId="14680" xr:uid="{00000000-0005-0000-0000-0000440D0000}"/>
    <cellStyle name="40% - Accent5 3 2 5 4" xfId="10462" xr:uid="{00000000-0005-0000-0000-0000450D0000}"/>
    <cellStyle name="40% - Accent5 3 2 6" xfId="2350" xr:uid="{00000000-0005-0000-0000-0000460D0000}"/>
    <cellStyle name="40% - Accent5 3 2 6 2" xfId="6657" xr:uid="{00000000-0005-0000-0000-0000470D0000}"/>
    <cellStyle name="40% - Accent5 3 2 6 2 2" xfId="15093" xr:uid="{00000000-0005-0000-0000-0000480D0000}"/>
    <cellStyle name="40% - Accent5 3 2 6 3" xfId="10875" xr:uid="{00000000-0005-0000-0000-0000490D0000}"/>
    <cellStyle name="40% - Accent5 3 2 7" xfId="4591" xr:uid="{00000000-0005-0000-0000-00004A0D0000}"/>
    <cellStyle name="40% - Accent5 3 2 7 2" xfId="13027" xr:uid="{00000000-0005-0000-0000-00004B0D0000}"/>
    <cellStyle name="40% - Accent5 3 2 8" xfId="8809" xr:uid="{00000000-0005-0000-0000-00004C0D0000}"/>
    <cellStyle name="40% - Accent5 3 3" xfId="655" xr:uid="{00000000-0005-0000-0000-00004D0D0000}"/>
    <cellStyle name="40% - Accent5 3 3 2" xfId="2926" xr:uid="{00000000-0005-0000-0000-00004E0D0000}"/>
    <cellStyle name="40% - Accent5 3 3 2 2" xfId="7149" xr:uid="{00000000-0005-0000-0000-00004F0D0000}"/>
    <cellStyle name="40% - Accent5 3 3 2 2 2" xfId="15585" xr:uid="{00000000-0005-0000-0000-0000500D0000}"/>
    <cellStyle name="40% - Accent5 3 3 2 3" xfId="11367" xr:uid="{00000000-0005-0000-0000-0000510D0000}"/>
    <cellStyle name="40% - Accent5 3 3 3" xfId="5004" xr:uid="{00000000-0005-0000-0000-0000520D0000}"/>
    <cellStyle name="40% - Accent5 3 3 3 2" xfId="13440" xr:uid="{00000000-0005-0000-0000-0000530D0000}"/>
    <cellStyle name="40% - Accent5 3 3 4" xfId="9222" xr:uid="{00000000-0005-0000-0000-0000540D0000}"/>
    <cellStyle name="40% - Accent5 3 4" xfId="1108" xr:uid="{00000000-0005-0000-0000-0000550D0000}"/>
    <cellStyle name="40% - Accent5 3 4 2" xfId="3339" xr:uid="{00000000-0005-0000-0000-0000560D0000}"/>
    <cellStyle name="40% - Accent5 3 4 2 2" xfId="7562" xr:uid="{00000000-0005-0000-0000-0000570D0000}"/>
    <cellStyle name="40% - Accent5 3 4 2 2 2" xfId="15998" xr:uid="{00000000-0005-0000-0000-0000580D0000}"/>
    <cellStyle name="40% - Accent5 3 4 2 3" xfId="11780" xr:uid="{00000000-0005-0000-0000-0000590D0000}"/>
    <cellStyle name="40% - Accent5 3 4 3" xfId="5417" xr:uid="{00000000-0005-0000-0000-00005A0D0000}"/>
    <cellStyle name="40% - Accent5 3 4 3 2" xfId="13853" xr:uid="{00000000-0005-0000-0000-00005B0D0000}"/>
    <cellStyle name="40% - Accent5 3 4 4" xfId="9635" xr:uid="{00000000-0005-0000-0000-00005C0D0000}"/>
    <cellStyle name="40% - Accent5 3 5" xfId="1522" xr:uid="{00000000-0005-0000-0000-00005D0D0000}"/>
    <cellStyle name="40% - Accent5 3 5 2" xfId="3752" xr:uid="{00000000-0005-0000-0000-00005E0D0000}"/>
    <cellStyle name="40% - Accent5 3 5 2 2" xfId="7975" xr:uid="{00000000-0005-0000-0000-00005F0D0000}"/>
    <cellStyle name="40% - Accent5 3 5 2 2 2" xfId="16411" xr:uid="{00000000-0005-0000-0000-0000600D0000}"/>
    <cellStyle name="40% - Accent5 3 5 2 3" xfId="12193" xr:uid="{00000000-0005-0000-0000-0000610D0000}"/>
    <cellStyle name="40% - Accent5 3 5 3" xfId="5830" xr:uid="{00000000-0005-0000-0000-0000620D0000}"/>
    <cellStyle name="40% - Accent5 3 5 3 2" xfId="14266" xr:uid="{00000000-0005-0000-0000-0000630D0000}"/>
    <cellStyle name="40% - Accent5 3 5 4" xfId="10048" xr:uid="{00000000-0005-0000-0000-0000640D0000}"/>
    <cellStyle name="40% - Accent5 3 6" xfId="1936" xr:uid="{00000000-0005-0000-0000-0000650D0000}"/>
    <cellStyle name="40% - Accent5 3 6 2" xfId="4165" xr:uid="{00000000-0005-0000-0000-0000660D0000}"/>
    <cellStyle name="40% - Accent5 3 6 2 2" xfId="8388" xr:uid="{00000000-0005-0000-0000-0000670D0000}"/>
    <cellStyle name="40% - Accent5 3 6 2 2 2" xfId="16824" xr:uid="{00000000-0005-0000-0000-0000680D0000}"/>
    <cellStyle name="40% - Accent5 3 6 2 3" xfId="12606" xr:uid="{00000000-0005-0000-0000-0000690D0000}"/>
    <cellStyle name="40% - Accent5 3 6 3" xfId="6243" xr:uid="{00000000-0005-0000-0000-00006A0D0000}"/>
    <cellStyle name="40% - Accent5 3 6 3 2" xfId="14679" xr:uid="{00000000-0005-0000-0000-00006B0D0000}"/>
    <cellStyle name="40% - Accent5 3 6 4" xfId="10461" xr:uid="{00000000-0005-0000-0000-00006C0D0000}"/>
    <cellStyle name="40% - Accent5 3 7" xfId="2349" xr:uid="{00000000-0005-0000-0000-00006D0D0000}"/>
    <cellStyle name="40% - Accent5 3 7 2" xfId="6656" xr:uid="{00000000-0005-0000-0000-00006E0D0000}"/>
    <cellStyle name="40% - Accent5 3 7 2 2" xfId="15092" xr:uid="{00000000-0005-0000-0000-00006F0D0000}"/>
    <cellStyle name="40% - Accent5 3 7 3" xfId="10874" xr:uid="{00000000-0005-0000-0000-0000700D0000}"/>
    <cellStyle name="40% - Accent5 3 8" xfId="4590" xr:uid="{00000000-0005-0000-0000-0000710D0000}"/>
    <cellStyle name="40% - Accent5 3 8 2" xfId="13026" xr:uid="{00000000-0005-0000-0000-0000720D0000}"/>
    <cellStyle name="40% - Accent5 3 9" xfId="8808" xr:uid="{00000000-0005-0000-0000-0000730D0000}"/>
    <cellStyle name="40% - Accent5 4" xfId="88" xr:uid="{00000000-0005-0000-0000-0000740D0000}"/>
    <cellStyle name="40% - Accent5 4 2" xfId="657" xr:uid="{00000000-0005-0000-0000-0000750D0000}"/>
    <cellStyle name="40% - Accent5 4 2 2" xfId="2928" xr:uid="{00000000-0005-0000-0000-0000760D0000}"/>
    <cellStyle name="40% - Accent5 4 2 2 2" xfId="7151" xr:uid="{00000000-0005-0000-0000-0000770D0000}"/>
    <cellStyle name="40% - Accent5 4 2 2 2 2" xfId="15587" xr:uid="{00000000-0005-0000-0000-0000780D0000}"/>
    <cellStyle name="40% - Accent5 4 2 2 3" xfId="11369" xr:uid="{00000000-0005-0000-0000-0000790D0000}"/>
    <cellStyle name="40% - Accent5 4 2 3" xfId="5006" xr:uid="{00000000-0005-0000-0000-00007A0D0000}"/>
    <cellStyle name="40% - Accent5 4 2 3 2" xfId="13442" xr:uid="{00000000-0005-0000-0000-00007B0D0000}"/>
    <cellStyle name="40% - Accent5 4 2 4" xfId="9224" xr:uid="{00000000-0005-0000-0000-00007C0D0000}"/>
    <cellStyle name="40% - Accent5 4 3" xfId="1110" xr:uid="{00000000-0005-0000-0000-00007D0D0000}"/>
    <cellStyle name="40% - Accent5 4 3 2" xfId="3341" xr:uid="{00000000-0005-0000-0000-00007E0D0000}"/>
    <cellStyle name="40% - Accent5 4 3 2 2" xfId="7564" xr:uid="{00000000-0005-0000-0000-00007F0D0000}"/>
    <cellStyle name="40% - Accent5 4 3 2 2 2" xfId="16000" xr:uid="{00000000-0005-0000-0000-0000800D0000}"/>
    <cellStyle name="40% - Accent5 4 3 2 3" xfId="11782" xr:uid="{00000000-0005-0000-0000-0000810D0000}"/>
    <cellStyle name="40% - Accent5 4 3 3" xfId="5419" xr:uid="{00000000-0005-0000-0000-0000820D0000}"/>
    <cellStyle name="40% - Accent5 4 3 3 2" xfId="13855" xr:uid="{00000000-0005-0000-0000-0000830D0000}"/>
    <cellStyle name="40% - Accent5 4 3 4" xfId="9637" xr:uid="{00000000-0005-0000-0000-0000840D0000}"/>
    <cellStyle name="40% - Accent5 4 4" xfId="1524" xr:uid="{00000000-0005-0000-0000-0000850D0000}"/>
    <cellStyle name="40% - Accent5 4 4 2" xfId="3754" xr:uid="{00000000-0005-0000-0000-0000860D0000}"/>
    <cellStyle name="40% - Accent5 4 4 2 2" xfId="7977" xr:uid="{00000000-0005-0000-0000-0000870D0000}"/>
    <cellStyle name="40% - Accent5 4 4 2 2 2" xfId="16413" xr:uid="{00000000-0005-0000-0000-0000880D0000}"/>
    <cellStyle name="40% - Accent5 4 4 2 3" xfId="12195" xr:uid="{00000000-0005-0000-0000-0000890D0000}"/>
    <cellStyle name="40% - Accent5 4 4 3" xfId="5832" xr:uid="{00000000-0005-0000-0000-00008A0D0000}"/>
    <cellStyle name="40% - Accent5 4 4 3 2" xfId="14268" xr:uid="{00000000-0005-0000-0000-00008B0D0000}"/>
    <cellStyle name="40% - Accent5 4 4 4" xfId="10050" xr:uid="{00000000-0005-0000-0000-00008C0D0000}"/>
    <cellStyle name="40% - Accent5 4 5" xfId="1938" xr:uid="{00000000-0005-0000-0000-00008D0D0000}"/>
    <cellStyle name="40% - Accent5 4 5 2" xfId="4167" xr:uid="{00000000-0005-0000-0000-00008E0D0000}"/>
    <cellStyle name="40% - Accent5 4 5 2 2" xfId="8390" xr:uid="{00000000-0005-0000-0000-00008F0D0000}"/>
    <cellStyle name="40% - Accent5 4 5 2 2 2" xfId="16826" xr:uid="{00000000-0005-0000-0000-0000900D0000}"/>
    <cellStyle name="40% - Accent5 4 5 2 3" xfId="12608" xr:uid="{00000000-0005-0000-0000-0000910D0000}"/>
    <cellStyle name="40% - Accent5 4 5 3" xfId="6245" xr:uid="{00000000-0005-0000-0000-0000920D0000}"/>
    <cellStyle name="40% - Accent5 4 5 3 2" xfId="14681" xr:uid="{00000000-0005-0000-0000-0000930D0000}"/>
    <cellStyle name="40% - Accent5 4 5 4" xfId="10463" xr:uid="{00000000-0005-0000-0000-0000940D0000}"/>
    <cellStyle name="40% - Accent5 4 6" xfId="2351" xr:uid="{00000000-0005-0000-0000-0000950D0000}"/>
    <cellStyle name="40% - Accent5 4 6 2" xfId="6658" xr:uid="{00000000-0005-0000-0000-0000960D0000}"/>
    <cellStyle name="40% - Accent5 4 6 2 2" xfId="15094" xr:uid="{00000000-0005-0000-0000-0000970D0000}"/>
    <cellStyle name="40% - Accent5 4 6 3" xfId="10876" xr:uid="{00000000-0005-0000-0000-0000980D0000}"/>
    <cellStyle name="40% - Accent5 4 7" xfId="4592" xr:uid="{00000000-0005-0000-0000-0000990D0000}"/>
    <cellStyle name="40% - Accent5 4 7 2" xfId="13028" xr:uid="{00000000-0005-0000-0000-00009A0D0000}"/>
    <cellStyle name="40% - Accent5 4 8" xfId="8810" xr:uid="{00000000-0005-0000-0000-00009B0D0000}"/>
    <cellStyle name="40% - Accent5 5" xfId="650" xr:uid="{00000000-0005-0000-0000-00009C0D0000}"/>
    <cellStyle name="40% - Accent5 5 2" xfId="2921" xr:uid="{00000000-0005-0000-0000-00009D0D0000}"/>
    <cellStyle name="40% - Accent5 5 2 2" xfId="7144" xr:uid="{00000000-0005-0000-0000-00009E0D0000}"/>
    <cellStyle name="40% - Accent5 5 2 2 2" xfId="15580" xr:uid="{00000000-0005-0000-0000-00009F0D0000}"/>
    <cellStyle name="40% - Accent5 5 2 3" xfId="11362" xr:uid="{00000000-0005-0000-0000-0000A00D0000}"/>
    <cellStyle name="40% - Accent5 5 3" xfId="4999" xr:uid="{00000000-0005-0000-0000-0000A10D0000}"/>
    <cellStyle name="40% - Accent5 5 3 2" xfId="13435" xr:uid="{00000000-0005-0000-0000-0000A20D0000}"/>
    <cellStyle name="40% - Accent5 5 4" xfId="9217" xr:uid="{00000000-0005-0000-0000-0000A30D0000}"/>
    <cellStyle name="40% - Accent5 6" xfId="1103" xr:uid="{00000000-0005-0000-0000-0000A40D0000}"/>
    <cellStyle name="40% - Accent5 6 2" xfId="3334" xr:uid="{00000000-0005-0000-0000-0000A50D0000}"/>
    <cellStyle name="40% - Accent5 6 2 2" xfId="7557" xr:uid="{00000000-0005-0000-0000-0000A60D0000}"/>
    <cellStyle name="40% - Accent5 6 2 2 2" xfId="15993" xr:uid="{00000000-0005-0000-0000-0000A70D0000}"/>
    <cellStyle name="40% - Accent5 6 2 3" xfId="11775" xr:uid="{00000000-0005-0000-0000-0000A80D0000}"/>
    <cellStyle name="40% - Accent5 6 3" xfId="5412" xr:uid="{00000000-0005-0000-0000-0000A90D0000}"/>
    <cellStyle name="40% - Accent5 6 3 2" xfId="13848" xr:uid="{00000000-0005-0000-0000-0000AA0D0000}"/>
    <cellStyle name="40% - Accent5 6 4" xfId="9630" xr:uid="{00000000-0005-0000-0000-0000AB0D0000}"/>
    <cellStyle name="40% - Accent5 7" xfId="1517" xr:uid="{00000000-0005-0000-0000-0000AC0D0000}"/>
    <cellStyle name="40% - Accent5 7 2" xfId="3747" xr:uid="{00000000-0005-0000-0000-0000AD0D0000}"/>
    <cellStyle name="40% - Accent5 7 2 2" xfId="7970" xr:uid="{00000000-0005-0000-0000-0000AE0D0000}"/>
    <cellStyle name="40% - Accent5 7 2 2 2" xfId="16406" xr:uid="{00000000-0005-0000-0000-0000AF0D0000}"/>
    <cellStyle name="40% - Accent5 7 2 3" xfId="12188" xr:uid="{00000000-0005-0000-0000-0000B00D0000}"/>
    <cellStyle name="40% - Accent5 7 3" xfId="5825" xr:uid="{00000000-0005-0000-0000-0000B10D0000}"/>
    <cellStyle name="40% - Accent5 7 3 2" xfId="14261" xr:uid="{00000000-0005-0000-0000-0000B20D0000}"/>
    <cellStyle name="40% - Accent5 7 4" xfId="10043" xr:uid="{00000000-0005-0000-0000-0000B30D0000}"/>
    <cellStyle name="40% - Accent5 8" xfId="1931" xr:uid="{00000000-0005-0000-0000-0000B40D0000}"/>
    <cellStyle name="40% - Accent5 8 2" xfId="4160" xr:uid="{00000000-0005-0000-0000-0000B50D0000}"/>
    <cellStyle name="40% - Accent5 8 2 2" xfId="8383" xr:uid="{00000000-0005-0000-0000-0000B60D0000}"/>
    <cellStyle name="40% - Accent5 8 2 2 2" xfId="16819" xr:uid="{00000000-0005-0000-0000-0000B70D0000}"/>
    <cellStyle name="40% - Accent5 8 2 3" xfId="12601" xr:uid="{00000000-0005-0000-0000-0000B80D0000}"/>
    <cellStyle name="40% - Accent5 8 3" xfId="6238" xr:uid="{00000000-0005-0000-0000-0000B90D0000}"/>
    <cellStyle name="40% - Accent5 8 3 2" xfId="14674" xr:uid="{00000000-0005-0000-0000-0000BA0D0000}"/>
    <cellStyle name="40% - Accent5 8 4" xfId="10456" xr:uid="{00000000-0005-0000-0000-0000BB0D0000}"/>
    <cellStyle name="40% - Accent5 9" xfId="2344" xr:uid="{00000000-0005-0000-0000-0000BC0D0000}"/>
    <cellStyle name="40% - Accent5 9 2" xfId="6651" xr:uid="{00000000-0005-0000-0000-0000BD0D0000}"/>
    <cellStyle name="40% - Accent5 9 2 2" xfId="15087" xr:uid="{00000000-0005-0000-0000-0000BE0D0000}"/>
    <cellStyle name="40% - Accent5 9 3" xfId="10869" xr:uid="{00000000-0005-0000-0000-0000BF0D0000}"/>
    <cellStyle name="40% - Accent6" xfId="89" builtinId="51" customBuiltin="1"/>
    <cellStyle name="40% - Accent6 10" xfId="4593" xr:uid="{00000000-0005-0000-0000-0000C10D0000}"/>
    <cellStyle name="40% - Accent6 10 2" xfId="13029" xr:uid="{00000000-0005-0000-0000-0000C20D0000}"/>
    <cellStyle name="40% - Accent6 11" xfId="8811" xr:uid="{00000000-0005-0000-0000-0000C30D0000}"/>
    <cellStyle name="40% - Accent6 2" xfId="90" xr:uid="{00000000-0005-0000-0000-0000C40D0000}"/>
    <cellStyle name="40% - Accent6 2 10" xfId="8812" xr:uid="{00000000-0005-0000-0000-0000C50D0000}"/>
    <cellStyle name="40% - Accent6 2 2" xfId="91" xr:uid="{00000000-0005-0000-0000-0000C60D0000}"/>
    <cellStyle name="40% - Accent6 2 2 2" xfId="92" xr:uid="{00000000-0005-0000-0000-0000C70D0000}"/>
    <cellStyle name="40% - Accent6 2 2 2 2" xfId="661" xr:uid="{00000000-0005-0000-0000-0000C80D0000}"/>
    <cellStyle name="40% - Accent6 2 2 2 2 2" xfId="2932" xr:uid="{00000000-0005-0000-0000-0000C90D0000}"/>
    <cellStyle name="40% - Accent6 2 2 2 2 2 2" xfId="7155" xr:uid="{00000000-0005-0000-0000-0000CA0D0000}"/>
    <cellStyle name="40% - Accent6 2 2 2 2 2 2 2" xfId="15591" xr:uid="{00000000-0005-0000-0000-0000CB0D0000}"/>
    <cellStyle name="40% - Accent6 2 2 2 2 2 3" xfId="11373" xr:uid="{00000000-0005-0000-0000-0000CC0D0000}"/>
    <cellStyle name="40% - Accent6 2 2 2 2 3" xfId="5010" xr:uid="{00000000-0005-0000-0000-0000CD0D0000}"/>
    <cellStyle name="40% - Accent6 2 2 2 2 3 2" xfId="13446" xr:uid="{00000000-0005-0000-0000-0000CE0D0000}"/>
    <cellStyle name="40% - Accent6 2 2 2 2 4" xfId="9228" xr:uid="{00000000-0005-0000-0000-0000CF0D0000}"/>
    <cellStyle name="40% - Accent6 2 2 2 3" xfId="1114" xr:uid="{00000000-0005-0000-0000-0000D00D0000}"/>
    <cellStyle name="40% - Accent6 2 2 2 3 2" xfId="3345" xr:uid="{00000000-0005-0000-0000-0000D10D0000}"/>
    <cellStyle name="40% - Accent6 2 2 2 3 2 2" xfId="7568" xr:uid="{00000000-0005-0000-0000-0000D20D0000}"/>
    <cellStyle name="40% - Accent6 2 2 2 3 2 2 2" xfId="16004" xr:uid="{00000000-0005-0000-0000-0000D30D0000}"/>
    <cellStyle name="40% - Accent6 2 2 2 3 2 3" xfId="11786" xr:uid="{00000000-0005-0000-0000-0000D40D0000}"/>
    <cellStyle name="40% - Accent6 2 2 2 3 3" xfId="5423" xr:uid="{00000000-0005-0000-0000-0000D50D0000}"/>
    <cellStyle name="40% - Accent6 2 2 2 3 3 2" xfId="13859" xr:uid="{00000000-0005-0000-0000-0000D60D0000}"/>
    <cellStyle name="40% - Accent6 2 2 2 3 4" xfId="9641" xr:uid="{00000000-0005-0000-0000-0000D70D0000}"/>
    <cellStyle name="40% - Accent6 2 2 2 4" xfId="1528" xr:uid="{00000000-0005-0000-0000-0000D80D0000}"/>
    <cellStyle name="40% - Accent6 2 2 2 4 2" xfId="3758" xr:uid="{00000000-0005-0000-0000-0000D90D0000}"/>
    <cellStyle name="40% - Accent6 2 2 2 4 2 2" xfId="7981" xr:uid="{00000000-0005-0000-0000-0000DA0D0000}"/>
    <cellStyle name="40% - Accent6 2 2 2 4 2 2 2" xfId="16417" xr:uid="{00000000-0005-0000-0000-0000DB0D0000}"/>
    <cellStyle name="40% - Accent6 2 2 2 4 2 3" xfId="12199" xr:uid="{00000000-0005-0000-0000-0000DC0D0000}"/>
    <cellStyle name="40% - Accent6 2 2 2 4 3" xfId="5836" xr:uid="{00000000-0005-0000-0000-0000DD0D0000}"/>
    <cellStyle name="40% - Accent6 2 2 2 4 3 2" xfId="14272" xr:uid="{00000000-0005-0000-0000-0000DE0D0000}"/>
    <cellStyle name="40% - Accent6 2 2 2 4 4" xfId="10054" xr:uid="{00000000-0005-0000-0000-0000DF0D0000}"/>
    <cellStyle name="40% - Accent6 2 2 2 5" xfId="1942" xr:uid="{00000000-0005-0000-0000-0000E00D0000}"/>
    <cellStyle name="40% - Accent6 2 2 2 5 2" xfId="4171" xr:uid="{00000000-0005-0000-0000-0000E10D0000}"/>
    <cellStyle name="40% - Accent6 2 2 2 5 2 2" xfId="8394" xr:uid="{00000000-0005-0000-0000-0000E20D0000}"/>
    <cellStyle name="40% - Accent6 2 2 2 5 2 2 2" xfId="16830" xr:uid="{00000000-0005-0000-0000-0000E30D0000}"/>
    <cellStyle name="40% - Accent6 2 2 2 5 2 3" xfId="12612" xr:uid="{00000000-0005-0000-0000-0000E40D0000}"/>
    <cellStyle name="40% - Accent6 2 2 2 5 3" xfId="6249" xr:uid="{00000000-0005-0000-0000-0000E50D0000}"/>
    <cellStyle name="40% - Accent6 2 2 2 5 3 2" xfId="14685" xr:uid="{00000000-0005-0000-0000-0000E60D0000}"/>
    <cellStyle name="40% - Accent6 2 2 2 5 4" xfId="10467" xr:uid="{00000000-0005-0000-0000-0000E70D0000}"/>
    <cellStyle name="40% - Accent6 2 2 2 6" xfId="2355" xr:uid="{00000000-0005-0000-0000-0000E80D0000}"/>
    <cellStyle name="40% - Accent6 2 2 2 6 2" xfId="6662" xr:uid="{00000000-0005-0000-0000-0000E90D0000}"/>
    <cellStyle name="40% - Accent6 2 2 2 6 2 2" xfId="15098" xr:uid="{00000000-0005-0000-0000-0000EA0D0000}"/>
    <cellStyle name="40% - Accent6 2 2 2 6 3" xfId="10880" xr:uid="{00000000-0005-0000-0000-0000EB0D0000}"/>
    <cellStyle name="40% - Accent6 2 2 2 7" xfId="4596" xr:uid="{00000000-0005-0000-0000-0000EC0D0000}"/>
    <cellStyle name="40% - Accent6 2 2 2 7 2" xfId="13032" xr:uid="{00000000-0005-0000-0000-0000ED0D0000}"/>
    <cellStyle name="40% - Accent6 2 2 2 8" xfId="8814" xr:uid="{00000000-0005-0000-0000-0000EE0D0000}"/>
    <cellStyle name="40% - Accent6 2 2 3" xfId="660" xr:uid="{00000000-0005-0000-0000-0000EF0D0000}"/>
    <cellStyle name="40% - Accent6 2 2 3 2" xfId="2931" xr:uid="{00000000-0005-0000-0000-0000F00D0000}"/>
    <cellStyle name="40% - Accent6 2 2 3 2 2" xfId="7154" xr:uid="{00000000-0005-0000-0000-0000F10D0000}"/>
    <cellStyle name="40% - Accent6 2 2 3 2 2 2" xfId="15590" xr:uid="{00000000-0005-0000-0000-0000F20D0000}"/>
    <cellStyle name="40% - Accent6 2 2 3 2 3" xfId="11372" xr:uid="{00000000-0005-0000-0000-0000F30D0000}"/>
    <cellStyle name="40% - Accent6 2 2 3 3" xfId="5009" xr:uid="{00000000-0005-0000-0000-0000F40D0000}"/>
    <cellStyle name="40% - Accent6 2 2 3 3 2" xfId="13445" xr:uid="{00000000-0005-0000-0000-0000F50D0000}"/>
    <cellStyle name="40% - Accent6 2 2 3 4" xfId="9227" xr:uid="{00000000-0005-0000-0000-0000F60D0000}"/>
    <cellStyle name="40% - Accent6 2 2 4" xfId="1113" xr:uid="{00000000-0005-0000-0000-0000F70D0000}"/>
    <cellStyle name="40% - Accent6 2 2 4 2" xfId="3344" xr:uid="{00000000-0005-0000-0000-0000F80D0000}"/>
    <cellStyle name="40% - Accent6 2 2 4 2 2" xfId="7567" xr:uid="{00000000-0005-0000-0000-0000F90D0000}"/>
    <cellStyle name="40% - Accent6 2 2 4 2 2 2" xfId="16003" xr:uid="{00000000-0005-0000-0000-0000FA0D0000}"/>
    <cellStyle name="40% - Accent6 2 2 4 2 3" xfId="11785" xr:uid="{00000000-0005-0000-0000-0000FB0D0000}"/>
    <cellStyle name="40% - Accent6 2 2 4 3" xfId="5422" xr:uid="{00000000-0005-0000-0000-0000FC0D0000}"/>
    <cellStyle name="40% - Accent6 2 2 4 3 2" xfId="13858" xr:uid="{00000000-0005-0000-0000-0000FD0D0000}"/>
    <cellStyle name="40% - Accent6 2 2 4 4" xfId="9640" xr:uid="{00000000-0005-0000-0000-0000FE0D0000}"/>
    <cellStyle name="40% - Accent6 2 2 5" xfId="1527" xr:uid="{00000000-0005-0000-0000-0000FF0D0000}"/>
    <cellStyle name="40% - Accent6 2 2 5 2" xfId="3757" xr:uid="{00000000-0005-0000-0000-0000000E0000}"/>
    <cellStyle name="40% - Accent6 2 2 5 2 2" xfId="7980" xr:uid="{00000000-0005-0000-0000-0000010E0000}"/>
    <cellStyle name="40% - Accent6 2 2 5 2 2 2" xfId="16416" xr:uid="{00000000-0005-0000-0000-0000020E0000}"/>
    <cellStyle name="40% - Accent6 2 2 5 2 3" xfId="12198" xr:uid="{00000000-0005-0000-0000-0000030E0000}"/>
    <cellStyle name="40% - Accent6 2 2 5 3" xfId="5835" xr:uid="{00000000-0005-0000-0000-0000040E0000}"/>
    <cellStyle name="40% - Accent6 2 2 5 3 2" xfId="14271" xr:uid="{00000000-0005-0000-0000-0000050E0000}"/>
    <cellStyle name="40% - Accent6 2 2 5 4" xfId="10053" xr:uid="{00000000-0005-0000-0000-0000060E0000}"/>
    <cellStyle name="40% - Accent6 2 2 6" xfId="1941" xr:uid="{00000000-0005-0000-0000-0000070E0000}"/>
    <cellStyle name="40% - Accent6 2 2 6 2" xfId="4170" xr:uid="{00000000-0005-0000-0000-0000080E0000}"/>
    <cellStyle name="40% - Accent6 2 2 6 2 2" xfId="8393" xr:uid="{00000000-0005-0000-0000-0000090E0000}"/>
    <cellStyle name="40% - Accent6 2 2 6 2 2 2" xfId="16829" xr:uid="{00000000-0005-0000-0000-00000A0E0000}"/>
    <cellStyle name="40% - Accent6 2 2 6 2 3" xfId="12611" xr:uid="{00000000-0005-0000-0000-00000B0E0000}"/>
    <cellStyle name="40% - Accent6 2 2 6 3" xfId="6248" xr:uid="{00000000-0005-0000-0000-00000C0E0000}"/>
    <cellStyle name="40% - Accent6 2 2 6 3 2" xfId="14684" xr:uid="{00000000-0005-0000-0000-00000D0E0000}"/>
    <cellStyle name="40% - Accent6 2 2 6 4" xfId="10466" xr:uid="{00000000-0005-0000-0000-00000E0E0000}"/>
    <cellStyle name="40% - Accent6 2 2 7" xfId="2354" xr:uid="{00000000-0005-0000-0000-00000F0E0000}"/>
    <cellStyle name="40% - Accent6 2 2 7 2" xfId="6661" xr:uid="{00000000-0005-0000-0000-0000100E0000}"/>
    <cellStyle name="40% - Accent6 2 2 7 2 2" xfId="15097" xr:uid="{00000000-0005-0000-0000-0000110E0000}"/>
    <cellStyle name="40% - Accent6 2 2 7 3" xfId="10879" xr:uid="{00000000-0005-0000-0000-0000120E0000}"/>
    <cellStyle name="40% - Accent6 2 2 8" xfId="4595" xr:uid="{00000000-0005-0000-0000-0000130E0000}"/>
    <cellStyle name="40% - Accent6 2 2 8 2" xfId="13031" xr:uid="{00000000-0005-0000-0000-0000140E0000}"/>
    <cellStyle name="40% - Accent6 2 2 9" xfId="8813" xr:uid="{00000000-0005-0000-0000-0000150E0000}"/>
    <cellStyle name="40% - Accent6 2 3" xfId="93" xr:uid="{00000000-0005-0000-0000-0000160E0000}"/>
    <cellStyle name="40% - Accent6 2 3 2" xfId="662" xr:uid="{00000000-0005-0000-0000-0000170E0000}"/>
    <cellStyle name="40% - Accent6 2 3 2 2" xfId="2933" xr:uid="{00000000-0005-0000-0000-0000180E0000}"/>
    <cellStyle name="40% - Accent6 2 3 2 2 2" xfId="7156" xr:uid="{00000000-0005-0000-0000-0000190E0000}"/>
    <cellStyle name="40% - Accent6 2 3 2 2 2 2" xfId="15592" xr:uid="{00000000-0005-0000-0000-00001A0E0000}"/>
    <cellStyle name="40% - Accent6 2 3 2 2 3" xfId="11374" xr:uid="{00000000-0005-0000-0000-00001B0E0000}"/>
    <cellStyle name="40% - Accent6 2 3 2 3" xfId="5011" xr:uid="{00000000-0005-0000-0000-00001C0E0000}"/>
    <cellStyle name="40% - Accent6 2 3 2 3 2" xfId="13447" xr:uid="{00000000-0005-0000-0000-00001D0E0000}"/>
    <cellStyle name="40% - Accent6 2 3 2 4" xfId="9229" xr:uid="{00000000-0005-0000-0000-00001E0E0000}"/>
    <cellStyle name="40% - Accent6 2 3 3" xfId="1115" xr:uid="{00000000-0005-0000-0000-00001F0E0000}"/>
    <cellStyle name="40% - Accent6 2 3 3 2" xfId="3346" xr:uid="{00000000-0005-0000-0000-0000200E0000}"/>
    <cellStyle name="40% - Accent6 2 3 3 2 2" xfId="7569" xr:uid="{00000000-0005-0000-0000-0000210E0000}"/>
    <cellStyle name="40% - Accent6 2 3 3 2 2 2" xfId="16005" xr:uid="{00000000-0005-0000-0000-0000220E0000}"/>
    <cellStyle name="40% - Accent6 2 3 3 2 3" xfId="11787" xr:uid="{00000000-0005-0000-0000-0000230E0000}"/>
    <cellStyle name="40% - Accent6 2 3 3 3" xfId="5424" xr:uid="{00000000-0005-0000-0000-0000240E0000}"/>
    <cellStyle name="40% - Accent6 2 3 3 3 2" xfId="13860" xr:uid="{00000000-0005-0000-0000-0000250E0000}"/>
    <cellStyle name="40% - Accent6 2 3 3 4" xfId="9642" xr:uid="{00000000-0005-0000-0000-0000260E0000}"/>
    <cellStyle name="40% - Accent6 2 3 4" xfId="1529" xr:uid="{00000000-0005-0000-0000-0000270E0000}"/>
    <cellStyle name="40% - Accent6 2 3 4 2" xfId="3759" xr:uid="{00000000-0005-0000-0000-0000280E0000}"/>
    <cellStyle name="40% - Accent6 2 3 4 2 2" xfId="7982" xr:uid="{00000000-0005-0000-0000-0000290E0000}"/>
    <cellStyle name="40% - Accent6 2 3 4 2 2 2" xfId="16418" xr:uid="{00000000-0005-0000-0000-00002A0E0000}"/>
    <cellStyle name="40% - Accent6 2 3 4 2 3" xfId="12200" xr:uid="{00000000-0005-0000-0000-00002B0E0000}"/>
    <cellStyle name="40% - Accent6 2 3 4 3" xfId="5837" xr:uid="{00000000-0005-0000-0000-00002C0E0000}"/>
    <cellStyle name="40% - Accent6 2 3 4 3 2" xfId="14273" xr:uid="{00000000-0005-0000-0000-00002D0E0000}"/>
    <cellStyle name="40% - Accent6 2 3 4 4" xfId="10055" xr:uid="{00000000-0005-0000-0000-00002E0E0000}"/>
    <cellStyle name="40% - Accent6 2 3 5" xfId="1943" xr:uid="{00000000-0005-0000-0000-00002F0E0000}"/>
    <cellStyle name="40% - Accent6 2 3 5 2" xfId="4172" xr:uid="{00000000-0005-0000-0000-0000300E0000}"/>
    <cellStyle name="40% - Accent6 2 3 5 2 2" xfId="8395" xr:uid="{00000000-0005-0000-0000-0000310E0000}"/>
    <cellStyle name="40% - Accent6 2 3 5 2 2 2" xfId="16831" xr:uid="{00000000-0005-0000-0000-0000320E0000}"/>
    <cellStyle name="40% - Accent6 2 3 5 2 3" xfId="12613" xr:uid="{00000000-0005-0000-0000-0000330E0000}"/>
    <cellStyle name="40% - Accent6 2 3 5 3" xfId="6250" xr:uid="{00000000-0005-0000-0000-0000340E0000}"/>
    <cellStyle name="40% - Accent6 2 3 5 3 2" xfId="14686" xr:uid="{00000000-0005-0000-0000-0000350E0000}"/>
    <cellStyle name="40% - Accent6 2 3 5 4" xfId="10468" xr:uid="{00000000-0005-0000-0000-0000360E0000}"/>
    <cellStyle name="40% - Accent6 2 3 6" xfId="2356" xr:uid="{00000000-0005-0000-0000-0000370E0000}"/>
    <cellStyle name="40% - Accent6 2 3 6 2" xfId="6663" xr:uid="{00000000-0005-0000-0000-0000380E0000}"/>
    <cellStyle name="40% - Accent6 2 3 6 2 2" xfId="15099" xr:uid="{00000000-0005-0000-0000-0000390E0000}"/>
    <cellStyle name="40% - Accent6 2 3 6 3" xfId="10881" xr:uid="{00000000-0005-0000-0000-00003A0E0000}"/>
    <cellStyle name="40% - Accent6 2 3 7" xfId="4597" xr:uid="{00000000-0005-0000-0000-00003B0E0000}"/>
    <cellStyle name="40% - Accent6 2 3 7 2" xfId="13033" xr:uid="{00000000-0005-0000-0000-00003C0E0000}"/>
    <cellStyle name="40% - Accent6 2 3 8" xfId="8815" xr:uid="{00000000-0005-0000-0000-00003D0E0000}"/>
    <cellStyle name="40% - Accent6 2 4" xfId="659" xr:uid="{00000000-0005-0000-0000-00003E0E0000}"/>
    <cellStyle name="40% - Accent6 2 4 2" xfId="2930" xr:uid="{00000000-0005-0000-0000-00003F0E0000}"/>
    <cellStyle name="40% - Accent6 2 4 2 2" xfId="7153" xr:uid="{00000000-0005-0000-0000-0000400E0000}"/>
    <cellStyle name="40% - Accent6 2 4 2 2 2" xfId="15589" xr:uid="{00000000-0005-0000-0000-0000410E0000}"/>
    <cellStyle name="40% - Accent6 2 4 2 3" xfId="11371" xr:uid="{00000000-0005-0000-0000-0000420E0000}"/>
    <cellStyle name="40% - Accent6 2 4 3" xfId="5008" xr:uid="{00000000-0005-0000-0000-0000430E0000}"/>
    <cellStyle name="40% - Accent6 2 4 3 2" xfId="13444" xr:uid="{00000000-0005-0000-0000-0000440E0000}"/>
    <cellStyle name="40% - Accent6 2 4 4" xfId="9226" xr:uid="{00000000-0005-0000-0000-0000450E0000}"/>
    <cellStyle name="40% - Accent6 2 5" xfId="1112" xr:uid="{00000000-0005-0000-0000-0000460E0000}"/>
    <cellStyle name="40% - Accent6 2 5 2" xfId="3343" xr:uid="{00000000-0005-0000-0000-0000470E0000}"/>
    <cellStyle name="40% - Accent6 2 5 2 2" xfId="7566" xr:uid="{00000000-0005-0000-0000-0000480E0000}"/>
    <cellStyle name="40% - Accent6 2 5 2 2 2" xfId="16002" xr:uid="{00000000-0005-0000-0000-0000490E0000}"/>
    <cellStyle name="40% - Accent6 2 5 2 3" xfId="11784" xr:uid="{00000000-0005-0000-0000-00004A0E0000}"/>
    <cellStyle name="40% - Accent6 2 5 3" xfId="5421" xr:uid="{00000000-0005-0000-0000-00004B0E0000}"/>
    <cellStyle name="40% - Accent6 2 5 3 2" xfId="13857" xr:uid="{00000000-0005-0000-0000-00004C0E0000}"/>
    <cellStyle name="40% - Accent6 2 5 4" xfId="9639" xr:uid="{00000000-0005-0000-0000-00004D0E0000}"/>
    <cellStyle name="40% - Accent6 2 6" xfId="1526" xr:uid="{00000000-0005-0000-0000-00004E0E0000}"/>
    <cellStyle name="40% - Accent6 2 6 2" xfId="3756" xr:uid="{00000000-0005-0000-0000-00004F0E0000}"/>
    <cellStyle name="40% - Accent6 2 6 2 2" xfId="7979" xr:uid="{00000000-0005-0000-0000-0000500E0000}"/>
    <cellStyle name="40% - Accent6 2 6 2 2 2" xfId="16415" xr:uid="{00000000-0005-0000-0000-0000510E0000}"/>
    <cellStyle name="40% - Accent6 2 6 2 3" xfId="12197" xr:uid="{00000000-0005-0000-0000-0000520E0000}"/>
    <cellStyle name="40% - Accent6 2 6 3" xfId="5834" xr:uid="{00000000-0005-0000-0000-0000530E0000}"/>
    <cellStyle name="40% - Accent6 2 6 3 2" xfId="14270" xr:uid="{00000000-0005-0000-0000-0000540E0000}"/>
    <cellStyle name="40% - Accent6 2 6 4" xfId="10052" xr:uid="{00000000-0005-0000-0000-0000550E0000}"/>
    <cellStyle name="40% - Accent6 2 7" xfId="1940" xr:uid="{00000000-0005-0000-0000-0000560E0000}"/>
    <cellStyle name="40% - Accent6 2 7 2" xfId="4169" xr:uid="{00000000-0005-0000-0000-0000570E0000}"/>
    <cellStyle name="40% - Accent6 2 7 2 2" xfId="8392" xr:uid="{00000000-0005-0000-0000-0000580E0000}"/>
    <cellStyle name="40% - Accent6 2 7 2 2 2" xfId="16828" xr:uid="{00000000-0005-0000-0000-0000590E0000}"/>
    <cellStyle name="40% - Accent6 2 7 2 3" xfId="12610" xr:uid="{00000000-0005-0000-0000-00005A0E0000}"/>
    <cellStyle name="40% - Accent6 2 7 3" xfId="6247" xr:uid="{00000000-0005-0000-0000-00005B0E0000}"/>
    <cellStyle name="40% - Accent6 2 7 3 2" xfId="14683" xr:uid="{00000000-0005-0000-0000-00005C0E0000}"/>
    <cellStyle name="40% - Accent6 2 7 4" xfId="10465" xr:uid="{00000000-0005-0000-0000-00005D0E0000}"/>
    <cellStyle name="40% - Accent6 2 8" xfId="2353" xr:uid="{00000000-0005-0000-0000-00005E0E0000}"/>
    <cellStyle name="40% - Accent6 2 8 2" xfId="6660" xr:uid="{00000000-0005-0000-0000-00005F0E0000}"/>
    <cellStyle name="40% - Accent6 2 8 2 2" xfId="15096" xr:uid="{00000000-0005-0000-0000-0000600E0000}"/>
    <cellStyle name="40% - Accent6 2 8 3" xfId="10878" xr:uid="{00000000-0005-0000-0000-0000610E0000}"/>
    <cellStyle name="40% - Accent6 2 9" xfId="4594" xr:uid="{00000000-0005-0000-0000-0000620E0000}"/>
    <cellStyle name="40% - Accent6 2 9 2" xfId="13030" xr:uid="{00000000-0005-0000-0000-0000630E0000}"/>
    <cellStyle name="40% - Accent6 3" xfId="94" xr:uid="{00000000-0005-0000-0000-0000640E0000}"/>
    <cellStyle name="40% - Accent6 3 2" xfId="95" xr:uid="{00000000-0005-0000-0000-0000650E0000}"/>
    <cellStyle name="40% - Accent6 3 2 2" xfId="664" xr:uid="{00000000-0005-0000-0000-0000660E0000}"/>
    <cellStyle name="40% - Accent6 3 2 2 2" xfId="2935" xr:uid="{00000000-0005-0000-0000-0000670E0000}"/>
    <cellStyle name="40% - Accent6 3 2 2 2 2" xfId="7158" xr:uid="{00000000-0005-0000-0000-0000680E0000}"/>
    <cellStyle name="40% - Accent6 3 2 2 2 2 2" xfId="15594" xr:uid="{00000000-0005-0000-0000-0000690E0000}"/>
    <cellStyle name="40% - Accent6 3 2 2 2 3" xfId="11376" xr:uid="{00000000-0005-0000-0000-00006A0E0000}"/>
    <cellStyle name="40% - Accent6 3 2 2 3" xfId="5013" xr:uid="{00000000-0005-0000-0000-00006B0E0000}"/>
    <cellStyle name="40% - Accent6 3 2 2 3 2" xfId="13449" xr:uid="{00000000-0005-0000-0000-00006C0E0000}"/>
    <cellStyle name="40% - Accent6 3 2 2 4" xfId="9231" xr:uid="{00000000-0005-0000-0000-00006D0E0000}"/>
    <cellStyle name="40% - Accent6 3 2 3" xfId="1117" xr:uid="{00000000-0005-0000-0000-00006E0E0000}"/>
    <cellStyle name="40% - Accent6 3 2 3 2" xfId="3348" xr:uid="{00000000-0005-0000-0000-00006F0E0000}"/>
    <cellStyle name="40% - Accent6 3 2 3 2 2" xfId="7571" xr:uid="{00000000-0005-0000-0000-0000700E0000}"/>
    <cellStyle name="40% - Accent6 3 2 3 2 2 2" xfId="16007" xr:uid="{00000000-0005-0000-0000-0000710E0000}"/>
    <cellStyle name="40% - Accent6 3 2 3 2 3" xfId="11789" xr:uid="{00000000-0005-0000-0000-0000720E0000}"/>
    <cellStyle name="40% - Accent6 3 2 3 3" xfId="5426" xr:uid="{00000000-0005-0000-0000-0000730E0000}"/>
    <cellStyle name="40% - Accent6 3 2 3 3 2" xfId="13862" xr:uid="{00000000-0005-0000-0000-0000740E0000}"/>
    <cellStyle name="40% - Accent6 3 2 3 4" xfId="9644" xr:uid="{00000000-0005-0000-0000-0000750E0000}"/>
    <cellStyle name="40% - Accent6 3 2 4" xfId="1531" xr:uid="{00000000-0005-0000-0000-0000760E0000}"/>
    <cellStyle name="40% - Accent6 3 2 4 2" xfId="3761" xr:uid="{00000000-0005-0000-0000-0000770E0000}"/>
    <cellStyle name="40% - Accent6 3 2 4 2 2" xfId="7984" xr:uid="{00000000-0005-0000-0000-0000780E0000}"/>
    <cellStyle name="40% - Accent6 3 2 4 2 2 2" xfId="16420" xr:uid="{00000000-0005-0000-0000-0000790E0000}"/>
    <cellStyle name="40% - Accent6 3 2 4 2 3" xfId="12202" xr:uid="{00000000-0005-0000-0000-00007A0E0000}"/>
    <cellStyle name="40% - Accent6 3 2 4 3" xfId="5839" xr:uid="{00000000-0005-0000-0000-00007B0E0000}"/>
    <cellStyle name="40% - Accent6 3 2 4 3 2" xfId="14275" xr:uid="{00000000-0005-0000-0000-00007C0E0000}"/>
    <cellStyle name="40% - Accent6 3 2 4 4" xfId="10057" xr:uid="{00000000-0005-0000-0000-00007D0E0000}"/>
    <cellStyle name="40% - Accent6 3 2 5" xfId="1945" xr:uid="{00000000-0005-0000-0000-00007E0E0000}"/>
    <cellStyle name="40% - Accent6 3 2 5 2" xfId="4174" xr:uid="{00000000-0005-0000-0000-00007F0E0000}"/>
    <cellStyle name="40% - Accent6 3 2 5 2 2" xfId="8397" xr:uid="{00000000-0005-0000-0000-0000800E0000}"/>
    <cellStyle name="40% - Accent6 3 2 5 2 2 2" xfId="16833" xr:uid="{00000000-0005-0000-0000-0000810E0000}"/>
    <cellStyle name="40% - Accent6 3 2 5 2 3" xfId="12615" xr:uid="{00000000-0005-0000-0000-0000820E0000}"/>
    <cellStyle name="40% - Accent6 3 2 5 3" xfId="6252" xr:uid="{00000000-0005-0000-0000-0000830E0000}"/>
    <cellStyle name="40% - Accent6 3 2 5 3 2" xfId="14688" xr:uid="{00000000-0005-0000-0000-0000840E0000}"/>
    <cellStyle name="40% - Accent6 3 2 5 4" xfId="10470" xr:uid="{00000000-0005-0000-0000-0000850E0000}"/>
    <cellStyle name="40% - Accent6 3 2 6" xfId="2358" xr:uid="{00000000-0005-0000-0000-0000860E0000}"/>
    <cellStyle name="40% - Accent6 3 2 6 2" xfId="6665" xr:uid="{00000000-0005-0000-0000-0000870E0000}"/>
    <cellStyle name="40% - Accent6 3 2 6 2 2" xfId="15101" xr:uid="{00000000-0005-0000-0000-0000880E0000}"/>
    <cellStyle name="40% - Accent6 3 2 6 3" xfId="10883" xr:uid="{00000000-0005-0000-0000-0000890E0000}"/>
    <cellStyle name="40% - Accent6 3 2 7" xfId="4599" xr:uid="{00000000-0005-0000-0000-00008A0E0000}"/>
    <cellStyle name="40% - Accent6 3 2 7 2" xfId="13035" xr:uid="{00000000-0005-0000-0000-00008B0E0000}"/>
    <cellStyle name="40% - Accent6 3 2 8" xfId="8817" xr:uid="{00000000-0005-0000-0000-00008C0E0000}"/>
    <cellStyle name="40% - Accent6 3 3" xfId="663" xr:uid="{00000000-0005-0000-0000-00008D0E0000}"/>
    <cellStyle name="40% - Accent6 3 3 2" xfId="2934" xr:uid="{00000000-0005-0000-0000-00008E0E0000}"/>
    <cellStyle name="40% - Accent6 3 3 2 2" xfId="7157" xr:uid="{00000000-0005-0000-0000-00008F0E0000}"/>
    <cellStyle name="40% - Accent6 3 3 2 2 2" xfId="15593" xr:uid="{00000000-0005-0000-0000-0000900E0000}"/>
    <cellStyle name="40% - Accent6 3 3 2 3" xfId="11375" xr:uid="{00000000-0005-0000-0000-0000910E0000}"/>
    <cellStyle name="40% - Accent6 3 3 3" xfId="5012" xr:uid="{00000000-0005-0000-0000-0000920E0000}"/>
    <cellStyle name="40% - Accent6 3 3 3 2" xfId="13448" xr:uid="{00000000-0005-0000-0000-0000930E0000}"/>
    <cellStyle name="40% - Accent6 3 3 4" xfId="9230" xr:uid="{00000000-0005-0000-0000-0000940E0000}"/>
    <cellStyle name="40% - Accent6 3 4" xfId="1116" xr:uid="{00000000-0005-0000-0000-0000950E0000}"/>
    <cellStyle name="40% - Accent6 3 4 2" xfId="3347" xr:uid="{00000000-0005-0000-0000-0000960E0000}"/>
    <cellStyle name="40% - Accent6 3 4 2 2" xfId="7570" xr:uid="{00000000-0005-0000-0000-0000970E0000}"/>
    <cellStyle name="40% - Accent6 3 4 2 2 2" xfId="16006" xr:uid="{00000000-0005-0000-0000-0000980E0000}"/>
    <cellStyle name="40% - Accent6 3 4 2 3" xfId="11788" xr:uid="{00000000-0005-0000-0000-0000990E0000}"/>
    <cellStyle name="40% - Accent6 3 4 3" xfId="5425" xr:uid="{00000000-0005-0000-0000-00009A0E0000}"/>
    <cellStyle name="40% - Accent6 3 4 3 2" xfId="13861" xr:uid="{00000000-0005-0000-0000-00009B0E0000}"/>
    <cellStyle name="40% - Accent6 3 4 4" xfId="9643" xr:uid="{00000000-0005-0000-0000-00009C0E0000}"/>
    <cellStyle name="40% - Accent6 3 5" xfId="1530" xr:uid="{00000000-0005-0000-0000-00009D0E0000}"/>
    <cellStyle name="40% - Accent6 3 5 2" xfId="3760" xr:uid="{00000000-0005-0000-0000-00009E0E0000}"/>
    <cellStyle name="40% - Accent6 3 5 2 2" xfId="7983" xr:uid="{00000000-0005-0000-0000-00009F0E0000}"/>
    <cellStyle name="40% - Accent6 3 5 2 2 2" xfId="16419" xr:uid="{00000000-0005-0000-0000-0000A00E0000}"/>
    <cellStyle name="40% - Accent6 3 5 2 3" xfId="12201" xr:uid="{00000000-0005-0000-0000-0000A10E0000}"/>
    <cellStyle name="40% - Accent6 3 5 3" xfId="5838" xr:uid="{00000000-0005-0000-0000-0000A20E0000}"/>
    <cellStyle name="40% - Accent6 3 5 3 2" xfId="14274" xr:uid="{00000000-0005-0000-0000-0000A30E0000}"/>
    <cellStyle name="40% - Accent6 3 5 4" xfId="10056" xr:uid="{00000000-0005-0000-0000-0000A40E0000}"/>
    <cellStyle name="40% - Accent6 3 6" xfId="1944" xr:uid="{00000000-0005-0000-0000-0000A50E0000}"/>
    <cellStyle name="40% - Accent6 3 6 2" xfId="4173" xr:uid="{00000000-0005-0000-0000-0000A60E0000}"/>
    <cellStyle name="40% - Accent6 3 6 2 2" xfId="8396" xr:uid="{00000000-0005-0000-0000-0000A70E0000}"/>
    <cellStyle name="40% - Accent6 3 6 2 2 2" xfId="16832" xr:uid="{00000000-0005-0000-0000-0000A80E0000}"/>
    <cellStyle name="40% - Accent6 3 6 2 3" xfId="12614" xr:uid="{00000000-0005-0000-0000-0000A90E0000}"/>
    <cellStyle name="40% - Accent6 3 6 3" xfId="6251" xr:uid="{00000000-0005-0000-0000-0000AA0E0000}"/>
    <cellStyle name="40% - Accent6 3 6 3 2" xfId="14687" xr:uid="{00000000-0005-0000-0000-0000AB0E0000}"/>
    <cellStyle name="40% - Accent6 3 6 4" xfId="10469" xr:uid="{00000000-0005-0000-0000-0000AC0E0000}"/>
    <cellStyle name="40% - Accent6 3 7" xfId="2357" xr:uid="{00000000-0005-0000-0000-0000AD0E0000}"/>
    <cellStyle name="40% - Accent6 3 7 2" xfId="6664" xr:uid="{00000000-0005-0000-0000-0000AE0E0000}"/>
    <cellStyle name="40% - Accent6 3 7 2 2" xfId="15100" xr:uid="{00000000-0005-0000-0000-0000AF0E0000}"/>
    <cellStyle name="40% - Accent6 3 7 3" xfId="10882" xr:uid="{00000000-0005-0000-0000-0000B00E0000}"/>
    <cellStyle name="40% - Accent6 3 8" xfId="4598" xr:uid="{00000000-0005-0000-0000-0000B10E0000}"/>
    <cellStyle name="40% - Accent6 3 8 2" xfId="13034" xr:uid="{00000000-0005-0000-0000-0000B20E0000}"/>
    <cellStyle name="40% - Accent6 3 9" xfId="8816" xr:uid="{00000000-0005-0000-0000-0000B30E0000}"/>
    <cellStyle name="40% - Accent6 4" xfId="96" xr:uid="{00000000-0005-0000-0000-0000B40E0000}"/>
    <cellStyle name="40% - Accent6 4 2" xfId="665" xr:uid="{00000000-0005-0000-0000-0000B50E0000}"/>
    <cellStyle name="40% - Accent6 4 2 2" xfId="2936" xr:uid="{00000000-0005-0000-0000-0000B60E0000}"/>
    <cellStyle name="40% - Accent6 4 2 2 2" xfId="7159" xr:uid="{00000000-0005-0000-0000-0000B70E0000}"/>
    <cellStyle name="40% - Accent6 4 2 2 2 2" xfId="15595" xr:uid="{00000000-0005-0000-0000-0000B80E0000}"/>
    <cellStyle name="40% - Accent6 4 2 2 3" xfId="11377" xr:uid="{00000000-0005-0000-0000-0000B90E0000}"/>
    <cellStyle name="40% - Accent6 4 2 3" xfId="5014" xr:uid="{00000000-0005-0000-0000-0000BA0E0000}"/>
    <cellStyle name="40% - Accent6 4 2 3 2" xfId="13450" xr:uid="{00000000-0005-0000-0000-0000BB0E0000}"/>
    <cellStyle name="40% - Accent6 4 2 4" xfId="9232" xr:uid="{00000000-0005-0000-0000-0000BC0E0000}"/>
    <cellStyle name="40% - Accent6 4 3" xfId="1118" xr:uid="{00000000-0005-0000-0000-0000BD0E0000}"/>
    <cellStyle name="40% - Accent6 4 3 2" xfId="3349" xr:uid="{00000000-0005-0000-0000-0000BE0E0000}"/>
    <cellStyle name="40% - Accent6 4 3 2 2" xfId="7572" xr:uid="{00000000-0005-0000-0000-0000BF0E0000}"/>
    <cellStyle name="40% - Accent6 4 3 2 2 2" xfId="16008" xr:uid="{00000000-0005-0000-0000-0000C00E0000}"/>
    <cellStyle name="40% - Accent6 4 3 2 3" xfId="11790" xr:uid="{00000000-0005-0000-0000-0000C10E0000}"/>
    <cellStyle name="40% - Accent6 4 3 3" xfId="5427" xr:uid="{00000000-0005-0000-0000-0000C20E0000}"/>
    <cellStyle name="40% - Accent6 4 3 3 2" xfId="13863" xr:uid="{00000000-0005-0000-0000-0000C30E0000}"/>
    <cellStyle name="40% - Accent6 4 3 4" xfId="9645" xr:uid="{00000000-0005-0000-0000-0000C40E0000}"/>
    <cellStyle name="40% - Accent6 4 4" xfId="1532" xr:uid="{00000000-0005-0000-0000-0000C50E0000}"/>
    <cellStyle name="40% - Accent6 4 4 2" xfId="3762" xr:uid="{00000000-0005-0000-0000-0000C60E0000}"/>
    <cellStyle name="40% - Accent6 4 4 2 2" xfId="7985" xr:uid="{00000000-0005-0000-0000-0000C70E0000}"/>
    <cellStyle name="40% - Accent6 4 4 2 2 2" xfId="16421" xr:uid="{00000000-0005-0000-0000-0000C80E0000}"/>
    <cellStyle name="40% - Accent6 4 4 2 3" xfId="12203" xr:uid="{00000000-0005-0000-0000-0000C90E0000}"/>
    <cellStyle name="40% - Accent6 4 4 3" xfId="5840" xr:uid="{00000000-0005-0000-0000-0000CA0E0000}"/>
    <cellStyle name="40% - Accent6 4 4 3 2" xfId="14276" xr:uid="{00000000-0005-0000-0000-0000CB0E0000}"/>
    <cellStyle name="40% - Accent6 4 4 4" xfId="10058" xr:uid="{00000000-0005-0000-0000-0000CC0E0000}"/>
    <cellStyle name="40% - Accent6 4 5" xfId="1946" xr:uid="{00000000-0005-0000-0000-0000CD0E0000}"/>
    <cellStyle name="40% - Accent6 4 5 2" xfId="4175" xr:uid="{00000000-0005-0000-0000-0000CE0E0000}"/>
    <cellStyle name="40% - Accent6 4 5 2 2" xfId="8398" xr:uid="{00000000-0005-0000-0000-0000CF0E0000}"/>
    <cellStyle name="40% - Accent6 4 5 2 2 2" xfId="16834" xr:uid="{00000000-0005-0000-0000-0000D00E0000}"/>
    <cellStyle name="40% - Accent6 4 5 2 3" xfId="12616" xr:uid="{00000000-0005-0000-0000-0000D10E0000}"/>
    <cellStyle name="40% - Accent6 4 5 3" xfId="6253" xr:uid="{00000000-0005-0000-0000-0000D20E0000}"/>
    <cellStyle name="40% - Accent6 4 5 3 2" xfId="14689" xr:uid="{00000000-0005-0000-0000-0000D30E0000}"/>
    <cellStyle name="40% - Accent6 4 5 4" xfId="10471" xr:uid="{00000000-0005-0000-0000-0000D40E0000}"/>
    <cellStyle name="40% - Accent6 4 6" xfId="2359" xr:uid="{00000000-0005-0000-0000-0000D50E0000}"/>
    <cellStyle name="40% - Accent6 4 6 2" xfId="6666" xr:uid="{00000000-0005-0000-0000-0000D60E0000}"/>
    <cellStyle name="40% - Accent6 4 6 2 2" xfId="15102" xr:uid="{00000000-0005-0000-0000-0000D70E0000}"/>
    <cellStyle name="40% - Accent6 4 6 3" xfId="10884" xr:uid="{00000000-0005-0000-0000-0000D80E0000}"/>
    <cellStyle name="40% - Accent6 4 7" xfId="4600" xr:uid="{00000000-0005-0000-0000-0000D90E0000}"/>
    <cellStyle name="40% - Accent6 4 7 2" xfId="13036" xr:uid="{00000000-0005-0000-0000-0000DA0E0000}"/>
    <cellStyle name="40% - Accent6 4 8" xfId="8818" xr:uid="{00000000-0005-0000-0000-0000DB0E0000}"/>
    <cellStyle name="40% - Accent6 5" xfId="658" xr:uid="{00000000-0005-0000-0000-0000DC0E0000}"/>
    <cellStyle name="40% - Accent6 5 2" xfId="2929" xr:uid="{00000000-0005-0000-0000-0000DD0E0000}"/>
    <cellStyle name="40% - Accent6 5 2 2" xfId="7152" xr:uid="{00000000-0005-0000-0000-0000DE0E0000}"/>
    <cellStyle name="40% - Accent6 5 2 2 2" xfId="15588" xr:uid="{00000000-0005-0000-0000-0000DF0E0000}"/>
    <cellStyle name="40% - Accent6 5 2 3" xfId="11370" xr:uid="{00000000-0005-0000-0000-0000E00E0000}"/>
    <cellStyle name="40% - Accent6 5 3" xfId="5007" xr:uid="{00000000-0005-0000-0000-0000E10E0000}"/>
    <cellStyle name="40% - Accent6 5 3 2" xfId="13443" xr:uid="{00000000-0005-0000-0000-0000E20E0000}"/>
    <cellStyle name="40% - Accent6 5 4" xfId="9225" xr:uid="{00000000-0005-0000-0000-0000E30E0000}"/>
    <cellStyle name="40% - Accent6 6" xfId="1111" xr:uid="{00000000-0005-0000-0000-0000E40E0000}"/>
    <cellStyle name="40% - Accent6 6 2" xfId="3342" xr:uid="{00000000-0005-0000-0000-0000E50E0000}"/>
    <cellStyle name="40% - Accent6 6 2 2" xfId="7565" xr:uid="{00000000-0005-0000-0000-0000E60E0000}"/>
    <cellStyle name="40% - Accent6 6 2 2 2" xfId="16001" xr:uid="{00000000-0005-0000-0000-0000E70E0000}"/>
    <cellStyle name="40% - Accent6 6 2 3" xfId="11783" xr:uid="{00000000-0005-0000-0000-0000E80E0000}"/>
    <cellStyle name="40% - Accent6 6 3" xfId="5420" xr:uid="{00000000-0005-0000-0000-0000E90E0000}"/>
    <cellStyle name="40% - Accent6 6 3 2" xfId="13856" xr:uid="{00000000-0005-0000-0000-0000EA0E0000}"/>
    <cellStyle name="40% - Accent6 6 4" xfId="9638" xr:uid="{00000000-0005-0000-0000-0000EB0E0000}"/>
    <cellStyle name="40% - Accent6 7" xfId="1525" xr:uid="{00000000-0005-0000-0000-0000EC0E0000}"/>
    <cellStyle name="40% - Accent6 7 2" xfId="3755" xr:uid="{00000000-0005-0000-0000-0000ED0E0000}"/>
    <cellStyle name="40% - Accent6 7 2 2" xfId="7978" xr:uid="{00000000-0005-0000-0000-0000EE0E0000}"/>
    <cellStyle name="40% - Accent6 7 2 2 2" xfId="16414" xr:uid="{00000000-0005-0000-0000-0000EF0E0000}"/>
    <cellStyle name="40% - Accent6 7 2 3" xfId="12196" xr:uid="{00000000-0005-0000-0000-0000F00E0000}"/>
    <cellStyle name="40% - Accent6 7 3" xfId="5833" xr:uid="{00000000-0005-0000-0000-0000F10E0000}"/>
    <cellStyle name="40% - Accent6 7 3 2" xfId="14269" xr:uid="{00000000-0005-0000-0000-0000F20E0000}"/>
    <cellStyle name="40% - Accent6 7 4" xfId="10051" xr:uid="{00000000-0005-0000-0000-0000F30E0000}"/>
    <cellStyle name="40% - Accent6 8" xfId="1939" xr:uid="{00000000-0005-0000-0000-0000F40E0000}"/>
    <cellStyle name="40% - Accent6 8 2" xfId="4168" xr:uid="{00000000-0005-0000-0000-0000F50E0000}"/>
    <cellStyle name="40% - Accent6 8 2 2" xfId="8391" xr:uid="{00000000-0005-0000-0000-0000F60E0000}"/>
    <cellStyle name="40% - Accent6 8 2 2 2" xfId="16827" xr:uid="{00000000-0005-0000-0000-0000F70E0000}"/>
    <cellStyle name="40% - Accent6 8 2 3" xfId="12609" xr:uid="{00000000-0005-0000-0000-0000F80E0000}"/>
    <cellStyle name="40% - Accent6 8 3" xfId="6246" xr:uid="{00000000-0005-0000-0000-0000F90E0000}"/>
    <cellStyle name="40% - Accent6 8 3 2" xfId="14682" xr:uid="{00000000-0005-0000-0000-0000FA0E0000}"/>
    <cellStyle name="40% - Accent6 8 4" xfId="10464" xr:uid="{00000000-0005-0000-0000-0000FB0E0000}"/>
    <cellStyle name="40% - Accent6 9" xfId="2352" xr:uid="{00000000-0005-0000-0000-0000FC0E0000}"/>
    <cellStyle name="40% - Accent6 9 2" xfId="6659" xr:uid="{00000000-0005-0000-0000-0000FD0E0000}"/>
    <cellStyle name="40% - Accent6 9 2 2" xfId="15095" xr:uid="{00000000-0005-0000-0000-0000FE0E0000}"/>
    <cellStyle name="40% - Accent6 9 3" xfId="10877" xr:uid="{00000000-0005-0000-0000-0000FF0E0000}"/>
    <cellStyle name="60% - Accent1" xfId="97" builtinId="32" customBuiltin="1"/>
    <cellStyle name="60% - Accent1 2" xfId="98" xr:uid="{00000000-0005-0000-0000-0000010F0000}"/>
    <cellStyle name="60% - Accent2" xfId="99" builtinId="36" customBuiltin="1"/>
    <cellStyle name="60% - Accent3" xfId="100" builtinId="40" customBuiltin="1"/>
    <cellStyle name="60% - Accent3 2" xfId="101" xr:uid="{00000000-0005-0000-0000-0000040F0000}"/>
    <cellStyle name="60% - Accent4" xfId="102" builtinId="44" customBuiltin="1"/>
    <cellStyle name="60% - Accent4 2" xfId="103" xr:uid="{00000000-0005-0000-0000-0000060F0000}"/>
    <cellStyle name="60% - Accent5" xfId="104" builtinId="48" customBuiltin="1"/>
    <cellStyle name="60% - Accent6" xfId="105" builtinId="52" customBuiltin="1"/>
    <cellStyle name="60% - Accent6 2" xfId="106" xr:uid="{00000000-0005-0000-0000-0000090F0000}"/>
    <cellStyle name="Accent1" xfId="107" builtinId="29" customBuiltin="1"/>
    <cellStyle name="Accent1 2" xfId="108" xr:uid="{00000000-0005-0000-0000-00000B0F0000}"/>
    <cellStyle name="Accent2" xfId="109" builtinId="33" customBuiltin="1"/>
    <cellStyle name="Accent2 2" xfId="110" xr:uid="{00000000-0005-0000-0000-00000D0F0000}"/>
    <cellStyle name="Accent3" xfId="111" builtinId="37" customBuiltin="1"/>
    <cellStyle name="Accent3 2" xfId="112" xr:uid="{00000000-0005-0000-0000-00000F0F0000}"/>
    <cellStyle name="Accent4" xfId="113" builtinId="41" customBuiltin="1"/>
    <cellStyle name="Accent4 2" xfId="114" xr:uid="{00000000-0005-0000-0000-0000110F0000}"/>
    <cellStyle name="Accent5" xfId="115" builtinId="45" customBuiltin="1"/>
    <cellStyle name="Accent6" xfId="116" builtinId="49" customBuiltin="1"/>
    <cellStyle name="Bad" xfId="117" builtinId="27" customBuiltin="1"/>
    <cellStyle name="Bad 2" xfId="118" xr:uid="{00000000-0005-0000-0000-0000150F0000}"/>
    <cellStyle name="Calculation" xfId="119" builtinId="22" customBuiltin="1"/>
    <cellStyle name="Calculation 2" xfId="120" xr:uid="{00000000-0005-0000-0000-0000170F0000}"/>
    <cellStyle name="Check Cell" xfId="121" builtinId="23" customBuiltin="1"/>
    <cellStyle name="Comma" xfId="4504" builtinId="3"/>
    <cellStyle name="Comma 2" xfId="122" xr:uid="{00000000-0005-0000-0000-00001A0F0000}"/>
    <cellStyle name="Comma 2 2" xfId="123" xr:uid="{00000000-0005-0000-0000-00001B0F0000}"/>
    <cellStyle name="Comma 3" xfId="124" xr:uid="{00000000-0005-0000-0000-00001C0F0000}"/>
    <cellStyle name="Comma 4" xfId="125" xr:uid="{00000000-0005-0000-0000-00001D0F0000}"/>
    <cellStyle name="Comma 4 2" xfId="126" xr:uid="{00000000-0005-0000-0000-00001E0F0000}"/>
    <cellStyle name="Comma 4 2 2" xfId="127" xr:uid="{00000000-0005-0000-0000-00001F0F0000}"/>
    <cellStyle name="Comma 4 2 2 2" xfId="128" xr:uid="{00000000-0005-0000-0000-0000200F0000}"/>
    <cellStyle name="Comma 4 2 2 2 10" xfId="2760" xr:uid="{00000000-0005-0000-0000-0000210F0000}"/>
    <cellStyle name="Comma 4 2 2 2 10 2" xfId="6984" xr:uid="{00000000-0005-0000-0000-0000220F0000}"/>
    <cellStyle name="Comma 4 2 2 2 10 2 2" xfId="15420" xr:uid="{00000000-0005-0000-0000-0000230F0000}"/>
    <cellStyle name="Comma 4 2 2 2 10 3" xfId="11202" xr:uid="{00000000-0005-0000-0000-0000240F0000}"/>
    <cellStyle name="Comma 4 2 2 2 11" xfId="4601" xr:uid="{00000000-0005-0000-0000-0000250F0000}"/>
    <cellStyle name="Comma 4 2 2 2 11 2" xfId="13037" xr:uid="{00000000-0005-0000-0000-0000260F0000}"/>
    <cellStyle name="Comma 4 2 2 2 12" xfId="8819" xr:uid="{00000000-0005-0000-0000-0000270F0000}"/>
    <cellStyle name="Comma 4 2 2 2 2" xfId="129" xr:uid="{00000000-0005-0000-0000-0000280F0000}"/>
    <cellStyle name="Comma 4 2 2 2 2 10" xfId="4602" xr:uid="{00000000-0005-0000-0000-0000290F0000}"/>
    <cellStyle name="Comma 4 2 2 2 2 10 2" xfId="13038" xr:uid="{00000000-0005-0000-0000-00002A0F0000}"/>
    <cellStyle name="Comma 4 2 2 2 2 11" xfId="8820" xr:uid="{00000000-0005-0000-0000-00002B0F0000}"/>
    <cellStyle name="Comma 4 2 2 2 2 2" xfId="130" xr:uid="{00000000-0005-0000-0000-00002C0F0000}"/>
    <cellStyle name="Comma 4 2 2 2 2 2 10" xfId="8821" xr:uid="{00000000-0005-0000-0000-00002D0F0000}"/>
    <cellStyle name="Comma 4 2 2 2 2 2 2" xfId="668" xr:uid="{00000000-0005-0000-0000-00002E0F0000}"/>
    <cellStyle name="Comma 4 2 2 2 2 2 2 2" xfId="2939" xr:uid="{00000000-0005-0000-0000-00002F0F0000}"/>
    <cellStyle name="Comma 4 2 2 2 2 2 2 2 2" xfId="7162" xr:uid="{00000000-0005-0000-0000-0000300F0000}"/>
    <cellStyle name="Comma 4 2 2 2 2 2 2 2 2 2" xfId="15598" xr:uid="{00000000-0005-0000-0000-0000310F0000}"/>
    <cellStyle name="Comma 4 2 2 2 2 2 2 2 3" xfId="11380" xr:uid="{00000000-0005-0000-0000-0000320F0000}"/>
    <cellStyle name="Comma 4 2 2 2 2 2 2 3" xfId="5017" xr:uid="{00000000-0005-0000-0000-0000330F0000}"/>
    <cellStyle name="Comma 4 2 2 2 2 2 2 3 2" xfId="13453" xr:uid="{00000000-0005-0000-0000-0000340F0000}"/>
    <cellStyle name="Comma 4 2 2 2 2 2 2 4" xfId="9235" xr:uid="{00000000-0005-0000-0000-0000350F0000}"/>
    <cellStyle name="Comma 4 2 2 2 2 2 3" xfId="1121" xr:uid="{00000000-0005-0000-0000-0000360F0000}"/>
    <cellStyle name="Comma 4 2 2 2 2 2 3 2" xfId="3352" xr:uid="{00000000-0005-0000-0000-0000370F0000}"/>
    <cellStyle name="Comma 4 2 2 2 2 2 3 2 2" xfId="7575" xr:uid="{00000000-0005-0000-0000-0000380F0000}"/>
    <cellStyle name="Comma 4 2 2 2 2 2 3 2 2 2" xfId="16011" xr:uid="{00000000-0005-0000-0000-0000390F0000}"/>
    <cellStyle name="Comma 4 2 2 2 2 2 3 2 3" xfId="11793" xr:uid="{00000000-0005-0000-0000-00003A0F0000}"/>
    <cellStyle name="Comma 4 2 2 2 2 2 3 3" xfId="5430" xr:uid="{00000000-0005-0000-0000-00003B0F0000}"/>
    <cellStyle name="Comma 4 2 2 2 2 2 3 3 2" xfId="13866" xr:uid="{00000000-0005-0000-0000-00003C0F0000}"/>
    <cellStyle name="Comma 4 2 2 2 2 2 3 4" xfId="9648" xr:uid="{00000000-0005-0000-0000-00003D0F0000}"/>
    <cellStyle name="Comma 4 2 2 2 2 2 4" xfId="1535" xr:uid="{00000000-0005-0000-0000-00003E0F0000}"/>
    <cellStyle name="Comma 4 2 2 2 2 2 4 2" xfId="3765" xr:uid="{00000000-0005-0000-0000-00003F0F0000}"/>
    <cellStyle name="Comma 4 2 2 2 2 2 4 2 2" xfId="7988" xr:uid="{00000000-0005-0000-0000-0000400F0000}"/>
    <cellStyle name="Comma 4 2 2 2 2 2 4 2 2 2" xfId="16424" xr:uid="{00000000-0005-0000-0000-0000410F0000}"/>
    <cellStyle name="Comma 4 2 2 2 2 2 4 2 3" xfId="12206" xr:uid="{00000000-0005-0000-0000-0000420F0000}"/>
    <cellStyle name="Comma 4 2 2 2 2 2 4 3" xfId="5843" xr:uid="{00000000-0005-0000-0000-0000430F0000}"/>
    <cellStyle name="Comma 4 2 2 2 2 2 4 3 2" xfId="14279" xr:uid="{00000000-0005-0000-0000-0000440F0000}"/>
    <cellStyle name="Comma 4 2 2 2 2 2 4 4" xfId="10061" xr:uid="{00000000-0005-0000-0000-0000450F0000}"/>
    <cellStyle name="Comma 4 2 2 2 2 2 5" xfId="1949" xr:uid="{00000000-0005-0000-0000-0000460F0000}"/>
    <cellStyle name="Comma 4 2 2 2 2 2 5 2" xfId="4178" xr:uid="{00000000-0005-0000-0000-0000470F0000}"/>
    <cellStyle name="Comma 4 2 2 2 2 2 5 2 2" xfId="8401" xr:uid="{00000000-0005-0000-0000-0000480F0000}"/>
    <cellStyle name="Comma 4 2 2 2 2 2 5 2 2 2" xfId="16837" xr:uid="{00000000-0005-0000-0000-0000490F0000}"/>
    <cellStyle name="Comma 4 2 2 2 2 2 5 2 3" xfId="12619" xr:uid="{00000000-0005-0000-0000-00004A0F0000}"/>
    <cellStyle name="Comma 4 2 2 2 2 2 5 3" xfId="6256" xr:uid="{00000000-0005-0000-0000-00004B0F0000}"/>
    <cellStyle name="Comma 4 2 2 2 2 2 5 3 2" xfId="14692" xr:uid="{00000000-0005-0000-0000-00004C0F0000}"/>
    <cellStyle name="Comma 4 2 2 2 2 2 5 4" xfId="10474" xr:uid="{00000000-0005-0000-0000-00004D0F0000}"/>
    <cellStyle name="Comma 4 2 2 2 2 2 6" xfId="2384" xr:uid="{00000000-0005-0000-0000-00004E0F0000}"/>
    <cellStyle name="Comma 4 2 2 2 2 2 6 2" xfId="6669" xr:uid="{00000000-0005-0000-0000-00004F0F0000}"/>
    <cellStyle name="Comma 4 2 2 2 2 2 6 2 2" xfId="15105" xr:uid="{00000000-0005-0000-0000-0000500F0000}"/>
    <cellStyle name="Comma 4 2 2 2 2 2 6 3" xfId="10887" xr:uid="{00000000-0005-0000-0000-0000510F0000}"/>
    <cellStyle name="Comma 4 2 2 2 2 2 7" xfId="2379" xr:uid="{00000000-0005-0000-0000-0000520F0000}"/>
    <cellStyle name="Comma 4 2 2 2 2 2 8" xfId="2762" xr:uid="{00000000-0005-0000-0000-0000530F0000}"/>
    <cellStyle name="Comma 4 2 2 2 2 2 8 2" xfId="6986" xr:uid="{00000000-0005-0000-0000-0000540F0000}"/>
    <cellStyle name="Comma 4 2 2 2 2 2 8 2 2" xfId="15422" xr:uid="{00000000-0005-0000-0000-0000550F0000}"/>
    <cellStyle name="Comma 4 2 2 2 2 2 8 3" xfId="11204" xr:uid="{00000000-0005-0000-0000-0000560F0000}"/>
    <cellStyle name="Comma 4 2 2 2 2 2 9" xfId="4603" xr:uid="{00000000-0005-0000-0000-0000570F0000}"/>
    <cellStyle name="Comma 4 2 2 2 2 2 9 2" xfId="13039" xr:uid="{00000000-0005-0000-0000-0000580F0000}"/>
    <cellStyle name="Comma 4 2 2 2 2 3" xfId="667" xr:uid="{00000000-0005-0000-0000-0000590F0000}"/>
    <cellStyle name="Comma 4 2 2 2 2 3 2" xfId="2938" xr:uid="{00000000-0005-0000-0000-00005A0F0000}"/>
    <cellStyle name="Comma 4 2 2 2 2 3 2 2" xfId="7161" xr:uid="{00000000-0005-0000-0000-00005B0F0000}"/>
    <cellStyle name="Comma 4 2 2 2 2 3 2 2 2" xfId="15597" xr:uid="{00000000-0005-0000-0000-00005C0F0000}"/>
    <cellStyle name="Comma 4 2 2 2 2 3 2 3" xfId="11379" xr:uid="{00000000-0005-0000-0000-00005D0F0000}"/>
    <cellStyle name="Comma 4 2 2 2 2 3 3" xfId="5016" xr:uid="{00000000-0005-0000-0000-00005E0F0000}"/>
    <cellStyle name="Comma 4 2 2 2 2 3 3 2" xfId="13452" xr:uid="{00000000-0005-0000-0000-00005F0F0000}"/>
    <cellStyle name="Comma 4 2 2 2 2 3 4" xfId="9234" xr:uid="{00000000-0005-0000-0000-0000600F0000}"/>
    <cellStyle name="Comma 4 2 2 2 2 4" xfId="1120" xr:uid="{00000000-0005-0000-0000-0000610F0000}"/>
    <cellStyle name="Comma 4 2 2 2 2 4 2" xfId="3351" xr:uid="{00000000-0005-0000-0000-0000620F0000}"/>
    <cellStyle name="Comma 4 2 2 2 2 4 2 2" xfId="7574" xr:uid="{00000000-0005-0000-0000-0000630F0000}"/>
    <cellStyle name="Comma 4 2 2 2 2 4 2 2 2" xfId="16010" xr:uid="{00000000-0005-0000-0000-0000640F0000}"/>
    <cellStyle name="Comma 4 2 2 2 2 4 2 3" xfId="11792" xr:uid="{00000000-0005-0000-0000-0000650F0000}"/>
    <cellStyle name="Comma 4 2 2 2 2 4 3" xfId="5429" xr:uid="{00000000-0005-0000-0000-0000660F0000}"/>
    <cellStyle name="Comma 4 2 2 2 2 4 3 2" xfId="13865" xr:uid="{00000000-0005-0000-0000-0000670F0000}"/>
    <cellStyle name="Comma 4 2 2 2 2 4 4" xfId="9647" xr:uid="{00000000-0005-0000-0000-0000680F0000}"/>
    <cellStyle name="Comma 4 2 2 2 2 5" xfId="1534" xr:uid="{00000000-0005-0000-0000-0000690F0000}"/>
    <cellStyle name="Comma 4 2 2 2 2 5 2" xfId="3764" xr:uid="{00000000-0005-0000-0000-00006A0F0000}"/>
    <cellStyle name="Comma 4 2 2 2 2 5 2 2" xfId="7987" xr:uid="{00000000-0005-0000-0000-00006B0F0000}"/>
    <cellStyle name="Comma 4 2 2 2 2 5 2 2 2" xfId="16423" xr:uid="{00000000-0005-0000-0000-00006C0F0000}"/>
    <cellStyle name="Comma 4 2 2 2 2 5 2 3" xfId="12205" xr:uid="{00000000-0005-0000-0000-00006D0F0000}"/>
    <cellStyle name="Comma 4 2 2 2 2 5 3" xfId="5842" xr:uid="{00000000-0005-0000-0000-00006E0F0000}"/>
    <cellStyle name="Comma 4 2 2 2 2 5 3 2" xfId="14278" xr:uid="{00000000-0005-0000-0000-00006F0F0000}"/>
    <cellStyle name="Comma 4 2 2 2 2 5 4" xfId="10060" xr:uid="{00000000-0005-0000-0000-0000700F0000}"/>
    <cellStyle name="Comma 4 2 2 2 2 6" xfId="1948" xr:uid="{00000000-0005-0000-0000-0000710F0000}"/>
    <cellStyle name="Comma 4 2 2 2 2 6 2" xfId="4177" xr:uid="{00000000-0005-0000-0000-0000720F0000}"/>
    <cellStyle name="Comma 4 2 2 2 2 6 2 2" xfId="8400" xr:uid="{00000000-0005-0000-0000-0000730F0000}"/>
    <cellStyle name="Comma 4 2 2 2 2 6 2 2 2" xfId="16836" xr:uid="{00000000-0005-0000-0000-0000740F0000}"/>
    <cellStyle name="Comma 4 2 2 2 2 6 2 3" xfId="12618" xr:uid="{00000000-0005-0000-0000-0000750F0000}"/>
    <cellStyle name="Comma 4 2 2 2 2 6 3" xfId="6255" xr:uid="{00000000-0005-0000-0000-0000760F0000}"/>
    <cellStyle name="Comma 4 2 2 2 2 6 3 2" xfId="14691" xr:uid="{00000000-0005-0000-0000-0000770F0000}"/>
    <cellStyle name="Comma 4 2 2 2 2 6 4" xfId="10473" xr:uid="{00000000-0005-0000-0000-0000780F0000}"/>
    <cellStyle name="Comma 4 2 2 2 2 7" xfId="2383" xr:uid="{00000000-0005-0000-0000-0000790F0000}"/>
    <cellStyle name="Comma 4 2 2 2 2 7 2" xfId="6668" xr:uid="{00000000-0005-0000-0000-00007A0F0000}"/>
    <cellStyle name="Comma 4 2 2 2 2 7 2 2" xfId="15104" xr:uid="{00000000-0005-0000-0000-00007B0F0000}"/>
    <cellStyle name="Comma 4 2 2 2 2 7 3" xfId="10886" xr:uid="{00000000-0005-0000-0000-00007C0F0000}"/>
    <cellStyle name="Comma 4 2 2 2 2 8" xfId="2380" xr:uid="{00000000-0005-0000-0000-00007D0F0000}"/>
    <cellStyle name="Comma 4 2 2 2 2 9" xfId="2761" xr:uid="{00000000-0005-0000-0000-00007E0F0000}"/>
    <cellStyle name="Comma 4 2 2 2 2 9 2" xfId="6985" xr:uid="{00000000-0005-0000-0000-00007F0F0000}"/>
    <cellStyle name="Comma 4 2 2 2 2 9 2 2" xfId="15421" xr:uid="{00000000-0005-0000-0000-0000800F0000}"/>
    <cellStyle name="Comma 4 2 2 2 2 9 3" xfId="11203" xr:uid="{00000000-0005-0000-0000-0000810F0000}"/>
    <cellStyle name="Comma 4 2 2 2 3" xfId="131" xr:uid="{00000000-0005-0000-0000-0000820F0000}"/>
    <cellStyle name="Comma 4 2 2 2 3 10" xfId="8822" xr:uid="{00000000-0005-0000-0000-0000830F0000}"/>
    <cellStyle name="Comma 4 2 2 2 3 2" xfId="669" xr:uid="{00000000-0005-0000-0000-0000840F0000}"/>
    <cellStyle name="Comma 4 2 2 2 3 2 2" xfId="2940" xr:uid="{00000000-0005-0000-0000-0000850F0000}"/>
    <cellStyle name="Comma 4 2 2 2 3 2 2 2" xfId="7163" xr:uid="{00000000-0005-0000-0000-0000860F0000}"/>
    <cellStyle name="Comma 4 2 2 2 3 2 2 2 2" xfId="15599" xr:uid="{00000000-0005-0000-0000-0000870F0000}"/>
    <cellStyle name="Comma 4 2 2 2 3 2 2 3" xfId="11381" xr:uid="{00000000-0005-0000-0000-0000880F0000}"/>
    <cellStyle name="Comma 4 2 2 2 3 2 3" xfId="5018" xr:uid="{00000000-0005-0000-0000-0000890F0000}"/>
    <cellStyle name="Comma 4 2 2 2 3 2 3 2" xfId="13454" xr:uid="{00000000-0005-0000-0000-00008A0F0000}"/>
    <cellStyle name="Comma 4 2 2 2 3 2 4" xfId="9236" xr:uid="{00000000-0005-0000-0000-00008B0F0000}"/>
    <cellStyle name="Comma 4 2 2 2 3 3" xfId="1122" xr:uid="{00000000-0005-0000-0000-00008C0F0000}"/>
    <cellStyle name="Comma 4 2 2 2 3 3 2" xfId="3353" xr:uid="{00000000-0005-0000-0000-00008D0F0000}"/>
    <cellStyle name="Comma 4 2 2 2 3 3 2 2" xfId="7576" xr:uid="{00000000-0005-0000-0000-00008E0F0000}"/>
    <cellStyle name="Comma 4 2 2 2 3 3 2 2 2" xfId="16012" xr:uid="{00000000-0005-0000-0000-00008F0F0000}"/>
    <cellStyle name="Comma 4 2 2 2 3 3 2 3" xfId="11794" xr:uid="{00000000-0005-0000-0000-0000900F0000}"/>
    <cellStyle name="Comma 4 2 2 2 3 3 3" xfId="5431" xr:uid="{00000000-0005-0000-0000-0000910F0000}"/>
    <cellStyle name="Comma 4 2 2 2 3 3 3 2" xfId="13867" xr:uid="{00000000-0005-0000-0000-0000920F0000}"/>
    <cellStyle name="Comma 4 2 2 2 3 3 4" xfId="9649" xr:uid="{00000000-0005-0000-0000-0000930F0000}"/>
    <cellStyle name="Comma 4 2 2 2 3 4" xfId="1536" xr:uid="{00000000-0005-0000-0000-0000940F0000}"/>
    <cellStyle name="Comma 4 2 2 2 3 4 2" xfId="3766" xr:uid="{00000000-0005-0000-0000-0000950F0000}"/>
    <cellStyle name="Comma 4 2 2 2 3 4 2 2" xfId="7989" xr:uid="{00000000-0005-0000-0000-0000960F0000}"/>
    <cellStyle name="Comma 4 2 2 2 3 4 2 2 2" xfId="16425" xr:uid="{00000000-0005-0000-0000-0000970F0000}"/>
    <cellStyle name="Comma 4 2 2 2 3 4 2 3" xfId="12207" xr:uid="{00000000-0005-0000-0000-0000980F0000}"/>
    <cellStyle name="Comma 4 2 2 2 3 4 3" xfId="5844" xr:uid="{00000000-0005-0000-0000-0000990F0000}"/>
    <cellStyle name="Comma 4 2 2 2 3 4 3 2" xfId="14280" xr:uid="{00000000-0005-0000-0000-00009A0F0000}"/>
    <cellStyle name="Comma 4 2 2 2 3 4 4" xfId="10062" xr:uid="{00000000-0005-0000-0000-00009B0F0000}"/>
    <cellStyle name="Comma 4 2 2 2 3 5" xfId="1950" xr:uid="{00000000-0005-0000-0000-00009C0F0000}"/>
    <cellStyle name="Comma 4 2 2 2 3 5 2" xfId="4179" xr:uid="{00000000-0005-0000-0000-00009D0F0000}"/>
    <cellStyle name="Comma 4 2 2 2 3 5 2 2" xfId="8402" xr:uid="{00000000-0005-0000-0000-00009E0F0000}"/>
    <cellStyle name="Comma 4 2 2 2 3 5 2 2 2" xfId="16838" xr:uid="{00000000-0005-0000-0000-00009F0F0000}"/>
    <cellStyle name="Comma 4 2 2 2 3 5 2 3" xfId="12620" xr:uid="{00000000-0005-0000-0000-0000A00F0000}"/>
    <cellStyle name="Comma 4 2 2 2 3 5 3" xfId="6257" xr:uid="{00000000-0005-0000-0000-0000A10F0000}"/>
    <cellStyle name="Comma 4 2 2 2 3 5 3 2" xfId="14693" xr:uid="{00000000-0005-0000-0000-0000A20F0000}"/>
    <cellStyle name="Comma 4 2 2 2 3 5 4" xfId="10475" xr:uid="{00000000-0005-0000-0000-0000A30F0000}"/>
    <cellStyle name="Comma 4 2 2 2 3 6" xfId="2385" xr:uid="{00000000-0005-0000-0000-0000A40F0000}"/>
    <cellStyle name="Comma 4 2 2 2 3 6 2" xfId="6670" xr:uid="{00000000-0005-0000-0000-0000A50F0000}"/>
    <cellStyle name="Comma 4 2 2 2 3 6 2 2" xfId="15106" xr:uid="{00000000-0005-0000-0000-0000A60F0000}"/>
    <cellStyle name="Comma 4 2 2 2 3 6 3" xfId="10888" xr:uid="{00000000-0005-0000-0000-0000A70F0000}"/>
    <cellStyle name="Comma 4 2 2 2 3 7" xfId="2378" xr:uid="{00000000-0005-0000-0000-0000A80F0000}"/>
    <cellStyle name="Comma 4 2 2 2 3 8" xfId="2763" xr:uid="{00000000-0005-0000-0000-0000A90F0000}"/>
    <cellStyle name="Comma 4 2 2 2 3 8 2" xfId="6987" xr:uid="{00000000-0005-0000-0000-0000AA0F0000}"/>
    <cellStyle name="Comma 4 2 2 2 3 8 2 2" xfId="15423" xr:uid="{00000000-0005-0000-0000-0000AB0F0000}"/>
    <cellStyle name="Comma 4 2 2 2 3 8 3" xfId="11205" xr:uid="{00000000-0005-0000-0000-0000AC0F0000}"/>
    <cellStyle name="Comma 4 2 2 2 3 9" xfId="4604" xr:uid="{00000000-0005-0000-0000-0000AD0F0000}"/>
    <cellStyle name="Comma 4 2 2 2 3 9 2" xfId="13040" xr:uid="{00000000-0005-0000-0000-0000AE0F0000}"/>
    <cellStyle name="Comma 4 2 2 2 4" xfId="666" xr:uid="{00000000-0005-0000-0000-0000AF0F0000}"/>
    <cellStyle name="Comma 4 2 2 2 4 2" xfId="2937" xr:uid="{00000000-0005-0000-0000-0000B00F0000}"/>
    <cellStyle name="Comma 4 2 2 2 4 2 2" xfId="7160" xr:uid="{00000000-0005-0000-0000-0000B10F0000}"/>
    <cellStyle name="Comma 4 2 2 2 4 2 2 2" xfId="15596" xr:uid="{00000000-0005-0000-0000-0000B20F0000}"/>
    <cellStyle name="Comma 4 2 2 2 4 2 3" xfId="11378" xr:uid="{00000000-0005-0000-0000-0000B30F0000}"/>
    <cellStyle name="Comma 4 2 2 2 4 3" xfId="5015" xr:uid="{00000000-0005-0000-0000-0000B40F0000}"/>
    <cellStyle name="Comma 4 2 2 2 4 3 2" xfId="13451" xr:uid="{00000000-0005-0000-0000-0000B50F0000}"/>
    <cellStyle name="Comma 4 2 2 2 4 4" xfId="9233" xr:uid="{00000000-0005-0000-0000-0000B60F0000}"/>
    <cellStyle name="Comma 4 2 2 2 5" xfId="1119" xr:uid="{00000000-0005-0000-0000-0000B70F0000}"/>
    <cellStyle name="Comma 4 2 2 2 5 2" xfId="3350" xr:uid="{00000000-0005-0000-0000-0000B80F0000}"/>
    <cellStyle name="Comma 4 2 2 2 5 2 2" xfId="7573" xr:uid="{00000000-0005-0000-0000-0000B90F0000}"/>
    <cellStyle name="Comma 4 2 2 2 5 2 2 2" xfId="16009" xr:uid="{00000000-0005-0000-0000-0000BA0F0000}"/>
    <cellStyle name="Comma 4 2 2 2 5 2 3" xfId="11791" xr:uid="{00000000-0005-0000-0000-0000BB0F0000}"/>
    <cellStyle name="Comma 4 2 2 2 5 3" xfId="5428" xr:uid="{00000000-0005-0000-0000-0000BC0F0000}"/>
    <cellStyle name="Comma 4 2 2 2 5 3 2" xfId="13864" xr:uid="{00000000-0005-0000-0000-0000BD0F0000}"/>
    <cellStyle name="Comma 4 2 2 2 5 4" xfId="9646" xr:uid="{00000000-0005-0000-0000-0000BE0F0000}"/>
    <cellStyle name="Comma 4 2 2 2 6" xfId="1533" xr:uid="{00000000-0005-0000-0000-0000BF0F0000}"/>
    <cellStyle name="Comma 4 2 2 2 6 2" xfId="3763" xr:uid="{00000000-0005-0000-0000-0000C00F0000}"/>
    <cellStyle name="Comma 4 2 2 2 6 2 2" xfId="7986" xr:uid="{00000000-0005-0000-0000-0000C10F0000}"/>
    <cellStyle name="Comma 4 2 2 2 6 2 2 2" xfId="16422" xr:uid="{00000000-0005-0000-0000-0000C20F0000}"/>
    <cellStyle name="Comma 4 2 2 2 6 2 3" xfId="12204" xr:uid="{00000000-0005-0000-0000-0000C30F0000}"/>
    <cellStyle name="Comma 4 2 2 2 6 3" xfId="5841" xr:uid="{00000000-0005-0000-0000-0000C40F0000}"/>
    <cellStyle name="Comma 4 2 2 2 6 3 2" xfId="14277" xr:uid="{00000000-0005-0000-0000-0000C50F0000}"/>
    <cellStyle name="Comma 4 2 2 2 6 4" xfId="10059" xr:uid="{00000000-0005-0000-0000-0000C60F0000}"/>
    <cellStyle name="Comma 4 2 2 2 7" xfId="1947" xr:uid="{00000000-0005-0000-0000-0000C70F0000}"/>
    <cellStyle name="Comma 4 2 2 2 7 2" xfId="4176" xr:uid="{00000000-0005-0000-0000-0000C80F0000}"/>
    <cellStyle name="Comma 4 2 2 2 7 2 2" xfId="8399" xr:uid="{00000000-0005-0000-0000-0000C90F0000}"/>
    <cellStyle name="Comma 4 2 2 2 7 2 2 2" xfId="16835" xr:uid="{00000000-0005-0000-0000-0000CA0F0000}"/>
    <cellStyle name="Comma 4 2 2 2 7 2 3" xfId="12617" xr:uid="{00000000-0005-0000-0000-0000CB0F0000}"/>
    <cellStyle name="Comma 4 2 2 2 7 3" xfId="6254" xr:uid="{00000000-0005-0000-0000-0000CC0F0000}"/>
    <cellStyle name="Comma 4 2 2 2 7 3 2" xfId="14690" xr:uid="{00000000-0005-0000-0000-0000CD0F0000}"/>
    <cellStyle name="Comma 4 2 2 2 7 4" xfId="10472" xr:uid="{00000000-0005-0000-0000-0000CE0F0000}"/>
    <cellStyle name="Comma 4 2 2 2 8" xfId="2382" xr:uid="{00000000-0005-0000-0000-0000CF0F0000}"/>
    <cellStyle name="Comma 4 2 2 2 8 2" xfId="6667" xr:uid="{00000000-0005-0000-0000-0000D00F0000}"/>
    <cellStyle name="Comma 4 2 2 2 8 2 2" xfId="15103" xr:uid="{00000000-0005-0000-0000-0000D10F0000}"/>
    <cellStyle name="Comma 4 2 2 2 8 3" xfId="10885" xr:uid="{00000000-0005-0000-0000-0000D20F0000}"/>
    <cellStyle name="Comma 4 2 2 2 9" xfId="2381" xr:uid="{00000000-0005-0000-0000-0000D30F0000}"/>
    <cellStyle name="Comma 4 2 2 3" xfId="132" xr:uid="{00000000-0005-0000-0000-0000D40F0000}"/>
    <cellStyle name="Comma 4 2 2 3 10" xfId="4605" xr:uid="{00000000-0005-0000-0000-0000D50F0000}"/>
    <cellStyle name="Comma 4 2 2 3 10 2" xfId="13041" xr:uid="{00000000-0005-0000-0000-0000D60F0000}"/>
    <cellStyle name="Comma 4 2 2 3 11" xfId="8823" xr:uid="{00000000-0005-0000-0000-0000D70F0000}"/>
    <cellStyle name="Comma 4 2 2 3 2" xfId="133" xr:uid="{00000000-0005-0000-0000-0000D80F0000}"/>
    <cellStyle name="Comma 4 2 2 3 2 10" xfId="8824" xr:uid="{00000000-0005-0000-0000-0000D90F0000}"/>
    <cellStyle name="Comma 4 2 2 3 2 2" xfId="671" xr:uid="{00000000-0005-0000-0000-0000DA0F0000}"/>
    <cellStyle name="Comma 4 2 2 3 2 2 2" xfId="2942" xr:uid="{00000000-0005-0000-0000-0000DB0F0000}"/>
    <cellStyle name="Comma 4 2 2 3 2 2 2 2" xfId="7165" xr:uid="{00000000-0005-0000-0000-0000DC0F0000}"/>
    <cellStyle name="Comma 4 2 2 3 2 2 2 2 2" xfId="15601" xr:uid="{00000000-0005-0000-0000-0000DD0F0000}"/>
    <cellStyle name="Comma 4 2 2 3 2 2 2 3" xfId="11383" xr:uid="{00000000-0005-0000-0000-0000DE0F0000}"/>
    <cellStyle name="Comma 4 2 2 3 2 2 3" xfId="5020" xr:uid="{00000000-0005-0000-0000-0000DF0F0000}"/>
    <cellStyle name="Comma 4 2 2 3 2 2 3 2" xfId="13456" xr:uid="{00000000-0005-0000-0000-0000E00F0000}"/>
    <cellStyle name="Comma 4 2 2 3 2 2 4" xfId="9238" xr:uid="{00000000-0005-0000-0000-0000E10F0000}"/>
    <cellStyle name="Comma 4 2 2 3 2 3" xfId="1124" xr:uid="{00000000-0005-0000-0000-0000E20F0000}"/>
    <cellStyle name="Comma 4 2 2 3 2 3 2" xfId="3355" xr:uid="{00000000-0005-0000-0000-0000E30F0000}"/>
    <cellStyle name="Comma 4 2 2 3 2 3 2 2" xfId="7578" xr:uid="{00000000-0005-0000-0000-0000E40F0000}"/>
    <cellStyle name="Comma 4 2 2 3 2 3 2 2 2" xfId="16014" xr:uid="{00000000-0005-0000-0000-0000E50F0000}"/>
    <cellStyle name="Comma 4 2 2 3 2 3 2 3" xfId="11796" xr:uid="{00000000-0005-0000-0000-0000E60F0000}"/>
    <cellStyle name="Comma 4 2 2 3 2 3 3" xfId="5433" xr:uid="{00000000-0005-0000-0000-0000E70F0000}"/>
    <cellStyle name="Comma 4 2 2 3 2 3 3 2" xfId="13869" xr:uid="{00000000-0005-0000-0000-0000E80F0000}"/>
    <cellStyle name="Comma 4 2 2 3 2 3 4" xfId="9651" xr:uid="{00000000-0005-0000-0000-0000E90F0000}"/>
    <cellStyle name="Comma 4 2 2 3 2 4" xfId="1538" xr:uid="{00000000-0005-0000-0000-0000EA0F0000}"/>
    <cellStyle name="Comma 4 2 2 3 2 4 2" xfId="3768" xr:uid="{00000000-0005-0000-0000-0000EB0F0000}"/>
    <cellStyle name="Comma 4 2 2 3 2 4 2 2" xfId="7991" xr:uid="{00000000-0005-0000-0000-0000EC0F0000}"/>
    <cellStyle name="Comma 4 2 2 3 2 4 2 2 2" xfId="16427" xr:uid="{00000000-0005-0000-0000-0000ED0F0000}"/>
    <cellStyle name="Comma 4 2 2 3 2 4 2 3" xfId="12209" xr:uid="{00000000-0005-0000-0000-0000EE0F0000}"/>
    <cellStyle name="Comma 4 2 2 3 2 4 3" xfId="5846" xr:uid="{00000000-0005-0000-0000-0000EF0F0000}"/>
    <cellStyle name="Comma 4 2 2 3 2 4 3 2" xfId="14282" xr:uid="{00000000-0005-0000-0000-0000F00F0000}"/>
    <cellStyle name="Comma 4 2 2 3 2 4 4" xfId="10064" xr:uid="{00000000-0005-0000-0000-0000F10F0000}"/>
    <cellStyle name="Comma 4 2 2 3 2 5" xfId="1952" xr:uid="{00000000-0005-0000-0000-0000F20F0000}"/>
    <cellStyle name="Comma 4 2 2 3 2 5 2" xfId="4181" xr:uid="{00000000-0005-0000-0000-0000F30F0000}"/>
    <cellStyle name="Comma 4 2 2 3 2 5 2 2" xfId="8404" xr:uid="{00000000-0005-0000-0000-0000F40F0000}"/>
    <cellStyle name="Comma 4 2 2 3 2 5 2 2 2" xfId="16840" xr:uid="{00000000-0005-0000-0000-0000F50F0000}"/>
    <cellStyle name="Comma 4 2 2 3 2 5 2 3" xfId="12622" xr:uid="{00000000-0005-0000-0000-0000F60F0000}"/>
    <cellStyle name="Comma 4 2 2 3 2 5 3" xfId="6259" xr:uid="{00000000-0005-0000-0000-0000F70F0000}"/>
    <cellStyle name="Comma 4 2 2 3 2 5 3 2" xfId="14695" xr:uid="{00000000-0005-0000-0000-0000F80F0000}"/>
    <cellStyle name="Comma 4 2 2 3 2 5 4" xfId="10477" xr:uid="{00000000-0005-0000-0000-0000F90F0000}"/>
    <cellStyle name="Comma 4 2 2 3 2 6" xfId="2387" xr:uid="{00000000-0005-0000-0000-0000FA0F0000}"/>
    <cellStyle name="Comma 4 2 2 3 2 6 2" xfId="6672" xr:uid="{00000000-0005-0000-0000-0000FB0F0000}"/>
    <cellStyle name="Comma 4 2 2 3 2 6 2 2" xfId="15108" xr:uid="{00000000-0005-0000-0000-0000FC0F0000}"/>
    <cellStyle name="Comma 4 2 2 3 2 6 3" xfId="10890" xr:uid="{00000000-0005-0000-0000-0000FD0F0000}"/>
    <cellStyle name="Comma 4 2 2 3 2 7" xfId="2376" xr:uid="{00000000-0005-0000-0000-0000FE0F0000}"/>
    <cellStyle name="Comma 4 2 2 3 2 8" xfId="2765" xr:uid="{00000000-0005-0000-0000-0000FF0F0000}"/>
    <cellStyle name="Comma 4 2 2 3 2 8 2" xfId="6989" xr:uid="{00000000-0005-0000-0000-000000100000}"/>
    <cellStyle name="Comma 4 2 2 3 2 8 2 2" xfId="15425" xr:uid="{00000000-0005-0000-0000-000001100000}"/>
    <cellStyle name="Comma 4 2 2 3 2 8 3" xfId="11207" xr:uid="{00000000-0005-0000-0000-000002100000}"/>
    <cellStyle name="Comma 4 2 2 3 2 9" xfId="4606" xr:uid="{00000000-0005-0000-0000-000003100000}"/>
    <cellStyle name="Comma 4 2 2 3 2 9 2" xfId="13042" xr:uid="{00000000-0005-0000-0000-000004100000}"/>
    <cellStyle name="Comma 4 2 2 3 3" xfId="670" xr:uid="{00000000-0005-0000-0000-000005100000}"/>
    <cellStyle name="Comma 4 2 2 3 3 2" xfId="2941" xr:uid="{00000000-0005-0000-0000-000006100000}"/>
    <cellStyle name="Comma 4 2 2 3 3 2 2" xfId="7164" xr:uid="{00000000-0005-0000-0000-000007100000}"/>
    <cellStyle name="Comma 4 2 2 3 3 2 2 2" xfId="15600" xr:uid="{00000000-0005-0000-0000-000008100000}"/>
    <cellStyle name="Comma 4 2 2 3 3 2 3" xfId="11382" xr:uid="{00000000-0005-0000-0000-000009100000}"/>
    <cellStyle name="Comma 4 2 2 3 3 3" xfId="5019" xr:uid="{00000000-0005-0000-0000-00000A100000}"/>
    <cellStyle name="Comma 4 2 2 3 3 3 2" xfId="13455" xr:uid="{00000000-0005-0000-0000-00000B100000}"/>
    <cellStyle name="Comma 4 2 2 3 3 4" xfId="9237" xr:uid="{00000000-0005-0000-0000-00000C100000}"/>
    <cellStyle name="Comma 4 2 2 3 4" xfId="1123" xr:uid="{00000000-0005-0000-0000-00000D100000}"/>
    <cellStyle name="Comma 4 2 2 3 4 2" xfId="3354" xr:uid="{00000000-0005-0000-0000-00000E100000}"/>
    <cellStyle name="Comma 4 2 2 3 4 2 2" xfId="7577" xr:uid="{00000000-0005-0000-0000-00000F100000}"/>
    <cellStyle name="Comma 4 2 2 3 4 2 2 2" xfId="16013" xr:uid="{00000000-0005-0000-0000-000010100000}"/>
    <cellStyle name="Comma 4 2 2 3 4 2 3" xfId="11795" xr:uid="{00000000-0005-0000-0000-000011100000}"/>
    <cellStyle name="Comma 4 2 2 3 4 3" xfId="5432" xr:uid="{00000000-0005-0000-0000-000012100000}"/>
    <cellStyle name="Comma 4 2 2 3 4 3 2" xfId="13868" xr:uid="{00000000-0005-0000-0000-000013100000}"/>
    <cellStyle name="Comma 4 2 2 3 4 4" xfId="9650" xr:uid="{00000000-0005-0000-0000-000014100000}"/>
    <cellStyle name="Comma 4 2 2 3 5" xfId="1537" xr:uid="{00000000-0005-0000-0000-000015100000}"/>
    <cellStyle name="Comma 4 2 2 3 5 2" xfId="3767" xr:uid="{00000000-0005-0000-0000-000016100000}"/>
    <cellStyle name="Comma 4 2 2 3 5 2 2" xfId="7990" xr:uid="{00000000-0005-0000-0000-000017100000}"/>
    <cellStyle name="Comma 4 2 2 3 5 2 2 2" xfId="16426" xr:uid="{00000000-0005-0000-0000-000018100000}"/>
    <cellStyle name="Comma 4 2 2 3 5 2 3" xfId="12208" xr:uid="{00000000-0005-0000-0000-000019100000}"/>
    <cellStyle name="Comma 4 2 2 3 5 3" xfId="5845" xr:uid="{00000000-0005-0000-0000-00001A100000}"/>
    <cellStyle name="Comma 4 2 2 3 5 3 2" xfId="14281" xr:uid="{00000000-0005-0000-0000-00001B100000}"/>
    <cellStyle name="Comma 4 2 2 3 5 4" xfId="10063" xr:uid="{00000000-0005-0000-0000-00001C100000}"/>
    <cellStyle name="Comma 4 2 2 3 6" xfId="1951" xr:uid="{00000000-0005-0000-0000-00001D100000}"/>
    <cellStyle name="Comma 4 2 2 3 6 2" xfId="4180" xr:uid="{00000000-0005-0000-0000-00001E100000}"/>
    <cellStyle name="Comma 4 2 2 3 6 2 2" xfId="8403" xr:uid="{00000000-0005-0000-0000-00001F100000}"/>
    <cellStyle name="Comma 4 2 2 3 6 2 2 2" xfId="16839" xr:uid="{00000000-0005-0000-0000-000020100000}"/>
    <cellStyle name="Comma 4 2 2 3 6 2 3" xfId="12621" xr:uid="{00000000-0005-0000-0000-000021100000}"/>
    <cellStyle name="Comma 4 2 2 3 6 3" xfId="6258" xr:uid="{00000000-0005-0000-0000-000022100000}"/>
    <cellStyle name="Comma 4 2 2 3 6 3 2" xfId="14694" xr:uid="{00000000-0005-0000-0000-000023100000}"/>
    <cellStyle name="Comma 4 2 2 3 6 4" xfId="10476" xr:uid="{00000000-0005-0000-0000-000024100000}"/>
    <cellStyle name="Comma 4 2 2 3 7" xfId="2386" xr:uid="{00000000-0005-0000-0000-000025100000}"/>
    <cellStyle name="Comma 4 2 2 3 7 2" xfId="6671" xr:uid="{00000000-0005-0000-0000-000026100000}"/>
    <cellStyle name="Comma 4 2 2 3 7 2 2" xfId="15107" xr:uid="{00000000-0005-0000-0000-000027100000}"/>
    <cellStyle name="Comma 4 2 2 3 7 3" xfId="10889" xr:uid="{00000000-0005-0000-0000-000028100000}"/>
    <cellStyle name="Comma 4 2 2 3 8" xfId="2377" xr:uid="{00000000-0005-0000-0000-000029100000}"/>
    <cellStyle name="Comma 4 2 2 3 9" xfId="2764" xr:uid="{00000000-0005-0000-0000-00002A100000}"/>
    <cellStyle name="Comma 4 2 2 3 9 2" xfId="6988" xr:uid="{00000000-0005-0000-0000-00002B100000}"/>
    <cellStyle name="Comma 4 2 2 3 9 2 2" xfId="15424" xr:uid="{00000000-0005-0000-0000-00002C100000}"/>
    <cellStyle name="Comma 4 2 2 3 9 3" xfId="11206" xr:uid="{00000000-0005-0000-0000-00002D100000}"/>
    <cellStyle name="Comma 4 2 2 4" xfId="134" xr:uid="{00000000-0005-0000-0000-00002E100000}"/>
    <cellStyle name="Comma 4 2 2 4 10" xfId="8825" xr:uid="{00000000-0005-0000-0000-00002F100000}"/>
    <cellStyle name="Comma 4 2 2 4 2" xfId="672" xr:uid="{00000000-0005-0000-0000-000030100000}"/>
    <cellStyle name="Comma 4 2 2 4 2 2" xfId="2943" xr:uid="{00000000-0005-0000-0000-000031100000}"/>
    <cellStyle name="Comma 4 2 2 4 2 2 2" xfId="7166" xr:uid="{00000000-0005-0000-0000-000032100000}"/>
    <cellStyle name="Comma 4 2 2 4 2 2 2 2" xfId="15602" xr:uid="{00000000-0005-0000-0000-000033100000}"/>
    <cellStyle name="Comma 4 2 2 4 2 2 3" xfId="11384" xr:uid="{00000000-0005-0000-0000-000034100000}"/>
    <cellStyle name="Comma 4 2 2 4 2 3" xfId="5021" xr:uid="{00000000-0005-0000-0000-000035100000}"/>
    <cellStyle name="Comma 4 2 2 4 2 3 2" xfId="13457" xr:uid="{00000000-0005-0000-0000-000036100000}"/>
    <cellStyle name="Comma 4 2 2 4 2 4" xfId="9239" xr:uid="{00000000-0005-0000-0000-000037100000}"/>
    <cellStyle name="Comma 4 2 2 4 3" xfId="1125" xr:uid="{00000000-0005-0000-0000-000038100000}"/>
    <cellStyle name="Comma 4 2 2 4 3 2" xfId="3356" xr:uid="{00000000-0005-0000-0000-000039100000}"/>
    <cellStyle name="Comma 4 2 2 4 3 2 2" xfId="7579" xr:uid="{00000000-0005-0000-0000-00003A100000}"/>
    <cellStyle name="Comma 4 2 2 4 3 2 2 2" xfId="16015" xr:uid="{00000000-0005-0000-0000-00003B100000}"/>
    <cellStyle name="Comma 4 2 2 4 3 2 3" xfId="11797" xr:uid="{00000000-0005-0000-0000-00003C100000}"/>
    <cellStyle name="Comma 4 2 2 4 3 3" xfId="5434" xr:uid="{00000000-0005-0000-0000-00003D100000}"/>
    <cellStyle name="Comma 4 2 2 4 3 3 2" xfId="13870" xr:uid="{00000000-0005-0000-0000-00003E100000}"/>
    <cellStyle name="Comma 4 2 2 4 3 4" xfId="9652" xr:uid="{00000000-0005-0000-0000-00003F100000}"/>
    <cellStyle name="Comma 4 2 2 4 4" xfId="1539" xr:uid="{00000000-0005-0000-0000-000040100000}"/>
    <cellStyle name="Comma 4 2 2 4 4 2" xfId="3769" xr:uid="{00000000-0005-0000-0000-000041100000}"/>
    <cellStyle name="Comma 4 2 2 4 4 2 2" xfId="7992" xr:uid="{00000000-0005-0000-0000-000042100000}"/>
    <cellStyle name="Comma 4 2 2 4 4 2 2 2" xfId="16428" xr:uid="{00000000-0005-0000-0000-000043100000}"/>
    <cellStyle name="Comma 4 2 2 4 4 2 3" xfId="12210" xr:uid="{00000000-0005-0000-0000-000044100000}"/>
    <cellStyle name="Comma 4 2 2 4 4 3" xfId="5847" xr:uid="{00000000-0005-0000-0000-000045100000}"/>
    <cellStyle name="Comma 4 2 2 4 4 3 2" xfId="14283" xr:uid="{00000000-0005-0000-0000-000046100000}"/>
    <cellStyle name="Comma 4 2 2 4 4 4" xfId="10065" xr:uid="{00000000-0005-0000-0000-000047100000}"/>
    <cellStyle name="Comma 4 2 2 4 5" xfId="1953" xr:uid="{00000000-0005-0000-0000-000048100000}"/>
    <cellStyle name="Comma 4 2 2 4 5 2" xfId="4182" xr:uid="{00000000-0005-0000-0000-000049100000}"/>
    <cellStyle name="Comma 4 2 2 4 5 2 2" xfId="8405" xr:uid="{00000000-0005-0000-0000-00004A100000}"/>
    <cellStyle name="Comma 4 2 2 4 5 2 2 2" xfId="16841" xr:uid="{00000000-0005-0000-0000-00004B100000}"/>
    <cellStyle name="Comma 4 2 2 4 5 2 3" xfId="12623" xr:uid="{00000000-0005-0000-0000-00004C100000}"/>
    <cellStyle name="Comma 4 2 2 4 5 3" xfId="6260" xr:uid="{00000000-0005-0000-0000-00004D100000}"/>
    <cellStyle name="Comma 4 2 2 4 5 3 2" xfId="14696" xr:uid="{00000000-0005-0000-0000-00004E100000}"/>
    <cellStyle name="Comma 4 2 2 4 5 4" xfId="10478" xr:uid="{00000000-0005-0000-0000-00004F100000}"/>
    <cellStyle name="Comma 4 2 2 4 6" xfId="2388" xr:uid="{00000000-0005-0000-0000-000050100000}"/>
    <cellStyle name="Comma 4 2 2 4 6 2" xfId="6673" xr:uid="{00000000-0005-0000-0000-000051100000}"/>
    <cellStyle name="Comma 4 2 2 4 6 2 2" xfId="15109" xr:uid="{00000000-0005-0000-0000-000052100000}"/>
    <cellStyle name="Comma 4 2 2 4 6 3" xfId="10891" xr:uid="{00000000-0005-0000-0000-000053100000}"/>
    <cellStyle name="Comma 4 2 2 4 7" xfId="2375" xr:uid="{00000000-0005-0000-0000-000054100000}"/>
    <cellStyle name="Comma 4 2 2 4 8" xfId="2766" xr:uid="{00000000-0005-0000-0000-000055100000}"/>
    <cellStyle name="Comma 4 2 2 4 8 2" xfId="6990" xr:uid="{00000000-0005-0000-0000-000056100000}"/>
    <cellStyle name="Comma 4 2 2 4 8 2 2" xfId="15426" xr:uid="{00000000-0005-0000-0000-000057100000}"/>
    <cellStyle name="Comma 4 2 2 4 8 3" xfId="11208" xr:uid="{00000000-0005-0000-0000-000058100000}"/>
    <cellStyle name="Comma 4 2 2 4 9" xfId="4607" xr:uid="{00000000-0005-0000-0000-000059100000}"/>
    <cellStyle name="Comma 4 2 2 4 9 2" xfId="13043" xr:uid="{00000000-0005-0000-0000-00005A100000}"/>
    <cellStyle name="Comma 4 2 2 5" xfId="135" xr:uid="{00000000-0005-0000-0000-00005B100000}"/>
    <cellStyle name="Comma 4 2 2 5 10" xfId="8826" xr:uid="{00000000-0005-0000-0000-00005C100000}"/>
    <cellStyle name="Comma 4 2 2 5 2" xfId="673" xr:uid="{00000000-0005-0000-0000-00005D100000}"/>
    <cellStyle name="Comma 4 2 2 5 2 2" xfId="2944" xr:uid="{00000000-0005-0000-0000-00005E100000}"/>
    <cellStyle name="Comma 4 2 2 5 2 2 2" xfId="7167" xr:uid="{00000000-0005-0000-0000-00005F100000}"/>
    <cellStyle name="Comma 4 2 2 5 2 2 2 2" xfId="15603" xr:uid="{00000000-0005-0000-0000-000060100000}"/>
    <cellStyle name="Comma 4 2 2 5 2 2 3" xfId="11385" xr:uid="{00000000-0005-0000-0000-000061100000}"/>
    <cellStyle name="Comma 4 2 2 5 2 3" xfId="5022" xr:uid="{00000000-0005-0000-0000-000062100000}"/>
    <cellStyle name="Comma 4 2 2 5 2 3 2" xfId="13458" xr:uid="{00000000-0005-0000-0000-000063100000}"/>
    <cellStyle name="Comma 4 2 2 5 2 4" xfId="9240" xr:uid="{00000000-0005-0000-0000-000064100000}"/>
    <cellStyle name="Comma 4 2 2 5 3" xfId="1126" xr:uid="{00000000-0005-0000-0000-000065100000}"/>
    <cellStyle name="Comma 4 2 2 5 3 2" xfId="3357" xr:uid="{00000000-0005-0000-0000-000066100000}"/>
    <cellStyle name="Comma 4 2 2 5 3 2 2" xfId="7580" xr:uid="{00000000-0005-0000-0000-000067100000}"/>
    <cellStyle name="Comma 4 2 2 5 3 2 2 2" xfId="16016" xr:uid="{00000000-0005-0000-0000-000068100000}"/>
    <cellStyle name="Comma 4 2 2 5 3 2 3" xfId="11798" xr:uid="{00000000-0005-0000-0000-000069100000}"/>
    <cellStyle name="Comma 4 2 2 5 3 3" xfId="5435" xr:uid="{00000000-0005-0000-0000-00006A100000}"/>
    <cellStyle name="Comma 4 2 2 5 3 3 2" xfId="13871" xr:uid="{00000000-0005-0000-0000-00006B100000}"/>
    <cellStyle name="Comma 4 2 2 5 3 4" xfId="9653" xr:uid="{00000000-0005-0000-0000-00006C100000}"/>
    <cellStyle name="Comma 4 2 2 5 4" xfId="1540" xr:uid="{00000000-0005-0000-0000-00006D100000}"/>
    <cellStyle name="Comma 4 2 2 5 4 2" xfId="3770" xr:uid="{00000000-0005-0000-0000-00006E100000}"/>
    <cellStyle name="Comma 4 2 2 5 4 2 2" xfId="7993" xr:uid="{00000000-0005-0000-0000-00006F100000}"/>
    <cellStyle name="Comma 4 2 2 5 4 2 2 2" xfId="16429" xr:uid="{00000000-0005-0000-0000-000070100000}"/>
    <cellStyle name="Comma 4 2 2 5 4 2 3" xfId="12211" xr:uid="{00000000-0005-0000-0000-000071100000}"/>
    <cellStyle name="Comma 4 2 2 5 4 3" xfId="5848" xr:uid="{00000000-0005-0000-0000-000072100000}"/>
    <cellStyle name="Comma 4 2 2 5 4 3 2" xfId="14284" xr:uid="{00000000-0005-0000-0000-000073100000}"/>
    <cellStyle name="Comma 4 2 2 5 4 4" xfId="10066" xr:uid="{00000000-0005-0000-0000-000074100000}"/>
    <cellStyle name="Comma 4 2 2 5 5" xfId="1954" xr:uid="{00000000-0005-0000-0000-000075100000}"/>
    <cellStyle name="Comma 4 2 2 5 5 2" xfId="4183" xr:uid="{00000000-0005-0000-0000-000076100000}"/>
    <cellStyle name="Comma 4 2 2 5 5 2 2" xfId="8406" xr:uid="{00000000-0005-0000-0000-000077100000}"/>
    <cellStyle name="Comma 4 2 2 5 5 2 2 2" xfId="16842" xr:uid="{00000000-0005-0000-0000-000078100000}"/>
    <cellStyle name="Comma 4 2 2 5 5 2 3" xfId="12624" xr:uid="{00000000-0005-0000-0000-000079100000}"/>
    <cellStyle name="Comma 4 2 2 5 5 3" xfId="6261" xr:uid="{00000000-0005-0000-0000-00007A100000}"/>
    <cellStyle name="Comma 4 2 2 5 5 3 2" xfId="14697" xr:uid="{00000000-0005-0000-0000-00007B100000}"/>
    <cellStyle name="Comma 4 2 2 5 5 4" xfId="10479" xr:uid="{00000000-0005-0000-0000-00007C100000}"/>
    <cellStyle name="Comma 4 2 2 5 6" xfId="2389" xr:uid="{00000000-0005-0000-0000-00007D100000}"/>
    <cellStyle name="Comma 4 2 2 5 6 2" xfId="6674" xr:uid="{00000000-0005-0000-0000-00007E100000}"/>
    <cellStyle name="Comma 4 2 2 5 6 2 2" xfId="15110" xr:uid="{00000000-0005-0000-0000-00007F100000}"/>
    <cellStyle name="Comma 4 2 2 5 6 3" xfId="10892" xr:uid="{00000000-0005-0000-0000-000080100000}"/>
    <cellStyle name="Comma 4 2 2 5 7" xfId="2374" xr:uid="{00000000-0005-0000-0000-000081100000}"/>
    <cellStyle name="Comma 4 2 2 5 8" xfId="2767" xr:uid="{00000000-0005-0000-0000-000082100000}"/>
    <cellStyle name="Comma 4 2 2 5 8 2" xfId="6991" xr:uid="{00000000-0005-0000-0000-000083100000}"/>
    <cellStyle name="Comma 4 2 2 5 8 2 2" xfId="15427" xr:uid="{00000000-0005-0000-0000-000084100000}"/>
    <cellStyle name="Comma 4 2 2 5 8 3" xfId="11209" xr:uid="{00000000-0005-0000-0000-000085100000}"/>
    <cellStyle name="Comma 4 2 2 5 9" xfId="4608" xr:uid="{00000000-0005-0000-0000-000086100000}"/>
    <cellStyle name="Comma 4 2 2 5 9 2" xfId="13044" xr:uid="{00000000-0005-0000-0000-000087100000}"/>
    <cellStyle name="Comma 4 2 3" xfId="136" xr:uid="{00000000-0005-0000-0000-000088100000}"/>
    <cellStyle name="Comma 4 2 3 10" xfId="2768" xr:uid="{00000000-0005-0000-0000-000089100000}"/>
    <cellStyle name="Comma 4 2 3 10 2" xfId="6992" xr:uid="{00000000-0005-0000-0000-00008A100000}"/>
    <cellStyle name="Comma 4 2 3 10 2 2" xfId="15428" xr:uid="{00000000-0005-0000-0000-00008B100000}"/>
    <cellStyle name="Comma 4 2 3 10 3" xfId="11210" xr:uid="{00000000-0005-0000-0000-00008C100000}"/>
    <cellStyle name="Comma 4 2 3 11" xfId="4609" xr:uid="{00000000-0005-0000-0000-00008D100000}"/>
    <cellStyle name="Comma 4 2 3 11 2" xfId="13045" xr:uid="{00000000-0005-0000-0000-00008E100000}"/>
    <cellStyle name="Comma 4 2 3 12" xfId="8827" xr:uid="{00000000-0005-0000-0000-00008F100000}"/>
    <cellStyle name="Comma 4 2 3 2" xfId="137" xr:uid="{00000000-0005-0000-0000-000090100000}"/>
    <cellStyle name="Comma 4 2 3 2 10" xfId="4610" xr:uid="{00000000-0005-0000-0000-000091100000}"/>
    <cellStyle name="Comma 4 2 3 2 10 2" xfId="13046" xr:uid="{00000000-0005-0000-0000-000092100000}"/>
    <cellStyle name="Comma 4 2 3 2 11" xfId="8828" xr:uid="{00000000-0005-0000-0000-000093100000}"/>
    <cellStyle name="Comma 4 2 3 2 2" xfId="138" xr:uid="{00000000-0005-0000-0000-000094100000}"/>
    <cellStyle name="Comma 4 2 3 2 2 10" xfId="8829" xr:uid="{00000000-0005-0000-0000-000095100000}"/>
    <cellStyle name="Comma 4 2 3 2 2 2" xfId="676" xr:uid="{00000000-0005-0000-0000-000096100000}"/>
    <cellStyle name="Comma 4 2 3 2 2 2 2" xfId="2947" xr:uid="{00000000-0005-0000-0000-000097100000}"/>
    <cellStyle name="Comma 4 2 3 2 2 2 2 2" xfId="7170" xr:uid="{00000000-0005-0000-0000-000098100000}"/>
    <cellStyle name="Comma 4 2 3 2 2 2 2 2 2" xfId="15606" xr:uid="{00000000-0005-0000-0000-000099100000}"/>
    <cellStyle name="Comma 4 2 3 2 2 2 2 3" xfId="11388" xr:uid="{00000000-0005-0000-0000-00009A100000}"/>
    <cellStyle name="Comma 4 2 3 2 2 2 3" xfId="5025" xr:uid="{00000000-0005-0000-0000-00009B100000}"/>
    <cellStyle name="Comma 4 2 3 2 2 2 3 2" xfId="13461" xr:uid="{00000000-0005-0000-0000-00009C100000}"/>
    <cellStyle name="Comma 4 2 3 2 2 2 4" xfId="9243" xr:uid="{00000000-0005-0000-0000-00009D100000}"/>
    <cellStyle name="Comma 4 2 3 2 2 3" xfId="1129" xr:uid="{00000000-0005-0000-0000-00009E100000}"/>
    <cellStyle name="Comma 4 2 3 2 2 3 2" xfId="3360" xr:uid="{00000000-0005-0000-0000-00009F100000}"/>
    <cellStyle name="Comma 4 2 3 2 2 3 2 2" xfId="7583" xr:uid="{00000000-0005-0000-0000-0000A0100000}"/>
    <cellStyle name="Comma 4 2 3 2 2 3 2 2 2" xfId="16019" xr:uid="{00000000-0005-0000-0000-0000A1100000}"/>
    <cellStyle name="Comma 4 2 3 2 2 3 2 3" xfId="11801" xr:uid="{00000000-0005-0000-0000-0000A2100000}"/>
    <cellStyle name="Comma 4 2 3 2 2 3 3" xfId="5438" xr:uid="{00000000-0005-0000-0000-0000A3100000}"/>
    <cellStyle name="Comma 4 2 3 2 2 3 3 2" xfId="13874" xr:uid="{00000000-0005-0000-0000-0000A4100000}"/>
    <cellStyle name="Comma 4 2 3 2 2 3 4" xfId="9656" xr:uid="{00000000-0005-0000-0000-0000A5100000}"/>
    <cellStyle name="Comma 4 2 3 2 2 4" xfId="1543" xr:uid="{00000000-0005-0000-0000-0000A6100000}"/>
    <cellStyle name="Comma 4 2 3 2 2 4 2" xfId="3773" xr:uid="{00000000-0005-0000-0000-0000A7100000}"/>
    <cellStyle name="Comma 4 2 3 2 2 4 2 2" xfId="7996" xr:uid="{00000000-0005-0000-0000-0000A8100000}"/>
    <cellStyle name="Comma 4 2 3 2 2 4 2 2 2" xfId="16432" xr:uid="{00000000-0005-0000-0000-0000A9100000}"/>
    <cellStyle name="Comma 4 2 3 2 2 4 2 3" xfId="12214" xr:uid="{00000000-0005-0000-0000-0000AA100000}"/>
    <cellStyle name="Comma 4 2 3 2 2 4 3" xfId="5851" xr:uid="{00000000-0005-0000-0000-0000AB100000}"/>
    <cellStyle name="Comma 4 2 3 2 2 4 3 2" xfId="14287" xr:uid="{00000000-0005-0000-0000-0000AC100000}"/>
    <cellStyle name="Comma 4 2 3 2 2 4 4" xfId="10069" xr:uid="{00000000-0005-0000-0000-0000AD100000}"/>
    <cellStyle name="Comma 4 2 3 2 2 5" xfId="1957" xr:uid="{00000000-0005-0000-0000-0000AE100000}"/>
    <cellStyle name="Comma 4 2 3 2 2 5 2" xfId="4186" xr:uid="{00000000-0005-0000-0000-0000AF100000}"/>
    <cellStyle name="Comma 4 2 3 2 2 5 2 2" xfId="8409" xr:uid="{00000000-0005-0000-0000-0000B0100000}"/>
    <cellStyle name="Comma 4 2 3 2 2 5 2 2 2" xfId="16845" xr:uid="{00000000-0005-0000-0000-0000B1100000}"/>
    <cellStyle name="Comma 4 2 3 2 2 5 2 3" xfId="12627" xr:uid="{00000000-0005-0000-0000-0000B2100000}"/>
    <cellStyle name="Comma 4 2 3 2 2 5 3" xfId="6264" xr:uid="{00000000-0005-0000-0000-0000B3100000}"/>
    <cellStyle name="Comma 4 2 3 2 2 5 3 2" xfId="14700" xr:uid="{00000000-0005-0000-0000-0000B4100000}"/>
    <cellStyle name="Comma 4 2 3 2 2 5 4" xfId="10482" xr:uid="{00000000-0005-0000-0000-0000B5100000}"/>
    <cellStyle name="Comma 4 2 3 2 2 6" xfId="2392" xr:uid="{00000000-0005-0000-0000-0000B6100000}"/>
    <cellStyle name="Comma 4 2 3 2 2 6 2" xfId="6677" xr:uid="{00000000-0005-0000-0000-0000B7100000}"/>
    <cellStyle name="Comma 4 2 3 2 2 6 2 2" xfId="15113" xr:uid="{00000000-0005-0000-0000-0000B8100000}"/>
    <cellStyle name="Comma 4 2 3 2 2 6 3" xfId="10895" xr:uid="{00000000-0005-0000-0000-0000B9100000}"/>
    <cellStyle name="Comma 4 2 3 2 2 7" xfId="2371" xr:uid="{00000000-0005-0000-0000-0000BA100000}"/>
    <cellStyle name="Comma 4 2 3 2 2 8" xfId="2770" xr:uid="{00000000-0005-0000-0000-0000BB100000}"/>
    <cellStyle name="Comma 4 2 3 2 2 8 2" xfId="6994" xr:uid="{00000000-0005-0000-0000-0000BC100000}"/>
    <cellStyle name="Comma 4 2 3 2 2 8 2 2" xfId="15430" xr:uid="{00000000-0005-0000-0000-0000BD100000}"/>
    <cellStyle name="Comma 4 2 3 2 2 8 3" xfId="11212" xr:uid="{00000000-0005-0000-0000-0000BE100000}"/>
    <cellStyle name="Comma 4 2 3 2 2 9" xfId="4611" xr:uid="{00000000-0005-0000-0000-0000BF100000}"/>
    <cellStyle name="Comma 4 2 3 2 2 9 2" xfId="13047" xr:uid="{00000000-0005-0000-0000-0000C0100000}"/>
    <cellStyle name="Comma 4 2 3 2 3" xfId="675" xr:uid="{00000000-0005-0000-0000-0000C1100000}"/>
    <cellStyle name="Comma 4 2 3 2 3 2" xfId="2946" xr:uid="{00000000-0005-0000-0000-0000C2100000}"/>
    <cellStyle name="Comma 4 2 3 2 3 2 2" xfId="7169" xr:uid="{00000000-0005-0000-0000-0000C3100000}"/>
    <cellStyle name="Comma 4 2 3 2 3 2 2 2" xfId="15605" xr:uid="{00000000-0005-0000-0000-0000C4100000}"/>
    <cellStyle name="Comma 4 2 3 2 3 2 3" xfId="11387" xr:uid="{00000000-0005-0000-0000-0000C5100000}"/>
    <cellStyle name="Comma 4 2 3 2 3 3" xfId="5024" xr:uid="{00000000-0005-0000-0000-0000C6100000}"/>
    <cellStyle name="Comma 4 2 3 2 3 3 2" xfId="13460" xr:uid="{00000000-0005-0000-0000-0000C7100000}"/>
    <cellStyle name="Comma 4 2 3 2 3 4" xfId="9242" xr:uid="{00000000-0005-0000-0000-0000C8100000}"/>
    <cellStyle name="Comma 4 2 3 2 4" xfId="1128" xr:uid="{00000000-0005-0000-0000-0000C9100000}"/>
    <cellStyle name="Comma 4 2 3 2 4 2" xfId="3359" xr:uid="{00000000-0005-0000-0000-0000CA100000}"/>
    <cellStyle name="Comma 4 2 3 2 4 2 2" xfId="7582" xr:uid="{00000000-0005-0000-0000-0000CB100000}"/>
    <cellStyle name="Comma 4 2 3 2 4 2 2 2" xfId="16018" xr:uid="{00000000-0005-0000-0000-0000CC100000}"/>
    <cellStyle name="Comma 4 2 3 2 4 2 3" xfId="11800" xr:uid="{00000000-0005-0000-0000-0000CD100000}"/>
    <cellStyle name="Comma 4 2 3 2 4 3" xfId="5437" xr:uid="{00000000-0005-0000-0000-0000CE100000}"/>
    <cellStyle name="Comma 4 2 3 2 4 3 2" xfId="13873" xr:uid="{00000000-0005-0000-0000-0000CF100000}"/>
    <cellStyle name="Comma 4 2 3 2 4 4" xfId="9655" xr:uid="{00000000-0005-0000-0000-0000D0100000}"/>
    <cellStyle name="Comma 4 2 3 2 5" xfId="1542" xr:uid="{00000000-0005-0000-0000-0000D1100000}"/>
    <cellStyle name="Comma 4 2 3 2 5 2" xfId="3772" xr:uid="{00000000-0005-0000-0000-0000D2100000}"/>
    <cellStyle name="Comma 4 2 3 2 5 2 2" xfId="7995" xr:uid="{00000000-0005-0000-0000-0000D3100000}"/>
    <cellStyle name="Comma 4 2 3 2 5 2 2 2" xfId="16431" xr:uid="{00000000-0005-0000-0000-0000D4100000}"/>
    <cellStyle name="Comma 4 2 3 2 5 2 3" xfId="12213" xr:uid="{00000000-0005-0000-0000-0000D5100000}"/>
    <cellStyle name="Comma 4 2 3 2 5 3" xfId="5850" xr:uid="{00000000-0005-0000-0000-0000D6100000}"/>
    <cellStyle name="Comma 4 2 3 2 5 3 2" xfId="14286" xr:uid="{00000000-0005-0000-0000-0000D7100000}"/>
    <cellStyle name="Comma 4 2 3 2 5 4" xfId="10068" xr:uid="{00000000-0005-0000-0000-0000D8100000}"/>
    <cellStyle name="Comma 4 2 3 2 6" xfId="1956" xr:uid="{00000000-0005-0000-0000-0000D9100000}"/>
    <cellStyle name="Comma 4 2 3 2 6 2" xfId="4185" xr:uid="{00000000-0005-0000-0000-0000DA100000}"/>
    <cellStyle name="Comma 4 2 3 2 6 2 2" xfId="8408" xr:uid="{00000000-0005-0000-0000-0000DB100000}"/>
    <cellStyle name="Comma 4 2 3 2 6 2 2 2" xfId="16844" xr:uid="{00000000-0005-0000-0000-0000DC100000}"/>
    <cellStyle name="Comma 4 2 3 2 6 2 3" xfId="12626" xr:uid="{00000000-0005-0000-0000-0000DD100000}"/>
    <cellStyle name="Comma 4 2 3 2 6 3" xfId="6263" xr:uid="{00000000-0005-0000-0000-0000DE100000}"/>
    <cellStyle name="Comma 4 2 3 2 6 3 2" xfId="14699" xr:uid="{00000000-0005-0000-0000-0000DF100000}"/>
    <cellStyle name="Comma 4 2 3 2 6 4" xfId="10481" xr:uid="{00000000-0005-0000-0000-0000E0100000}"/>
    <cellStyle name="Comma 4 2 3 2 7" xfId="2391" xr:uid="{00000000-0005-0000-0000-0000E1100000}"/>
    <cellStyle name="Comma 4 2 3 2 7 2" xfId="6676" xr:uid="{00000000-0005-0000-0000-0000E2100000}"/>
    <cellStyle name="Comma 4 2 3 2 7 2 2" xfId="15112" xr:uid="{00000000-0005-0000-0000-0000E3100000}"/>
    <cellStyle name="Comma 4 2 3 2 7 3" xfId="10894" xr:uid="{00000000-0005-0000-0000-0000E4100000}"/>
    <cellStyle name="Comma 4 2 3 2 8" xfId="2372" xr:uid="{00000000-0005-0000-0000-0000E5100000}"/>
    <cellStyle name="Comma 4 2 3 2 9" xfId="2769" xr:uid="{00000000-0005-0000-0000-0000E6100000}"/>
    <cellStyle name="Comma 4 2 3 2 9 2" xfId="6993" xr:uid="{00000000-0005-0000-0000-0000E7100000}"/>
    <cellStyle name="Comma 4 2 3 2 9 2 2" xfId="15429" xr:uid="{00000000-0005-0000-0000-0000E8100000}"/>
    <cellStyle name="Comma 4 2 3 2 9 3" xfId="11211" xr:uid="{00000000-0005-0000-0000-0000E9100000}"/>
    <cellStyle name="Comma 4 2 3 3" xfId="139" xr:uid="{00000000-0005-0000-0000-0000EA100000}"/>
    <cellStyle name="Comma 4 2 3 3 10" xfId="8830" xr:uid="{00000000-0005-0000-0000-0000EB100000}"/>
    <cellStyle name="Comma 4 2 3 3 2" xfId="677" xr:uid="{00000000-0005-0000-0000-0000EC100000}"/>
    <cellStyle name="Comma 4 2 3 3 2 2" xfId="2948" xr:uid="{00000000-0005-0000-0000-0000ED100000}"/>
    <cellStyle name="Comma 4 2 3 3 2 2 2" xfId="7171" xr:uid="{00000000-0005-0000-0000-0000EE100000}"/>
    <cellStyle name="Comma 4 2 3 3 2 2 2 2" xfId="15607" xr:uid="{00000000-0005-0000-0000-0000EF100000}"/>
    <cellStyle name="Comma 4 2 3 3 2 2 3" xfId="11389" xr:uid="{00000000-0005-0000-0000-0000F0100000}"/>
    <cellStyle name="Comma 4 2 3 3 2 3" xfId="5026" xr:uid="{00000000-0005-0000-0000-0000F1100000}"/>
    <cellStyle name="Comma 4 2 3 3 2 3 2" xfId="13462" xr:uid="{00000000-0005-0000-0000-0000F2100000}"/>
    <cellStyle name="Comma 4 2 3 3 2 4" xfId="9244" xr:uid="{00000000-0005-0000-0000-0000F3100000}"/>
    <cellStyle name="Comma 4 2 3 3 3" xfId="1130" xr:uid="{00000000-0005-0000-0000-0000F4100000}"/>
    <cellStyle name="Comma 4 2 3 3 3 2" xfId="3361" xr:uid="{00000000-0005-0000-0000-0000F5100000}"/>
    <cellStyle name="Comma 4 2 3 3 3 2 2" xfId="7584" xr:uid="{00000000-0005-0000-0000-0000F6100000}"/>
    <cellStyle name="Comma 4 2 3 3 3 2 2 2" xfId="16020" xr:uid="{00000000-0005-0000-0000-0000F7100000}"/>
    <cellStyle name="Comma 4 2 3 3 3 2 3" xfId="11802" xr:uid="{00000000-0005-0000-0000-0000F8100000}"/>
    <cellStyle name="Comma 4 2 3 3 3 3" xfId="5439" xr:uid="{00000000-0005-0000-0000-0000F9100000}"/>
    <cellStyle name="Comma 4 2 3 3 3 3 2" xfId="13875" xr:uid="{00000000-0005-0000-0000-0000FA100000}"/>
    <cellStyle name="Comma 4 2 3 3 3 4" xfId="9657" xr:uid="{00000000-0005-0000-0000-0000FB100000}"/>
    <cellStyle name="Comma 4 2 3 3 4" xfId="1544" xr:uid="{00000000-0005-0000-0000-0000FC100000}"/>
    <cellStyle name="Comma 4 2 3 3 4 2" xfId="3774" xr:uid="{00000000-0005-0000-0000-0000FD100000}"/>
    <cellStyle name="Comma 4 2 3 3 4 2 2" xfId="7997" xr:uid="{00000000-0005-0000-0000-0000FE100000}"/>
    <cellStyle name="Comma 4 2 3 3 4 2 2 2" xfId="16433" xr:uid="{00000000-0005-0000-0000-0000FF100000}"/>
    <cellStyle name="Comma 4 2 3 3 4 2 3" xfId="12215" xr:uid="{00000000-0005-0000-0000-000000110000}"/>
    <cellStyle name="Comma 4 2 3 3 4 3" xfId="5852" xr:uid="{00000000-0005-0000-0000-000001110000}"/>
    <cellStyle name="Comma 4 2 3 3 4 3 2" xfId="14288" xr:uid="{00000000-0005-0000-0000-000002110000}"/>
    <cellStyle name="Comma 4 2 3 3 4 4" xfId="10070" xr:uid="{00000000-0005-0000-0000-000003110000}"/>
    <cellStyle name="Comma 4 2 3 3 5" xfId="1958" xr:uid="{00000000-0005-0000-0000-000004110000}"/>
    <cellStyle name="Comma 4 2 3 3 5 2" xfId="4187" xr:uid="{00000000-0005-0000-0000-000005110000}"/>
    <cellStyle name="Comma 4 2 3 3 5 2 2" xfId="8410" xr:uid="{00000000-0005-0000-0000-000006110000}"/>
    <cellStyle name="Comma 4 2 3 3 5 2 2 2" xfId="16846" xr:uid="{00000000-0005-0000-0000-000007110000}"/>
    <cellStyle name="Comma 4 2 3 3 5 2 3" xfId="12628" xr:uid="{00000000-0005-0000-0000-000008110000}"/>
    <cellStyle name="Comma 4 2 3 3 5 3" xfId="6265" xr:uid="{00000000-0005-0000-0000-000009110000}"/>
    <cellStyle name="Comma 4 2 3 3 5 3 2" xfId="14701" xr:uid="{00000000-0005-0000-0000-00000A110000}"/>
    <cellStyle name="Comma 4 2 3 3 5 4" xfId="10483" xr:uid="{00000000-0005-0000-0000-00000B110000}"/>
    <cellStyle name="Comma 4 2 3 3 6" xfId="2393" xr:uid="{00000000-0005-0000-0000-00000C110000}"/>
    <cellStyle name="Comma 4 2 3 3 6 2" xfId="6678" xr:uid="{00000000-0005-0000-0000-00000D110000}"/>
    <cellStyle name="Comma 4 2 3 3 6 2 2" xfId="15114" xr:uid="{00000000-0005-0000-0000-00000E110000}"/>
    <cellStyle name="Comma 4 2 3 3 6 3" xfId="10896" xr:uid="{00000000-0005-0000-0000-00000F110000}"/>
    <cellStyle name="Comma 4 2 3 3 7" xfId="2370" xr:uid="{00000000-0005-0000-0000-000010110000}"/>
    <cellStyle name="Comma 4 2 3 3 8" xfId="2771" xr:uid="{00000000-0005-0000-0000-000011110000}"/>
    <cellStyle name="Comma 4 2 3 3 8 2" xfId="6995" xr:uid="{00000000-0005-0000-0000-000012110000}"/>
    <cellStyle name="Comma 4 2 3 3 8 2 2" xfId="15431" xr:uid="{00000000-0005-0000-0000-000013110000}"/>
    <cellStyle name="Comma 4 2 3 3 8 3" xfId="11213" xr:uid="{00000000-0005-0000-0000-000014110000}"/>
    <cellStyle name="Comma 4 2 3 3 9" xfId="4612" xr:uid="{00000000-0005-0000-0000-000015110000}"/>
    <cellStyle name="Comma 4 2 3 3 9 2" xfId="13048" xr:uid="{00000000-0005-0000-0000-000016110000}"/>
    <cellStyle name="Comma 4 2 3 4" xfId="674" xr:uid="{00000000-0005-0000-0000-000017110000}"/>
    <cellStyle name="Comma 4 2 3 4 2" xfId="2945" xr:uid="{00000000-0005-0000-0000-000018110000}"/>
    <cellStyle name="Comma 4 2 3 4 2 2" xfId="7168" xr:uid="{00000000-0005-0000-0000-000019110000}"/>
    <cellStyle name="Comma 4 2 3 4 2 2 2" xfId="15604" xr:uid="{00000000-0005-0000-0000-00001A110000}"/>
    <cellStyle name="Comma 4 2 3 4 2 3" xfId="11386" xr:uid="{00000000-0005-0000-0000-00001B110000}"/>
    <cellStyle name="Comma 4 2 3 4 3" xfId="5023" xr:uid="{00000000-0005-0000-0000-00001C110000}"/>
    <cellStyle name="Comma 4 2 3 4 3 2" xfId="13459" xr:uid="{00000000-0005-0000-0000-00001D110000}"/>
    <cellStyle name="Comma 4 2 3 4 4" xfId="9241" xr:uid="{00000000-0005-0000-0000-00001E110000}"/>
    <cellStyle name="Comma 4 2 3 5" xfId="1127" xr:uid="{00000000-0005-0000-0000-00001F110000}"/>
    <cellStyle name="Comma 4 2 3 5 2" xfId="3358" xr:uid="{00000000-0005-0000-0000-000020110000}"/>
    <cellStyle name="Comma 4 2 3 5 2 2" xfId="7581" xr:uid="{00000000-0005-0000-0000-000021110000}"/>
    <cellStyle name="Comma 4 2 3 5 2 2 2" xfId="16017" xr:uid="{00000000-0005-0000-0000-000022110000}"/>
    <cellStyle name="Comma 4 2 3 5 2 3" xfId="11799" xr:uid="{00000000-0005-0000-0000-000023110000}"/>
    <cellStyle name="Comma 4 2 3 5 3" xfId="5436" xr:uid="{00000000-0005-0000-0000-000024110000}"/>
    <cellStyle name="Comma 4 2 3 5 3 2" xfId="13872" xr:uid="{00000000-0005-0000-0000-000025110000}"/>
    <cellStyle name="Comma 4 2 3 5 4" xfId="9654" xr:uid="{00000000-0005-0000-0000-000026110000}"/>
    <cellStyle name="Comma 4 2 3 6" xfId="1541" xr:uid="{00000000-0005-0000-0000-000027110000}"/>
    <cellStyle name="Comma 4 2 3 6 2" xfId="3771" xr:uid="{00000000-0005-0000-0000-000028110000}"/>
    <cellStyle name="Comma 4 2 3 6 2 2" xfId="7994" xr:uid="{00000000-0005-0000-0000-000029110000}"/>
    <cellStyle name="Comma 4 2 3 6 2 2 2" xfId="16430" xr:uid="{00000000-0005-0000-0000-00002A110000}"/>
    <cellStyle name="Comma 4 2 3 6 2 3" xfId="12212" xr:uid="{00000000-0005-0000-0000-00002B110000}"/>
    <cellStyle name="Comma 4 2 3 6 3" xfId="5849" xr:uid="{00000000-0005-0000-0000-00002C110000}"/>
    <cellStyle name="Comma 4 2 3 6 3 2" xfId="14285" xr:uid="{00000000-0005-0000-0000-00002D110000}"/>
    <cellStyle name="Comma 4 2 3 6 4" xfId="10067" xr:uid="{00000000-0005-0000-0000-00002E110000}"/>
    <cellStyle name="Comma 4 2 3 7" xfId="1955" xr:uid="{00000000-0005-0000-0000-00002F110000}"/>
    <cellStyle name="Comma 4 2 3 7 2" xfId="4184" xr:uid="{00000000-0005-0000-0000-000030110000}"/>
    <cellStyle name="Comma 4 2 3 7 2 2" xfId="8407" xr:uid="{00000000-0005-0000-0000-000031110000}"/>
    <cellStyle name="Comma 4 2 3 7 2 2 2" xfId="16843" xr:uid="{00000000-0005-0000-0000-000032110000}"/>
    <cellStyle name="Comma 4 2 3 7 2 3" xfId="12625" xr:uid="{00000000-0005-0000-0000-000033110000}"/>
    <cellStyle name="Comma 4 2 3 7 3" xfId="6262" xr:uid="{00000000-0005-0000-0000-000034110000}"/>
    <cellStyle name="Comma 4 2 3 7 3 2" xfId="14698" xr:uid="{00000000-0005-0000-0000-000035110000}"/>
    <cellStyle name="Comma 4 2 3 7 4" xfId="10480" xr:uid="{00000000-0005-0000-0000-000036110000}"/>
    <cellStyle name="Comma 4 2 3 8" xfId="2390" xr:uid="{00000000-0005-0000-0000-000037110000}"/>
    <cellStyle name="Comma 4 2 3 8 2" xfId="6675" xr:uid="{00000000-0005-0000-0000-000038110000}"/>
    <cellStyle name="Comma 4 2 3 8 2 2" xfId="15111" xr:uid="{00000000-0005-0000-0000-000039110000}"/>
    <cellStyle name="Comma 4 2 3 8 3" xfId="10893" xr:uid="{00000000-0005-0000-0000-00003A110000}"/>
    <cellStyle name="Comma 4 2 3 9" xfId="2373" xr:uid="{00000000-0005-0000-0000-00003B110000}"/>
    <cellStyle name="Comma 4 2 4" xfId="140" xr:uid="{00000000-0005-0000-0000-00003C110000}"/>
    <cellStyle name="Comma 4 2 4 10" xfId="4613" xr:uid="{00000000-0005-0000-0000-00003D110000}"/>
    <cellStyle name="Comma 4 2 4 10 2" xfId="13049" xr:uid="{00000000-0005-0000-0000-00003E110000}"/>
    <cellStyle name="Comma 4 2 4 11" xfId="8831" xr:uid="{00000000-0005-0000-0000-00003F110000}"/>
    <cellStyle name="Comma 4 2 4 2" xfId="141" xr:uid="{00000000-0005-0000-0000-000040110000}"/>
    <cellStyle name="Comma 4 2 4 2 10" xfId="8832" xr:uid="{00000000-0005-0000-0000-000041110000}"/>
    <cellStyle name="Comma 4 2 4 2 2" xfId="679" xr:uid="{00000000-0005-0000-0000-000042110000}"/>
    <cellStyle name="Comma 4 2 4 2 2 2" xfId="2950" xr:uid="{00000000-0005-0000-0000-000043110000}"/>
    <cellStyle name="Comma 4 2 4 2 2 2 2" xfId="7173" xr:uid="{00000000-0005-0000-0000-000044110000}"/>
    <cellStyle name="Comma 4 2 4 2 2 2 2 2" xfId="15609" xr:uid="{00000000-0005-0000-0000-000045110000}"/>
    <cellStyle name="Comma 4 2 4 2 2 2 3" xfId="11391" xr:uid="{00000000-0005-0000-0000-000046110000}"/>
    <cellStyle name="Comma 4 2 4 2 2 3" xfId="5028" xr:uid="{00000000-0005-0000-0000-000047110000}"/>
    <cellStyle name="Comma 4 2 4 2 2 3 2" xfId="13464" xr:uid="{00000000-0005-0000-0000-000048110000}"/>
    <cellStyle name="Comma 4 2 4 2 2 4" xfId="9246" xr:uid="{00000000-0005-0000-0000-000049110000}"/>
    <cellStyle name="Comma 4 2 4 2 3" xfId="1132" xr:uid="{00000000-0005-0000-0000-00004A110000}"/>
    <cellStyle name="Comma 4 2 4 2 3 2" xfId="3363" xr:uid="{00000000-0005-0000-0000-00004B110000}"/>
    <cellStyle name="Comma 4 2 4 2 3 2 2" xfId="7586" xr:uid="{00000000-0005-0000-0000-00004C110000}"/>
    <cellStyle name="Comma 4 2 4 2 3 2 2 2" xfId="16022" xr:uid="{00000000-0005-0000-0000-00004D110000}"/>
    <cellStyle name="Comma 4 2 4 2 3 2 3" xfId="11804" xr:uid="{00000000-0005-0000-0000-00004E110000}"/>
    <cellStyle name="Comma 4 2 4 2 3 3" xfId="5441" xr:uid="{00000000-0005-0000-0000-00004F110000}"/>
    <cellStyle name="Comma 4 2 4 2 3 3 2" xfId="13877" xr:uid="{00000000-0005-0000-0000-000050110000}"/>
    <cellStyle name="Comma 4 2 4 2 3 4" xfId="9659" xr:uid="{00000000-0005-0000-0000-000051110000}"/>
    <cellStyle name="Comma 4 2 4 2 4" xfId="1546" xr:uid="{00000000-0005-0000-0000-000052110000}"/>
    <cellStyle name="Comma 4 2 4 2 4 2" xfId="3776" xr:uid="{00000000-0005-0000-0000-000053110000}"/>
    <cellStyle name="Comma 4 2 4 2 4 2 2" xfId="7999" xr:uid="{00000000-0005-0000-0000-000054110000}"/>
    <cellStyle name="Comma 4 2 4 2 4 2 2 2" xfId="16435" xr:uid="{00000000-0005-0000-0000-000055110000}"/>
    <cellStyle name="Comma 4 2 4 2 4 2 3" xfId="12217" xr:uid="{00000000-0005-0000-0000-000056110000}"/>
    <cellStyle name="Comma 4 2 4 2 4 3" xfId="5854" xr:uid="{00000000-0005-0000-0000-000057110000}"/>
    <cellStyle name="Comma 4 2 4 2 4 3 2" xfId="14290" xr:uid="{00000000-0005-0000-0000-000058110000}"/>
    <cellStyle name="Comma 4 2 4 2 4 4" xfId="10072" xr:uid="{00000000-0005-0000-0000-000059110000}"/>
    <cellStyle name="Comma 4 2 4 2 5" xfId="1960" xr:uid="{00000000-0005-0000-0000-00005A110000}"/>
    <cellStyle name="Comma 4 2 4 2 5 2" xfId="4189" xr:uid="{00000000-0005-0000-0000-00005B110000}"/>
    <cellStyle name="Comma 4 2 4 2 5 2 2" xfId="8412" xr:uid="{00000000-0005-0000-0000-00005C110000}"/>
    <cellStyle name="Comma 4 2 4 2 5 2 2 2" xfId="16848" xr:uid="{00000000-0005-0000-0000-00005D110000}"/>
    <cellStyle name="Comma 4 2 4 2 5 2 3" xfId="12630" xr:uid="{00000000-0005-0000-0000-00005E110000}"/>
    <cellStyle name="Comma 4 2 4 2 5 3" xfId="6267" xr:uid="{00000000-0005-0000-0000-00005F110000}"/>
    <cellStyle name="Comma 4 2 4 2 5 3 2" xfId="14703" xr:uid="{00000000-0005-0000-0000-000060110000}"/>
    <cellStyle name="Comma 4 2 4 2 5 4" xfId="10485" xr:uid="{00000000-0005-0000-0000-000061110000}"/>
    <cellStyle name="Comma 4 2 4 2 6" xfId="2395" xr:uid="{00000000-0005-0000-0000-000062110000}"/>
    <cellStyle name="Comma 4 2 4 2 6 2" xfId="6680" xr:uid="{00000000-0005-0000-0000-000063110000}"/>
    <cellStyle name="Comma 4 2 4 2 6 2 2" xfId="15116" xr:uid="{00000000-0005-0000-0000-000064110000}"/>
    <cellStyle name="Comma 4 2 4 2 6 3" xfId="10898" xr:uid="{00000000-0005-0000-0000-000065110000}"/>
    <cellStyle name="Comma 4 2 4 2 7" xfId="2368" xr:uid="{00000000-0005-0000-0000-000066110000}"/>
    <cellStyle name="Comma 4 2 4 2 8" xfId="2773" xr:uid="{00000000-0005-0000-0000-000067110000}"/>
    <cellStyle name="Comma 4 2 4 2 8 2" xfId="6997" xr:uid="{00000000-0005-0000-0000-000068110000}"/>
    <cellStyle name="Comma 4 2 4 2 8 2 2" xfId="15433" xr:uid="{00000000-0005-0000-0000-000069110000}"/>
    <cellStyle name="Comma 4 2 4 2 8 3" xfId="11215" xr:uid="{00000000-0005-0000-0000-00006A110000}"/>
    <cellStyle name="Comma 4 2 4 2 9" xfId="4614" xr:uid="{00000000-0005-0000-0000-00006B110000}"/>
    <cellStyle name="Comma 4 2 4 2 9 2" xfId="13050" xr:uid="{00000000-0005-0000-0000-00006C110000}"/>
    <cellStyle name="Comma 4 2 4 3" xfId="678" xr:uid="{00000000-0005-0000-0000-00006D110000}"/>
    <cellStyle name="Comma 4 2 4 3 2" xfId="2949" xr:uid="{00000000-0005-0000-0000-00006E110000}"/>
    <cellStyle name="Comma 4 2 4 3 2 2" xfId="7172" xr:uid="{00000000-0005-0000-0000-00006F110000}"/>
    <cellStyle name="Comma 4 2 4 3 2 2 2" xfId="15608" xr:uid="{00000000-0005-0000-0000-000070110000}"/>
    <cellStyle name="Comma 4 2 4 3 2 3" xfId="11390" xr:uid="{00000000-0005-0000-0000-000071110000}"/>
    <cellStyle name="Comma 4 2 4 3 3" xfId="5027" xr:uid="{00000000-0005-0000-0000-000072110000}"/>
    <cellStyle name="Comma 4 2 4 3 3 2" xfId="13463" xr:uid="{00000000-0005-0000-0000-000073110000}"/>
    <cellStyle name="Comma 4 2 4 3 4" xfId="9245" xr:uid="{00000000-0005-0000-0000-000074110000}"/>
    <cellStyle name="Comma 4 2 4 4" xfId="1131" xr:uid="{00000000-0005-0000-0000-000075110000}"/>
    <cellStyle name="Comma 4 2 4 4 2" xfId="3362" xr:uid="{00000000-0005-0000-0000-000076110000}"/>
    <cellStyle name="Comma 4 2 4 4 2 2" xfId="7585" xr:uid="{00000000-0005-0000-0000-000077110000}"/>
    <cellStyle name="Comma 4 2 4 4 2 2 2" xfId="16021" xr:uid="{00000000-0005-0000-0000-000078110000}"/>
    <cellStyle name="Comma 4 2 4 4 2 3" xfId="11803" xr:uid="{00000000-0005-0000-0000-000079110000}"/>
    <cellStyle name="Comma 4 2 4 4 3" xfId="5440" xr:uid="{00000000-0005-0000-0000-00007A110000}"/>
    <cellStyle name="Comma 4 2 4 4 3 2" xfId="13876" xr:uid="{00000000-0005-0000-0000-00007B110000}"/>
    <cellStyle name="Comma 4 2 4 4 4" xfId="9658" xr:uid="{00000000-0005-0000-0000-00007C110000}"/>
    <cellStyle name="Comma 4 2 4 5" xfId="1545" xr:uid="{00000000-0005-0000-0000-00007D110000}"/>
    <cellStyle name="Comma 4 2 4 5 2" xfId="3775" xr:uid="{00000000-0005-0000-0000-00007E110000}"/>
    <cellStyle name="Comma 4 2 4 5 2 2" xfId="7998" xr:uid="{00000000-0005-0000-0000-00007F110000}"/>
    <cellStyle name="Comma 4 2 4 5 2 2 2" xfId="16434" xr:uid="{00000000-0005-0000-0000-000080110000}"/>
    <cellStyle name="Comma 4 2 4 5 2 3" xfId="12216" xr:uid="{00000000-0005-0000-0000-000081110000}"/>
    <cellStyle name="Comma 4 2 4 5 3" xfId="5853" xr:uid="{00000000-0005-0000-0000-000082110000}"/>
    <cellStyle name="Comma 4 2 4 5 3 2" xfId="14289" xr:uid="{00000000-0005-0000-0000-000083110000}"/>
    <cellStyle name="Comma 4 2 4 5 4" xfId="10071" xr:uid="{00000000-0005-0000-0000-000084110000}"/>
    <cellStyle name="Comma 4 2 4 6" xfId="1959" xr:uid="{00000000-0005-0000-0000-000085110000}"/>
    <cellStyle name="Comma 4 2 4 6 2" xfId="4188" xr:uid="{00000000-0005-0000-0000-000086110000}"/>
    <cellStyle name="Comma 4 2 4 6 2 2" xfId="8411" xr:uid="{00000000-0005-0000-0000-000087110000}"/>
    <cellStyle name="Comma 4 2 4 6 2 2 2" xfId="16847" xr:uid="{00000000-0005-0000-0000-000088110000}"/>
    <cellStyle name="Comma 4 2 4 6 2 3" xfId="12629" xr:uid="{00000000-0005-0000-0000-000089110000}"/>
    <cellStyle name="Comma 4 2 4 6 3" xfId="6266" xr:uid="{00000000-0005-0000-0000-00008A110000}"/>
    <cellStyle name="Comma 4 2 4 6 3 2" xfId="14702" xr:uid="{00000000-0005-0000-0000-00008B110000}"/>
    <cellStyle name="Comma 4 2 4 6 4" xfId="10484" xr:uid="{00000000-0005-0000-0000-00008C110000}"/>
    <cellStyle name="Comma 4 2 4 7" xfId="2394" xr:uid="{00000000-0005-0000-0000-00008D110000}"/>
    <cellStyle name="Comma 4 2 4 7 2" xfId="6679" xr:uid="{00000000-0005-0000-0000-00008E110000}"/>
    <cellStyle name="Comma 4 2 4 7 2 2" xfId="15115" xr:uid="{00000000-0005-0000-0000-00008F110000}"/>
    <cellStyle name="Comma 4 2 4 7 3" xfId="10897" xr:uid="{00000000-0005-0000-0000-000090110000}"/>
    <cellStyle name="Comma 4 2 4 8" xfId="2369" xr:uid="{00000000-0005-0000-0000-000091110000}"/>
    <cellStyle name="Comma 4 2 4 9" xfId="2772" xr:uid="{00000000-0005-0000-0000-000092110000}"/>
    <cellStyle name="Comma 4 2 4 9 2" xfId="6996" xr:uid="{00000000-0005-0000-0000-000093110000}"/>
    <cellStyle name="Comma 4 2 4 9 2 2" xfId="15432" xr:uid="{00000000-0005-0000-0000-000094110000}"/>
    <cellStyle name="Comma 4 2 4 9 3" xfId="11214" xr:uid="{00000000-0005-0000-0000-000095110000}"/>
    <cellStyle name="Comma 4 2 5" xfId="142" xr:uid="{00000000-0005-0000-0000-000096110000}"/>
    <cellStyle name="Comma 4 2 5 10" xfId="8833" xr:uid="{00000000-0005-0000-0000-000097110000}"/>
    <cellStyle name="Comma 4 2 5 2" xfId="680" xr:uid="{00000000-0005-0000-0000-000098110000}"/>
    <cellStyle name="Comma 4 2 5 2 2" xfId="2951" xr:uid="{00000000-0005-0000-0000-000099110000}"/>
    <cellStyle name="Comma 4 2 5 2 2 2" xfId="7174" xr:uid="{00000000-0005-0000-0000-00009A110000}"/>
    <cellStyle name="Comma 4 2 5 2 2 2 2" xfId="15610" xr:uid="{00000000-0005-0000-0000-00009B110000}"/>
    <cellStyle name="Comma 4 2 5 2 2 3" xfId="11392" xr:uid="{00000000-0005-0000-0000-00009C110000}"/>
    <cellStyle name="Comma 4 2 5 2 3" xfId="5029" xr:uid="{00000000-0005-0000-0000-00009D110000}"/>
    <cellStyle name="Comma 4 2 5 2 3 2" xfId="13465" xr:uid="{00000000-0005-0000-0000-00009E110000}"/>
    <cellStyle name="Comma 4 2 5 2 4" xfId="9247" xr:uid="{00000000-0005-0000-0000-00009F110000}"/>
    <cellStyle name="Comma 4 2 5 3" xfId="1133" xr:uid="{00000000-0005-0000-0000-0000A0110000}"/>
    <cellStyle name="Comma 4 2 5 3 2" xfId="3364" xr:uid="{00000000-0005-0000-0000-0000A1110000}"/>
    <cellStyle name="Comma 4 2 5 3 2 2" xfId="7587" xr:uid="{00000000-0005-0000-0000-0000A2110000}"/>
    <cellStyle name="Comma 4 2 5 3 2 2 2" xfId="16023" xr:uid="{00000000-0005-0000-0000-0000A3110000}"/>
    <cellStyle name="Comma 4 2 5 3 2 3" xfId="11805" xr:uid="{00000000-0005-0000-0000-0000A4110000}"/>
    <cellStyle name="Comma 4 2 5 3 3" xfId="5442" xr:uid="{00000000-0005-0000-0000-0000A5110000}"/>
    <cellStyle name="Comma 4 2 5 3 3 2" xfId="13878" xr:uid="{00000000-0005-0000-0000-0000A6110000}"/>
    <cellStyle name="Comma 4 2 5 3 4" xfId="9660" xr:uid="{00000000-0005-0000-0000-0000A7110000}"/>
    <cellStyle name="Comma 4 2 5 4" xfId="1547" xr:uid="{00000000-0005-0000-0000-0000A8110000}"/>
    <cellStyle name="Comma 4 2 5 4 2" xfId="3777" xr:uid="{00000000-0005-0000-0000-0000A9110000}"/>
    <cellStyle name="Comma 4 2 5 4 2 2" xfId="8000" xr:uid="{00000000-0005-0000-0000-0000AA110000}"/>
    <cellStyle name="Comma 4 2 5 4 2 2 2" xfId="16436" xr:uid="{00000000-0005-0000-0000-0000AB110000}"/>
    <cellStyle name="Comma 4 2 5 4 2 3" xfId="12218" xr:uid="{00000000-0005-0000-0000-0000AC110000}"/>
    <cellStyle name="Comma 4 2 5 4 3" xfId="5855" xr:uid="{00000000-0005-0000-0000-0000AD110000}"/>
    <cellStyle name="Comma 4 2 5 4 3 2" xfId="14291" xr:uid="{00000000-0005-0000-0000-0000AE110000}"/>
    <cellStyle name="Comma 4 2 5 4 4" xfId="10073" xr:uid="{00000000-0005-0000-0000-0000AF110000}"/>
    <cellStyle name="Comma 4 2 5 5" xfId="1961" xr:uid="{00000000-0005-0000-0000-0000B0110000}"/>
    <cellStyle name="Comma 4 2 5 5 2" xfId="4190" xr:uid="{00000000-0005-0000-0000-0000B1110000}"/>
    <cellStyle name="Comma 4 2 5 5 2 2" xfId="8413" xr:uid="{00000000-0005-0000-0000-0000B2110000}"/>
    <cellStyle name="Comma 4 2 5 5 2 2 2" xfId="16849" xr:uid="{00000000-0005-0000-0000-0000B3110000}"/>
    <cellStyle name="Comma 4 2 5 5 2 3" xfId="12631" xr:uid="{00000000-0005-0000-0000-0000B4110000}"/>
    <cellStyle name="Comma 4 2 5 5 3" xfId="6268" xr:uid="{00000000-0005-0000-0000-0000B5110000}"/>
    <cellStyle name="Comma 4 2 5 5 3 2" xfId="14704" xr:uid="{00000000-0005-0000-0000-0000B6110000}"/>
    <cellStyle name="Comma 4 2 5 5 4" xfId="10486" xr:uid="{00000000-0005-0000-0000-0000B7110000}"/>
    <cellStyle name="Comma 4 2 5 6" xfId="2396" xr:uid="{00000000-0005-0000-0000-0000B8110000}"/>
    <cellStyle name="Comma 4 2 5 6 2" xfId="6681" xr:uid="{00000000-0005-0000-0000-0000B9110000}"/>
    <cellStyle name="Comma 4 2 5 6 2 2" xfId="15117" xr:uid="{00000000-0005-0000-0000-0000BA110000}"/>
    <cellStyle name="Comma 4 2 5 6 3" xfId="10899" xr:uid="{00000000-0005-0000-0000-0000BB110000}"/>
    <cellStyle name="Comma 4 2 5 7" xfId="2367" xr:uid="{00000000-0005-0000-0000-0000BC110000}"/>
    <cellStyle name="Comma 4 2 5 8" xfId="2774" xr:uid="{00000000-0005-0000-0000-0000BD110000}"/>
    <cellStyle name="Comma 4 2 5 8 2" xfId="6998" xr:uid="{00000000-0005-0000-0000-0000BE110000}"/>
    <cellStyle name="Comma 4 2 5 8 2 2" xfId="15434" xr:uid="{00000000-0005-0000-0000-0000BF110000}"/>
    <cellStyle name="Comma 4 2 5 8 3" xfId="11216" xr:uid="{00000000-0005-0000-0000-0000C0110000}"/>
    <cellStyle name="Comma 4 2 5 9" xfId="4615" xr:uid="{00000000-0005-0000-0000-0000C1110000}"/>
    <cellStyle name="Comma 4 2 5 9 2" xfId="13051" xr:uid="{00000000-0005-0000-0000-0000C2110000}"/>
    <cellStyle name="Comma 4 2 6" xfId="143" xr:uid="{00000000-0005-0000-0000-0000C3110000}"/>
    <cellStyle name="Comma 4 2 6 10" xfId="8834" xr:uid="{00000000-0005-0000-0000-0000C4110000}"/>
    <cellStyle name="Comma 4 2 6 2" xfId="681" xr:uid="{00000000-0005-0000-0000-0000C5110000}"/>
    <cellStyle name="Comma 4 2 6 2 2" xfId="2952" xr:uid="{00000000-0005-0000-0000-0000C6110000}"/>
    <cellStyle name="Comma 4 2 6 2 2 2" xfId="7175" xr:uid="{00000000-0005-0000-0000-0000C7110000}"/>
    <cellStyle name="Comma 4 2 6 2 2 2 2" xfId="15611" xr:uid="{00000000-0005-0000-0000-0000C8110000}"/>
    <cellStyle name="Comma 4 2 6 2 2 3" xfId="11393" xr:uid="{00000000-0005-0000-0000-0000C9110000}"/>
    <cellStyle name="Comma 4 2 6 2 3" xfId="5030" xr:uid="{00000000-0005-0000-0000-0000CA110000}"/>
    <cellStyle name="Comma 4 2 6 2 3 2" xfId="13466" xr:uid="{00000000-0005-0000-0000-0000CB110000}"/>
    <cellStyle name="Comma 4 2 6 2 4" xfId="9248" xr:uid="{00000000-0005-0000-0000-0000CC110000}"/>
    <cellStyle name="Comma 4 2 6 3" xfId="1134" xr:uid="{00000000-0005-0000-0000-0000CD110000}"/>
    <cellStyle name="Comma 4 2 6 3 2" xfId="3365" xr:uid="{00000000-0005-0000-0000-0000CE110000}"/>
    <cellStyle name="Comma 4 2 6 3 2 2" xfId="7588" xr:uid="{00000000-0005-0000-0000-0000CF110000}"/>
    <cellStyle name="Comma 4 2 6 3 2 2 2" xfId="16024" xr:uid="{00000000-0005-0000-0000-0000D0110000}"/>
    <cellStyle name="Comma 4 2 6 3 2 3" xfId="11806" xr:uid="{00000000-0005-0000-0000-0000D1110000}"/>
    <cellStyle name="Comma 4 2 6 3 3" xfId="5443" xr:uid="{00000000-0005-0000-0000-0000D2110000}"/>
    <cellStyle name="Comma 4 2 6 3 3 2" xfId="13879" xr:uid="{00000000-0005-0000-0000-0000D3110000}"/>
    <cellStyle name="Comma 4 2 6 3 4" xfId="9661" xr:uid="{00000000-0005-0000-0000-0000D4110000}"/>
    <cellStyle name="Comma 4 2 6 4" xfId="1548" xr:uid="{00000000-0005-0000-0000-0000D5110000}"/>
    <cellStyle name="Comma 4 2 6 4 2" xfId="3778" xr:uid="{00000000-0005-0000-0000-0000D6110000}"/>
    <cellStyle name="Comma 4 2 6 4 2 2" xfId="8001" xr:uid="{00000000-0005-0000-0000-0000D7110000}"/>
    <cellStyle name="Comma 4 2 6 4 2 2 2" xfId="16437" xr:uid="{00000000-0005-0000-0000-0000D8110000}"/>
    <cellStyle name="Comma 4 2 6 4 2 3" xfId="12219" xr:uid="{00000000-0005-0000-0000-0000D9110000}"/>
    <cellStyle name="Comma 4 2 6 4 3" xfId="5856" xr:uid="{00000000-0005-0000-0000-0000DA110000}"/>
    <cellStyle name="Comma 4 2 6 4 3 2" xfId="14292" xr:uid="{00000000-0005-0000-0000-0000DB110000}"/>
    <cellStyle name="Comma 4 2 6 4 4" xfId="10074" xr:uid="{00000000-0005-0000-0000-0000DC110000}"/>
    <cellStyle name="Comma 4 2 6 5" xfId="1962" xr:uid="{00000000-0005-0000-0000-0000DD110000}"/>
    <cellStyle name="Comma 4 2 6 5 2" xfId="4191" xr:uid="{00000000-0005-0000-0000-0000DE110000}"/>
    <cellStyle name="Comma 4 2 6 5 2 2" xfId="8414" xr:uid="{00000000-0005-0000-0000-0000DF110000}"/>
    <cellStyle name="Comma 4 2 6 5 2 2 2" xfId="16850" xr:uid="{00000000-0005-0000-0000-0000E0110000}"/>
    <cellStyle name="Comma 4 2 6 5 2 3" xfId="12632" xr:uid="{00000000-0005-0000-0000-0000E1110000}"/>
    <cellStyle name="Comma 4 2 6 5 3" xfId="6269" xr:uid="{00000000-0005-0000-0000-0000E2110000}"/>
    <cellStyle name="Comma 4 2 6 5 3 2" xfId="14705" xr:uid="{00000000-0005-0000-0000-0000E3110000}"/>
    <cellStyle name="Comma 4 2 6 5 4" xfId="10487" xr:uid="{00000000-0005-0000-0000-0000E4110000}"/>
    <cellStyle name="Comma 4 2 6 6" xfId="2397" xr:uid="{00000000-0005-0000-0000-0000E5110000}"/>
    <cellStyle name="Comma 4 2 6 6 2" xfId="6682" xr:uid="{00000000-0005-0000-0000-0000E6110000}"/>
    <cellStyle name="Comma 4 2 6 6 2 2" xfId="15118" xr:uid="{00000000-0005-0000-0000-0000E7110000}"/>
    <cellStyle name="Comma 4 2 6 6 3" xfId="10900" xr:uid="{00000000-0005-0000-0000-0000E8110000}"/>
    <cellStyle name="Comma 4 2 6 7" xfId="2366" xr:uid="{00000000-0005-0000-0000-0000E9110000}"/>
    <cellStyle name="Comma 4 2 6 8" xfId="2775" xr:uid="{00000000-0005-0000-0000-0000EA110000}"/>
    <cellStyle name="Comma 4 2 6 8 2" xfId="6999" xr:uid="{00000000-0005-0000-0000-0000EB110000}"/>
    <cellStyle name="Comma 4 2 6 8 2 2" xfId="15435" xr:uid="{00000000-0005-0000-0000-0000EC110000}"/>
    <cellStyle name="Comma 4 2 6 8 3" xfId="11217" xr:uid="{00000000-0005-0000-0000-0000ED110000}"/>
    <cellStyle name="Comma 4 2 6 9" xfId="4616" xr:uid="{00000000-0005-0000-0000-0000EE110000}"/>
    <cellStyle name="Comma 4 2 6 9 2" xfId="13052" xr:uid="{00000000-0005-0000-0000-0000EF110000}"/>
    <cellStyle name="Comma 4 3" xfId="144" xr:uid="{00000000-0005-0000-0000-0000F0110000}"/>
    <cellStyle name="Comma 4 3 2" xfId="145" xr:uid="{00000000-0005-0000-0000-0000F1110000}"/>
    <cellStyle name="Comma 4 3 2 10" xfId="2776" xr:uid="{00000000-0005-0000-0000-0000F2110000}"/>
    <cellStyle name="Comma 4 3 2 10 2" xfId="7000" xr:uid="{00000000-0005-0000-0000-0000F3110000}"/>
    <cellStyle name="Comma 4 3 2 10 2 2" xfId="15436" xr:uid="{00000000-0005-0000-0000-0000F4110000}"/>
    <cellStyle name="Comma 4 3 2 10 3" xfId="11218" xr:uid="{00000000-0005-0000-0000-0000F5110000}"/>
    <cellStyle name="Comma 4 3 2 11" xfId="4617" xr:uid="{00000000-0005-0000-0000-0000F6110000}"/>
    <cellStyle name="Comma 4 3 2 11 2" xfId="13053" xr:uid="{00000000-0005-0000-0000-0000F7110000}"/>
    <cellStyle name="Comma 4 3 2 12" xfId="8835" xr:uid="{00000000-0005-0000-0000-0000F8110000}"/>
    <cellStyle name="Comma 4 3 2 2" xfId="146" xr:uid="{00000000-0005-0000-0000-0000F9110000}"/>
    <cellStyle name="Comma 4 3 2 2 10" xfId="4618" xr:uid="{00000000-0005-0000-0000-0000FA110000}"/>
    <cellStyle name="Comma 4 3 2 2 10 2" xfId="13054" xr:uid="{00000000-0005-0000-0000-0000FB110000}"/>
    <cellStyle name="Comma 4 3 2 2 11" xfId="8836" xr:uid="{00000000-0005-0000-0000-0000FC110000}"/>
    <cellStyle name="Comma 4 3 2 2 2" xfId="147" xr:uid="{00000000-0005-0000-0000-0000FD110000}"/>
    <cellStyle name="Comma 4 3 2 2 2 10" xfId="8837" xr:uid="{00000000-0005-0000-0000-0000FE110000}"/>
    <cellStyle name="Comma 4 3 2 2 2 2" xfId="684" xr:uid="{00000000-0005-0000-0000-0000FF110000}"/>
    <cellStyle name="Comma 4 3 2 2 2 2 2" xfId="2955" xr:uid="{00000000-0005-0000-0000-000000120000}"/>
    <cellStyle name="Comma 4 3 2 2 2 2 2 2" xfId="7178" xr:uid="{00000000-0005-0000-0000-000001120000}"/>
    <cellStyle name="Comma 4 3 2 2 2 2 2 2 2" xfId="15614" xr:uid="{00000000-0005-0000-0000-000002120000}"/>
    <cellStyle name="Comma 4 3 2 2 2 2 2 3" xfId="11396" xr:uid="{00000000-0005-0000-0000-000003120000}"/>
    <cellStyle name="Comma 4 3 2 2 2 2 3" xfId="5033" xr:uid="{00000000-0005-0000-0000-000004120000}"/>
    <cellStyle name="Comma 4 3 2 2 2 2 3 2" xfId="13469" xr:uid="{00000000-0005-0000-0000-000005120000}"/>
    <cellStyle name="Comma 4 3 2 2 2 2 4" xfId="9251" xr:uid="{00000000-0005-0000-0000-000006120000}"/>
    <cellStyle name="Comma 4 3 2 2 2 3" xfId="1137" xr:uid="{00000000-0005-0000-0000-000007120000}"/>
    <cellStyle name="Comma 4 3 2 2 2 3 2" xfId="3368" xr:uid="{00000000-0005-0000-0000-000008120000}"/>
    <cellStyle name="Comma 4 3 2 2 2 3 2 2" xfId="7591" xr:uid="{00000000-0005-0000-0000-000009120000}"/>
    <cellStyle name="Comma 4 3 2 2 2 3 2 2 2" xfId="16027" xr:uid="{00000000-0005-0000-0000-00000A120000}"/>
    <cellStyle name="Comma 4 3 2 2 2 3 2 3" xfId="11809" xr:uid="{00000000-0005-0000-0000-00000B120000}"/>
    <cellStyle name="Comma 4 3 2 2 2 3 3" xfId="5446" xr:uid="{00000000-0005-0000-0000-00000C120000}"/>
    <cellStyle name="Comma 4 3 2 2 2 3 3 2" xfId="13882" xr:uid="{00000000-0005-0000-0000-00000D120000}"/>
    <cellStyle name="Comma 4 3 2 2 2 3 4" xfId="9664" xr:uid="{00000000-0005-0000-0000-00000E120000}"/>
    <cellStyle name="Comma 4 3 2 2 2 4" xfId="1551" xr:uid="{00000000-0005-0000-0000-00000F120000}"/>
    <cellStyle name="Comma 4 3 2 2 2 4 2" xfId="3781" xr:uid="{00000000-0005-0000-0000-000010120000}"/>
    <cellStyle name="Comma 4 3 2 2 2 4 2 2" xfId="8004" xr:uid="{00000000-0005-0000-0000-000011120000}"/>
    <cellStyle name="Comma 4 3 2 2 2 4 2 2 2" xfId="16440" xr:uid="{00000000-0005-0000-0000-000012120000}"/>
    <cellStyle name="Comma 4 3 2 2 2 4 2 3" xfId="12222" xr:uid="{00000000-0005-0000-0000-000013120000}"/>
    <cellStyle name="Comma 4 3 2 2 2 4 3" xfId="5859" xr:uid="{00000000-0005-0000-0000-000014120000}"/>
    <cellStyle name="Comma 4 3 2 2 2 4 3 2" xfId="14295" xr:uid="{00000000-0005-0000-0000-000015120000}"/>
    <cellStyle name="Comma 4 3 2 2 2 4 4" xfId="10077" xr:uid="{00000000-0005-0000-0000-000016120000}"/>
    <cellStyle name="Comma 4 3 2 2 2 5" xfId="1965" xr:uid="{00000000-0005-0000-0000-000017120000}"/>
    <cellStyle name="Comma 4 3 2 2 2 5 2" xfId="4194" xr:uid="{00000000-0005-0000-0000-000018120000}"/>
    <cellStyle name="Comma 4 3 2 2 2 5 2 2" xfId="8417" xr:uid="{00000000-0005-0000-0000-000019120000}"/>
    <cellStyle name="Comma 4 3 2 2 2 5 2 2 2" xfId="16853" xr:uid="{00000000-0005-0000-0000-00001A120000}"/>
    <cellStyle name="Comma 4 3 2 2 2 5 2 3" xfId="12635" xr:uid="{00000000-0005-0000-0000-00001B120000}"/>
    <cellStyle name="Comma 4 3 2 2 2 5 3" xfId="6272" xr:uid="{00000000-0005-0000-0000-00001C120000}"/>
    <cellStyle name="Comma 4 3 2 2 2 5 3 2" xfId="14708" xr:uid="{00000000-0005-0000-0000-00001D120000}"/>
    <cellStyle name="Comma 4 3 2 2 2 5 4" xfId="10490" xr:uid="{00000000-0005-0000-0000-00001E120000}"/>
    <cellStyle name="Comma 4 3 2 2 2 6" xfId="2400" xr:uid="{00000000-0005-0000-0000-00001F120000}"/>
    <cellStyle name="Comma 4 3 2 2 2 6 2" xfId="6685" xr:uid="{00000000-0005-0000-0000-000020120000}"/>
    <cellStyle name="Comma 4 3 2 2 2 6 2 2" xfId="15121" xr:uid="{00000000-0005-0000-0000-000021120000}"/>
    <cellStyle name="Comma 4 3 2 2 2 6 3" xfId="10903" xr:uid="{00000000-0005-0000-0000-000022120000}"/>
    <cellStyle name="Comma 4 3 2 2 2 7" xfId="2363" xr:uid="{00000000-0005-0000-0000-000023120000}"/>
    <cellStyle name="Comma 4 3 2 2 2 8" xfId="2778" xr:uid="{00000000-0005-0000-0000-000024120000}"/>
    <cellStyle name="Comma 4 3 2 2 2 8 2" xfId="7002" xr:uid="{00000000-0005-0000-0000-000025120000}"/>
    <cellStyle name="Comma 4 3 2 2 2 8 2 2" xfId="15438" xr:uid="{00000000-0005-0000-0000-000026120000}"/>
    <cellStyle name="Comma 4 3 2 2 2 8 3" xfId="11220" xr:uid="{00000000-0005-0000-0000-000027120000}"/>
    <cellStyle name="Comma 4 3 2 2 2 9" xfId="4619" xr:uid="{00000000-0005-0000-0000-000028120000}"/>
    <cellStyle name="Comma 4 3 2 2 2 9 2" xfId="13055" xr:uid="{00000000-0005-0000-0000-000029120000}"/>
    <cellStyle name="Comma 4 3 2 2 3" xfId="683" xr:uid="{00000000-0005-0000-0000-00002A120000}"/>
    <cellStyle name="Comma 4 3 2 2 3 2" xfId="2954" xr:uid="{00000000-0005-0000-0000-00002B120000}"/>
    <cellStyle name="Comma 4 3 2 2 3 2 2" xfId="7177" xr:uid="{00000000-0005-0000-0000-00002C120000}"/>
    <cellStyle name="Comma 4 3 2 2 3 2 2 2" xfId="15613" xr:uid="{00000000-0005-0000-0000-00002D120000}"/>
    <cellStyle name="Comma 4 3 2 2 3 2 3" xfId="11395" xr:uid="{00000000-0005-0000-0000-00002E120000}"/>
    <cellStyle name="Comma 4 3 2 2 3 3" xfId="5032" xr:uid="{00000000-0005-0000-0000-00002F120000}"/>
    <cellStyle name="Comma 4 3 2 2 3 3 2" xfId="13468" xr:uid="{00000000-0005-0000-0000-000030120000}"/>
    <cellStyle name="Comma 4 3 2 2 3 4" xfId="9250" xr:uid="{00000000-0005-0000-0000-000031120000}"/>
    <cellStyle name="Comma 4 3 2 2 4" xfId="1136" xr:uid="{00000000-0005-0000-0000-000032120000}"/>
    <cellStyle name="Comma 4 3 2 2 4 2" xfId="3367" xr:uid="{00000000-0005-0000-0000-000033120000}"/>
    <cellStyle name="Comma 4 3 2 2 4 2 2" xfId="7590" xr:uid="{00000000-0005-0000-0000-000034120000}"/>
    <cellStyle name="Comma 4 3 2 2 4 2 2 2" xfId="16026" xr:uid="{00000000-0005-0000-0000-000035120000}"/>
    <cellStyle name="Comma 4 3 2 2 4 2 3" xfId="11808" xr:uid="{00000000-0005-0000-0000-000036120000}"/>
    <cellStyle name="Comma 4 3 2 2 4 3" xfId="5445" xr:uid="{00000000-0005-0000-0000-000037120000}"/>
    <cellStyle name="Comma 4 3 2 2 4 3 2" xfId="13881" xr:uid="{00000000-0005-0000-0000-000038120000}"/>
    <cellStyle name="Comma 4 3 2 2 4 4" xfId="9663" xr:uid="{00000000-0005-0000-0000-000039120000}"/>
    <cellStyle name="Comma 4 3 2 2 5" xfId="1550" xr:uid="{00000000-0005-0000-0000-00003A120000}"/>
    <cellStyle name="Comma 4 3 2 2 5 2" xfId="3780" xr:uid="{00000000-0005-0000-0000-00003B120000}"/>
    <cellStyle name="Comma 4 3 2 2 5 2 2" xfId="8003" xr:uid="{00000000-0005-0000-0000-00003C120000}"/>
    <cellStyle name="Comma 4 3 2 2 5 2 2 2" xfId="16439" xr:uid="{00000000-0005-0000-0000-00003D120000}"/>
    <cellStyle name="Comma 4 3 2 2 5 2 3" xfId="12221" xr:uid="{00000000-0005-0000-0000-00003E120000}"/>
    <cellStyle name="Comma 4 3 2 2 5 3" xfId="5858" xr:uid="{00000000-0005-0000-0000-00003F120000}"/>
    <cellStyle name="Comma 4 3 2 2 5 3 2" xfId="14294" xr:uid="{00000000-0005-0000-0000-000040120000}"/>
    <cellStyle name="Comma 4 3 2 2 5 4" xfId="10076" xr:uid="{00000000-0005-0000-0000-000041120000}"/>
    <cellStyle name="Comma 4 3 2 2 6" xfId="1964" xr:uid="{00000000-0005-0000-0000-000042120000}"/>
    <cellStyle name="Comma 4 3 2 2 6 2" xfId="4193" xr:uid="{00000000-0005-0000-0000-000043120000}"/>
    <cellStyle name="Comma 4 3 2 2 6 2 2" xfId="8416" xr:uid="{00000000-0005-0000-0000-000044120000}"/>
    <cellStyle name="Comma 4 3 2 2 6 2 2 2" xfId="16852" xr:uid="{00000000-0005-0000-0000-000045120000}"/>
    <cellStyle name="Comma 4 3 2 2 6 2 3" xfId="12634" xr:uid="{00000000-0005-0000-0000-000046120000}"/>
    <cellStyle name="Comma 4 3 2 2 6 3" xfId="6271" xr:uid="{00000000-0005-0000-0000-000047120000}"/>
    <cellStyle name="Comma 4 3 2 2 6 3 2" xfId="14707" xr:uid="{00000000-0005-0000-0000-000048120000}"/>
    <cellStyle name="Comma 4 3 2 2 6 4" xfId="10489" xr:uid="{00000000-0005-0000-0000-000049120000}"/>
    <cellStyle name="Comma 4 3 2 2 7" xfId="2399" xr:uid="{00000000-0005-0000-0000-00004A120000}"/>
    <cellStyle name="Comma 4 3 2 2 7 2" xfId="6684" xr:uid="{00000000-0005-0000-0000-00004B120000}"/>
    <cellStyle name="Comma 4 3 2 2 7 2 2" xfId="15120" xr:uid="{00000000-0005-0000-0000-00004C120000}"/>
    <cellStyle name="Comma 4 3 2 2 7 3" xfId="10902" xr:uid="{00000000-0005-0000-0000-00004D120000}"/>
    <cellStyle name="Comma 4 3 2 2 8" xfId="2364" xr:uid="{00000000-0005-0000-0000-00004E120000}"/>
    <cellStyle name="Comma 4 3 2 2 9" xfId="2777" xr:uid="{00000000-0005-0000-0000-00004F120000}"/>
    <cellStyle name="Comma 4 3 2 2 9 2" xfId="7001" xr:uid="{00000000-0005-0000-0000-000050120000}"/>
    <cellStyle name="Comma 4 3 2 2 9 2 2" xfId="15437" xr:uid="{00000000-0005-0000-0000-000051120000}"/>
    <cellStyle name="Comma 4 3 2 2 9 3" xfId="11219" xr:uid="{00000000-0005-0000-0000-000052120000}"/>
    <cellStyle name="Comma 4 3 2 3" xfId="148" xr:uid="{00000000-0005-0000-0000-000053120000}"/>
    <cellStyle name="Comma 4 3 2 3 10" xfId="8838" xr:uid="{00000000-0005-0000-0000-000054120000}"/>
    <cellStyle name="Comma 4 3 2 3 2" xfId="685" xr:uid="{00000000-0005-0000-0000-000055120000}"/>
    <cellStyle name="Comma 4 3 2 3 2 2" xfId="2956" xr:uid="{00000000-0005-0000-0000-000056120000}"/>
    <cellStyle name="Comma 4 3 2 3 2 2 2" xfId="7179" xr:uid="{00000000-0005-0000-0000-000057120000}"/>
    <cellStyle name="Comma 4 3 2 3 2 2 2 2" xfId="15615" xr:uid="{00000000-0005-0000-0000-000058120000}"/>
    <cellStyle name="Comma 4 3 2 3 2 2 3" xfId="11397" xr:uid="{00000000-0005-0000-0000-000059120000}"/>
    <cellStyle name="Comma 4 3 2 3 2 3" xfId="5034" xr:uid="{00000000-0005-0000-0000-00005A120000}"/>
    <cellStyle name="Comma 4 3 2 3 2 3 2" xfId="13470" xr:uid="{00000000-0005-0000-0000-00005B120000}"/>
    <cellStyle name="Comma 4 3 2 3 2 4" xfId="9252" xr:uid="{00000000-0005-0000-0000-00005C120000}"/>
    <cellStyle name="Comma 4 3 2 3 3" xfId="1138" xr:uid="{00000000-0005-0000-0000-00005D120000}"/>
    <cellStyle name="Comma 4 3 2 3 3 2" xfId="3369" xr:uid="{00000000-0005-0000-0000-00005E120000}"/>
    <cellStyle name="Comma 4 3 2 3 3 2 2" xfId="7592" xr:uid="{00000000-0005-0000-0000-00005F120000}"/>
    <cellStyle name="Comma 4 3 2 3 3 2 2 2" xfId="16028" xr:uid="{00000000-0005-0000-0000-000060120000}"/>
    <cellStyle name="Comma 4 3 2 3 3 2 3" xfId="11810" xr:uid="{00000000-0005-0000-0000-000061120000}"/>
    <cellStyle name="Comma 4 3 2 3 3 3" xfId="5447" xr:uid="{00000000-0005-0000-0000-000062120000}"/>
    <cellStyle name="Comma 4 3 2 3 3 3 2" xfId="13883" xr:uid="{00000000-0005-0000-0000-000063120000}"/>
    <cellStyle name="Comma 4 3 2 3 3 4" xfId="9665" xr:uid="{00000000-0005-0000-0000-000064120000}"/>
    <cellStyle name="Comma 4 3 2 3 4" xfId="1552" xr:uid="{00000000-0005-0000-0000-000065120000}"/>
    <cellStyle name="Comma 4 3 2 3 4 2" xfId="3782" xr:uid="{00000000-0005-0000-0000-000066120000}"/>
    <cellStyle name="Comma 4 3 2 3 4 2 2" xfId="8005" xr:uid="{00000000-0005-0000-0000-000067120000}"/>
    <cellStyle name="Comma 4 3 2 3 4 2 2 2" xfId="16441" xr:uid="{00000000-0005-0000-0000-000068120000}"/>
    <cellStyle name="Comma 4 3 2 3 4 2 3" xfId="12223" xr:uid="{00000000-0005-0000-0000-000069120000}"/>
    <cellStyle name="Comma 4 3 2 3 4 3" xfId="5860" xr:uid="{00000000-0005-0000-0000-00006A120000}"/>
    <cellStyle name="Comma 4 3 2 3 4 3 2" xfId="14296" xr:uid="{00000000-0005-0000-0000-00006B120000}"/>
    <cellStyle name="Comma 4 3 2 3 4 4" xfId="10078" xr:uid="{00000000-0005-0000-0000-00006C120000}"/>
    <cellStyle name="Comma 4 3 2 3 5" xfId="1966" xr:uid="{00000000-0005-0000-0000-00006D120000}"/>
    <cellStyle name="Comma 4 3 2 3 5 2" xfId="4195" xr:uid="{00000000-0005-0000-0000-00006E120000}"/>
    <cellStyle name="Comma 4 3 2 3 5 2 2" xfId="8418" xr:uid="{00000000-0005-0000-0000-00006F120000}"/>
    <cellStyle name="Comma 4 3 2 3 5 2 2 2" xfId="16854" xr:uid="{00000000-0005-0000-0000-000070120000}"/>
    <cellStyle name="Comma 4 3 2 3 5 2 3" xfId="12636" xr:uid="{00000000-0005-0000-0000-000071120000}"/>
    <cellStyle name="Comma 4 3 2 3 5 3" xfId="6273" xr:uid="{00000000-0005-0000-0000-000072120000}"/>
    <cellStyle name="Comma 4 3 2 3 5 3 2" xfId="14709" xr:uid="{00000000-0005-0000-0000-000073120000}"/>
    <cellStyle name="Comma 4 3 2 3 5 4" xfId="10491" xr:uid="{00000000-0005-0000-0000-000074120000}"/>
    <cellStyle name="Comma 4 3 2 3 6" xfId="2401" xr:uid="{00000000-0005-0000-0000-000075120000}"/>
    <cellStyle name="Comma 4 3 2 3 6 2" xfId="6686" xr:uid="{00000000-0005-0000-0000-000076120000}"/>
    <cellStyle name="Comma 4 3 2 3 6 2 2" xfId="15122" xr:uid="{00000000-0005-0000-0000-000077120000}"/>
    <cellStyle name="Comma 4 3 2 3 6 3" xfId="10904" xr:uid="{00000000-0005-0000-0000-000078120000}"/>
    <cellStyle name="Comma 4 3 2 3 7" xfId="2362" xr:uid="{00000000-0005-0000-0000-000079120000}"/>
    <cellStyle name="Comma 4 3 2 3 8" xfId="2779" xr:uid="{00000000-0005-0000-0000-00007A120000}"/>
    <cellStyle name="Comma 4 3 2 3 8 2" xfId="7003" xr:uid="{00000000-0005-0000-0000-00007B120000}"/>
    <cellStyle name="Comma 4 3 2 3 8 2 2" xfId="15439" xr:uid="{00000000-0005-0000-0000-00007C120000}"/>
    <cellStyle name="Comma 4 3 2 3 8 3" xfId="11221" xr:uid="{00000000-0005-0000-0000-00007D120000}"/>
    <cellStyle name="Comma 4 3 2 3 9" xfId="4620" xr:uid="{00000000-0005-0000-0000-00007E120000}"/>
    <cellStyle name="Comma 4 3 2 3 9 2" xfId="13056" xr:uid="{00000000-0005-0000-0000-00007F120000}"/>
    <cellStyle name="Comma 4 3 2 4" xfId="682" xr:uid="{00000000-0005-0000-0000-000080120000}"/>
    <cellStyle name="Comma 4 3 2 4 2" xfId="2953" xr:uid="{00000000-0005-0000-0000-000081120000}"/>
    <cellStyle name="Comma 4 3 2 4 2 2" xfId="7176" xr:uid="{00000000-0005-0000-0000-000082120000}"/>
    <cellStyle name="Comma 4 3 2 4 2 2 2" xfId="15612" xr:uid="{00000000-0005-0000-0000-000083120000}"/>
    <cellStyle name="Comma 4 3 2 4 2 3" xfId="11394" xr:uid="{00000000-0005-0000-0000-000084120000}"/>
    <cellStyle name="Comma 4 3 2 4 3" xfId="5031" xr:uid="{00000000-0005-0000-0000-000085120000}"/>
    <cellStyle name="Comma 4 3 2 4 3 2" xfId="13467" xr:uid="{00000000-0005-0000-0000-000086120000}"/>
    <cellStyle name="Comma 4 3 2 4 4" xfId="9249" xr:uid="{00000000-0005-0000-0000-000087120000}"/>
    <cellStyle name="Comma 4 3 2 5" xfId="1135" xr:uid="{00000000-0005-0000-0000-000088120000}"/>
    <cellStyle name="Comma 4 3 2 5 2" xfId="3366" xr:uid="{00000000-0005-0000-0000-000089120000}"/>
    <cellStyle name="Comma 4 3 2 5 2 2" xfId="7589" xr:uid="{00000000-0005-0000-0000-00008A120000}"/>
    <cellStyle name="Comma 4 3 2 5 2 2 2" xfId="16025" xr:uid="{00000000-0005-0000-0000-00008B120000}"/>
    <cellStyle name="Comma 4 3 2 5 2 3" xfId="11807" xr:uid="{00000000-0005-0000-0000-00008C120000}"/>
    <cellStyle name="Comma 4 3 2 5 3" xfId="5444" xr:uid="{00000000-0005-0000-0000-00008D120000}"/>
    <cellStyle name="Comma 4 3 2 5 3 2" xfId="13880" xr:uid="{00000000-0005-0000-0000-00008E120000}"/>
    <cellStyle name="Comma 4 3 2 5 4" xfId="9662" xr:uid="{00000000-0005-0000-0000-00008F120000}"/>
    <cellStyle name="Comma 4 3 2 6" xfId="1549" xr:uid="{00000000-0005-0000-0000-000090120000}"/>
    <cellStyle name="Comma 4 3 2 6 2" xfId="3779" xr:uid="{00000000-0005-0000-0000-000091120000}"/>
    <cellStyle name="Comma 4 3 2 6 2 2" xfId="8002" xr:uid="{00000000-0005-0000-0000-000092120000}"/>
    <cellStyle name="Comma 4 3 2 6 2 2 2" xfId="16438" xr:uid="{00000000-0005-0000-0000-000093120000}"/>
    <cellStyle name="Comma 4 3 2 6 2 3" xfId="12220" xr:uid="{00000000-0005-0000-0000-000094120000}"/>
    <cellStyle name="Comma 4 3 2 6 3" xfId="5857" xr:uid="{00000000-0005-0000-0000-000095120000}"/>
    <cellStyle name="Comma 4 3 2 6 3 2" xfId="14293" xr:uid="{00000000-0005-0000-0000-000096120000}"/>
    <cellStyle name="Comma 4 3 2 6 4" xfId="10075" xr:uid="{00000000-0005-0000-0000-000097120000}"/>
    <cellStyle name="Comma 4 3 2 7" xfId="1963" xr:uid="{00000000-0005-0000-0000-000098120000}"/>
    <cellStyle name="Comma 4 3 2 7 2" xfId="4192" xr:uid="{00000000-0005-0000-0000-000099120000}"/>
    <cellStyle name="Comma 4 3 2 7 2 2" xfId="8415" xr:uid="{00000000-0005-0000-0000-00009A120000}"/>
    <cellStyle name="Comma 4 3 2 7 2 2 2" xfId="16851" xr:uid="{00000000-0005-0000-0000-00009B120000}"/>
    <cellStyle name="Comma 4 3 2 7 2 3" xfId="12633" xr:uid="{00000000-0005-0000-0000-00009C120000}"/>
    <cellStyle name="Comma 4 3 2 7 3" xfId="6270" xr:uid="{00000000-0005-0000-0000-00009D120000}"/>
    <cellStyle name="Comma 4 3 2 7 3 2" xfId="14706" xr:uid="{00000000-0005-0000-0000-00009E120000}"/>
    <cellStyle name="Comma 4 3 2 7 4" xfId="10488" xr:uid="{00000000-0005-0000-0000-00009F120000}"/>
    <cellStyle name="Comma 4 3 2 8" xfId="2398" xr:uid="{00000000-0005-0000-0000-0000A0120000}"/>
    <cellStyle name="Comma 4 3 2 8 2" xfId="6683" xr:uid="{00000000-0005-0000-0000-0000A1120000}"/>
    <cellStyle name="Comma 4 3 2 8 2 2" xfId="15119" xr:uid="{00000000-0005-0000-0000-0000A2120000}"/>
    <cellStyle name="Comma 4 3 2 8 3" xfId="10901" xr:uid="{00000000-0005-0000-0000-0000A3120000}"/>
    <cellStyle name="Comma 4 3 2 9" xfId="2365" xr:uid="{00000000-0005-0000-0000-0000A4120000}"/>
    <cellStyle name="Comma 4 3 3" xfId="149" xr:uid="{00000000-0005-0000-0000-0000A5120000}"/>
    <cellStyle name="Comma 4 3 3 10" xfId="4621" xr:uid="{00000000-0005-0000-0000-0000A6120000}"/>
    <cellStyle name="Comma 4 3 3 10 2" xfId="13057" xr:uid="{00000000-0005-0000-0000-0000A7120000}"/>
    <cellStyle name="Comma 4 3 3 11" xfId="8839" xr:uid="{00000000-0005-0000-0000-0000A8120000}"/>
    <cellStyle name="Comma 4 3 3 2" xfId="150" xr:uid="{00000000-0005-0000-0000-0000A9120000}"/>
    <cellStyle name="Comma 4 3 3 2 10" xfId="8840" xr:uid="{00000000-0005-0000-0000-0000AA120000}"/>
    <cellStyle name="Comma 4 3 3 2 2" xfId="687" xr:uid="{00000000-0005-0000-0000-0000AB120000}"/>
    <cellStyle name="Comma 4 3 3 2 2 2" xfId="2958" xr:uid="{00000000-0005-0000-0000-0000AC120000}"/>
    <cellStyle name="Comma 4 3 3 2 2 2 2" xfId="7181" xr:uid="{00000000-0005-0000-0000-0000AD120000}"/>
    <cellStyle name="Comma 4 3 3 2 2 2 2 2" xfId="15617" xr:uid="{00000000-0005-0000-0000-0000AE120000}"/>
    <cellStyle name="Comma 4 3 3 2 2 2 3" xfId="11399" xr:uid="{00000000-0005-0000-0000-0000AF120000}"/>
    <cellStyle name="Comma 4 3 3 2 2 3" xfId="5036" xr:uid="{00000000-0005-0000-0000-0000B0120000}"/>
    <cellStyle name="Comma 4 3 3 2 2 3 2" xfId="13472" xr:uid="{00000000-0005-0000-0000-0000B1120000}"/>
    <cellStyle name="Comma 4 3 3 2 2 4" xfId="9254" xr:uid="{00000000-0005-0000-0000-0000B2120000}"/>
    <cellStyle name="Comma 4 3 3 2 3" xfId="1140" xr:uid="{00000000-0005-0000-0000-0000B3120000}"/>
    <cellStyle name="Comma 4 3 3 2 3 2" xfId="3371" xr:uid="{00000000-0005-0000-0000-0000B4120000}"/>
    <cellStyle name="Comma 4 3 3 2 3 2 2" xfId="7594" xr:uid="{00000000-0005-0000-0000-0000B5120000}"/>
    <cellStyle name="Comma 4 3 3 2 3 2 2 2" xfId="16030" xr:uid="{00000000-0005-0000-0000-0000B6120000}"/>
    <cellStyle name="Comma 4 3 3 2 3 2 3" xfId="11812" xr:uid="{00000000-0005-0000-0000-0000B7120000}"/>
    <cellStyle name="Comma 4 3 3 2 3 3" xfId="5449" xr:uid="{00000000-0005-0000-0000-0000B8120000}"/>
    <cellStyle name="Comma 4 3 3 2 3 3 2" xfId="13885" xr:uid="{00000000-0005-0000-0000-0000B9120000}"/>
    <cellStyle name="Comma 4 3 3 2 3 4" xfId="9667" xr:uid="{00000000-0005-0000-0000-0000BA120000}"/>
    <cellStyle name="Comma 4 3 3 2 4" xfId="1554" xr:uid="{00000000-0005-0000-0000-0000BB120000}"/>
    <cellStyle name="Comma 4 3 3 2 4 2" xfId="3784" xr:uid="{00000000-0005-0000-0000-0000BC120000}"/>
    <cellStyle name="Comma 4 3 3 2 4 2 2" xfId="8007" xr:uid="{00000000-0005-0000-0000-0000BD120000}"/>
    <cellStyle name="Comma 4 3 3 2 4 2 2 2" xfId="16443" xr:uid="{00000000-0005-0000-0000-0000BE120000}"/>
    <cellStyle name="Comma 4 3 3 2 4 2 3" xfId="12225" xr:uid="{00000000-0005-0000-0000-0000BF120000}"/>
    <cellStyle name="Comma 4 3 3 2 4 3" xfId="5862" xr:uid="{00000000-0005-0000-0000-0000C0120000}"/>
    <cellStyle name="Comma 4 3 3 2 4 3 2" xfId="14298" xr:uid="{00000000-0005-0000-0000-0000C1120000}"/>
    <cellStyle name="Comma 4 3 3 2 4 4" xfId="10080" xr:uid="{00000000-0005-0000-0000-0000C2120000}"/>
    <cellStyle name="Comma 4 3 3 2 5" xfId="1968" xr:uid="{00000000-0005-0000-0000-0000C3120000}"/>
    <cellStyle name="Comma 4 3 3 2 5 2" xfId="4197" xr:uid="{00000000-0005-0000-0000-0000C4120000}"/>
    <cellStyle name="Comma 4 3 3 2 5 2 2" xfId="8420" xr:uid="{00000000-0005-0000-0000-0000C5120000}"/>
    <cellStyle name="Comma 4 3 3 2 5 2 2 2" xfId="16856" xr:uid="{00000000-0005-0000-0000-0000C6120000}"/>
    <cellStyle name="Comma 4 3 3 2 5 2 3" xfId="12638" xr:uid="{00000000-0005-0000-0000-0000C7120000}"/>
    <cellStyle name="Comma 4 3 3 2 5 3" xfId="6275" xr:uid="{00000000-0005-0000-0000-0000C8120000}"/>
    <cellStyle name="Comma 4 3 3 2 5 3 2" xfId="14711" xr:uid="{00000000-0005-0000-0000-0000C9120000}"/>
    <cellStyle name="Comma 4 3 3 2 5 4" xfId="10493" xr:uid="{00000000-0005-0000-0000-0000CA120000}"/>
    <cellStyle name="Comma 4 3 3 2 6" xfId="2403" xr:uid="{00000000-0005-0000-0000-0000CB120000}"/>
    <cellStyle name="Comma 4 3 3 2 6 2" xfId="6688" xr:uid="{00000000-0005-0000-0000-0000CC120000}"/>
    <cellStyle name="Comma 4 3 3 2 6 2 2" xfId="15124" xr:uid="{00000000-0005-0000-0000-0000CD120000}"/>
    <cellStyle name="Comma 4 3 3 2 6 3" xfId="10906" xr:uid="{00000000-0005-0000-0000-0000CE120000}"/>
    <cellStyle name="Comma 4 3 3 2 7" xfId="2360" xr:uid="{00000000-0005-0000-0000-0000CF120000}"/>
    <cellStyle name="Comma 4 3 3 2 8" xfId="2781" xr:uid="{00000000-0005-0000-0000-0000D0120000}"/>
    <cellStyle name="Comma 4 3 3 2 8 2" xfId="7005" xr:uid="{00000000-0005-0000-0000-0000D1120000}"/>
    <cellStyle name="Comma 4 3 3 2 8 2 2" xfId="15441" xr:uid="{00000000-0005-0000-0000-0000D2120000}"/>
    <cellStyle name="Comma 4 3 3 2 8 3" xfId="11223" xr:uid="{00000000-0005-0000-0000-0000D3120000}"/>
    <cellStyle name="Comma 4 3 3 2 9" xfId="4622" xr:uid="{00000000-0005-0000-0000-0000D4120000}"/>
    <cellStyle name="Comma 4 3 3 2 9 2" xfId="13058" xr:uid="{00000000-0005-0000-0000-0000D5120000}"/>
    <cellStyle name="Comma 4 3 3 3" xfId="686" xr:uid="{00000000-0005-0000-0000-0000D6120000}"/>
    <cellStyle name="Comma 4 3 3 3 2" xfId="2957" xr:uid="{00000000-0005-0000-0000-0000D7120000}"/>
    <cellStyle name="Comma 4 3 3 3 2 2" xfId="7180" xr:uid="{00000000-0005-0000-0000-0000D8120000}"/>
    <cellStyle name="Comma 4 3 3 3 2 2 2" xfId="15616" xr:uid="{00000000-0005-0000-0000-0000D9120000}"/>
    <cellStyle name="Comma 4 3 3 3 2 3" xfId="11398" xr:uid="{00000000-0005-0000-0000-0000DA120000}"/>
    <cellStyle name="Comma 4 3 3 3 3" xfId="5035" xr:uid="{00000000-0005-0000-0000-0000DB120000}"/>
    <cellStyle name="Comma 4 3 3 3 3 2" xfId="13471" xr:uid="{00000000-0005-0000-0000-0000DC120000}"/>
    <cellStyle name="Comma 4 3 3 3 4" xfId="9253" xr:uid="{00000000-0005-0000-0000-0000DD120000}"/>
    <cellStyle name="Comma 4 3 3 4" xfId="1139" xr:uid="{00000000-0005-0000-0000-0000DE120000}"/>
    <cellStyle name="Comma 4 3 3 4 2" xfId="3370" xr:uid="{00000000-0005-0000-0000-0000DF120000}"/>
    <cellStyle name="Comma 4 3 3 4 2 2" xfId="7593" xr:uid="{00000000-0005-0000-0000-0000E0120000}"/>
    <cellStyle name="Comma 4 3 3 4 2 2 2" xfId="16029" xr:uid="{00000000-0005-0000-0000-0000E1120000}"/>
    <cellStyle name="Comma 4 3 3 4 2 3" xfId="11811" xr:uid="{00000000-0005-0000-0000-0000E2120000}"/>
    <cellStyle name="Comma 4 3 3 4 3" xfId="5448" xr:uid="{00000000-0005-0000-0000-0000E3120000}"/>
    <cellStyle name="Comma 4 3 3 4 3 2" xfId="13884" xr:uid="{00000000-0005-0000-0000-0000E4120000}"/>
    <cellStyle name="Comma 4 3 3 4 4" xfId="9666" xr:uid="{00000000-0005-0000-0000-0000E5120000}"/>
    <cellStyle name="Comma 4 3 3 5" xfId="1553" xr:uid="{00000000-0005-0000-0000-0000E6120000}"/>
    <cellStyle name="Comma 4 3 3 5 2" xfId="3783" xr:uid="{00000000-0005-0000-0000-0000E7120000}"/>
    <cellStyle name="Comma 4 3 3 5 2 2" xfId="8006" xr:uid="{00000000-0005-0000-0000-0000E8120000}"/>
    <cellStyle name="Comma 4 3 3 5 2 2 2" xfId="16442" xr:uid="{00000000-0005-0000-0000-0000E9120000}"/>
    <cellStyle name="Comma 4 3 3 5 2 3" xfId="12224" xr:uid="{00000000-0005-0000-0000-0000EA120000}"/>
    <cellStyle name="Comma 4 3 3 5 3" xfId="5861" xr:uid="{00000000-0005-0000-0000-0000EB120000}"/>
    <cellStyle name="Comma 4 3 3 5 3 2" xfId="14297" xr:uid="{00000000-0005-0000-0000-0000EC120000}"/>
    <cellStyle name="Comma 4 3 3 5 4" xfId="10079" xr:uid="{00000000-0005-0000-0000-0000ED120000}"/>
    <cellStyle name="Comma 4 3 3 6" xfId="1967" xr:uid="{00000000-0005-0000-0000-0000EE120000}"/>
    <cellStyle name="Comma 4 3 3 6 2" xfId="4196" xr:uid="{00000000-0005-0000-0000-0000EF120000}"/>
    <cellStyle name="Comma 4 3 3 6 2 2" xfId="8419" xr:uid="{00000000-0005-0000-0000-0000F0120000}"/>
    <cellStyle name="Comma 4 3 3 6 2 2 2" xfId="16855" xr:uid="{00000000-0005-0000-0000-0000F1120000}"/>
    <cellStyle name="Comma 4 3 3 6 2 3" xfId="12637" xr:uid="{00000000-0005-0000-0000-0000F2120000}"/>
    <cellStyle name="Comma 4 3 3 6 3" xfId="6274" xr:uid="{00000000-0005-0000-0000-0000F3120000}"/>
    <cellStyle name="Comma 4 3 3 6 3 2" xfId="14710" xr:uid="{00000000-0005-0000-0000-0000F4120000}"/>
    <cellStyle name="Comma 4 3 3 6 4" xfId="10492" xr:uid="{00000000-0005-0000-0000-0000F5120000}"/>
    <cellStyle name="Comma 4 3 3 7" xfId="2402" xr:uid="{00000000-0005-0000-0000-0000F6120000}"/>
    <cellStyle name="Comma 4 3 3 7 2" xfId="6687" xr:uid="{00000000-0005-0000-0000-0000F7120000}"/>
    <cellStyle name="Comma 4 3 3 7 2 2" xfId="15123" xr:uid="{00000000-0005-0000-0000-0000F8120000}"/>
    <cellStyle name="Comma 4 3 3 7 3" xfId="10905" xr:uid="{00000000-0005-0000-0000-0000F9120000}"/>
    <cellStyle name="Comma 4 3 3 8" xfId="2361" xr:uid="{00000000-0005-0000-0000-0000FA120000}"/>
    <cellStyle name="Comma 4 3 3 9" xfId="2780" xr:uid="{00000000-0005-0000-0000-0000FB120000}"/>
    <cellStyle name="Comma 4 3 3 9 2" xfId="7004" xr:uid="{00000000-0005-0000-0000-0000FC120000}"/>
    <cellStyle name="Comma 4 3 3 9 2 2" xfId="15440" xr:uid="{00000000-0005-0000-0000-0000FD120000}"/>
    <cellStyle name="Comma 4 3 3 9 3" xfId="11222" xr:uid="{00000000-0005-0000-0000-0000FE120000}"/>
    <cellStyle name="Comma 4 3 4" xfId="151" xr:uid="{00000000-0005-0000-0000-0000FF120000}"/>
    <cellStyle name="Comma 4 3 4 10" xfId="8841" xr:uid="{00000000-0005-0000-0000-000000130000}"/>
    <cellStyle name="Comma 4 3 4 2" xfId="688" xr:uid="{00000000-0005-0000-0000-000001130000}"/>
    <cellStyle name="Comma 4 3 4 2 2" xfId="2959" xr:uid="{00000000-0005-0000-0000-000002130000}"/>
    <cellStyle name="Comma 4 3 4 2 2 2" xfId="7182" xr:uid="{00000000-0005-0000-0000-000003130000}"/>
    <cellStyle name="Comma 4 3 4 2 2 2 2" xfId="15618" xr:uid="{00000000-0005-0000-0000-000004130000}"/>
    <cellStyle name="Comma 4 3 4 2 2 3" xfId="11400" xr:uid="{00000000-0005-0000-0000-000005130000}"/>
    <cellStyle name="Comma 4 3 4 2 3" xfId="5037" xr:uid="{00000000-0005-0000-0000-000006130000}"/>
    <cellStyle name="Comma 4 3 4 2 3 2" xfId="13473" xr:uid="{00000000-0005-0000-0000-000007130000}"/>
    <cellStyle name="Comma 4 3 4 2 4" xfId="9255" xr:uid="{00000000-0005-0000-0000-000008130000}"/>
    <cellStyle name="Comma 4 3 4 3" xfId="1141" xr:uid="{00000000-0005-0000-0000-000009130000}"/>
    <cellStyle name="Comma 4 3 4 3 2" xfId="3372" xr:uid="{00000000-0005-0000-0000-00000A130000}"/>
    <cellStyle name="Comma 4 3 4 3 2 2" xfId="7595" xr:uid="{00000000-0005-0000-0000-00000B130000}"/>
    <cellStyle name="Comma 4 3 4 3 2 2 2" xfId="16031" xr:uid="{00000000-0005-0000-0000-00000C130000}"/>
    <cellStyle name="Comma 4 3 4 3 2 3" xfId="11813" xr:uid="{00000000-0005-0000-0000-00000D130000}"/>
    <cellStyle name="Comma 4 3 4 3 3" xfId="5450" xr:uid="{00000000-0005-0000-0000-00000E130000}"/>
    <cellStyle name="Comma 4 3 4 3 3 2" xfId="13886" xr:uid="{00000000-0005-0000-0000-00000F130000}"/>
    <cellStyle name="Comma 4 3 4 3 4" xfId="9668" xr:uid="{00000000-0005-0000-0000-000010130000}"/>
    <cellStyle name="Comma 4 3 4 4" xfId="1555" xr:uid="{00000000-0005-0000-0000-000011130000}"/>
    <cellStyle name="Comma 4 3 4 4 2" xfId="3785" xr:uid="{00000000-0005-0000-0000-000012130000}"/>
    <cellStyle name="Comma 4 3 4 4 2 2" xfId="8008" xr:uid="{00000000-0005-0000-0000-000013130000}"/>
    <cellStyle name="Comma 4 3 4 4 2 2 2" xfId="16444" xr:uid="{00000000-0005-0000-0000-000014130000}"/>
    <cellStyle name="Comma 4 3 4 4 2 3" xfId="12226" xr:uid="{00000000-0005-0000-0000-000015130000}"/>
    <cellStyle name="Comma 4 3 4 4 3" xfId="5863" xr:uid="{00000000-0005-0000-0000-000016130000}"/>
    <cellStyle name="Comma 4 3 4 4 3 2" xfId="14299" xr:uid="{00000000-0005-0000-0000-000017130000}"/>
    <cellStyle name="Comma 4 3 4 4 4" xfId="10081" xr:uid="{00000000-0005-0000-0000-000018130000}"/>
    <cellStyle name="Comma 4 3 4 5" xfId="1969" xr:uid="{00000000-0005-0000-0000-000019130000}"/>
    <cellStyle name="Comma 4 3 4 5 2" xfId="4198" xr:uid="{00000000-0005-0000-0000-00001A130000}"/>
    <cellStyle name="Comma 4 3 4 5 2 2" xfId="8421" xr:uid="{00000000-0005-0000-0000-00001B130000}"/>
    <cellStyle name="Comma 4 3 4 5 2 2 2" xfId="16857" xr:uid="{00000000-0005-0000-0000-00001C130000}"/>
    <cellStyle name="Comma 4 3 4 5 2 3" xfId="12639" xr:uid="{00000000-0005-0000-0000-00001D130000}"/>
    <cellStyle name="Comma 4 3 4 5 3" xfId="6276" xr:uid="{00000000-0005-0000-0000-00001E130000}"/>
    <cellStyle name="Comma 4 3 4 5 3 2" xfId="14712" xr:uid="{00000000-0005-0000-0000-00001F130000}"/>
    <cellStyle name="Comma 4 3 4 5 4" xfId="10494" xr:uid="{00000000-0005-0000-0000-000020130000}"/>
    <cellStyle name="Comma 4 3 4 6" xfId="2404" xr:uid="{00000000-0005-0000-0000-000021130000}"/>
    <cellStyle name="Comma 4 3 4 6 2" xfId="6689" xr:uid="{00000000-0005-0000-0000-000022130000}"/>
    <cellStyle name="Comma 4 3 4 6 2 2" xfId="15125" xr:uid="{00000000-0005-0000-0000-000023130000}"/>
    <cellStyle name="Comma 4 3 4 6 3" xfId="10907" xr:uid="{00000000-0005-0000-0000-000024130000}"/>
    <cellStyle name="Comma 4 3 4 7" xfId="2700" xr:uid="{00000000-0005-0000-0000-000025130000}"/>
    <cellStyle name="Comma 4 3 4 8" xfId="2782" xr:uid="{00000000-0005-0000-0000-000026130000}"/>
    <cellStyle name="Comma 4 3 4 8 2" xfId="7006" xr:uid="{00000000-0005-0000-0000-000027130000}"/>
    <cellStyle name="Comma 4 3 4 8 2 2" xfId="15442" xr:uid="{00000000-0005-0000-0000-000028130000}"/>
    <cellStyle name="Comma 4 3 4 8 3" xfId="11224" xr:uid="{00000000-0005-0000-0000-000029130000}"/>
    <cellStyle name="Comma 4 3 4 9" xfId="4623" xr:uid="{00000000-0005-0000-0000-00002A130000}"/>
    <cellStyle name="Comma 4 3 4 9 2" xfId="13059" xr:uid="{00000000-0005-0000-0000-00002B130000}"/>
    <cellStyle name="Comma 4 3 5" xfId="152" xr:uid="{00000000-0005-0000-0000-00002C130000}"/>
    <cellStyle name="Comma 4 3 5 10" xfId="8842" xr:uid="{00000000-0005-0000-0000-00002D130000}"/>
    <cellStyle name="Comma 4 3 5 2" xfId="689" xr:uid="{00000000-0005-0000-0000-00002E130000}"/>
    <cellStyle name="Comma 4 3 5 2 2" xfId="2960" xr:uid="{00000000-0005-0000-0000-00002F130000}"/>
    <cellStyle name="Comma 4 3 5 2 2 2" xfId="7183" xr:uid="{00000000-0005-0000-0000-000030130000}"/>
    <cellStyle name="Comma 4 3 5 2 2 2 2" xfId="15619" xr:uid="{00000000-0005-0000-0000-000031130000}"/>
    <cellStyle name="Comma 4 3 5 2 2 3" xfId="11401" xr:uid="{00000000-0005-0000-0000-000032130000}"/>
    <cellStyle name="Comma 4 3 5 2 3" xfId="5038" xr:uid="{00000000-0005-0000-0000-000033130000}"/>
    <cellStyle name="Comma 4 3 5 2 3 2" xfId="13474" xr:uid="{00000000-0005-0000-0000-000034130000}"/>
    <cellStyle name="Comma 4 3 5 2 4" xfId="9256" xr:uid="{00000000-0005-0000-0000-000035130000}"/>
    <cellStyle name="Comma 4 3 5 3" xfId="1142" xr:uid="{00000000-0005-0000-0000-000036130000}"/>
    <cellStyle name="Comma 4 3 5 3 2" xfId="3373" xr:uid="{00000000-0005-0000-0000-000037130000}"/>
    <cellStyle name="Comma 4 3 5 3 2 2" xfId="7596" xr:uid="{00000000-0005-0000-0000-000038130000}"/>
    <cellStyle name="Comma 4 3 5 3 2 2 2" xfId="16032" xr:uid="{00000000-0005-0000-0000-000039130000}"/>
    <cellStyle name="Comma 4 3 5 3 2 3" xfId="11814" xr:uid="{00000000-0005-0000-0000-00003A130000}"/>
    <cellStyle name="Comma 4 3 5 3 3" xfId="5451" xr:uid="{00000000-0005-0000-0000-00003B130000}"/>
    <cellStyle name="Comma 4 3 5 3 3 2" xfId="13887" xr:uid="{00000000-0005-0000-0000-00003C130000}"/>
    <cellStyle name="Comma 4 3 5 3 4" xfId="9669" xr:uid="{00000000-0005-0000-0000-00003D130000}"/>
    <cellStyle name="Comma 4 3 5 4" xfId="1556" xr:uid="{00000000-0005-0000-0000-00003E130000}"/>
    <cellStyle name="Comma 4 3 5 4 2" xfId="3786" xr:uid="{00000000-0005-0000-0000-00003F130000}"/>
    <cellStyle name="Comma 4 3 5 4 2 2" xfId="8009" xr:uid="{00000000-0005-0000-0000-000040130000}"/>
    <cellStyle name="Comma 4 3 5 4 2 2 2" xfId="16445" xr:uid="{00000000-0005-0000-0000-000041130000}"/>
    <cellStyle name="Comma 4 3 5 4 2 3" xfId="12227" xr:uid="{00000000-0005-0000-0000-000042130000}"/>
    <cellStyle name="Comma 4 3 5 4 3" xfId="5864" xr:uid="{00000000-0005-0000-0000-000043130000}"/>
    <cellStyle name="Comma 4 3 5 4 3 2" xfId="14300" xr:uid="{00000000-0005-0000-0000-000044130000}"/>
    <cellStyle name="Comma 4 3 5 4 4" xfId="10082" xr:uid="{00000000-0005-0000-0000-000045130000}"/>
    <cellStyle name="Comma 4 3 5 5" xfId="1970" xr:uid="{00000000-0005-0000-0000-000046130000}"/>
    <cellStyle name="Comma 4 3 5 5 2" xfId="4199" xr:uid="{00000000-0005-0000-0000-000047130000}"/>
    <cellStyle name="Comma 4 3 5 5 2 2" xfId="8422" xr:uid="{00000000-0005-0000-0000-000048130000}"/>
    <cellStyle name="Comma 4 3 5 5 2 2 2" xfId="16858" xr:uid="{00000000-0005-0000-0000-000049130000}"/>
    <cellStyle name="Comma 4 3 5 5 2 3" xfId="12640" xr:uid="{00000000-0005-0000-0000-00004A130000}"/>
    <cellStyle name="Comma 4 3 5 5 3" xfId="6277" xr:uid="{00000000-0005-0000-0000-00004B130000}"/>
    <cellStyle name="Comma 4 3 5 5 3 2" xfId="14713" xr:uid="{00000000-0005-0000-0000-00004C130000}"/>
    <cellStyle name="Comma 4 3 5 5 4" xfId="10495" xr:uid="{00000000-0005-0000-0000-00004D130000}"/>
    <cellStyle name="Comma 4 3 5 6" xfId="2405" xr:uid="{00000000-0005-0000-0000-00004E130000}"/>
    <cellStyle name="Comma 4 3 5 6 2" xfId="6690" xr:uid="{00000000-0005-0000-0000-00004F130000}"/>
    <cellStyle name="Comma 4 3 5 6 2 2" xfId="15126" xr:uid="{00000000-0005-0000-0000-000050130000}"/>
    <cellStyle name="Comma 4 3 5 6 3" xfId="10908" xr:uid="{00000000-0005-0000-0000-000051130000}"/>
    <cellStyle name="Comma 4 3 5 7" xfId="2701" xr:uid="{00000000-0005-0000-0000-000052130000}"/>
    <cellStyle name="Comma 4 3 5 8" xfId="2783" xr:uid="{00000000-0005-0000-0000-000053130000}"/>
    <cellStyle name="Comma 4 3 5 8 2" xfId="7007" xr:uid="{00000000-0005-0000-0000-000054130000}"/>
    <cellStyle name="Comma 4 3 5 8 2 2" xfId="15443" xr:uid="{00000000-0005-0000-0000-000055130000}"/>
    <cellStyle name="Comma 4 3 5 8 3" xfId="11225" xr:uid="{00000000-0005-0000-0000-000056130000}"/>
    <cellStyle name="Comma 4 3 5 9" xfId="4624" xr:uid="{00000000-0005-0000-0000-000057130000}"/>
    <cellStyle name="Comma 4 3 5 9 2" xfId="13060" xr:uid="{00000000-0005-0000-0000-000058130000}"/>
    <cellStyle name="Comma 4 4" xfId="153" xr:uid="{00000000-0005-0000-0000-000059130000}"/>
    <cellStyle name="Comma 4 4 10" xfId="2784" xr:uid="{00000000-0005-0000-0000-00005A130000}"/>
    <cellStyle name="Comma 4 4 10 2" xfId="7008" xr:uid="{00000000-0005-0000-0000-00005B130000}"/>
    <cellStyle name="Comma 4 4 10 2 2" xfId="15444" xr:uid="{00000000-0005-0000-0000-00005C130000}"/>
    <cellStyle name="Comma 4 4 10 3" xfId="11226" xr:uid="{00000000-0005-0000-0000-00005D130000}"/>
    <cellStyle name="Comma 4 4 11" xfId="4625" xr:uid="{00000000-0005-0000-0000-00005E130000}"/>
    <cellStyle name="Comma 4 4 11 2" xfId="13061" xr:uid="{00000000-0005-0000-0000-00005F130000}"/>
    <cellStyle name="Comma 4 4 12" xfId="8843" xr:uid="{00000000-0005-0000-0000-000060130000}"/>
    <cellStyle name="Comma 4 4 2" xfId="154" xr:uid="{00000000-0005-0000-0000-000061130000}"/>
    <cellStyle name="Comma 4 4 2 10" xfId="4626" xr:uid="{00000000-0005-0000-0000-000062130000}"/>
    <cellStyle name="Comma 4 4 2 10 2" xfId="13062" xr:uid="{00000000-0005-0000-0000-000063130000}"/>
    <cellStyle name="Comma 4 4 2 11" xfId="8844" xr:uid="{00000000-0005-0000-0000-000064130000}"/>
    <cellStyle name="Comma 4 4 2 2" xfId="155" xr:uid="{00000000-0005-0000-0000-000065130000}"/>
    <cellStyle name="Comma 4 4 2 2 10" xfId="8845" xr:uid="{00000000-0005-0000-0000-000066130000}"/>
    <cellStyle name="Comma 4 4 2 2 2" xfId="692" xr:uid="{00000000-0005-0000-0000-000067130000}"/>
    <cellStyle name="Comma 4 4 2 2 2 2" xfId="2963" xr:uid="{00000000-0005-0000-0000-000068130000}"/>
    <cellStyle name="Comma 4 4 2 2 2 2 2" xfId="7186" xr:uid="{00000000-0005-0000-0000-000069130000}"/>
    <cellStyle name="Comma 4 4 2 2 2 2 2 2" xfId="15622" xr:uid="{00000000-0005-0000-0000-00006A130000}"/>
    <cellStyle name="Comma 4 4 2 2 2 2 3" xfId="11404" xr:uid="{00000000-0005-0000-0000-00006B130000}"/>
    <cellStyle name="Comma 4 4 2 2 2 3" xfId="5041" xr:uid="{00000000-0005-0000-0000-00006C130000}"/>
    <cellStyle name="Comma 4 4 2 2 2 3 2" xfId="13477" xr:uid="{00000000-0005-0000-0000-00006D130000}"/>
    <cellStyle name="Comma 4 4 2 2 2 4" xfId="9259" xr:uid="{00000000-0005-0000-0000-00006E130000}"/>
    <cellStyle name="Comma 4 4 2 2 3" xfId="1145" xr:uid="{00000000-0005-0000-0000-00006F130000}"/>
    <cellStyle name="Comma 4 4 2 2 3 2" xfId="3376" xr:uid="{00000000-0005-0000-0000-000070130000}"/>
    <cellStyle name="Comma 4 4 2 2 3 2 2" xfId="7599" xr:uid="{00000000-0005-0000-0000-000071130000}"/>
    <cellStyle name="Comma 4 4 2 2 3 2 2 2" xfId="16035" xr:uid="{00000000-0005-0000-0000-000072130000}"/>
    <cellStyle name="Comma 4 4 2 2 3 2 3" xfId="11817" xr:uid="{00000000-0005-0000-0000-000073130000}"/>
    <cellStyle name="Comma 4 4 2 2 3 3" xfId="5454" xr:uid="{00000000-0005-0000-0000-000074130000}"/>
    <cellStyle name="Comma 4 4 2 2 3 3 2" xfId="13890" xr:uid="{00000000-0005-0000-0000-000075130000}"/>
    <cellStyle name="Comma 4 4 2 2 3 4" xfId="9672" xr:uid="{00000000-0005-0000-0000-000076130000}"/>
    <cellStyle name="Comma 4 4 2 2 4" xfId="1559" xr:uid="{00000000-0005-0000-0000-000077130000}"/>
    <cellStyle name="Comma 4 4 2 2 4 2" xfId="3789" xr:uid="{00000000-0005-0000-0000-000078130000}"/>
    <cellStyle name="Comma 4 4 2 2 4 2 2" xfId="8012" xr:uid="{00000000-0005-0000-0000-000079130000}"/>
    <cellStyle name="Comma 4 4 2 2 4 2 2 2" xfId="16448" xr:uid="{00000000-0005-0000-0000-00007A130000}"/>
    <cellStyle name="Comma 4 4 2 2 4 2 3" xfId="12230" xr:uid="{00000000-0005-0000-0000-00007B130000}"/>
    <cellStyle name="Comma 4 4 2 2 4 3" xfId="5867" xr:uid="{00000000-0005-0000-0000-00007C130000}"/>
    <cellStyle name="Comma 4 4 2 2 4 3 2" xfId="14303" xr:uid="{00000000-0005-0000-0000-00007D130000}"/>
    <cellStyle name="Comma 4 4 2 2 4 4" xfId="10085" xr:uid="{00000000-0005-0000-0000-00007E130000}"/>
    <cellStyle name="Comma 4 4 2 2 5" xfId="1973" xr:uid="{00000000-0005-0000-0000-00007F130000}"/>
    <cellStyle name="Comma 4 4 2 2 5 2" xfId="4202" xr:uid="{00000000-0005-0000-0000-000080130000}"/>
    <cellStyle name="Comma 4 4 2 2 5 2 2" xfId="8425" xr:uid="{00000000-0005-0000-0000-000081130000}"/>
    <cellStyle name="Comma 4 4 2 2 5 2 2 2" xfId="16861" xr:uid="{00000000-0005-0000-0000-000082130000}"/>
    <cellStyle name="Comma 4 4 2 2 5 2 3" xfId="12643" xr:uid="{00000000-0005-0000-0000-000083130000}"/>
    <cellStyle name="Comma 4 4 2 2 5 3" xfId="6280" xr:uid="{00000000-0005-0000-0000-000084130000}"/>
    <cellStyle name="Comma 4 4 2 2 5 3 2" xfId="14716" xr:uid="{00000000-0005-0000-0000-000085130000}"/>
    <cellStyle name="Comma 4 4 2 2 5 4" xfId="10498" xr:uid="{00000000-0005-0000-0000-000086130000}"/>
    <cellStyle name="Comma 4 4 2 2 6" xfId="2408" xr:uid="{00000000-0005-0000-0000-000087130000}"/>
    <cellStyle name="Comma 4 4 2 2 6 2" xfId="6693" xr:uid="{00000000-0005-0000-0000-000088130000}"/>
    <cellStyle name="Comma 4 4 2 2 6 2 2" xfId="15129" xr:uid="{00000000-0005-0000-0000-000089130000}"/>
    <cellStyle name="Comma 4 4 2 2 6 3" xfId="10911" xr:uid="{00000000-0005-0000-0000-00008A130000}"/>
    <cellStyle name="Comma 4 4 2 2 7" xfId="2704" xr:uid="{00000000-0005-0000-0000-00008B130000}"/>
    <cellStyle name="Comma 4 4 2 2 8" xfId="2786" xr:uid="{00000000-0005-0000-0000-00008C130000}"/>
    <cellStyle name="Comma 4 4 2 2 8 2" xfId="7010" xr:uid="{00000000-0005-0000-0000-00008D130000}"/>
    <cellStyle name="Comma 4 4 2 2 8 2 2" xfId="15446" xr:uid="{00000000-0005-0000-0000-00008E130000}"/>
    <cellStyle name="Comma 4 4 2 2 8 3" xfId="11228" xr:uid="{00000000-0005-0000-0000-00008F130000}"/>
    <cellStyle name="Comma 4 4 2 2 9" xfId="4627" xr:uid="{00000000-0005-0000-0000-000090130000}"/>
    <cellStyle name="Comma 4 4 2 2 9 2" xfId="13063" xr:uid="{00000000-0005-0000-0000-000091130000}"/>
    <cellStyle name="Comma 4 4 2 3" xfId="691" xr:uid="{00000000-0005-0000-0000-000092130000}"/>
    <cellStyle name="Comma 4 4 2 3 2" xfId="2962" xr:uid="{00000000-0005-0000-0000-000093130000}"/>
    <cellStyle name="Comma 4 4 2 3 2 2" xfId="7185" xr:uid="{00000000-0005-0000-0000-000094130000}"/>
    <cellStyle name="Comma 4 4 2 3 2 2 2" xfId="15621" xr:uid="{00000000-0005-0000-0000-000095130000}"/>
    <cellStyle name="Comma 4 4 2 3 2 3" xfId="11403" xr:uid="{00000000-0005-0000-0000-000096130000}"/>
    <cellStyle name="Comma 4 4 2 3 3" xfId="5040" xr:uid="{00000000-0005-0000-0000-000097130000}"/>
    <cellStyle name="Comma 4 4 2 3 3 2" xfId="13476" xr:uid="{00000000-0005-0000-0000-000098130000}"/>
    <cellStyle name="Comma 4 4 2 3 4" xfId="9258" xr:uid="{00000000-0005-0000-0000-000099130000}"/>
    <cellStyle name="Comma 4 4 2 4" xfId="1144" xr:uid="{00000000-0005-0000-0000-00009A130000}"/>
    <cellStyle name="Comma 4 4 2 4 2" xfId="3375" xr:uid="{00000000-0005-0000-0000-00009B130000}"/>
    <cellStyle name="Comma 4 4 2 4 2 2" xfId="7598" xr:uid="{00000000-0005-0000-0000-00009C130000}"/>
    <cellStyle name="Comma 4 4 2 4 2 2 2" xfId="16034" xr:uid="{00000000-0005-0000-0000-00009D130000}"/>
    <cellStyle name="Comma 4 4 2 4 2 3" xfId="11816" xr:uid="{00000000-0005-0000-0000-00009E130000}"/>
    <cellStyle name="Comma 4 4 2 4 3" xfId="5453" xr:uid="{00000000-0005-0000-0000-00009F130000}"/>
    <cellStyle name="Comma 4 4 2 4 3 2" xfId="13889" xr:uid="{00000000-0005-0000-0000-0000A0130000}"/>
    <cellStyle name="Comma 4 4 2 4 4" xfId="9671" xr:uid="{00000000-0005-0000-0000-0000A1130000}"/>
    <cellStyle name="Comma 4 4 2 5" xfId="1558" xr:uid="{00000000-0005-0000-0000-0000A2130000}"/>
    <cellStyle name="Comma 4 4 2 5 2" xfId="3788" xr:uid="{00000000-0005-0000-0000-0000A3130000}"/>
    <cellStyle name="Comma 4 4 2 5 2 2" xfId="8011" xr:uid="{00000000-0005-0000-0000-0000A4130000}"/>
    <cellStyle name="Comma 4 4 2 5 2 2 2" xfId="16447" xr:uid="{00000000-0005-0000-0000-0000A5130000}"/>
    <cellStyle name="Comma 4 4 2 5 2 3" xfId="12229" xr:uid="{00000000-0005-0000-0000-0000A6130000}"/>
    <cellStyle name="Comma 4 4 2 5 3" xfId="5866" xr:uid="{00000000-0005-0000-0000-0000A7130000}"/>
    <cellStyle name="Comma 4 4 2 5 3 2" xfId="14302" xr:uid="{00000000-0005-0000-0000-0000A8130000}"/>
    <cellStyle name="Comma 4 4 2 5 4" xfId="10084" xr:uid="{00000000-0005-0000-0000-0000A9130000}"/>
    <cellStyle name="Comma 4 4 2 6" xfId="1972" xr:uid="{00000000-0005-0000-0000-0000AA130000}"/>
    <cellStyle name="Comma 4 4 2 6 2" xfId="4201" xr:uid="{00000000-0005-0000-0000-0000AB130000}"/>
    <cellStyle name="Comma 4 4 2 6 2 2" xfId="8424" xr:uid="{00000000-0005-0000-0000-0000AC130000}"/>
    <cellStyle name="Comma 4 4 2 6 2 2 2" xfId="16860" xr:uid="{00000000-0005-0000-0000-0000AD130000}"/>
    <cellStyle name="Comma 4 4 2 6 2 3" xfId="12642" xr:uid="{00000000-0005-0000-0000-0000AE130000}"/>
    <cellStyle name="Comma 4 4 2 6 3" xfId="6279" xr:uid="{00000000-0005-0000-0000-0000AF130000}"/>
    <cellStyle name="Comma 4 4 2 6 3 2" xfId="14715" xr:uid="{00000000-0005-0000-0000-0000B0130000}"/>
    <cellStyle name="Comma 4 4 2 6 4" xfId="10497" xr:uid="{00000000-0005-0000-0000-0000B1130000}"/>
    <cellStyle name="Comma 4 4 2 7" xfId="2407" xr:uid="{00000000-0005-0000-0000-0000B2130000}"/>
    <cellStyle name="Comma 4 4 2 7 2" xfId="6692" xr:uid="{00000000-0005-0000-0000-0000B3130000}"/>
    <cellStyle name="Comma 4 4 2 7 2 2" xfId="15128" xr:uid="{00000000-0005-0000-0000-0000B4130000}"/>
    <cellStyle name="Comma 4 4 2 7 3" xfId="10910" xr:uid="{00000000-0005-0000-0000-0000B5130000}"/>
    <cellStyle name="Comma 4 4 2 8" xfId="2703" xr:uid="{00000000-0005-0000-0000-0000B6130000}"/>
    <cellStyle name="Comma 4 4 2 9" xfId="2785" xr:uid="{00000000-0005-0000-0000-0000B7130000}"/>
    <cellStyle name="Comma 4 4 2 9 2" xfId="7009" xr:uid="{00000000-0005-0000-0000-0000B8130000}"/>
    <cellStyle name="Comma 4 4 2 9 2 2" xfId="15445" xr:uid="{00000000-0005-0000-0000-0000B9130000}"/>
    <cellStyle name="Comma 4 4 2 9 3" xfId="11227" xr:uid="{00000000-0005-0000-0000-0000BA130000}"/>
    <cellStyle name="Comma 4 4 3" xfId="156" xr:uid="{00000000-0005-0000-0000-0000BB130000}"/>
    <cellStyle name="Comma 4 4 3 10" xfId="8846" xr:uid="{00000000-0005-0000-0000-0000BC130000}"/>
    <cellStyle name="Comma 4 4 3 2" xfId="693" xr:uid="{00000000-0005-0000-0000-0000BD130000}"/>
    <cellStyle name="Comma 4 4 3 2 2" xfId="2964" xr:uid="{00000000-0005-0000-0000-0000BE130000}"/>
    <cellStyle name="Comma 4 4 3 2 2 2" xfId="7187" xr:uid="{00000000-0005-0000-0000-0000BF130000}"/>
    <cellStyle name="Comma 4 4 3 2 2 2 2" xfId="15623" xr:uid="{00000000-0005-0000-0000-0000C0130000}"/>
    <cellStyle name="Comma 4 4 3 2 2 3" xfId="11405" xr:uid="{00000000-0005-0000-0000-0000C1130000}"/>
    <cellStyle name="Comma 4 4 3 2 3" xfId="5042" xr:uid="{00000000-0005-0000-0000-0000C2130000}"/>
    <cellStyle name="Comma 4 4 3 2 3 2" xfId="13478" xr:uid="{00000000-0005-0000-0000-0000C3130000}"/>
    <cellStyle name="Comma 4 4 3 2 4" xfId="9260" xr:uid="{00000000-0005-0000-0000-0000C4130000}"/>
    <cellStyle name="Comma 4 4 3 3" xfId="1146" xr:uid="{00000000-0005-0000-0000-0000C5130000}"/>
    <cellStyle name="Comma 4 4 3 3 2" xfId="3377" xr:uid="{00000000-0005-0000-0000-0000C6130000}"/>
    <cellStyle name="Comma 4 4 3 3 2 2" xfId="7600" xr:uid="{00000000-0005-0000-0000-0000C7130000}"/>
    <cellStyle name="Comma 4 4 3 3 2 2 2" xfId="16036" xr:uid="{00000000-0005-0000-0000-0000C8130000}"/>
    <cellStyle name="Comma 4 4 3 3 2 3" xfId="11818" xr:uid="{00000000-0005-0000-0000-0000C9130000}"/>
    <cellStyle name="Comma 4 4 3 3 3" xfId="5455" xr:uid="{00000000-0005-0000-0000-0000CA130000}"/>
    <cellStyle name="Comma 4 4 3 3 3 2" xfId="13891" xr:uid="{00000000-0005-0000-0000-0000CB130000}"/>
    <cellStyle name="Comma 4 4 3 3 4" xfId="9673" xr:uid="{00000000-0005-0000-0000-0000CC130000}"/>
    <cellStyle name="Comma 4 4 3 4" xfId="1560" xr:uid="{00000000-0005-0000-0000-0000CD130000}"/>
    <cellStyle name="Comma 4 4 3 4 2" xfId="3790" xr:uid="{00000000-0005-0000-0000-0000CE130000}"/>
    <cellStyle name="Comma 4 4 3 4 2 2" xfId="8013" xr:uid="{00000000-0005-0000-0000-0000CF130000}"/>
    <cellStyle name="Comma 4 4 3 4 2 2 2" xfId="16449" xr:uid="{00000000-0005-0000-0000-0000D0130000}"/>
    <cellStyle name="Comma 4 4 3 4 2 3" xfId="12231" xr:uid="{00000000-0005-0000-0000-0000D1130000}"/>
    <cellStyle name="Comma 4 4 3 4 3" xfId="5868" xr:uid="{00000000-0005-0000-0000-0000D2130000}"/>
    <cellStyle name="Comma 4 4 3 4 3 2" xfId="14304" xr:uid="{00000000-0005-0000-0000-0000D3130000}"/>
    <cellStyle name="Comma 4 4 3 4 4" xfId="10086" xr:uid="{00000000-0005-0000-0000-0000D4130000}"/>
    <cellStyle name="Comma 4 4 3 5" xfId="1974" xr:uid="{00000000-0005-0000-0000-0000D5130000}"/>
    <cellStyle name="Comma 4 4 3 5 2" xfId="4203" xr:uid="{00000000-0005-0000-0000-0000D6130000}"/>
    <cellStyle name="Comma 4 4 3 5 2 2" xfId="8426" xr:uid="{00000000-0005-0000-0000-0000D7130000}"/>
    <cellStyle name="Comma 4 4 3 5 2 2 2" xfId="16862" xr:uid="{00000000-0005-0000-0000-0000D8130000}"/>
    <cellStyle name="Comma 4 4 3 5 2 3" xfId="12644" xr:uid="{00000000-0005-0000-0000-0000D9130000}"/>
    <cellStyle name="Comma 4 4 3 5 3" xfId="6281" xr:uid="{00000000-0005-0000-0000-0000DA130000}"/>
    <cellStyle name="Comma 4 4 3 5 3 2" xfId="14717" xr:uid="{00000000-0005-0000-0000-0000DB130000}"/>
    <cellStyle name="Comma 4 4 3 5 4" xfId="10499" xr:uid="{00000000-0005-0000-0000-0000DC130000}"/>
    <cellStyle name="Comma 4 4 3 6" xfId="2409" xr:uid="{00000000-0005-0000-0000-0000DD130000}"/>
    <cellStyle name="Comma 4 4 3 6 2" xfId="6694" xr:uid="{00000000-0005-0000-0000-0000DE130000}"/>
    <cellStyle name="Comma 4 4 3 6 2 2" xfId="15130" xr:uid="{00000000-0005-0000-0000-0000DF130000}"/>
    <cellStyle name="Comma 4 4 3 6 3" xfId="10912" xr:uid="{00000000-0005-0000-0000-0000E0130000}"/>
    <cellStyle name="Comma 4 4 3 7" xfId="2705" xr:uid="{00000000-0005-0000-0000-0000E1130000}"/>
    <cellStyle name="Comma 4 4 3 8" xfId="2787" xr:uid="{00000000-0005-0000-0000-0000E2130000}"/>
    <cellStyle name="Comma 4 4 3 8 2" xfId="7011" xr:uid="{00000000-0005-0000-0000-0000E3130000}"/>
    <cellStyle name="Comma 4 4 3 8 2 2" xfId="15447" xr:uid="{00000000-0005-0000-0000-0000E4130000}"/>
    <cellStyle name="Comma 4 4 3 8 3" xfId="11229" xr:uid="{00000000-0005-0000-0000-0000E5130000}"/>
    <cellStyle name="Comma 4 4 3 9" xfId="4628" xr:uid="{00000000-0005-0000-0000-0000E6130000}"/>
    <cellStyle name="Comma 4 4 3 9 2" xfId="13064" xr:uid="{00000000-0005-0000-0000-0000E7130000}"/>
    <cellStyle name="Comma 4 4 4" xfId="690" xr:uid="{00000000-0005-0000-0000-0000E8130000}"/>
    <cellStyle name="Comma 4 4 4 2" xfId="2961" xr:uid="{00000000-0005-0000-0000-0000E9130000}"/>
    <cellStyle name="Comma 4 4 4 2 2" xfId="7184" xr:uid="{00000000-0005-0000-0000-0000EA130000}"/>
    <cellStyle name="Comma 4 4 4 2 2 2" xfId="15620" xr:uid="{00000000-0005-0000-0000-0000EB130000}"/>
    <cellStyle name="Comma 4 4 4 2 3" xfId="11402" xr:uid="{00000000-0005-0000-0000-0000EC130000}"/>
    <cellStyle name="Comma 4 4 4 3" xfId="5039" xr:uid="{00000000-0005-0000-0000-0000ED130000}"/>
    <cellStyle name="Comma 4 4 4 3 2" xfId="13475" xr:uid="{00000000-0005-0000-0000-0000EE130000}"/>
    <cellStyle name="Comma 4 4 4 4" xfId="9257" xr:uid="{00000000-0005-0000-0000-0000EF130000}"/>
    <cellStyle name="Comma 4 4 5" xfId="1143" xr:uid="{00000000-0005-0000-0000-0000F0130000}"/>
    <cellStyle name="Comma 4 4 5 2" xfId="3374" xr:uid="{00000000-0005-0000-0000-0000F1130000}"/>
    <cellStyle name="Comma 4 4 5 2 2" xfId="7597" xr:uid="{00000000-0005-0000-0000-0000F2130000}"/>
    <cellStyle name="Comma 4 4 5 2 2 2" xfId="16033" xr:uid="{00000000-0005-0000-0000-0000F3130000}"/>
    <cellStyle name="Comma 4 4 5 2 3" xfId="11815" xr:uid="{00000000-0005-0000-0000-0000F4130000}"/>
    <cellStyle name="Comma 4 4 5 3" xfId="5452" xr:uid="{00000000-0005-0000-0000-0000F5130000}"/>
    <cellStyle name="Comma 4 4 5 3 2" xfId="13888" xr:uid="{00000000-0005-0000-0000-0000F6130000}"/>
    <cellStyle name="Comma 4 4 5 4" xfId="9670" xr:uid="{00000000-0005-0000-0000-0000F7130000}"/>
    <cellStyle name="Comma 4 4 6" xfId="1557" xr:uid="{00000000-0005-0000-0000-0000F8130000}"/>
    <cellStyle name="Comma 4 4 6 2" xfId="3787" xr:uid="{00000000-0005-0000-0000-0000F9130000}"/>
    <cellStyle name="Comma 4 4 6 2 2" xfId="8010" xr:uid="{00000000-0005-0000-0000-0000FA130000}"/>
    <cellStyle name="Comma 4 4 6 2 2 2" xfId="16446" xr:uid="{00000000-0005-0000-0000-0000FB130000}"/>
    <cellStyle name="Comma 4 4 6 2 3" xfId="12228" xr:uid="{00000000-0005-0000-0000-0000FC130000}"/>
    <cellStyle name="Comma 4 4 6 3" xfId="5865" xr:uid="{00000000-0005-0000-0000-0000FD130000}"/>
    <cellStyle name="Comma 4 4 6 3 2" xfId="14301" xr:uid="{00000000-0005-0000-0000-0000FE130000}"/>
    <cellStyle name="Comma 4 4 6 4" xfId="10083" xr:uid="{00000000-0005-0000-0000-0000FF130000}"/>
    <cellStyle name="Comma 4 4 7" xfId="1971" xr:uid="{00000000-0005-0000-0000-000000140000}"/>
    <cellStyle name="Comma 4 4 7 2" xfId="4200" xr:uid="{00000000-0005-0000-0000-000001140000}"/>
    <cellStyle name="Comma 4 4 7 2 2" xfId="8423" xr:uid="{00000000-0005-0000-0000-000002140000}"/>
    <cellStyle name="Comma 4 4 7 2 2 2" xfId="16859" xr:uid="{00000000-0005-0000-0000-000003140000}"/>
    <cellStyle name="Comma 4 4 7 2 3" xfId="12641" xr:uid="{00000000-0005-0000-0000-000004140000}"/>
    <cellStyle name="Comma 4 4 7 3" xfId="6278" xr:uid="{00000000-0005-0000-0000-000005140000}"/>
    <cellStyle name="Comma 4 4 7 3 2" xfId="14714" xr:uid="{00000000-0005-0000-0000-000006140000}"/>
    <cellStyle name="Comma 4 4 7 4" xfId="10496" xr:uid="{00000000-0005-0000-0000-000007140000}"/>
    <cellStyle name="Comma 4 4 8" xfId="2406" xr:uid="{00000000-0005-0000-0000-000008140000}"/>
    <cellStyle name="Comma 4 4 8 2" xfId="6691" xr:uid="{00000000-0005-0000-0000-000009140000}"/>
    <cellStyle name="Comma 4 4 8 2 2" xfId="15127" xr:uid="{00000000-0005-0000-0000-00000A140000}"/>
    <cellStyle name="Comma 4 4 8 3" xfId="10909" xr:uid="{00000000-0005-0000-0000-00000B140000}"/>
    <cellStyle name="Comma 4 4 9" xfId="2702" xr:uid="{00000000-0005-0000-0000-00000C140000}"/>
    <cellStyle name="Comma 4 5" xfId="157" xr:uid="{00000000-0005-0000-0000-00000D140000}"/>
    <cellStyle name="Comma 4 5 10" xfId="4629" xr:uid="{00000000-0005-0000-0000-00000E140000}"/>
    <cellStyle name="Comma 4 5 10 2" xfId="13065" xr:uid="{00000000-0005-0000-0000-00000F140000}"/>
    <cellStyle name="Comma 4 5 11" xfId="8847" xr:uid="{00000000-0005-0000-0000-000010140000}"/>
    <cellStyle name="Comma 4 5 2" xfId="158" xr:uid="{00000000-0005-0000-0000-000011140000}"/>
    <cellStyle name="Comma 4 5 2 10" xfId="8848" xr:uid="{00000000-0005-0000-0000-000012140000}"/>
    <cellStyle name="Comma 4 5 2 2" xfId="695" xr:uid="{00000000-0005-0000-0000-000013140000}"/>
    <cellStyle name="Comma 4 5 2 2 2" xfId="2966" xr:uid="{00000000-0005-0000-0000-000014140000}"/>
    <cellStyle name="Comma 4 5 2 2 2 2" xfId="7189" xr:uid="{00000000-0005-0000-0000-000015140000}"/>
    <cellStyle name="Comma 4 5 2 2 2 2 2" xfId="15625" xr:uid="{00000000-0005-0000-0000-000016140000}"/>
    <cellStyle name="Comma 4 5 2 2 2 3" xfId="11407" xr:uid="{00000000-0005-0000-0000-000017140000}"/>
    <cellStyle name="Comma 4 5 2 2 3" xfId="5044" xr:uid="{00000000-0005-0000-0000-000018140000}"/>
    <cellStyle name="Comma 4 5 2 2 3 2" xfId="13480" xr:uid="{00000000-0005-0000-0000-000019140000}"/>
    <cellStyle name="Comma 4 5 2 2 4" xfId="9262" xr:uid="{00000000-0005-0000-0000-00001A140000}"/>
    <cellStyle name="Comma 4 5 2 3" xfId="1148" xr:uid="{00000000-0005-0000-0000-00001B140000}"/>
    <cellStyle name="Comma 4 5 2 3 2" xfId="3379" xr:uid="{00000000-0005-0000-0000-00001C140000}"/>
    <cellStyle name="Comma 4 5 2 3 2 2" xfId="7602" xr:uid="{00000000-0005-0000-0000-00001D140000}"/>
    <cellStyle name="Comma 4 5 2 3 2 2 2" xfId="16038" xr:uid="{00000000-0005-0000-0000-00001E140000}"/>
    <cellStyle name="Comma 4 5 2 3 2 3" xfId="11820" xr:uid="{00000000-0005-0000-0000-00001F140000}"/>
    <cellStyle name="Comma 4 5 2 3 3" xfId="5457" xr:uid="{00000000-0005-0000-0000-000020140000}"/>
    <cellStyle name="Comma 4 5 2 3 3 2" xfId="13893" xr:uid="{00000000-0005-0000-0000-000021140000}"/>
    <cellStyle name="Comma 4 5 2 3 4" xfId="9675" xr:uid="{00000000-0005-0000-0000-000022140000}"/>
    <cellStyle name="Comma 4 5 2 4" xfId="1562" xr:uid="{00000000-0005-0000-0000-000023140000}"/>
    <cellStyle name="Comma 4 5 2 4 2" xfId="3792" xr:uid="{00000000-0005-0000-0000-000024140000}"/>
    <cellStyle name="Comma 4 5 2 4 2 2" xfId="8015" xr:uid="{00000000-0005-0000-0000-000025140000}"/>
    <cellStyle name="Comma 4 5 2 4 2 2 2" xfId="16451" xr:uid="{00000000-0005-0000-0000-000026140000}"/>
    <cellStyle name="Comma 4 5 2 4 2 3" xfId="12233" xr:uid="{00000000-0005-0000-0000-000027140000}"/>
    <cellStyle name="Comma 4 5 2 4 3" xfId="5870" xr:uid="{00000000-0005-0000-0000-000028140000}"/>
    <cellStyle name="Comma 4 5 2 4 3 2" xfId="14306" xr:uid="{00000000-0005-0000-0000-000029140000}"/>
    <cellStyle name="Comma 4 5 2 4 4" xfId="10088" xr:uid="{00000000-0005-0000-0000-00002A140000}"/>
    <cellStyle name="Comma 4 5 2 5" xfId="1976" xr:uid="{00000000-0005-0000-0000-00002B140000}"/>
    <cellStyle name="Comma 4 5 2 5 2" xfId="4205" xr:uid="{00000000-0005-0000-0000-00002C140000}"/>
    <cellStyle name="Comma 4 5 2 5 2 2" xfId="8428" xr:uid="{00000000-0005-0000-0000-00002D140000}"/>
    <cellStyle name="Comma 4 5 2 5 2 2 2" xfId="16864" xr:uid="{00000000-0005-0000-0000-00002E140000}"/>
    <cellStyle name="Comma 4 5 2 5 2 3" xfId="12646" xr:uid="{00000000-0005-0000-0000-00002F140000}"/>
    <cellStyle name="Comma 4 5 2 5 3" xfId="6283" xr:uid="{00000000-0005-0000-0000-000030140000}"/>
    <cellStyle name="Comma 4 5 2 5 3 2" xfId="14719" xr:uid="{00000000-0005-0000-0000-000031140000}"/>
    <cellStyle name="Comma 4 5 2 5 4" xfId="10501" xr:uid="{00000000-0005-0000-0000-000032140000}"/>
    <cellStyle name="Comma 4 5 2 6" xfId="2411" xr:uid="{00000000-0005-0000-0000-000033140000}"/>
    <cellStyle name="Comma 4 5 2 6 2" xfId="6696" xr:uid="{00000000-0005-0000-0000-000034140000}"/>
    <cellStyle name="Comma 4 5 2 6 2 2" xfId="15132" xr:uid="{00000000-0005-0000-0000-000035140000}"/>
    <cellStyle name="Comma 4 5 2 6 3" xfId="10914" xr:uid="{00000000-0005-0000-0000-000036140000}"/>
    <cellStyle name="Comma 4 5 2 7" xfId="2707" xr:uid="{00000000-0005-0000-0000-000037140000}"/>
    <cellStyle name="Comma 4 5 2 8" xfId="2789" xr:uid="{00000000-0005-0000-0000-000038140000}"/>
    <cellStyle name="Comma 4 5 2 8 2" xfId="7013" xr:uid="{00000000-0005-0000-0000-000039140000}"/>
    <cellStyle name="Comma 4 5 2 8 2 2" xfId="15449" xr:uid="{00000000-0005-0000-0000-00003A140000}"/>
    <cellStyle name="Comma 4 5 2 8 3" xfId="11231" xr:uid="{00000000-0005-0000-0000-00003B140000}"/>
    <cellStyle name="Comma 4 5 2 9" xfId="4630" xr:uid="{00000000-0005-0000-0000-00003C140000}"/>
    <cellStyle name="Comma 4 5 2 9 2" xfId="13066" xr:uid="{00000000-0005-0000-0000-00003D140000}"/>
    <cellStyle name="Comma 4 5 3" xfId="694" xr:uid="{00000000-0005-0000-0000-00003E140000}"/>
    <cellStyle name="Comma 4 5 3 2" xfId="2965" xr:uid="{00000000-0005-0000-0000-00003F140000}"/>
    <cellStyle name="Comma 4 5 3 2 2" xfId="7188" xr:uid="{00000000-0005-0000-0000-000040140000}"/>
    <cellStyle name="Comma 4 5 3 2 2 2" xfId="15624" xr:uid="{00000000-0005-0000-0000-000041140000}"/>
    <cellStyle name="Comma 4 5 3 2 3" xfId="11406" xr:uid="{00000000-0005-0000-0000-000042140000}"/>
    <cellStyle name="Comma 4 5 3 3" xfId="5043" xr:uid="{00000000-0005-0000-0000-000043140000}"/>
    <cellStyle name="Comma 4 5 3 3 2" xfId="13479" xr:uid="{00000000-0005-0000-0000-000044140000}"/>
    <cellStyle name="Comma 4 5 3 4" xfId="9261" xr:uid="{00000000-0005-0000-0000-000045140000}"/>
    <cellStyle name="Comma 4 5 4" xfId="1147" xr:uid="{00000000-0005-0000-0000-000046140000}"/>
    <cellStyle name="Comma 4 5 4 2" xfId="3378" xr:uid="{00000000-0005-0000-0000-000047140000}"/>
    <cellStyle name="Comma 4 5 4 2 2" xfId="7601" xr:uid="{00000000-0005-0000-0000-000048140000}"/>
    <cellStyle name="Comma 4 5 4 2 2 2" xfId="16037" xr:uid="{00000000-0005-0000-0000-000049140000}"/>
    <cellStyle name="Comma 4 5 4 2 3" xfId="11819" xr:uid="{00000000-0005-0000-0000-00004A140000}"/>
    <cellStyle name="Comma 4 5 4 3" xfId="5456" xr:uid="{00000000-0005-0000-0000-00004B140000}"/>
    <cellStyle name="Comma 4 5 4 3 2" xfId="13892" xr:uid="{00000000-0005-0000-0000-00004C140000}"/>
    <cellStyle name="Comma 4 5 4 4" xfId="9674" xr:uid="{00000000-0005-0000-0000-00004D140000}"/>
    <cellStyle name="Comma 4 5 5" xfId="1561" xr:uid="{00000000-0005-0000-0000-00004E140000}"/>
    <cellStyle name="Comma 4 5 5 2" xfId="3791" xr:uid="{00000000-0005-0000-0000-00004F140000}"/>
    <cellStyle name="Comma 4 5 5 2 2" xfId="8014" xr:uid="{00000000-0005-0000-0000-000050140000}"/>
    <cellStyle name="Comma 4 5 5 2 2 2" xfId="16450" xr:uid="{00000000-0005-0000-0000-000051140000}"/>
    <cellStyle name="Comma 4 5 5 2 3" xfId="12232" xr:uid="{00000000-0005-0000-0000-000052140000}"/>
    <cellStyle name="Comma 4 5 5 3" xfId="5869" xr:uid="{00000000-0005-0000-0000-000053140000}"/>
    <cellStyle name="Comma 4 5 5 3 2" xfId="14305" xr:uid="{00000000-0005-0000-0000-000054140000}"/>
    <cellStyle name="Comma 4 5 5 4" xfId="10087" xr:uid="{00000000-0005-0000-0000-000055140000}"/>
    <cellStyle name="Comma 4 5 6" xfId="1975" xr:uid="{00000000-0005-0000-0000-000056140000}"/>
    <cellStyle name="Comma 4 5 6 2" xfId="4204" xr:uid="{00000000-0005-0000-0000-000057140000}"/>
    <cellStyle name="Comma 4 5 6 2 2" xfId="8427" xr:uid="{00000000-0005-0000-0000-000058140000}"/>
    <cellStyle name="Comma 4 5 6 2 2 2" xfId="16863" xr:uid="{00000000-0005-0000-0000-000059140000}"/>
    <cellStyle name="Comma 4 5 6 2 3" xfId="12645" xr:uid="{00000000-0005-0000-0000-00005A140000}"/>
    <cellStyle name="Comma 4 5 6 3" xfId="6282" xr:uid="{00000000-0005-0000-0000-00005B140000}"/>
    <cellStyle name="Comma 4 5 6 3 2" xfId="14718" xr:uid="{00000000-0005-0000-0000-00005C140000}"/>
    <cellStyle name="Comma 4 5 6 4" xfId="10500" xr:uid="{00000000-0005-0000-0000-00005D140000}"/>
    <cellStyle name="Comma 4 5 7" xfId="2410" xr:uid="{00000000-0005-0000-0000-00005E140000}"/>
    <cellStyle name="Comma 4 5 7 2" xfId="6695" xr:uid="{00000000-0005-0000-0000-00005F140000}"/>
    <cellStyle name="Comma 4 5 7 2 2" xfId="15131" xr:uid="{00000000-0005-0000-0000-000060140000}"/>
    <cellStyle name="Comma 4 5 7 3" xfId="10913" xr:uid="{00000000-0005-0000-0000-000061140000}"/>
    <cellStyle name="Comma 4 5 8" xfId="2706" xr:uid="{00000000-0005-0000-0000-000062140000}"/>
    <cellStyle name="Comma 4 5 9" xfId="2788" xr:uid="{00000000-0005-0000-0000-000063140000}"/>
    <cellStyle name="Comma 4 5 9 2" xfId="7012" xr:uid="{00000000-0005-0000-0000-000064140000}"/>
    <cellStyle name="Comma 4 5 9 2 2" xfId="15448" xr:uid="{00000000-0005-0000-0000-000065140000}"/>
    <cellStyle name="Comma 4 5 9 3" xfId="11230" xr:uid="{00000000-0005-0000-0000-000066140000}"/>
    <cellStyle name="Comma 4 6" xfId="159" xr:uid="{00000000-0005-0000-0000-000067140000}"/>
    <cellStyle name="Comma 4 6 10" xfId="8849" xr:uid="{00000000-0005-0000-0000-000068140000}"/>
    <cellStyle name="Comma 4 6 2" xfId="696" xr:uid="{00000000-0005-0000-0000-000069140000}"/>
    <cellStyle name="Comma 4 6 2 2" xfId="2967" xr:uid="{00000000-0005-0000-0000-00006A140000}"/>
    <cellStyle name="Comma 4 6 2 2 2" xfId="7190" xr:uid="{00000000-0005-0000-0000-00006B140000}"/>
    <cellStyle name="Comma 4 6 2 2 2 2" xfId="15626" xr:uid="{00000000-0005-0000-0000-00006C140000}"/>
    <cellStyle name="Comma 4 6 2 2 3" xfId="11408" xr:uid="{00000000-0005-0000-0000-00006D140000}"/>
    <cellStyle name="Comma 4 6 2 3" xfId="5045" xr:uid="{00000000-0005-0000-0000-00006E140000}"/>
    <cellStyle name="Comma 4 6 2 3 2" xfId="13481" xr:uid="{00000000-0005-0000-0000-00006F140000}"/>
    <cellStyle name="Comma 4 6 2 4" xfId="9263" xr:uid="{00000000-0005-0000-0000-000070140000}"/>
    <cellStyle name="Comma 4 6 3" xfId="1149" xr:uid="{00000000-0005-0000-0000-000071140000}"/>
    <cellStyle name="Comma 4 6 3 2" xfId="3380" xr:uid="{00000000-0005-0000-0000-000072140000}"/>
    <cellStyle name="Comma 4 6 3 2 2" xfId="7603" xr:uid="{00000000-0005-0000-0000-000073140000}"/>
    <cellStyle name="Comma 4 6 3 2 2 2" xfId="16039" xr:uid="{00000000-0005-0000-0000-000074140000}"/>
    <cellStyle name="Comma 4 6 3 2 3" xfId="11821" xr:uid="{00000000-0005-0000-0000-000075140000}"/>
    <cellStyle name="Comma 4 6 3 3" xfId="5458" xr:uid="{00000000-0005-0000-0000-000076140000}"/>
    <cellStyle name="Comma 4 6 3 3 2" xfId="13894" xr:uid="{00000000-0005-0000-0000-000077140000}"/>
    <cellStyle name="Comma 4 6 3 4" xfId="9676" xr:uid="{00000000-0005-0000-0000-000078140000}"/>
    <cellStyle name="Comma 4 6 4" xfId="1563" xr:uid="{00000000-0005-0000-0000-000079140000}"/>
    <cellStyle name="Comma 4 6 4 2" xfId="3793" xr:uid="{00000000-0005-0000-0000-00007A140000}"/>
    <cellStyle name="Comma 4 6 4 2 2" xfId="8016" xr:uid="{00000000-0005-0000-0000-00007B140000}"/>
    <cellStyle name="Comma 4 6 4 2 2 2" xfId="16452" xr:uid="{00000000-0005-0000-0000-00007C140000}"/>
    <cellStyle name="Comma 4 6 4 2 3" xfId="12234" xr:uid="{00000000-0005-0000-0000-00007D140000}"/>
    <cellStyle name="Comma 4 6 4 3" xfId="5871" xr:uid="{00000000-0005-0000-0000-00007E140000}"/>
    <cellStyle name="Comma 4 6 4 3 2" xfId="14307" xr:uid="{00000000-0005-0000-0000-00007F140000}"/>
    <cellStyle name="Comma 4 6 4 4" xfId="10089" xr:uid="{00000000-0005-0000-0000-000080140000}"/>
    <cellStyle name="Comma 4 6 5" xfId="1977" xr:uid="{00000000-0005-0000-0000-000081140000}"/>
    <cellStyle name="Comma 4 6 5 2" xfId="4206" xr:uid="{00000000-0005-0000-0000-000082140000}"/>
    <cellStyle name="Comma 4 6 5 2 2" xfId="8429" xr:uid="{00000000-0005-0000-0000-000083140000}"/>
    <cellStyle name="Comma 4 6 5 2 2 2" xfId="16865" xr:uid="{00000000-0005-0000-0000-000084140000}"/>
    <cellStyle name="Comma 4 6 5 2 3" xfId="12647" xr:uid="{00000000-0005-0000-0000-000085140000}"/>
    <cellStyle name="Comma 4 6 5 3" xfId="6284" xr:uid="{00000000-0005-0000-0000-000086140000}"/>
    <cellStyle name="Comma 4 6 5 3 2" xfId="14720" xr:uid="{00000000-0005-0000-0000-000087140000}"/>
    <cellStyle name="Comma 4 6 5 4" xfId="10502" xr:uid="{00000000-0005-0000-0000-000088140000}"/>
    <cellStyle name="Comma 4 6 6" xfId="2412" xr:uid="{00000000-0005-0000-0000-000089140000}"/>
    <cellStyle name="Comma 4 6 6 2" xfId="6697" xr:uid="{00000000-0005-0000-0000-00008A140000}"/>
    <cellStyle name="Comma 4 6 6 2 2" xfId="15133" xr:uid="{00000000-0005-0000-0000-00008B140000}"/>
    <cellStyle name="Comma 4 6 6 3" xfId="10915" xr:uid="{00000000-0005-0000-0000-00008C140000}"/>
    <cellStyle name="Comma 4 6 7" xfId="2708" xr:uid="{00000000-0005-0000-0000-00008D140000}"/>
    <cellStyle name="Comma 4 6 8" xfId="2790" xr:uid="{00000000-0005-0000-0000-00008E140000}"/>
    <cellStyle name="Comma 4 6 8 2" xfId="7014" xr:uid="{00000000-0005-0000-0000-00008F140000}"/>
    <cellStyle name="Comma 4 6 8 2 2" xfId="15450" xr:uid="{00000000-0005-0000-0000-000090140000}"/>
    <cellStyle name="Comma 4 6 8 3" xfId="11232" xr:uid="{00000000-0005-0000-0000-000091140000}"/>
    <cellStyle name="Comma 4 6 9" xfId="4631" xr:uid="{00000000-0005-0000-0000-000092140000}"/>
    <cellStyle name="Comma 4 6 9 2" xfId="13067" xr:uid="{00000000-0005-0000-0000-000093140000}"/>
    <cellStyle name="Comma 4 7" xfId="160" xr:uid="{00000000-0005-0000-0000-000094140000}"/>
    <cellStyle name="Comma 4 7 10" xfId="8850" xr:uid="{00000000-0005-0000-0000-000095140000}"/>
    <cellStyle name="Comma 4 7 2" xfId="697" xr:uid="{00000000-0005-0000-0000-000096140000}"/>
    <cellStyle name="Comma 4 7 2 2" xfId="2968" xr:uid="{00000000-0005-0000-0000-000097140000}"/>
    <cellStyle name="Comma 4 7 2 2 2" xfId="7191" xr:uid="{00000000-0005-0000-0000-000098140000}"/>
    <cellStyle name="Comma 4 7 2 2 2 2" xfId="15627" xr:uid="{00000000-0005-0000-0000-000099140000}"/>
    <cellStyle name="Comma 4 7 2 2 3" xfId="11409" xr:uid="{00000000-0005-0000-0000-00009A140000}"/>
    <cellStyle name="Comma 4 7 2 3" xfId="5046" xr:uid="{00000000-0005-0000-0000-00009B140000}"/>
    <cellStyle name="Comma 4 7 2 3 2" xfId="13482" xr:uid="{00000000-0005-0000-0000-00009C140000}"/>
    <cellStyle name="Comma 4 7 2 4" xfId="9264" xr:uid="{00000000-0005-0000-0000-00009D140000}"/>
    <cellStyle name="Comma 4 7 3" xfId="1150" xr:uid="{00000000-0005-0000-0000-00009E140000}"/>
    <cellStyle name="Comma 4 7 3 2" xfId="3381" xr:uid="{00000000-0005-0000-0000-00009F140000}"/>
    <cellStyle name="Comma 4 7 3 2 2" xfId="7604" xr:uid="{00000000-0005-0000-0000-0000A0140000}"/>
    <cellStyle name="Comma 4 7 3 2 2 2" xfId="16040" xr:uid="{00000000-0005-0000-0000-0000A1140000}"/>
    <cellStyle name="Comma 4 7 3 2 3" xfId="11822" xr:uid="{00000000-0005-0000-0000-0000A2140000}"/>
    <cellStyle name="Comma 4 7 3 3" xfId="5459" xr:uid="{00000000-0005-0000-0000-0000A3140000}"/>
    <cellStyle name="Comma 4 7 3 3 2" xfId="13895" xr:uid="{00000000-0005-0000-0000-0000A4140000}"/>
    <cellStyle name="Comma 4 7 3 4" xfId="9677" xr:uid="{00000000-0005-0000-0000-0000A5140000}"/>
    <cellStyle name="Comma 4 7 4" xfId="1564" xr:uid="{00000000-0005-0000-0000-0000A6140000}"/>
    <cellStyle name="Comma 4 7 4 2" xfId="3794" xr:uid="{00000000-0005-0000-0000-0000A7140000}"/>
    <cellStyle name="Comma 4 7 4 2 2" xfId="8017" xr:uid="{00000000-0005-0000-0000-0000A8140000}"/>
    <cellStyle name="Comma 4 7 4 2 2 2" xfId="16453" xr:uid="{00000000-0005-0000-0000-0000A9140000}"/>
    <cellStyle name="Comma 4 7 4 2 3" xfId="12235" xr:uid="{00000000-0005-0000-0000-0000AA140000}"/>
    <cellStyle name="Comma 4 7 4 3" xfId="5872" xr:uid="{00000000-0005-0000-0000-0000AB140000}"/>
    <cellStyle name="Comma 4 7 4 3 2" xfId="14308" xr:uid="{00000000-0005-0000-0000-0000AC140000}"/>
    <cellStyle name="Comma 4 7 4 4" xfId="10090" xr:uid="{00000000-0005-0000-0000-0000AD140000}"/>
    <cellStyle name="Comma 4 7 5" xfId="1978" xr:uid="{00000000-0005-0000-0000-0000AE140000}"/>
    <cellStyle name="Comma 4 7 5 2" xfId="4207" xr:uid="{00000000-0005-0000-0000-0000AF140000}"/>
    <cellStyle name="Comma 4 7 5 2 2" xfId="8430" xr:uid="{00000000-0005-0000-0000-0000B0140000}"/>
    <cellStyle name="Comma 4 7 5 2 2 2" xfId="16866" xr:uid="{00000000-0005-0000-0000-0000B1140000}"/>
    <cellStyle name="Comma 4 7 5 2 3" xfId="12648" xr:uid="{00000000-0005-0000-0000-0000B2140000}"/>
    <cellStyle name="Comma 4 7 5 3" xfId="6285" xr:uid="{00000000-0005-0000-0000-0000B3140000}"/>
    <cellStyle name="Comma 4 7 5 3 2" xfId="14721" xr:uid="{00000000-0005-0000-0000-0000B4140000}"/>
    <cellStyle name="Comma 4 7 5 4" xfId="10503" xr:uid="{00000000-0005-0000-0000-0000B5140000}"/>
    <cellStyle name="Comma 4 7 6" xfId="2413" xr:uid="{00000000-0005-0000-0000-0000B6140000}"/>
    <cellStyle name="Comma 4 7 6 2" xfId="6698" xr:uid="{00000000-0005-0000-0000-0000B7140000}"/>
    <cellStyle name="Comma 4 7 6 2 2" xfId="15134" xr:uid="{00000000-0005-0000-0000-0000B8140000}"/>
    <cellStyle name="Comma 4 7 6 3" xfId="10916" xr:uid="{00000000-0005-0000-0000-0000B9140000}"/>
    <cellStyle name="Comma 4 7 7" xfId="2709" xr:uid="{00000000-0005-0000-0000-0000BA140000}"/>
    <cellStyle name="Comma 4 7 8" xfId="2791" xr:uid="{00000000-0005-0000-0000-0000BB140000}"/>
    <cellStyle name="Comma 4 7 8 2" xfId="7015" xr:uid="{00000000-0005-0000-0000-0000BC140000}"/>
    <cellStyle name="Comma 4 7 8 2 2" xfId="15451" xr:uid="{00000000-0005-0000-0000-0000BD140000}"/>
    <cellStyle name="Comma 4 7 8 3" xfId="11233" xr:uid="{00000000-0005-0000-0000-0000BE140000}"/>
    <cellStyle name="Comma 4 7 9" xfId="4632" xr:uid="{00000000-0005-0000-0000-0000BF140000}"/>
    <cellStyle name="Comma 4 7 9 2" xfId="13068" xr:uid="{00000000-0005-0000-0000-0000C0140000}"/>
    <cellStyle name="Comma 5" xfId="161" xr:uid="{00000000-0005-0000-0000-0000C1140000}"/>
    <cellStyle name="Comma 5 2" xfId="162" xr:uid="{00000000-0005-0000-0000-0000C2140000}"/>
    <cellStyle name="Comma 5 2 2" xfId="698" xr:uid="{00000000-0005-0000-0000-0000C3140000}"/>
    <cellStyle name="Comma 6" xfId="163" xr:uid="{00000000-0005-0000-0000-0000C4140000}"/>
    <cellStyle name="Comma 7" xfId="4498" xr:uid="{00000000-0005-0000-0000-0000C5140000}"/>
    <cellStyle name="Comma 7 2" xfId="12936" xr:uid="{00000000-0005-0000-0000-0000C6140000}"/>
    <cellStyle name="Currency" xfId="8722" builtinId="4"/>
    <cellStyle name="Currency 10" xfId="164" xr:uid="{00000000-0005-0000-0000-0000C8140000}"/>
    <cellStyle name="Currency 10 2" xfId="165" xr:uid="{00000000-0005-0000-0000-0000C9140000}"/>
    <cellStyle name="Currency 10 2 2" xfId="700" xr:uid="{00000000-0005-0000-0000-0000CA140000}"/>
    <cellStyle name="Currency 10 3" xfId="166" xr:uid="{00000000-0005-0000-0000-0000CB140000}"/>
    <cellStyle name="Currency 10 3 2" xfId="701" xr:uid="{00000000-0005-0000-0000-0000CC140000}"/>
    <cellStyle name="Currency 10 4" xfId="167" xr:uid="{00000000-0005-0000-0000-0000CD140000}"/>
    <cellStyle name="Currency 10 5" xfId="699" xr:uid="{00000000-0005-0000-0000-0000CE140000}"/>
    <cellStyle name="Currency 11" xfId="168" xr:uid="{00000000-0005-0000-0000-0000CF140000}"/>
    <cellStyle name="Currency 11 2" xfId="169" xr:uid="{00000000-0005-0000-0000-0000D0140000}"/>
    <cellStyle name="Currency 11 2 2" xfId="703" xr:uid="{00000000-0005-0000-0000-0000D1140000}"/>
    <cellStyle name="Currency 11 3" xfId="702" xr:uid="{00000000-0005-0000-0000-0000D2140000}"/>
    <cellStyle name="Currency 12" xfId="170" xr:uid="{00000000-0005-0000-0000-0000D3140000}"/>
    <cellStyle name="Currency 12 2" xfId="705" xr:uid="{00000000-0005-0000-0000-0000D4140000}"/>
    <cellStyle name="Currency 12 3" xfId="704" xr:uid="{00000000-0005-0000-0000-0000D5140000}"/>
    <cellStyle name="Currency 13" xfId="2710" xr:uid="{00000000-0005-0000-0000-0000D6140000}"/>
    <cellStyle name="Currency 13 2" xfId="4493" xr:uid="{00000000-0005-0000-0000-0000D7140000}"/>
    <cellStyle name="Currency 13 3" xfId="2446" xr:uid="{00000000-0005-0000-0000-0000D8140000}"/>
    <cellStyle name="Currency 14" xfId="4501" xr:uid="{00000000-0005-0000-0000-0000D9140000}"/>
    <cellStyle name="Currency 14 2" xfId="8717" xr:uid="{00000000-0005-0000-0000-0000DA140000}"/>
    <cellStyle name="Currency 14 2 2" xfId="17153" xr:uid="{00000000-0005-0000-0000-0000DB140000}"/>
    <cellStyle name="Currency 14 3" xfId="8720" xr:uid="{00000000-0005-0000-0000-0000DC140000}"/>
    <cellStyle name="Currency 14 3 2" xfId="17156" xr:uid="{00000000-0005-0000-0000-0000DD140000}"/>
    <cellStyle name="Currency 14 4" xfId="12939" xr:uid="{00000000-0005-0000-0000-0000DE140000}"/>
    <cellStyle name="Currency 2" xfId="171" xr:uid="{00000000-0005-0000-0000-0000DF140000}"/>
    <cellStyle name="Currency 2 2" xfId="172" xr:uid="{00000000-0005-0000-0000-0000E0140000}"/>
    <cellStyle name="Currency 2 3" xfId="173" xr:uid="{00000000-0005-0000-0000-0000E1140000}"/>
    <cellStyle name="Currency 2 3 2" xfId="174" xr:uid="{00000000-0005-0000-0000-0000E2140000}"/>
    <cellStyle name="Currency 2 3 2 2" xfId="707" xr:uid="{00000000-0005-0000-0000-0000E3140000}"/>
    <cellStyle name="Currency 2 3 3" xfId="175" xr:uid="{00000000-0005-0000-0000-0000E4140000}"/>
    <cellStyle name="Currency 2 4" xfId="706" xr:uid="{00000000-0005-0000-0000-0000E5140000}"/>
    <cellStyle name="Currency 3" xfId="176" xr:uid="{00000000-0005-0000-0000-0000E6140000}"/>
    <cellStyle name="Currency 3 2" xfId="177" xr:uid="{00000000-0005-0000-0000-0000E7140000}"/>
    <cellStyle name="Currency 3 2 2" xfId="178" xr:uid="{00000000-0005-0000-0000-0000E8140000}"/>
    <cellStyle name="Currency 3 2 2 10" xfId="2792" xr:uid="{00000000-0005-0000-0000-0000E9140000}"/>
    <cellStyle name="Currency 3 2 2 10 2" xfId="7016" xr:uid="{00000000-0005-0000-0000-0000EA140000}"/>
    <cellStyle name="Currency 3 2 2 10 2 2" xfId="15452" xr:uid="{00000000-0005-0000-0000-0000EB140000}"/>
    <cellStyle name="Currency 3 2 2 10 3" xfId="11234" xr:uid="{00000000-0005-0000-0000-0000EC140000}"/>
    <cellStyle name="Currency 3 2 2 11" xfId="4633" xr:uid="{00000000-0005-0000-0000-0000ED140000}"/>
    <cellStyle name="Currency 3 2 2 11 2" xfId="13069" xr:uid="{00000000-0005-0000-0000-0000EE140000}"/>
    <cellStyle name="Currency 3 2 2 12" xfId="8851" xr:uid="{00000000-0005-0000-0000-0000EF140000}"/>
    <cellStyle name="Currency 3 2 2 2" xfId="179" xr:uid="{00000000-0005-0000-0000-0000F0140000}"/>
    <cellStyle name="Currency 3 2 2 2 10" xfId="4634" xr:uid="{00000000-0005-0000-0000-0000F1140000}"/>
    <cellStyle name="Currency 3 2 2 2 10 2" xfId="13070" xr:uid="{00000000-0005-0000-0000-0000F2140000}"/>
    <cellStyle name="Currency 3 2 2 2 11" xfId="8852" xr:uid="{00000000-0005-0000-0000-0000F3140000}"/>
    <cellStyle name="Currency 3 2 2 2 2" xfId="180" xr:uid="{00000000-0005-0000-0000-0000F4140000}"/>
    <cellStyle name="Currency 3 2 2 2 2 10" xfId="8853" xr:uid="{00000000-0005-0000-0000-0000F5140000}"/>
    <cellStyle name="Currency 3 2 2 2 2 2" xfId="710" xr:uid="{00000000-0005-0000-0000-0000F6140000}"/>
    <cellStyle name="Currency 3 2 2 2 2 2 2" xfId="2971" xr:uid="{00000000-0005-0000-0000-0000F7140000}"/>
    <cellStyle name="Currency 3 2 2 2 2 2 2 2" xfId="7194" xr:uid="{00000000-0005-0000-0000-0000F8140000}"/>
    <cellStyle name="Currency 3 2 2 2 2 2 2 2 2" xfId="15630" xr:uid="{00000000-0005-0000-0000-0000F9140000}"/>
    <cellStyle name="Currency 3 2 2 2 2 2 2 3" xfId="11412" xr:uid="{00000000-0005-0000-0000-0000FA140000}"/>
    <cellStyle name="Currency 3 2 2 2 2 2 3" xfId="5049" xr:uid="{00000000-0005-0000-0000-0000FB140000}"/>
    <cellStyle name="Currency 3 2 2 2 2 2 3 2" xfId="13485" xr:uid="{00000000-0005-0000-0000-0000FC140000}"/>
    <cellStyle name="Currency 3 2 2 2 2 2 4" xfId="9267" xr:uid="{00000000-0005-0000-0000-0000FD140000}"/>
    <cellStyle name="Currency 3 2 2 2 2 3" xfId="1153" xr:uid="{00000000-0005-0000-0000-0000FE140000}"/>
    <cellStyle name="Currency 3 2 2 2 2 3 2" xfId="3384" xr:uid="{00000000-0005-0000-0000-0000FF140000}"/>
    <cellStyle name="Currency 3 2 2 2 2 3 2 2" xfId="7607" xr:uid="{00000000-0005-0000-0000-000000150000}"/>
    <cellStyle name="Currency 3 2 2 2 2 3 2 2 2" xfId="16043" xr:uid="{00000000-0005-0000-0000-000001150000}"/>
    <cellStyle name="Currency 3 2 2 2 2 3 2 3" xfId="11825" xr:uid="{00000000-0005-0000-0000-000002150000}"/>
    <cellStyle name="Currency 3 2 2 2 2 3 3" xfId="5462" xr:uid="{00000000-0005-0000-0000-000003150000}"/>
    <cellStyle name="Currency 3 2 2 2 2 3 3 2" xfId="13898" xr:uid="{00000000-0005-0000-0000-000004150000}"/>
    <cellStyle name="Currency 3 2 2 2 2 3 4" xfId="9680" xr:uid="{00000000-0005-0000-0000-000005150000}"/>
    <cellStyle name="Currency 3 2 2 2 2 4" xfId="1567" xr:uid="{00000000-0005-0000-0000-000006150000}"/>
    <cellStyle name="Currency 3 2 2 2 2 4 2" xfId="3797" xr:uid="{00000000-0005-0000-0000-000007150000}"/>
    <cellStyle name="Currency 3 2 2 2 2 4 2 2" xfId="8020" xr:uid="{00000000-0005-0000-0000-000008150000}"/>
    <cellStyle name="Currency 3 2 2 2 2 4 2 2 2" xfId="16456" xr:uid="{00000000-0005-0000-0000-000009150000}"/>
    <cellStyle name="Currency 3 2 2 2 2 4 2 3" xfId="12238" xr:uid="{00000000-0005-0000-0000-00000A150000}"/>
    <cellStyle name="Currency 3 2 2 2 2 4 3" xfId="5875" xr:uid="{00000000-0005-0000-0000-00000B150000}"/>
    <cellStyle name="Currency 3 2 2 2 2 4 3 2" xfId="14311" xr:uid="{00000000-0005-0000-0000-00000C150000}"/>
    <cellStyle name="Currency 3 2 2 2 2 4 4" xfId="10093" xr:uid="{00000000-0005-0000-0000-00000D150000}"/>
    <cellStyle name="Currency 3 2 2 2 2 5" xfId="1981" xr:uid="{00000000-0005-0000-0000-00000E150000}"/>
    <cellStyle name="Currency 3 2 2 2 2 5 2" xfId="4210" xr:uid="{00000000-0005-0000-0000-00000F150000}"/>
    <cellStyle name="Currency 3 2 2 2 2 5 2 2" xfId="8433" xr:uid="{00000000-0005-0000-0000-000010150000}"/>
    <cellStyle name="Currency 3 2 2 2 2 5 2 2 2" xfId="16869" xr:uid="{00000000-0005-0000-0000-000011150000}"/>
    <cellStyle name="Currency 3 2 2 2 2 5 2 3" xfId="12651" xr:uid="{00000000-0005-0000-0000-000012150000}"/>
    <cellStyle name="Currency 3 2 2 2 2 5 3" xfId="6288" xr:uid="{00000000-0005-0000-0000-000013150000}"/>
    <cellStyle name="Currency 3 2 2 2 2 5 3 2" xfId="14724" xr:uid="{00000000-0005-0000-0000-000014150000}"/>
    <cellStyle name="Currency 3 2 2 2 2 5 4" xfId="10506" xr:uid="{00000000-0005-0000-0000-000015150000}"/>
    <cellStyle name="Currency 3 2 2 2 2 6" xfId="2416" xr:uid="{00000000-0005-0000-0000-000016150000}"/>
    <cellStyle name="Currency 3 2 2 2 2 6 2" xfId="6701" xr:uid="{00000000-0005-0000-0000-000017150000}"/>
    <cellStyle name="Currency 3 2 2 2 2 6 2 2" xfId="15137" xr:uid="{00000000-0005-0000-0000-000018150000}"/>
    <cellStyle name="Currency 3 2 2 2 2 6 3" xfId="10919" xr:uid="{00000000-0005-0000-0000-000019150000}"/>
    <cellStyle name="Currency 3 2 2 2 2 7" xfId="2713" xr:uid="{00000000-0005-0000-0000-00001A150000}"/>
    <cellStyle name="Currency 3 2 2 2 2 8" xfId="2794" xr:uid="{00000000-0005-0000-0000-00001B150000}"/>
    <cellStyle name="Currency 3 2 2 2 2 8 2" xfId="7018" xr:uid="{00000000-0005-0000-0000-00001C150000}"/>
    <cellStyle name="Currency 3 2 2 2 2 8 2 2" xfId="15454" xr:uid="{00000000-0005-0000-0000-00001D150000}"/>
    <cellStyle name="Currency 3 2 2 2 2 8 3" xfId="11236" xr:uid="{00000000-0005-0000-0000-00001E150000}"/>
    <cellStyle name="Currency 3 2 2 2 2 9" xfId="4635" xr:uid="{00000000-0005-0000-0000-00001F150000}"/>
    <cellStyle name="Currency 3 2 2 2 2 9 2" xfId="13071" xr:uid="{00000000-0005-0000-0000-000020150000}"/>
    <cellStyle name="Currency 3 2 2 2 3" xfId="709" xr:uid="{00000000-0005-0000-0000-000021150000}"/>
    <cellStyle name="Currency 3 2 2 2 3 2" xfId="2970" xr:uid="{00000000-0005-0000-0000-000022150000}"/>
    <cellStyle name="Currency 3 2 2 2 3 2 2" xfId="7193" xr:uid="{00000000-0005-0000-0000-000023150000}"/>
    <cellStyle name="Currency 3 2 2 2 3 2 2 2" xfId="15629" xr:uid="{00000000-0005-0000-0000-000024150000}"/>
    <cellStyle name="Currency 3 2 2 2 3 2 3" xfId="11411" xr:uid="{00000000-0005-0000-0000-000025150000}"/>
    <cellStyle name="Currency 3 2 2 2 3 3" xfId="5048" xr:uid="{00000000-0005-0000-0000-000026150000}"/>
    <cellStyle name="Currency 3 2 2 2 3 3 2" xfId="13484" xr:uid="{00000000-0005-0000-0000-000027150000}"/>
    <cellStyle name="Currency 3 2 2 2 3 4" xfId="9266" xr:uid="{00000000-0005-0000-0000-000028150000}"/>
    <cellStyle name="Currency 3 2 2 2 4" xfId="1152" xr:uid="{00000000-0005-0000-0000-000029150000}"/>
    <cellStyle name="Currency 3 2 2 2 4 2" xfId="3383" xr:uid="{00000000-0005-0000-0000-00002A150000}"/>
    <cellStyle name="Currency 3 2 2 2 4 2 2" xfId="7606" xr:uid="{00000000-0005-0000-0000-00002B150000}"/>
    <cellStyle name="Currency 3 2 2 2 4 2 2 2" xfId="16042" xr:uid="{00000000-0005-0000-0000-00002C150000}"/>
    <cellStyle name="Currency 3 2 2 2 4 2 3" xfId="11824" xr:uid="{00000000-0005-0000-0000-00002D150000}"/>
    <cellStyle name="Currency 3 2 2 2 4 3" xfId="5461" xr:uid="{00000000-0005-0000-0000-00002E150000}"/>
    <cellStyle name="Currency 3 2 2 2 4 3 2" xfId="13897" xr:uid="{00000000-0005-0000-0000-00002F150000}"/>
    <cellStyle name="Currency 3 2 2 2 4 4" xfId="9679" xr:uid="{00000000-0005-0000-0000-000030150000}"/>
    <cellStyle name="Currency 3 2 2 2 5" xfId="1566" xr:uid="{00000000-0005-0000-0000-000031150000}"/>
    <cellStyle name="Currency 3 2 2 2 5 2" xfId="3796" xr:uid="{00000000-0005-0000-0000-000032150000}"/>
    <cellStyle name="Currency 3 2 2 2 5 2 2" xfId="8019" xr:uid="{00000000-0005-0000-0000-000033150000}"/>
    <cellStyle name="Currency 3 2 2 2 5 2 2 2" xfId="16455" xr:uid="{00000000-0005-0000-0000-000034150000}"/>
    <cellStyle name="Currency 3 2 2 2 5 2 3" xfId="12237" xr:uid="{00000000-0005-0000-0000-000035150000}"/>
    <cellStyle name="Currency 3 2 2 2 5 3" xfId="5874" xr:uid="{00000000-0005-0000-0000-000036150000}"/>
    <cellStyle name="Currency 3 2 2 2 5 3 2" xfId="14310" xr:uid="{00000000-0005-0000-0000-000037150000}"/>
    <cellStyle name="Currency 3 2 2 2 5 4" xfId="10092" xr:uid="{00000000-0005-0000-0000-000038150000}"/>
    <cellStyle name="Currency 3 2 2 2 6" xfId="1980" xr:uid="{00000000-0005-0000-0000-000039150000}"/>
    <cellStyle name="Currency 3 2 2 2 6 2" xfId="4209" xr:uid="{00000000-0005-0000-0000-00003A150000}"/>
    <cellStyle name="Currency 3 2 2 2 6 2 2" xfId="8432" xr:uid="{00000000-0005-0000-0000-00003B150000}"/>
    <cellStyle name="Currency 3 2 2 2 6 2 2 2" xfId="16868" xr:uid="{00000000-0005-0000-0000-00003C150000}"/>
    <cellStyle name="Currency 3 2 2 2 6 2 3" xfId="12650" xr:uid="{00000000-0005-0000-0000-00003D150000}"/>
    <cellStyle name="Currency 3 2 2 2 6 3" xfId="6287" xr:uid="{00000000-0005-0000-0000-00003E150000}"/>
    <cellStyle name="Currency 3 2 2 2 6 3 2" xfId="14723" xr:uid="{00000000-0005-0000-0000-00003F150000}"/>
    <cellStyle name="Currency 3 2 2 2 6 4" xfId="10505" xr:uid="{00000000-0005-0000-0000-000040150000}"/>
    <cellStyle name="Currency 3 2 2 2 7" xfId="2415" xr:uid="{00000000-0005-0000-0000-000041150000}"/>
    <cellStyle name="Currency 3 2 2 2 7 2" xfId="6700" xr:uid="{00000000-0005-0000-0000-000042150000}"/>
    <cellStyle name="Currency 3 2 2 2 7 2 2" xfId="15136" xr:uid="{00000000-0005-0000-0000-000043150000}"/>
    <cellStyle name="Currency 3 2 2 2 7 3" xfId="10918" xr:uid="{00000000-0005-0000-0000-000044150000}"/>
    <cellStyle name="Currency 3 2 2 2 8" xfId="2712" xr:uid="{00000000-0005-0000-0000-000045150000}"/>
    <cellStyle name="Currency 3 2 2 2 9" xfId="2793" xr:uid="{00000000-0005-0000-0000-000046150000}"/>
    <cellStyle name="Currency 3 2 2 2 9 2" xfId="7017" xr:uid="{00000000-0005-0000-0000-000047150000}"/>
    <cellStyle name="Currency 3 2 2 2 9 2 2" xfId="15453" xr:uid="{00000000-0005-0000-0000-000048150000}"/>
    <cellStyle name="Currency 3 2 2 2 9 3" xfId="11235" xr:uid="{00000000-0005-0000-0000-000049150000}"/>
    <cellStyle name="Currency 3 2 2 3" xfId="181" xr:uid="{00000000-0005-0000-0000-00004A150000}"/>
    <cellStyle name="Currency 3 2 2 3 10" xfId="8854" xr:uid="{00000000-0005-0000-0000-00004B150000}"/>
    <cellStyle name="Currency 3 2 2 3 2" xfId="711" xr:uid="{00000000-0005-0000-0000-00004C150000}"/>
    <cellStyle name="Currency 3 2 2 3 2 2" xfId="2972" xr:uid="{00000000-0005-0000-0000-00004D150000}"/>
    <cellStyle name="Currency 3 2 2 3 2 2 2" xfId="7195" xr:uid="{00000000-0005-0000-0000-00004E150000}"/>
    <cellStyle name="Currency 3 2 2 3 2 2 2 2" xfId="15631" xr:uid="{00000000-0005-0000-0000-00004F150000}"/>
    <cellStyle name="Currency 3 2 2 3 2 2 3" xfId="11413" xr:uid="{00000000-0005-0000-0000-000050150000}"/>
    <cellStyle name="Currency 3 2 2 3 2 3" xfId="5050" xr:uid="{00000000-0005-0000-0000-000051150000}"/>
    <cellStyle name="Currency 3 2 2 3 2 3 2" xfId="13486" xr:uid="{00000000-0005-0000-0000-000052150000}"/>
    <cellStyle name="Currency 3 2 2 3 2 4" xfId="9268" xr:uid="{00000000-0005-0000-0000-000053150000}"/>
    <cellStyle name="Currency 3 2 2 3 3" xfId="1154" xr:uid="{00000000-0005-0000-0000-000054150000}"/>
    <cellStyle name="Currency 3 2 2 3 3 2" xfId="3385" xr:uid="{00000000-0005-0000-0000-000055150000}"/>
    <cellStyle name="Currency 3 2 2 3 3 2 2" xfId="7608" xr:uid="{00000000-0005-0000-0000-000056150000}"/>
    <cellStyle name="Currency 3 2 2 3 3 2 2 2" xfId="16044" xr:uid="{00000000-0005-0000-0000-000057150000}"/>
    <cellStyle name="Currency 3 2 2 3 3 2 3" xfId="11826" xr:uid="{00000000-0005-0000-0000-000058150000}"/>
    <cellStyle name="Currency 3 2 2 3 3 3" xfId="5463" xr:uid="{00000000-0005-0000-0000-000059150000}"/>
    <cellStyle name="Currency 3 2 2 3 3 3 2" xfId="13899" xr:uid="{00000000-0005-0000-0000-00005A150000}"/>
    <cellStyle name="Currency 3 2 2 3 3 4" xfId="9681" xr:uid="{00000000-0005-0000-0000-00005B150000}"/>
    <cellStyle name="Currency 3 2 2 3 4" xfId="1568" xr:uid="{00000000-0005-0000-0000-00005C150000}"/>
    <cellStyle name="Currency 3 2 2 3 4 2" xfId="3798" xr:uid="{00000000-0005-0000-0000-00005D150000}"/>
    <cellStyle name="Currency 3 2 2 3 4 2 2" xfId="8021" xr:uid="{00000000-0005-0000-0000-00005E150000}"/>
    <cellStyle name="Currency 3 2 2 3 4 2 2 2" xfId="16457" xr:uid="{00000000-0005-0000-0000-00005F150000}"/>
    <cellStyle name="Currency 3 2 2 3 4 2 3" xfId="12239" xr:uid="{00000000-0005-0000-0000-000060150000}"/>
    <cellStyle name="Currency 3 2 2 3 4 3" xfId="5876" xr:uid="{00000000-0005-0000-0000-000061150000}"/>
    <cellStyle name="Currency 3 2 2 3 4 3 2" xfId="14312" xr:uid="{00000000-0005-0000-0000-000062150000}"/>
    <cellStyle name="Currency 3 2 2 3 4 4" xfId="10094" xr:uid="{00000000-0005-0000-0000-000063150000}"/>
    <cellStyle name="Currency 3 2 2 3 5" xfId="1982" xr:uid="{00000000-0005-0000-0000-000064150000}"/>
    <cellStyle name="Currency 3 2 2 3 5 2" xfId="4211" xr:uid="{00000000-0005-0000-0000-000065150000}"/>
    <cellStyle name="Currency 3 2 2 3 5 2 2" xfId="8434" xr:uid="{00000000-0005-0000-0000-000066150000}"/>
    <cellStyle name="Currency 3 2 2 3 5 2 2 2" xfId="16870" xr:uid="{00000000-0005-0000-0000-000067150000}"/>
    <cellStyle name="Currency 3 2 2 3 5 2 3" xfId="12652" xr:uid="{00000000-0005-0000-0000-000068150000}"/>
    <cellStyle name="Currency 3 2 2 3 5 3" xfId="6289" xr:uid="{00000000-0005-0000-0000-000069150000}"/>
    <cellStyle name="Currency 3 2 2 3 5 3 2" xfId="14725" xr:uid="{00000000-0005-0000-0000-00006A150000}"/>
    <cellStyle name="Currency 3 2 2 3 5 4" xfId="10507" xr:uid="{00000000-0005-0000-0000-00006B150000}"/>
    <cellStyle name="Currency 3 2 2 3 6" xfId="2417" xr:uid="{00000000-0005-0000-0000-00006C150000}"/>
    <cellStyle name="Currency 3 2 2 3 6 2" xfId="6702" xr:uid="{00000000-0005-0000-0000-00006D150000}"/>
    <cellStyle name="Currency 3 2 2 3 6 2 2" xfId="15138" xr:uid="{00000000-0005-0000-0000-00006E150000}"/>
    <cellStyle name="Currency 3 2 2 3 6 3" xfId="10920" xr:uid="{00000000-0005-0000-0000-00006F150000}"/>
    <cellStyle name="Currency 3 2 2 3 7" xfId="2714" xr:uid="{00000000-0005-0000-0000-000070150000}"/>
    <cellStyle name="Currency 3 2 2 3 8" xfId="2795" xr:uid="{00000000-0005-0000-0000-000071150000}"/>
    <cellStyle name="Currency 3 2 2 3 8 2" xfId="7019" xr:uid="{00000000-0005-0000-0000-000072150000}"/>
    <cellStyle name="Currency 3 2 2 3 8 2 2" xfId="15455" xr:uid="{00000000-0005-0000-0000-000073150000}"/>
    <cellStyle name="Currency 3 2 2 3 8 3" xfId="11237" xr:uid="{00000000-0005-0000-0000-000074150000}"/>
    <cellStyle name="Currency 3 2 2 3 9" xfId="4636" xr:uid="{00000000-0005-0000-0000-000075150000}"/>
    <cellStyle name="Currency 3 2 2 3 9 2" xfId="13072" xr:uid="{00000000-0005-0000-0000-000076150000}"/>
    <cellStyle name="Currency 3 2 2 4" xfId="708" xr:uid="{00000000-0005-0000-0000-000077150000}"/>
    <cellStyle name="Currency 3 2 2 4 2" xfId="2969" xr:uid="{00000000-0005-0000-0000-000078150000}"/>
    <cellStyle name="Currency 3 2 2 4 2 2" xfId="7192" xr:uid="{00000000-0005-0000-0000-000079150000}"/>
    <cellStyle name="Currency 3 2 2 4 2 2 2" xfId="15628" xr:uid="{00000000-0005-0000-0000-00007A150000}"/>
    <cellStyle name="Currency 3 2 2 4 2 3" xfId="11410" xr:uid="{00000000-0005-0000-0000-00007B150000}"/>
    <cellStyle name="Currency 3 2 2 4 3" xfId="5047" xr:uid="{00000000-0005-0000-0000-00007C150000}"/>
    <cellStyle name="Currency 3 2 2 4 3 2" xfId="13483" xr:uid="{00000000-0005-0000-0000-00007D150000}"/>
    <cellStyle name="Currency 3 2 2 4 4" xfId="9265" xr:uid="{00000000-0005-0000-0000-00007E150000}"/>
    <cellStyle name="Currency 3 2 2 5" xfId="1151" xr:uid="{00000000-0005-0000-0000-00007F150000}"/>
    <cellStyle name="Currency 3 2 2 5 2" xfId="3382" xr:uid="{00000000-0005-0000-0000-000080150000}"/>
    <cellStyle name="Currency 3 2 2 5 2 2" xfId="7605" xr:uid="{00000000-0005-0000-0000-000081150000}"/>
    <cellStyle name="Currency 3 2 2 5 2 2 2" xfId="16041" xr:uid="{00000000-0005-0000-0000-000082150000}"/>
    <cellStyle name="Currency 3 2 2 5 2 3" xfId="11823" xr:uid="{00000000-0005-0000-0000-000083150000}"/>
    <cellStyle name="Currency 3 2 2 5 3" xfId="5460" xr:uid="{00000000-0005-0000-0000-000084150000}"/>
    <cellStyle name="Currency 3 2 2 5 3 2" xfId="13896" xr:uid="{00000000-0005-0000-0000-000085150000}"/>
    <cellStyle name="Currency 3 2 2 5 4" xfId="9678" xr:uid="{00000000-0005-0000-0000-000086150000}"/>
    <cellStyle name="Currency 3 2 2 6" xfId="1565" xr:uid="{00000000-0005-0000-0000-000087150000}"/>
    <cellStyle name="Currency 3 2 2 6 2" xfId="3795" xr:uid="{00000000-0005-0000-0000-000088150000}"/>
    <cellStyle name="Currency 3 2 2 6 2 2" xfId="8018" xr:uid="{00000000-0005-0000-0000-000089150000}"/>
    <cellStyle name="Currency 3 2 2 6 2 2 2" xfId="16454" xr:uid="{00000000-0005-0000-0000-00008A150000}"/>
    <cellStyle name="Currency 3 2 2 6 2 3" xfId="12236" xr:uid="{00000000-0005-0000-0000-00008B150000}"/>
    <cellStyle name="Currency 3 2 2 6 3" xfId="5873" xr:uid="{00000000-0005-0000-0000-00008C150000}"/>
    <cellStyle name="Currency 3 2 2 6 3 2" xfId="14309" xr:uid="{00000000-0005-0000-0000-00008D150000}"/>
    <cellStyle name="Currency 3 2 2 6 4" xfId="10091" xr:uid="{00000000-0005-0000-0000-00008E150000}"/>
    <cellStyle name="Currency 3 2 2 7" xfId="1979" xr:uid="{00000000-0005-0000-0000-00008F150000}"/>
    <cellStyle name="Currency 3 2 2 7 2" xfId="4208" xr:uid="{00000000-0005-0000-0000-000090150000}"/>
    <cellStyle name="Currency 3 2 2 7 2 2" xfId="8431" xr:uid="{00000000-0005-0000-0000-000091150000}"/>
    <cellStyle name="Currency 3 2 2 7 2 2 2" xfId="16867" xr:uid="{00000000-0005-0000-0000-000092150000}"/>
    <cellStyle name="Currency 3 2 2 7 2 3" xfId="12649" xr:uid="{00000000-0005-0000-0000-000093150000}"/>
    <cellStyle name="Currency 3 2 2 7 3" xfId="6286" xr:uid="{00000000-0005-0000-0000-000094150000}"/>
    <cellStyle name="Currency 3 2 2 7 3 2" xfId="14722" xr:uid="{00000000-0005-0000-0000-000095150000}"/>
    <cellStyle name="Currency 3 2 2 7 4" xfId="10504" xr:uid="{00000000-0005-0000-0000-000096150000}"/>
    <cellStyle name="Currency 3 2 2 8" xfId="2414" xr:uid="{00000000-0005-0000-0000-000097150000}"/>
    <cellStyle name="Currency 3 2 2 8 2" xfId="6699" xr:uid="{00000000-0005-0000-0000-000098150000}"/>
    <cellStyle name="Currency 3 2 2 8 2 2" xfId="15135" xr:uid="{00000000-0005-0000-0000-000099150000}"/>
    <cellStyle name="Currency 3 2 2 8 3" xfId="10917" xr:uid="{00000000-0005-0000-0000-00009A150000}"/>
    <cellStyle name="Currency 3 2 2 9" xfId="2711" xr:uid="{00000000-0005-0000-0000-00009B150000}"/>
    <cellStyle name="Currency 3 2 3" xfId="182" xr:uid="{00000000-0005-0000-0000-00009C150000}"/>
    <cellStyle name="Currency 3 2 3 10" xfId="4637" xr:uid="{00000000-0005-0000-0000-00009D150000}"/>
    <cellStyle name="Currency 3 2 3 10 2" xfId="13073" xr:uid="{00000000-0005-0000-0000-00009E150000}"/>
    <cellStyle name="Currency 3 2 3 11" xfId="8855" xr:uid="{00000000-0005-0000-0000-00009F150000}"/>
    <cellStyle name="Currency 3 2 3 2" xfId="183" xr:uid="{00000000-0005-0000-0000-0000A0150000}"/>
    <cellStyle name="Currency 3 2 3 2 10" xfId="8856" xr:uid="{00000000-0005-0000-0000-0000A1150000}"/>
    <cellStyle name="Currency 3 2 3 2 2" xfId="713" xr:uid="{00000000-0005-0000-0000-0000A2150000}"/>
    <cellStyle name="Currency 3 2 3 2 2 2" xfId="2974" xr:uid="{00000000-0005-0000-0000-0000A3150000}"/>
    <cellStyle name="Currency 3 2 3 2 2 2 2" xfId="7197" xr:uid="{00000000-0005-0000-0000-0000A4150000}"/>
    <cellStyle name="Currency 3 2 3 2 2 2 2 2" xfId="15633" xr:uid="{00000000-0005-0000-0000-0000A5150000}"/>
    <cellStyle name="Currency 3 2 3 2 2 2 3" xfId="11415" xr:uid="{00000000-0005-0000-0000-0000A6150000}"/>
    <cellStyle name="Currency 3 2 3 2 2 3" xfId="5052" xr:uid="{00000000-0005-0000-0000-0000A7150000}"/>
    <cellStyle name="Currency 3 2 3 2 2 3 2" xfId="13488" xr:uid="{00000000-0005-0000-0000-0000A8150000}"/>
    <cellStyle name="Currency 3 2 3 2 2 4" xfId="9270" xr:uid="{00000000-0005-0000-0000-0000A9150000}"/>
    <cellStyle name="Currency 3 2 3 2 3" xfId="1156" xr:uid="{00000000-0005-0000-0000-0000AA150000}"/>
    <cellStyle name="Currency 3 2 3 2 3 2" xfId="3387" xr:uid="{00000000-0005-0000-0000-0000AB150000}"/>
    <cellStyle name="Currency 3 2 3 2 3 2 2" xfId="7610" xr:uid="{00000000-0005-0000-0000-0000AC150000}"/>
    <cellStyle name="Currency 3 2 3 2 3 2 2 2" xfId="16046" xr:uid="{00000000-0005-0000-0000-0000AD150000}"/>
    <cellStyle name="Currency 3 2 3 2 3 2 3" xfId="11828" xr:uid="{00000000-0005-0000-0000-0000AE150000}"/>
    <cellStyle name="Currency 3 2 3 2 3 3" xfId="5465" xr:uid="{00000000-0005-0000-0000-0000AF150000}"/>
    <cellStyle name="Currency 3 2 3 2 3 3 2" xfId="13901" xr:uid="{00000000-0005-0000-0000-0000B0150000}"/>
    <cellStyle name="Currency 3 2 3 2 3 4" xfId="9683" xr:uid="{00000000-0005-0000-0000-0000B1150000}"/>
    <cellStyle name="Currency 3 2 3 2 4" xfId="1570" xr:uid="{00000000-0005-0000-0000-0000B2150000}"/>
    <cellStyle name="Currency 3 2 3 2 4 2" xfId="3800" xr:uid="{00000000-0005-0000-0000-0000B3150000}"/>
    <cellStyle name="Currency 3 2 3 2 4 2 2" xfId="8023" xr:uid="{00000000-0005-0000-0000-0000B4150000}"/>
    <cellStyle name="Currency 3 2 3 2 4 2 2 2" xfId="16459" xr:uid="{00000000-0005-0000-0000-0000B5150000}"/>
    <cellStyle name="Currency 3 2 3 2 4 2 3" xfId="12241" xr:uid="{00000000-0005-0000-0000-0000B6150000}"/>
    <cellStyle name="Currency 3 2 3 2 4 3" xfId="5878" xr:uid="{00000000-0005-0000-0000-0000B7150000}"/>
    <cellStyle name="Currency 3 2 3 2 4 3 2" xfId="14314" xr:uid="{00000000-0005-0000-0000-0000B8150000}"/>
    <cellStyle name="Currency 3 2 3 2 4 4" xfId="10096" xr:uid="{00000000-0005-0000-0000-0000B9150000}"/>
    <cellStyle name="Currency 3 2 3 2 5" xfId="1984" xr:uid="{00000000-0005-0000-0000-0000BA150000}"/>
    <cellStyle name="Currency 3 2 3 2 5 2" xfId="4213" xr:uid="{00000000-0005-0000-0000-0000BB150000}"/>
    <cellStyle name="Currency 3 2 3 2 5 2 2" xfId="8436" xr:uid="{00000000-0005-0000-0000-0000BC150000}"/>
    <cellStyle name="Currency 3 2 3 2 5 2 2 2" xfId="16872" xr:uid="{00000000-0005-0000-0000-0000BD150000}"/>
    <cellStyle name="Currency 3 2 3 2 5 2 3" xfId="12654" xr:uid="{00000000-0005-0000-0000-0000BE150000}"/>
    <cellStyle name="Currency 3 2 3 2 5 3" xfId="6291" xr:uid="{00000000-0005-0000-0000-0000BF150000}"/>
    <cellStyle name="Currency 3 2 3 2 5 3 2" xfId="14727" xr:uid="{00000000-0005-0000-0000-0000C0150000}"/>
    <cellStyle name="Currency 3 2 3 2 5 4" xfId="10509" xr:uid="{00000000-0005-0000-0000-0000C1150000}"/>
    <cellStyle name="Currency 3 2 3 2 6" xfId="2419" xr:uid="{00000000-0005-0000-0000-0000C2150000}"/>
    <cellStyle name="Currency 3 2 3 2 6 2" xfId="6704" xr:uid="{00000000-0005-0000-0000-0000C3150000}"/>
    <cellStyle name="Currency 3 2 3 2 6 2 2" xfId="15140" xr:uid="{00000000-0005-0000-0000-0000C4150000}"/>
    <cellStyle name="Currency 3 2 3 2 6 3" xfId="10922" xr:uid="{00000000-0005-0000-0000-0000C5150000}"/>
    <cellStyle name="Currency 3 2 3 2 7" xfId="2716" xr:uid="{00000000-0005-0000-0000-0000C6150000}"/>
    <cellStyle name="Currency 3 2 3 2 8" xfId="2797" xr:uid="{00000000-0005-0000-0000-0000C7150000}"/>
    <cellStyle name="Currency 3 2 3 2 8 2" xfId="7021" xr:uid="{00000000-0005-0000-0000-0000C8150000}"/>
    <cellStyle name="Currency 3 2 3 2 8 2 2" xfId="15457" xr:uid="{00000000-0005-0000-0000-0000C9150000}"/>
    <cellStyle name="Currency 3 2 3 2 8 3" xfId="11239" xr:uid="{00000000-0005-0000-0000-0000CA150000}"/>
    <cellStyle name="Currency 3 2 3 2 9" xfId="4638" xr:uid="{00000000-0005-0000-0000-0000CB150000}"/>
    <cellStyle name="Currency 3 2 3 2 9 2" xfId="13074" xr:uid="{00000000-0005-0000-0000-0000CC150000}"/>
    <cellStyle name="Currency 3 2 3 3" xfId="712" xr:uid="{00000000-0005-0000-0000-0000CD150000}"/>
    <cellStyle name="Currency 3 2 3 3 2" xfId="2973" xr:uid="{00000000-0005-0000-0000-0000CE150000}"/>
    <cellStyle name="Currency 3 2 3 3 2 2" xfId="7196" xr:uid="{00000000-0005-0000-0000-0000CF150000}"/>
    <cellStyle name="Currency 3 2 3 3 2 2 2" xfId="15632" xr:uid="{00000000-0005-0000-0000-0000D0150000}"/>
    <cellStyle name="Currency 3 2 3 3 2 3" xfId="11414" xr:uid="{00000000-0005-0000-0000-0000D1150000}"/>
    <cellStyle name="Currency 3 2 3 3 3" xfId="5051" xr:uid="{00000000-0005-0000-0000-0000D2150000}"/>
    <cellStyle name="Currency 3 2 3 3 3 2" xfId="13487" xr:uid="{00000000-0005-0000-0000-0000D3150000}"/>
    <cellStyle name="Currency 3 2 3 3 4" xfId="9269" xr:uid="{00000000-0005-0000-0000-0000D4150000}"/>
    <cellStyle name="Currency 3 2 3 4" xfId="1155" xr:uid="{00000000-0005-0000-0000-0000D5150000}"/>
    <cellStyle name="Currency 3 2 3 4 2" xfId="3386" xr:uid="{00000000-0005-0000-0000-0000D6150000}"/>
    <cellStyle name="Currency 3 2 3 4 2 2" xfId="7609" xr:uid="{00000000-0005-0000-0000-0000D7150000}"/>
    <cellStyle name="Currency 3 2 3 4 2 2 2" xfId="16045" xr:uid="{00000000-0005-0000-0000-0000D8150000}"/>
    <cellStyle name="Currency 3 2 3 4 2 3" xfId="11827" xr:uid="{00000000-0005-0000-0000-0000D9150000}"/>
    <cellStyle name="Currency 3 2 3 4 3" xfId="5464" xr:uid="{00000000-0005-0000-0000-0000DA150000}"/>
    <cellStyle name="Currency 3 2 3 4 3 2" xfId="13900" xr:uid="{00000000-0005-0000-0000-0000DB150000}"/>
    <cellStyle name="Currency 3 2 3 4 4" xfId="9682" xr:uid="{00000000-0005-0000-0000-0000DC150000}"/>
    <cellStyle name="Currency 3 2 3 5" xfId="1569" xr:uid="{00000000-0005-0000-0000-0000DD150000}"/>
    <cellStyle name="Currency 3 2 3 5 2" xfId="3799" xr:uid="{00000000-0005-0000-0000-0000DE150000}"/>
    <cellStyle name="Currency 3 2 3 5 2 2" xfId="8022" xr:uid="{00000000-0005-0000-0000-0000DF150000}"/>
    <cellStyle name="Currency 3 2 3 5 2 2 2" xfId="16458" xr:uid="{00000000-0005-0000-0000-0000E0150000}"/>
    <cellStyle name="Currency 3 2 3 5 2 3" xfId="12240" xr:uid="{00000000-0005-0000-0000-0000E1150000}"/>
    <cellStyle name="Currency 3 2 3 5 3" xfId="5877" xr:uid="{00000000-0005-0000-0000-0000E2150000}"/>
    <cellStyle name="Currency 3 2 3 5 3 2" xfId="14313" xr:uid="{00000000-0005-0000-0000-0000E3150000}"/>
    <cellStyle name="Currency 3 2 3 5 4" xfId="10095" xr:uid="{00000000-0005-0000-0000-0000E4150000}"/>
    <cellStyle name="Currency 3 2 3 6" xfId="1983" xr:uid="{00000000-0005-0000-0000-0000E5150000}"/>
    <cellStyle name="Currency 3 2 3 6 2" xfId="4212" xr:uid="{00000000-0005-0000-0000-0000E6150000}"/>
    <cellStyle name="Currency 3 2 3 6 2 2" xfId="8435" xr:uid="{00000000-0005-0000-0000-0000E7150000}"/>
    <cellStyle name="Currency 3 2 3 6 2 2 2" xfId="16871" xr:uid="{00000000-0005-0000-0000-0000E8150000}"/>
    <cellStyle name="Currency 3 2 3 6 2 3" xfId="12653" xr:uid="{00000000-0005-0000-0000-0000E9150000}"/>
    <cellStyle name="Currency 3 2 3 6 3" xfId="6290" xr:uid="{00000000-0005-0000-0000-0000EA150000}"/>
    <cellStyle name="Currency 3 2 3 6 3 2" xfId="14726" xr:uid="{00000000-0005-0000-0000-0000EB150000}"/>
    <cellStyle name="Currency 3 2 3 6 4" xfId="10508" xr:uid="{00000000-0005-0000-0000-0000EC150000}"/>
    <cellStyle name="Currency 3 2 3 7" xfId="2418" xr:uid="{00000000-0005-0000-0000-0000ED150000}"/>
    <cellStyle name="Currency 3 2 3 7 2" xfId="6703" xr:uid="{00000000-0005-0000-0000-0000EE150000}"/>
    <cellStyle name="Currency 3 2 3 7 2 2" xfId="15139" xr:uid="{00000000-0005-0000-0000-0000EF150000}"/>
    <cellStyle name="Currency 3 2 3 7 3" xfId="10921" xr:uid="{00000000-0005-0000-0000-0000F0150000}"/>
    <cellStyle name="Currency 3 2 3 8" xfId="2715" xr:uid="{00000000-0005-0000-0000-0000F1150000}"/>
    <cellStyle name="Currency 3 2 3 9" xfId="2796" xr:uid="{00000000-0005-0000-0000-0000F2150000}"/>
    <cellStyle name="Currency 3 2 3 9 2" xfId="7020" xr:uid="{00000000-0005-0000-0000-0000F3150000}"/>
    <cellStyle name="Currency 3 2 3 9 2 2" xfId="15456" xr:uid="{00000000-0005-0000-0000-0000F4150000}"/>
    <cellStyle name="Currency 3 2 3 9 3" xfId="11238" xr:uid="{00000000-0005-0000-0000-0000F5150000}"/>
    <cellStyle name="Currency 3 2 4" xfId="184" xr:uid="{00000000-0005-0000-0000-0000F6150000}"/>
    <cellStyle name="Currency 3 2 4 10" xfId="8857" xr:uid="{00000000-0005-0000-0000-0000F7150000}"/>
    <cellStyle name="Currency 3 2 4 2" xfId="714" xr:uid="{00000000-0005-0000-0000-0000F8150000}"/>
    <cellStyle name="Currency 3 2 4 2 2" xfId="2975" xr:uid="{00000000-0005-0000-0000-0000F9150000}"/>
    <cellStyle name="Currency 3 2 4 2 2 2" xfId="7198" xr:uid="{00000000-0005-0000-0000-0000FA150000}"/>
    <cellStyle name="Currency 3 2 4 2 2 2 2" xfId="15634" xr:uid="{00000000-0005-0000-0000-0000FB150000}"/>
    <cellStyle name="Currency 3 2 4 2 2 3" xfId="11416" xr:uid="{00000000-0005-0000-0000-0000FC150000}"/>
    <cellStyle name="Currency 3 2 4 2 3" xfId="5053" xr:uid="{00000000-0005-0000-0000-0000FD150000}"/>
    <cellStyle name="Currency 3 2 4 2 3 2" xfId="13489" xr:uid="{00000000-0005-0000-0000-0000FE150000}"/>
    <cellStyle name="Currency 3 2 4 2 4" xfId="9271" xr:uid="{00000000-0005-0000-0000-0000FF150000}"/>
    <cellStyle name="Currency 3 2 4 3" xfId="1157" xr:uid="{00000000-0005-0000-0000-000000160000}"/>
    <cellStyle name="Currency 3 2 4 3 2" xfId="3388" xr:uid="{00000000-0005-0000-0000-000001160000}"/>
    <cellStyle name="Currency 3 2 4 3 2 2" xfId="7611" xr:uid="{00000000-0005-0000-0000-000002160000}"/>
    <cellStyle name="Currency 3 2 4 3 2 2 2" xfId="16047" xr:uid="{00000000-0005-0000-0000-000003160000}"/>
    <cellStyle name="Currency 3 2 4 3 2 3" xfId="11829" xr:uid="{00000000-0005-0000-0000-000004160000}"/>
    <cellStyle name="Currency 3 2 4 3 3" xfId="5466" xr:uid="{00000000-0005-0000-0000-000005160000}"/>
    <cellStyle name="Currency 3 2 4 3 3 2" xfId="13902" xr:uid="{00000000-0005-0000-0000-000006160000}"/>
    <cellStyle name="Currency 3 2 4 3 4" xfId="9684" xr:uid="{00000000-0005-0000-0000-000007160000}"/>
    <cellStyle name="Currency 3 2 4 4" xfId="1571" xr:uid="{00000000-0005-0000-0000-000008160000}"/>
    <cellStyle name="Currency 3 2 4 4 2" xfId="3801" xr:uid="{00000000-0005-0000-0000-000009160000}"/>
    <cellStyle name="Currency 3 2 4 4 2 2" xfId="8024" xr:uid="{00000000-0005-0000-0000-00000A160000}"/>
    <cellStyle name="Currency 3 2 4 4 2 2 2" xfId="16460" xr:uid="{00000000-0005-0000-0000-00000B160000}"/>
    <cellStyle name="Currency 3 2 4 4 2 3" xfId="12242" xr:uid="{00000000-0005-0000-0000-00000C160000}"/>
    <cellStyle name="Currency 3 2 4 4 3" xfId="5879" xr:uid="{00000000-0005-0000-0000-00000D160000}"/>
    <cellStyle name="Currency 3 2 4 4 3 2" xfId="14315" xr:uid="{00000000-0005-0000-0000-00000E160000}"/>
    <cellStyle name="Currency 3 2 4 4 4" xfId="10097" xr:uid="{00000000-0005-0000-0000-00000F160000}"/>
    <cellStyle name="Currency 3 2 4 5" xfId="1985" xr:uid="{00000000-0005-0000-0000-000010160000}"/>
    <cellStyle name="Currency 3 2 4 5 2" xfId="4214" xr:uid="{00000000-0005-0000-0000-000011160000}"/>
    <cellStyle name="Currency 3 2 4 5 2 2" xfId="8437" xr:uid="{00000000-0005-0000-0000-000012160000}"/>
    <cellStyle name="Currency 3 2 4 5 2 2 2" xfId="16873" xr:uid="{00000000-0005-0000-0000-000013160000}"/>
    <cellStyle name="Currency 3 2 4 5 2 3" xfId="12655" xr:uid="{00000000-0005-0000-0000-000014160000}"/>
    <cellStyle name="Currency 3 2 4 5 3" xfId="6292" xr:uid="{00000000-0005-0000-0000-000015160000}"/>
    <cellStyle name="Currency 3 2 4 5 3 2" xfId="14728" xr:uid="{00000000-0005-0000-0000-000016160000}"/>
    <cellStyle name="Currency 3 2 4 5 4" xfId="10510" xr:uid="{00000000-0005-0000-0000-000017160000}"/>
    <cellStyle name="Currency 3 2 4 6" xfId="2420" xr:uid="{00000000-0005-0000-0000-000018160000}"/>
    <cellStyle name="Currency 3 2 4 6 2" xfId="6705" xr:uid="{00000000-0005-0000-0000-000019160000}"/>
    <cellStyle name="Currency 3 2 4 6 2 2" xfId="15141" xr:uid="{00000000-0005-0000-0000-00001A160000}"/>
    <cellStyle name="Currency 3 2 4 6 3" xfId="10923" xr:uid="{00000000-0005-0000-0000-00001B160000}"/>
    <cellStyle name="Currency 3 2 4 7" xfId="2717" xr:uid="{00000000-0005-0000-0000-00001C160000}"/>
    <cellStyle name="Currency 3 2 4 8" xfId="2798" xr:uid="{00000000-0005-0000-0000-00001D160000}"/>
    <cellStyle name="Currency 3 2 4 8 2" xfId="7022" xr:uid="{00000000-0005-0000-0000-00001E160000}"/>
    <cellStyle name="Currency 3 2 4 8 2 2" xfId="15458" xr:uid="{00000000-0005-0000-0000-00001F160000}"/>
    <cellStyle name="Currency 3 2 4 8 3" xfId="11240" xr:uid="{00000000-0005-0000-0000-000020160000}"/>
    <cellStyle name="Currency 3 2 4 9" xfId="4639" xr:uid="{00000000-0005-0000-0000-000021160000}"/>
    <cellStyle name="Currency 3 2 4 9 2" xfId="13075" xr:uid="{00000000-0005-0000-0000-000022160000}"/>
    <cellStyle name="Currency 3 2 5" xfId="185" xr:uid="{00000000-0005-0000-0000-000023160000}"/>
    <cellStyle name="Currency 3 2 5 10" xfId="8858" xr:uid="{00000000-0005-0000-0000-000024160000}"/>
    <cellStyle name="Currency 3 2 5 2" xfId="715" xr:uid="{00000000-0005-0000-0000-000025160000}"/>
    <cellStyle name="Currency 3 2 5 2 2" xfId="2976" xr:uid="{00000000-0005-0000-0000-000026160000}"/>
    <cellStyle name="Currency 3 2 5 2 2 2" xfId="7199" xr:uid="{00000000-0005-0000-0000-000027160000}"/>
    <cellStyle name="Currency 3 2 5 2 2 2 2" xfId="15635" xr:uid="{00000000-0005-0000-0000-000028160000}"/>
    <cellStyle name="Currency 3 2 5 2 2 3" xfId="11417" xr:uid="{00000000-0005-0000-0000-000029160000}"/>
    <cellStyle name="Currency 3 2 5 2 3" xfId="5054" xr:uid="{00000000-0005-0000-0000-00002A160000}"/>
    <cellStyle name="Currency 3 2 5 2 3 2" xfId="13490" xr:uid="{00000000-0005-0000-0000-00002B160000}"/>
    <cellStyle name="Currency 3 2 5 2 4" xfId="9272" xr:uid="{00000000-0005-0000-0000-00002C160000}"/>
    <cellStyle name="Currency 3 2 5 3" xfId="1158" xr:uid="{00000000-0005-0000-0000-00002D160000}"/>
    <cellStyle name="Currency 3 2 5 3 2" xfId="3389" xr:uid="{00000000-0005-0000-0000-00002E160000}"/>
    <cellStyle name="Currency 3 2 5 3 2 2" xfId="7612" xr:uid="{00000000-0005-0000-0000-00002F160000}"/>
    <cellStyle name="Currency 3 2 5 3 2 2 2" xfId="16048" xr:uid="{00000000-0005-0000-0000-000030160000}"/>
    <cellStyle name="Currency 3 2 5 3 2 3" xfId="11830" xr:uid="{00000000-0005-0000-0000-000031160000}"/>
    <cellStyle name="Currency 3 2 5 3 3" xfId="5467" xr:uid="{00000000-0005-0000-0000-000032160000}"/>
    <cellStyle name="Currency 3 2 5 3 3 2" xfId="13903" xr:uid="{00000000-0005-0000-0000-000033160000}"/>
    <cellStyle name="Currency 3 2 5 3 4" xfId="9685" xr:uid="{00000000-0005-0000-0000-000034160000}"/>
    <cellStyle name="Currency 3 2 5 4" xfId="1572" xr:uid="{00000000-0005-0000-0000-000035160000}"/>
    <cellStyle name="Currency 3 2 5 4 2" xfId="3802" xr:uid="{00000000-0005-0000-0000-000036160000}"/>
    <cellStyle name="Currency 3 2 5 4 2 2" xfId="8025" xr:uid="{00000000-0005-0000-0000-000037160000}"/>
    <cellStyle name="Currency 3 2 5 4 2 2 2" xfId="16461" xr:uid="{00000000-0005-0000-0000-000038160000}"/>
    <cellStyle name="Currency 3 2 5 4 2 3" xfId="12243" xr:uid="{00000000-0005-0000-0000-000039160000}"/>
    <cellStyle name="Currency 3 2 5 4 3" xfId="5880" xr:uid="{00000000-0005-0000-0000-00003A160000}"/>
    <cellStyle name="Currency 3 2 5 4 3 2" xfId="14316" xr:uid="{00000000-0005-0000-0000-00003B160000}"/>
    <cellStyle name="Currency 3 2 5 4 4" xfId="10098" xr:uid="{00000000-0005-0000-0000-00003C160000}"/>
    <cellStyle name="Currency 3 2 5 5" xfId="1986" xr:uid="{00000000-0005-0000-0000-00003D160000}"/>
    <cellStyle name="Currency 3 2 5 5 2" xfId="4215" xr:uid="{00000000-0005-0000-0000-00003E160000}"/>
    <cellStyle name="Currency 3 2 5 5 2 2" xfId="8438" xr:uid="{00000000-0005-0000-0000-00003F160000}"/>
    <cellStyle name="Currency 3 2 5 5 2 2 2" xfId="16874" xr:uid="{00000000-0005-0000-0000-000040160000}"/>
    <cellStyle name="Currency 3 2 5 5 2 3" xfId="12656" xr:uid="{00000000-0005-0000-0000-000041160000}"/>
    <cellStyle name="Currency 3 2 5 5 3" xfId="6293" xr:uid="{00000000-0005-0000-0000-000042160000}"/>
    <cellStyle name="Currency 3 2 5 5 3 2" xfId="14729" xr:uid="{00000000-0005-0000-0000-000043160000}"/>
    <cellStyle name="Currency 3 2 5 5 4" xfId="10511" xr:uid="{00000000-0005-0000-0000-000044160000}"/>
    <cellStyle name="Currency 3 2 5 6" xfId="2421" xr:uid="{00000000-0005-0000-0000-000045160000}"/>
    <cellStyle name="Currency 3 2 5 6 2" xfId="6706" xr:uid="{00000000-0005-0000-0000-000046160000}"/>
    <cellStyle name="Currency 3 2 5 6 2 2" xfId="15142" xr:uid="{00000000-0005-0000-0000-000047160000}"/>
    <cellStyle name="Currency 3 2 5 6 3" xfId="10924" xr:uid="{00000000-0005-0000-0000-000048160000}"/>
    <cellStyle name="Currency 3 2 5 7" xfId="2718" xr:uid="{00000000-0005-0000-0000-000049160000}"/>
    <cellStyle name="Currency 3 2 5 8" xfId="2799" xr:uid="{00000000-0005-0000-0000-00004A160000}"/>
    <cellStyle name="Currency 3 2 5 8 2" xfId="7023" xr:uid="{00000000-0005-0000-0000-00004B160000}"/>
    <cellStyle name="Currency 3 2 5 8 2 2" xfId="15459" xr:uid="{00000000-0005-0000-0000-00004C160000}"/>
    <cellStyle name="Currency 3 2 5 8 3" xfId="11241" xr:uid="{00000000-0005-0000-0000-00004D160000}"/>
    <cellStyle name="Currency 3 2 5 9" xfId="4640" xr:uid="{00000000-0005-0000-0000-00004E160000}"/>
    <cellStyle name="Currency 3 2 5 9 2" xfId="13076" xr:uid="{00000000-0005-0000-0000-00004F160000}"/>
    <cellStyle name="Currency 3 3" xfId="186" xr:uid="{00000000-0005-0000-0000-000050160000}"/>
    <cellStyle name="Currency 4" xfId="187" xr:uid="{00000000-0005-0000-0000-000051160000}"/>
    <cellStyle name="Currency 4 2" xfId="188" xr:uid="{00000000-0005-0000-0000-000052160000}"/>
    <cellStyle name="Currency 4 2 2" xfId="717" xr:uid="{00000000-0005-0000-0000-000053160000}"/>
    <cellStyle name="Currency 4 3" xfId="189" xr:uid="{00000000-0005-0000-0000-000054160000}"/>
    <cellStyle name="Currency 4 3 2" xfId="190" xr:uid="{00000000-0005-0000-0000-000055160000}"/>
    <cellStyle name="Currency 4 3 2 2" xfId="719" xr:uid="{00000000-0005-0000-0000-000056160000}"/>
    <cellStyle name="Currency 4 3 3" xfId="718" xr:uid="{00000000-0005-0000-0000-000057160000}"/>
    <cellStyle name="Currency 4 4" xfId="191" xr:uid="{00000000-0005-0000-0000-000058160000}"/>
    <cellStyle name="Currency 4 5" xfId="192" xr:uid="{00000000-0005-0000-0000-000059160000}"/>
    <cellStyle name="Currency 4 5 2" xfId="720" xr:uid="{00000000-0005-0000-0000-00005A160000}"/>
    <cellStyle name="Currency 4 6" xfId="716" xr:uid="{00000000-0005-0000-0000-00005B160000}"/>
    <cellStyle name="Currency 5" xfId="193" xr:uid="{00000000-0005-0000-0000-00005C160000}"/>
    <cellStyle name="Currency 5 2" xfId="194" xr:uid="{00000000-0005-0000-0000-00005D160000}"/>
    <cellStyle name="Currency 5 2 2" xfId="195" xr:uid="{00000000-0005-0000-0000-00005E160000}"/>
    <cellStyle name="Currency 5 2 2 2" xfId="196" xr:uid="{00000000-0005-0000-0000-00005F160000}"/>
    <cellStyle name="Currency 5 2 2 2 10" xfId="2800" xr:uid="{00000000-0005-0000-0000-000060160000}"/>
    <cellStyle name="Currency 5 2 2 2 10 2" xfId="7024" xr:uid="{00000000-0005-0000-0000-000061160000}"/>
    <cellStyle name="Currency 5 2 2 2 10 2 2" xfId="15460" xr:uid="{00000000-0005-0000-0000-000062160000}"/>
    <cellStyle name="Currency 5 2 2 2 10 3" xfId="11242" xr:uid="{00000000-0005-0000-0000-000063160000}"/>
    <cellStyle name="Currency 5 2 2 2 11" xfId="4641" xr:uid="{00000000-0005-0000-0000-000064160000}"/>
    <cellStyle name="Currency 5 2 2 2 11 2" xfId="13077" xr:uid="{00000000-0005-0000-0000-000065160000}"/>
    <cellStyle name="Currency 5 2 2 2 12" xfId="8859" xr:uid="{00000000-0005-0000-0000-000066160000}"/>
    <cellStyle name="Currency 5 2 2 2 2" xfId="197" xr:uid="{00000000-0005-0000-0000-000067160000}"/>
    <cellStyle name="Currency 5 2 2 2 2 10" xfId="4642" xr:uid="{00000000-0005-0000-0000-000068160000}"/>
    <cellStyle name="Currency 5 2 2 2 2 10 2" xfId="13078" xr:uid="{00000000-0005-0000-0000-000069160000}"/>
    <cellStyle name="Currency 5 2 2 2 2 11" xfId="8860" xr:uid="{00000000-0005-0000-0000-00006A160000}"/>
    <cellStyle name="Currency 5 2 2 2 2 2" xfId="198" xr:uid="{00000000-0005-0000-0000-00006B160000}"/>
    <cellStyle name="Currency 5 2 2 2 2 2 10" xfId="8861" xr:uid="{00000000-0005-0000-0000-00006C160000}"/>
    <cellStyle name="Currency 5 2 2 2 2 2 2" xfId="725" xr:uid="{00000000-0005-0000-0000-00006D160000}"/>
    <cellStyle name="Currency 5 2 2 2 2 2 2 2" xfId="2979" xr:uid="{00000000-0005-0000-0000-00006E160000}"/>
    <cellStyle name="Currency 5 2 2 2 2 2 2 2 2" xfId="7202" xr:uid="{00000000-0005-0000-0000-00006F160000}"/>
    <cellStyle name="Currency 5 2 2 2 2 2 2 2 2 2" xfId="15638" xr:uid="{00000000-0005-0000-0000-000070160000}"/>
    <cellStyle name="Currency 5 2 2 2 2 2 2 2 3" xfId="11420" xr:uid="{00000000-0005-0000-0000-000071160000}"/>
    <cellStyle name="Currency 5 2 2 2 2 2 2 3" xfId="5057" xr:uid="{00000000-0005-0000-0000-000072160000}"/>
    <cellStyle name="Currency 5 2 2 2 2 2 2 3 2" xfId="13493" xr:uid="{00000000-0005-0000-0000-000073160000}"/>
    <cellStyle name="Currency 5 2 2 2 2 2 2 4" xfId="9275" xr:uid="{00000000-0005-0000-0000-000074160000}"/>
    <cellStyle name="Currency 5 2 2 2 2 2 3" xfId="1161" xr:uid="{00000000-0005-0000-0000-000075160000}"/>
    <cellStyle name="Currency 5 2 2 2 2 2 3 2" xfId="3392" xr:uid="{00000000-0005-0000-0000-000076160000}"/>
    <cellStyle name="Currency 5 2 2 2 2 2 3 2 2" xfId="7615" xr:uid="{00000000-0005-0000-0000-000077160000}"/>
    <cellStyle name="Currency 5 2 2 2 2 2 3 2 2 2" xfId="16051" xr:uid="{00000000-0005-0000-0000-000078160000}"/>
    <cellStyle name="Currency 5 2 2 2 2 2 3 2 3" xfId="11833" xr:uid="{00000000-0005-0000-0000-000079160000}"/>
    <cellStyle name="Currency 5 2 2 2 2 2 3 3" xfId="5470" xr:uid="{00000000-0005-0000-0000-00007A160000}"/>
    <cellStyle name="Currency 5 2 2 2 2 2 3 3 2" xfId="13906" xr:uid="{00000000-0005-0000-0000-00007B160000}"/>
    <cellStyle name="Currency 5 2 2 2 2 2 3 4" xfId="9688" xr:uid="{00000000-0005-0000-0000-00007C160000}"/>
    <cellStyle name="Currency 5 2 2 2 2 2 4" xfId="1575" xr:uid="{00000000-0005-0000-0000-00007D160000}"/>
    <cellStyle name="Currency 5 2 2 2 2 2 4 2" xfId="3805" xr:uid="{00000000-0005-0000-0000-00007E160000}"/>
    <cellStyle name="Currency 5 2 2 2 2 2 4 2 2" xfId="8028" xr:uid="{00000000-0005-0000-0000-00007F160000}"/>
    <cellStyle name="Currency 5 2 2 2 2 2 4 2 2 2" xfId="16464" xr:uid="{00000000-0005-0000-0000-000080160000}"/>
    <cellStyle name="Currency 5 2 2 2 2 2 4 2 3" xfId="12246" xr:uid="{00000000-0005-0000-0000-000081160000}"/>
    <cellStyle name="Currency 5 2 2 2 2 2 4 3" xfId="5883" xr:uid="{00000000-0005-0000-0000-000082160000}"/>
    <cellStyle name="Currency 5 2 2 2 2 2 4 3 2" xfId="14319" xr:uid="{00000000-0005-0000-0000-000083160000}"/>
    <cellStyle name="Currency 5 2 2 2 2 2 4 4" xfId="10101" xr:uid="{00000000-0005-0000-0000-000084160000}"/>
    <cellStyle name="Currency 5 2 2 2 2 2 5" xfId="1989" xr:uid="{00000000-0005-0000-0000-000085160000}"/>
    <cellStyle name="Currency 5 2 2 2 2 2 5 2" xfId="4218" xr:uid="{00000000-0005-0000-0000-000086160000}"/>
    <cellStyle name="Currency 5 2 2 2 2 2 5 2 2" xfId="8441" xr:uid="{00000000-0005-0000-0000-000087160000}"/>
    <cellStyle name="Currency 5 2 2 2 2 2 5 2 2 2" xfId="16877" xr:uid="{00000000-0005-0000-0000-000088160000}"/>
    <cellStyle name="Currency 5 2 2 2 2 2 5 2 3" xfId="12659" xr:uid="{00000000-0005-0000-0000-000089160000}"/>
    <cellStyle name="Currency 5 2 2 2 2 2 5 3" xfId="6296" xr:uid="{00000000-0005-0000-0000-00008A160000}"/>
    <cellStyle name="Currency 5 2 2 2 2 2 5 3 2" xfId="14732" xr:uid="{00000000-0005-0000-0000-00008B160000}"/>
    <cellStyle name="Currency 5 2 2 2 2 2 5 4" xfId="10514" xr:uid="{00000000-0005-0000-0000-00008C160000}"/>
    <cellStyle name="Currency 5 2 2 2 2 2 6" xfId="2424" xr:uid="{00000000-0005-0000-0000-00008D160000}"/>
    <cellStyle name="Currency 5 2 2 2 2 2 6 2" xfId="6709" xr:uid="{00000000-0005-0000-0000-00008E160000}"/>
    <cellStyle name="Currency 5 2 2 2 2 2 6 2 2" xfId="15145" xr:uid="{00000000-0005-0000-0000-00008F160000}"/>
    <cellStyle name="Currency 5 2 2 2 2 2 6 3" xfId="10927" xr:uid="{00000000-0005-0000-0000-000090160000}"/>
    <cellStyle name="Currency 5 2 2 2 2 2 7" xfId="2721" xr:uid="{00000000-0005-0000-0000-000091160000}"/>
    <cellStyle name="Currency 5 2 2 2 2 2 8" xfId="2802" xr:uid="{00000000-0005-0000-0000-000092160000}"/>
    <cellStyle name="Currency 5 2 2 2 2 2 8 2" xfId="7026" xr:uid="{00000000-0005-0000-0000-000093160000}"/>
    <cellStyle name="Currency 5 2 2 2 2 2 8 2 2" xfId="15462" xr:uid="{00000000-0005-0000-0000-000094160000}"/>
    <cellStyle name="Currency 5 2 2 2 2 2 8 3" xfId="11244" xr:uid="{00000000-0005-0000-0000-000095160000}"/>
    <cellStyle name="Currency 5 2 2 2 2 2 9" xfId="4643" xr:uid="{00000000-0005-0000-0000-000096160000}"/>
    <cellStyle name="Currency 5 2 2 2 2 2 9 2" xfId="13079" xr:uid="{00000000-0005-0000-0000-000097160000}"/>
    <cellStyle name="Currency 5 2 2 2 2 3" xfId="724" xr:uid="{00000000-0005-0000-0000-000098160000}"/>
    <cellStyle name="Currency 5 2 2 2 2 3 2" xfId="2978" xr:uid="{00000000-0005-0000-0000-000099160000}"/>
    <cellStyle name="Currency 5 2 2 2 2 3 2 2" xfId="7201" xr:uid="{00000000-0005-0000-0000-00009A160000}"/>
    <cellStyle name="Currency 5 2 2 2 2 3 2 2 2" xfId="15637" xr:uid="{00000000-0005-0000-0000-00009B160000}"/>
    <cellStyle name="Currency 5 2 2 2 2 3 2 3" xfId="11419" xr:uid="{00000000-0005-0000-0000-00009C160000}"/>
    <cellStyle name="Currency 5 2 2 2 2 3 3" xfId="5056" xr:uid="{00000000-0005-0000-0000-00009D160000}"/>
    <cellStyle name="Currency 5 2 2 2 2 3 3 2" xfId="13492" xr:uid="{00000000-0005-0000-0000-00009E160000}"/>
    <cellStyle name="Currency 5 2 2 2 2 3 4" xfId="9274" xr:uid="{00000000-0005-0000-0000-00009F160000}"/>
    <cellStyle name="Currency 5 2 2 2 2 4" xfId="1160" xr:uid="{00000000-0005-0000-0000-0000A0160000}"/>
    <cellStyle name="Currency 5 2 2 2 2 4 2" xfId="3391" xr:uid="{00000000-0005-0000-0000-0000A1160000}"/>
    <cellStyle name="Currency 5 2 2 2 2 4 2 2" xfId="7614" xr:uid="{00000000-0005-0000-0000-0000A2160000}"/>
    <cellStyle name="Currency 5 2 2 2 2 4 2 2 2" xfId="16050" xr:uid="{00000000-0005-0000-0000-0000A3160000}"/>
    <cellStyle name="Currency 5 2 2 2 2 4 2 3" xfId="11832" xr:uid="{00000000-0005-0000-0000-0000A4160000}"/>
    <cellStyle name="Currency 5 2 2 2 2 4 3" xfId="5469" xr:uid="{00000000-0005-0000-0000-0000A5160000}"/>
    <cellStyle name="Currency 5 2 2 2 2 4 3 2" xfId="13905" xr:uid="{00000000-0005-0000-0000-0000A6160000}"/>
    <cellStyle name="Currency 5 2 2 2 2 4 4" xfId="9687" xr:uid="{00000000-0005-0000-0000-0000A7160000}"/>
    <cellStyle name="Currency 5 2 2 2 2 5" xfId="1574" xr:uid="{00000000-0005-0000-0000-0000A8160000}"/>
    <cellStyle name="Currency 5 2 2 2 2 5 2" xfId="3804" xr:uid="{00000000-0005-0000-0000-0000A9160000}"/>
    <cellStyle name="Currency 5 2 2 2 2 5 2 2" xfId="8027" xr:uid="{00000000-0005-0000-0000-0000AA160000}"/>
    <cellStyle name="Currency 5 2 2 2 2 5 2 2 2" xfId="16463" xr:uid="{00000000-0005-0000-0000-0000AB160000}"/>
    <cellStyle name="Currency 5 2 2 2 2 5 2 3" xfId="12245" xr:uid="{00000000-0005-0000-0000-0000AC160000}"/>
    <cellStyle name="Currency 5 2 2 2 2 5 3" xfId="5882" xr:uid="{00000000-0005-0000-0000-0000AD160000}"/>
    <cellStyle name="Currency 5 2 2 2 2 5 3 2" xfId="14318" xr:uid="{00000000-0005-0000-0000-0000AE160000}"/>
    <cellStyle name="Currency 5 2 2 2 2 5 4" xfId="10100" xr:uid="{00000000-0005-0000-0000-0000AF160000}"/>
    <cellStyle name="Currency 5 2 2 2 2 6" xfId="1988" xr:uid="{00000000-0005-0000-0000-0000B0160000}"/>
    <cellStyle name="Currency 5 2 2 2 2 6 2" xfId="4217" xr:uid="{00000000-0005-0000-0000-0000B1160000}"/>
    <cellStyle name="Currency 5 2 2 2 2 6 2 2" xfId="8440" xr:uid="{00000000-0005-0000-0000-0000B2160000}"/>
    <cellStyle name="Currency 5 2 2 2 2 6 2 2 2" xfId="16876" xr:uid="{00000000-0005-0000-0000-0000B3160000}"/>
    <cellStyle name="Currency 5 2 2 2 2 6 2 3" xfId="12658" xr:uid="{00000000-0005-0000-0000-0000B4160000}"/>
    <cellStyle name="Currency 5 2 2 2 2 6 3" xfId="6295" xr:uid="{00000000-0005-0000-0000-0000B5160000}"/>
    <cellStyle name="Currency 5 2 2 2 2 6 3 2" xfId="14731" xr:uid="{00000000-0005-0000-0000-0000B6160000}"/>
    <cellStyle name="Currency 5 2 2 2 2 6 4" xfId="10513" xr:uid="{00000000-0005-0000-0000-0000B7160000}"/>
    <cellStyle name="Currency 5 2 2 2 2 7" xfId="2423" xr:uid="{00000000-0005-0000-0000-0000B8160000}"/>
    <cellStyle name="Currency 5 2 2 2 2 7 2" xfId="6708" xr:uid="{00000000-0005-0000-0000-0000B9160000}"/>
    <cellStyle name="Currency 5 2 2 2 2 7 2 2" xfId="15144" xr:uid="{00000000-0005-0000-0000-0000BA160000}"/>
    <cellStyle name="Currency 5 2 2 2 2 7 3" xfId="10926" xr:uid="{00000000-0005-0000-0000-0000BB160000}"/>
    <cellStyle name="Currency 5 2 2 2 2 8" xfId="2720" xr:uid="{00000000-0005-0000-0000-0000BC160000}"/>
    <cellStyle name="Currency 5 2 2 2 2 9" xfId="2801" xr:uid="{00000000-0005-0000-0000-0000BD160000}"/>
    <cellStyle name="Currency 5 2 2 2 2 9 2" xfId="7025" xr:uid="{00000000-0005-0000-0000-0000BE160000}"/>
    <cellStyle name="Currency 5 2 2 2 2 9 2 2" xfId="15461" xr:uid="{00000000-0005-0000-0000-0000BF160000}"/>
    <cellStyle name="Currency 5 2 2 2 2 9 3" xfId="11243" xr:uid="{00000000-0005-0000-0000-0000C0160000}"/>
    <cellStyle name="Currency 5 2 2 2 3" xfId="199" xr:uid="{00000000-0005-0000-0000-0000C1160000}"/>
    <cellStyle name="Currency 5 2 2 2 3 10" xfId="8862" xr:uid="{00000000-0005-0000-0000-0000C2160000}"/>
    <cellStyle name="Currency 5 2 2 2 3 2" xfId="726" xr:uid="{00000000-0005-0000-0000-0000C3160000}"/>
    <cellStyle name="Currency 5 2 2 2 3 2 2" xfId="2980" xr:uid="{00000000-0005-0000-0000-0000C4160000}"/>
    <cellStyle name="Currency 5 2 2 2 3 2 2 2" xfId="7203" xr:uid="{00000000-0005-0000-0000-0000C5160000}"/>
    <cellStyle name="Currency 5 2 2 2 3 2 2 2 2" xfId="15639" xr:uid="{00000000-0005-0000-0000-0000C6160000}"/>
    <cellStyle name="Currency 5 2 2 2 3 2 2 3" xfId="11421" xr:uid="{00000000-0005-0000-0000-0000C7160000}"/>
    <cellStyle name="Currency 5 2 2 2 3 2 3" xfId="5058" xr:uid="{00000000-0005-0000-0000-0000C8160000}"/>
    <cellStyle name="Currency 5 2 2 2 3 2 3 2" xfId="13494" xr:uid="{00000000-0005-0000-0000-0000C9160000}"/>
    <cellStyle name="Currency 5 2 2 2 3 2 4" xfId="9276" xr:uid="{00000000-0005-0000-0000-0000CA160000}"/>
    <cellStyle name="Currency 5 2 2 2 3 3" xfId="1162" xr:uid="{00000000-0005-0000-0000-0000CB160000}"/>
    <cellStyle name="Currency 5 2 2 2 3 3 2" xfId="3393" xr:uid="{00000000-0005-0000-0000-0000CC160000}"/>
    <cellStyle name="Currency 5 2 2 2 3 3 2 2" xfId="7616" xr:uid="{00000000-0005-0000-0000-0000CD160000}"/>
    <cellStyle name="Currency 5 2 2 2 3 3 2 2 2" xfId="16052" xr:uid="{00000000-0005-0000-0000-0000CE160000}"/>
    <cellStyle name="Currency 5 2 2 2 3 3 2 3" xfId="11834" xr:uid="{00000000-0005-0000-0000-0000CF160000}"/>
    <cellStyle name="Currency 5 2 2 2 3 3 3" xfId="5471" xr:uid="{00000000-0005-0000-0000-0000D0160000}"/>
    <cellStyle name="Currency 5 2 2 2 3 3 3 2" xfId="13907" xr:uid="{00000000-0005-0000-0000-0000D1160000}"/>
    <cellStyle name="Currency 5 2 2 2 3 3 4" xfId="9689" xr:uid="{00000000-0005-0000-0000-0000D2160000}"/>
    <cellStyle name="Currency 5 2 2 2 3 4" xfId="1576" xr:uid="{00000000-0005-0000-0000-0000D3160000}"/>
    <cellStyle name="Currency 5 2 2 2 3 4 2" xfId="3806" xr:uid="{00000000-0005-0000-0000-0000D4160000}"/>
    <cellStyle name="Currency 5 2 2 2 3 4 2 2" xfId="8029" xr:uid="{00000000-0005-0000-0000-0000D5160000}"/>
    <cellStyle name="Currency 5 2 2 2 3 4 2 2 2" xfId="16465" xr:uid="{00000000-0005-0000-0000-0000D6160000}"/>
    <cellStyle name="Currency 5 2 2 2 3 4 2 3" xfId="12247" xr:uid="{00000000-0005-0000-0000-0000D7160000}"/>
    <cellStyle name="Currency 5 2 2 2 3 4 3" xfId="5884" xr:uid="{00000000-0005-0000-0000-0000D8160000}"/>
    <cellStyle name="Currency 5 2 2 2 3 4 3 2" xfId="14320" xr:uid="{00000000-0005-0000-0000-0000D9160000}"/>
    <cellStyle name="Currency 5 2 2 2 3 4 4" xfId="10102" xr:uid="{00000000-0005-0000-0000-0000DA160000}"/>
    <cellStyle name="Currency 5 2 2 2 3 5" xfId="1990" xr:uid="{00000000-0005-0000-0000-0000DB160000}"/>
    <cellStyle name="Currency 5 2 2 2 3 5 2" xfId="4219" xr:uid="{00000000-0005-0000-0000-0000DC160000}"/>
    <cellStyle name="Currency 5 2 2 2 3 5 2 2" xfId="8442" xr:uid="{00000000-0005-0000-0000-0000DD160000}"/>
    <cellStyle name="Currency 5 2 2 2 3 5 2 2 2" xfId="16878" xr:uid="{00000000-0005-0000-0000-0000DE160000}"/>
    <cellStyle name="Currency 5 2 2 2 3 5 2 3" xfId="12660" xr:uid="{00000000-0005-0000-0000-0000DF160000}"/>
    <cellStyle name="Currency 5 2 2 2 3 5 3" xfId="6297" xr:uid="{00000000-0005-0000-0000-0000E0160000}"/>
    <cellStyle name="Currency 5 2 2 2 3 5 3 2" xfId="14733" xr:uid="{00000000-0005-0000-0000-0000E1160000}"/>
    <cellStyle name="Currency 5 2 2 2 3 5 4" xfId="10515" xr:uid="{00000000-0005-0000-0000-0000E2160000}"/>
    <cellStyle name="Currency 5 2 2 2 3 6" xfId="2425" xr:uid="{00000000-0005-0000-0000-0000E3160000}"/>
    <cellStyle name="Currency 5 2 2 2 3 6 2" xfId="6710" xr:uid="{00000000-0005-0000-0000-0000E4160000}"/>
    <cellStyle name="Currency 5 2 2 2 3 6 2 2" xfId="15146" xr:uid="{00000000-0005-0000-0000-0000E5160000}"/>
    <cellStyle name="Currency 5 2 2 2 3 6 3" xfId="10928" xr:uid="{00000000-0005-0000-0000-0000E6160000}"/>
    <cellStyle name="Currency 5 2 2 2 3 7" xfId="2722" xr:uid="{00000000-0005-0000-0000-0000E7160000}"/>
    <cellStyle name="Currency 5 2 2 2 3 8" xfId="2803" xr:uid="{00000000-0005-0000-0000-0000E8160000}"/>
    <cellStyle name="Currency 5 2 2 2 3 8 2" xfId="7027" xr:uid="{00000000-0005-0000-0000-0000E9160000}"/>
    <cellStyle name="Currency 5 2 2 2 3 8 2 2" xfId="15463" xr:uid="{00000000-0005-0000-0000-0000EA160000}"/>
    <cellStyle name="Currency 5 2 2 2 3 8 3" xfId="11245" xr:uid="{00000000-0005-0000-0000-0000EB160000}"/>
    <cellStyle name="Currency 5 2 2 2 3 9" xfId="4644" xr:uid="{00000000-0005-0000-0000-0000EC160000}"/>
    <cellStyle name="Currency 5 2 2 2 3 9 2" xfId="13080" xr:uid="{00000000-0005-0000-0000-0000ED160000}"/>
    <cellStyle name="Currency 5 2 2 2 4" xfId="723" xr:uid="{00000000-0005-0000-0000-0000EE160000}"/>
    <cellStyle name="Currency 5 2 2 2 4 2" xfId="2977" xr:uid="{00000000-0005-0000-0000-0000EF160000}"/>
    <cellStyle name="Currency 5 2 2 2 4 2 2" xfId="7200" xr:uid="{00000000-0005-0000-0000-0000F0160000}"/>
    <cellStyle name="Currency 5 2 2 2 4 2 2 2" xfId="15636" xr:uid="{00000000-0005-0000-0000-0000F1160000}"/>
    <cellStyle name="Currency 5 2 2 2 4 2 3" xfId="11418" xr:uid="{00000000-0005-0000-0000-0000F2160000}"/>
    <cellStyle name="Currency 5 2 2 2 4 3" xfId="5055" xr:uid="{00000000-0005-0000-0000-0000F3160000}"/>
    <cellStyle name="Currency 5 2 2 2 4 3 2" xfId="13491" xr:uid="{00000000-0005-0000-0000-0000F4160000}"/>
    <cellStyle name="Currency 5 2 2 2 4 4" xfId="9273" xr:uid="{00000000-0005-0000-0000-0000F5160000}"/>
    <cellStyle name="Currency 5 2 2 2 5" xfId="1159" xr:uid="{00000000-0005-0000-0000-0000F6160000}"/>
    <cellStyle name="Currency 5 2 2 2 5 2" xfId="3390" xr:uid="{00000000-0005-0000-0000-0000F7160000}"/>
    <cellStyle name="Currency 5 2 2 2 5 2 2" xfId="7613" xr:uid="{00000000-0005-0000-0000-0000F8160000}"/>
    <cellStyle name="Currency 5 2 2 2 5 2 2 2" xfId="16049" xr:uid="{00000000-0005-0000-0000-0000F9160000}"/>
    <cellStyle name="Currency 5 2 2 2 5 2 3" xfId="11831" xr:uid="{00000000-0005-0000-0000-0000FA160000}"/>
    <cellStyle name="Currency 5 2 2 2 5 3" xfId="5468" xr:uid="{00000000-0005-0000-0000-0000FB160000}"/>
    <cellStyle name="Currency 5 2 2 2 5 3 2" xfId="13904" xr:uid="{00000000-0005-0000-0000-0000FC160000}"/>
    <cellStyle name="Currency 5 2 2 2 5 4" xfId="9686" xr:uid="{00000000-0005-0000-0000-0000FD160000}"/>
    <cellStyle name="Currency 5 2 2 2 6" xfId="1573" xr:uid="{00000000-0005-0000-0000-0000FE160000}"/>
    <cellStyle name="Currency 5 2 2 2 6 2" xfId="3803" xr:uid="{00000000-0005-0000-0000-0000FF160000}"/>
    <cellStyle name="Currency 5 2 2 2 6 2 2" xfId="8026" xr:uid="{00000000-0005-0000-0000-000000170000}"/>
    <cellStyle name="Currency 5 2 2 2 6 2 2 2" xfId="16462" xr:uid="{00000000-0005-0000-0000-000001170000}"/>
    <cellStyle name="Currency 5 2 2 2 6 2 3" xfId="12244" xr:uid="{00000000-0005-0000-0000-000002170000}"/>
    <cellStyle name="Currency 5 2 2 2 6 3" xfId="5881" xr:uid="{00000000-0005-0000-0000-000003170000}"/>
    <cellStyle name="Currency 5 2 2 2 6 3 2" xfId="14317" xr:uid="{00000000-0005-0000-0000-000004170000}"/>
    <cellStyle name="Currency 5 2 2 2 6 4" xfId="10099" xr:uid="{00000000-0005-0000-0000-000005170000}"/>
    <cellStyle name="Currency 5 2 2 2 7" xfId="1987" xr:uid="{00000000-0005-0000-0000-000006170000}"/>
    <cellStyle name="Currency 5 2 2 2 7 2" xfId="4216" xr:uid="{00000000-0005-0000-0000-000007170000}"/>
    <cellStyle name="Currency 5 2 2 2 7 2 2" xfId="8439" xr:uid="{00000000-0005-0000-0000-000008170000}"/>
    <cellStyle name="Currency 5 2 2 2 7 2 2 2" xfId="16875" xr:uid="{00000000-0005-0000-0000-000009170000}"/>
    <cellStyle name="Currency 5 2 2 2 7 2 3" xfId="12657" xr:uid="{00000000-0005-0000-0000-00000A170000}"/>
    <cellStyle name="Currency 5 2 2 2 7 3" xfId="6294" xr:uid="{00000000-0005-0000-0000-00000B170000}"/>
    <cellStyle name="Currency 5 2 2 2 7 3 2" xfId="14730" xr:uid="{00000000-0005-0000-0000-00000C170000}"/>
    <cellStyle name="Currency 5 2 2 2 7 4" xfId="10512" xr:uid="{00000000-0005-0000-0000-00000D170000}"/>
    <cellStyle name="Currency 5 2 2 2 8" xfId="2422" xr:uid="{00000000-0005-0000-0000-00000E170000}"/>
    <cellStyle name="Currency 5 2 2 2 8 2" xfId="6707" xr:uid="{00000000-0005-0000-0000-00000F170000}"/>
    <cellStyle name="Currency 5 2 2 2 8 2 2" xfId="15143" xr:uid="{00000000-0005-0000-0000-000010170000}"/>
    <cellStyle name="Currency 5 2 2 2 8 3" xfId="10925" xr:uid="{00000000-0005-0000-0000-000011170000}"/>
    <cellStyle name="Currency 5 2 2 2 9" xfId="2719" xr:uid="{00000000-0005-0000-0000-000012170000}"/>
    <cellStyle name="Currency 5 2 2 3" xfId="200" xr:uid="{00000000-0005-0000-0000-000013170000}"/>
    <cellStyle name="Currency 5 2 2 3 10" xfId="4645" xr:uid="{00000000-0005-0000-0000-000014170000}"/>
    <cellStyle name="Currency 5 2 2 3 10 2" xfId="13081" xr:uid="{00000000-0005-0000-0000-000015170000}"/>
    <cellStyle name="Currency 5 2 2 3 11" xfId="8863" xr:uid="{00000000-0005-0000-0000-000016170000}"/>
    <cellStyle name="Currency 5 2 2 3 2" xfId="201" xr:uid="{00000000-0005-0000-0000-000017170000}"/>
    <cellStyle name="Currency 5 2 2 3 2 10" xfId="8864" xr:uid="{00000000-0005-0000-0000-000018170000}"/>
    <cellStyle name="Currency 5 2 2 3 2 2" xfId="728" xr:uid="{00000000-0005-0000-0000-000019170000}"/>
    <cellStyle name="Currency 5 2 2 3 2 2 2" xfId="2982" xr:uid="{00000000-0005-0000-0000-00001A170000}"/>
    <cellStyle name="Currency 5 2 2 3 2 2 2 2" xfId="7205" xr:uid="{00000000-0005-0000-0000-00001B170000}"/>
    <cellStyle name="Currency 5 2 2 3 2 2 2 2 2" xfId="15641" xr:uid="{00000000-0005-0000-0000-00001C170000}"/>
    <cellStyle name="Currency 5 2 2 3 2 2 2 3" xfId="11423" xr:uid="{00000000-0005-0000-0000-00001D170000}"/>
    <cellStyle name="Currency 5 2 2 3 2 2 3" xfId="5060" xr:uid="{00000000-0005-0000-0000-00001E170000}"/>
    <cellStyle name="Currency 5 2 2 3 2 2 3 2" xfId="13496" xr:uid="{00000000-0005-0000-0000-00001F170000}"/>
    <cellStyle name="Currency 5 2 2 3 2 2 4" xfId="9278" xr:uid="{00000000-0005-0000-0000-000020170000}"/>
    <cellStyle name="Currency 5 2 2 3 2 3" xfId="1164" xr:uid="{00000000-0005-0000-0000-000021170000}"/>
    <cellStyle name="Currency 5 2 2 3 2 3 2" xfId="3395" xr:uid="{00000000-0005-0000-0000-000022170000}"/>
    <cellStyle name="Currency 5 2 2 3 2 3 2 2" xfId="7618" xr:uid="{00000000-0005-0000-0000-000023170000}"/>
    <cellStyle name="Currency 5 2 2 3 2 3 2 2 2" xfId="16054" xr:uid="{00000000-0005-0000-0000-000024170000}"/>
    <cellStyle name="Currency 5 2 2 3 2 3 2 3" xfId="11836" xr:uid="{00000000-0005-0000-0000-000025170000}"/>
    <cellStyle name="Currency 5 2 2 3 2 3 3" xfId="5473" xr:uid="{00000000-0005-0000-0000-000026170000}"/>
    <cellStyle name="Currency 5 2 2 3 2 3 3 2" xfId="13909" xr:uid="{00000000-0005-0000-0000-000027170000}"/>
    <cellStyle name="Currency 5 2 2 3 2 3 4" xfId="9691" xr:uid="{00000000-0005-0000-0000-000028170000}"/>
    <cellStyle name="Currency 5 2 2 3 2 4" xfId="1578" xr:uid="{00000000-0005-0000-0000-000029170000}"/>
    <cellStyle name="Currency 5 2 2 3 2 4 2" xfId="3808" xr:uid="{00000000-0005-0000-0000-00002A170000}"/>
    <cellStyle name="Currency 5 2 2 3 2 4 2 2" xfId="8031" xr:uid="{00000000-0005-0000-0000-00002B170000}"/>
    <cellStyle name="Currency 5 2 2 3 2 4 2 2 2" xfId="16467" xr:uid="{00000000-0005-0000-0000-00002C170000}"/>
    <cellStyle name="Currency 5 2 2 3 2 4 2 3" xfId="12249" xr:uid="{00000000-0005-0000-0000-00002D170000}"/>
    <cellStyle name="Currency 5 2 2 3 2 4 3" xfId="5886" xr:uid="{00000000-0005-0000-0000-00002E170000}"/>
    <cellStyle name="Currency 5 2 2 3 2 4 3 2" xfId="14322" xr:uid="{00000000-0005-0000-0000-00002F170000}"/>
    <cellStyle name="Currency 5 2 2 3 2 4 4" xfId="10104" xr:uid="{00000000-0005-0000-0000-000030170000}"/>
    <cellStyle name="Currency 5 2 2 3 2 5" xfId="1992" xr:uid="{00000000-0005-0000-0000-000031170000}"/>
    <cellStyle name="Currency 5 2 2 3 2 5 2" xfId="4221" xr:uid="{00000000-0005-0000-0000-000032170000}"/>
    <cellStyle name="Currency 5 2 2 3 2 5 2 2" xfId="8444" xr:uid="{00000000-0005-0000-0000-000033170000}"/>
    <cellStyle name="Currency 5 2 2 3 2 5 2 2 2" xfId="16880" xr:uid="{00000000-0005-0000-0000-000034170000}"/>
    <cellStyle name="Currency 5 2 2 3 2 5 2 3" xfId="12662" xr:uid="{00000000-0005-0000-0000-000035170000}"/>
    <cellStyle name="Currency 5 2 2 3 2 5 3" xfId="6299" xr:uid="{00000000-0005-0000-0000-000036170000}"/>
    <cellStyle name="Currency 5 2 2 3 2 5 3 2" xfId="14735" xr:uid="{00000000-0005-0000-0000-000037170000}"/>
    <cellStyle name="Currency 5 2 2 3 2 5 4" xfId="10517" xr:uid="{00000000-0005-0000-0000-000038170000}"/>
    <cellStyle name="Currency 5 2 2 3 2 6" xfId="2427" xr:uid="{00000000-0005-0000-0000-000039170000}"/>
    <cellStyle name="Currency 5 2 2 3 2 6 2" xfId="6712" xr:uid="{00000000-0005-0000-0000-00003A170000}"/>
    <cellStyle name="Currency 5 2 2 3 2 6 2 2" xfId="15148" xr:uid="{00000000-0005-0000-0000-00003B170000}"/>
    <cellStyle name="Currency 5 2 2 3 2 6 3" xfId="10930" xr:uid="{00000000-0005-0000-0000-00003C170000}"/>
    <cellStyle name="Currency 5 2 2 3 2 7" xfId="2724" xr:uid="{00000000-0005-0000-0000-00003D170000}"/>
    <cellStyle name="Currency 5 2 2 3 2 8" xfId="2805" xr:uid="{00000000-0005-0000-0000-00003E170000}"/>
    <cellStyle name="Currency 5 2 2 3 2 8 2" xfId="7029" xr:uid="{00000000-0005-0000-0000-00003F170000}"/>
    <cellStyle name="Currency 5 2 2 3 2 8 2 2" xfId="15465" xr:uid="{00000000-0005-0000-0000-000040170000}"/>
    <cellStyle name="Currency 5 2 2 3 2 8 3" xfId="11247" xr:uid="{00000000-0005-0000-0000-000041170000}"/>
    <cellStyle name="Currency 5 2 2 3 2 9" xfId="4646" xr:uid="{00000000-0005-0000-0000-000042170000}"/>
    <cellStyle name="Currency 5 2 2 3 2 9 2" xfId="13082" xr:uid="{00000000-0005-0000-0000-000043170000}"/>
    <cellStyle name="Currency 5 2 2 3 3" xfId="727" xr:uid="{00000000-0005-0000-0000-000044170000}"/>
    <cellStyle name="Currency 5 2 2 3 3 2" xfId="2981" xr:uid="{00000000-0005-0000-0000-000045170000}"/>
    <cellStyle name="Currency 5 2 2 3 3 2 2" xfId="7204" xr:uid="{00000000-0005-0000-0000-000046170000}"/>
    <cellStyle name="Currency 5 2 2 3 3 2 2 2" xfId="15640" xr:uid="{00000000-0005-0000-0000-000047170000}"/>
    <cellStyle name="Currency 5 2 2 3 3 2 3" xfId="11422" xr:uid="{00000000-0005-0000-0000-000048170000}"/>
    <cellStyle name="Currency 5 2 2 3 3 3" xfId="5059" xr:uid="{00000000-0005-0000-0000-000049170000}"/>
    <cellStyle name="Currency 5 2 2 3 3 3 2" xfId="13495" xr:uid="{00000000-0005-0000-0000-00004A170000}"/>
    <cellStyle name="Currency 5 2 2 3 3 4" xfId="9277" xr:uid="{00000000-0005-0000-0000-00004B170000}"/>
    <cellStyle name="Currency 5 2 2 3 4" xfId="1163" xr:uid="{00000000-0005-0000-0000-00004C170000}"/>
    <cellStyle name="Currency 5 2 2 3 4 2" xfId="3394" xr:uid="{00000000-0005-0000-0000-00004D170000}"/>
    <cellStyle name="Currency 5 2 2 3 4 2 2" xfId="7617" xr:uid="{00000000-0005-0000-0000-00004E170000}"/>
    <cellStyle name="Currency 5 2 2 3 4 2 2 2" xfId="16053" xr:uid="{00000000-0005-0000-0000-00004F170000}"/>
    <cellStyle name="Currency 5 2 2 3 4 2 3" xfId="11835" xr:uid="{00000000-0005-0000-0000-000050170000}"/>
    <cellStyle name="Currency 5 2 2 3 4 3" xfId="5472" xr:uid="{00000000-0005-0000-0000-000051170000}"/>
    <cellStyle name="Currency 5 2 2 3 4 3 2" xfId="13908" xr:uid="{00000000-0005-0000-0000-000052170000}"/>
    <cellStyle name="Currency 5 2 2 3 4 4" xfId="9690" xr:uid="{00000000-0005-0000-0000-000053170000}"/>
    <cellStyle name="Currency 5 2 2 3 5" xfId="1577" xr:uid="{00000000-0005-0000-0000-000054170000}"/>
    <cellStyle name="Currency 5 2 2 3 5 2" xfId="3807" xr:uid="{00000000-0005-0000-0000-000055170000}"/>
    <cellStyle name="Currency 5 2 2 3 5 2 2" xfId="8030" xr:uid="{00000000-0005-0000-0000-000056170000}"/>
    <cellStyle name="Currency 5 2 2 3 5 2 2 2" xfId="16466" xr:uid="{00000000-0005-0000-0000-000057170000}"/>
    <cellStyle name="Currency 5 2 2 3 5 2 3" xfId="12248" xr:uid="{00000000-0005-0000-0000-000058170000}"/>
    <cellStyle name="Currency 5 2 2 3 5 3" xfId="5885" xr:uid="{00000000-0005-0000-0000-000059170000}"/>
    <cellStyle name="Currency 5 2 2 3 5 3 2" xfId="14321" xr:uid="{00000000-0005-0000-0000-00005A170000}"/>
    <cellStyle name="Currency 5 2 2 3 5 4" xfId="10103" xr:uid="{00000000-0005-0000-0000-00005B170000}"/>
    <cellStyle name="Currency 5 2 2 3 6" xfId="1991" xr:uid="{00000000-0005-0000-0000-00005C170000}"/>
    <cellStyle name="Currency 5 2 2 3 6 2" xfId="4220" xr:uid="{00000000-0005-0000-0000-00005D170000}"/>
    <cellStyle name="Currency 5 2 2 3 6 2 2" xfId="8443" xr:uid="{00000000-0005-0000-0000-00005E170000}"/>
    <cellStyle name="Currency 5 2 2 3 6 2 2 2" xfId="16879" xr:uid="{00000000-0005-0000-0000-00005F170000}"/>
    <cellStyle name="Currency 5 2 2 3 6 2 3" xfId="12661" xr:uid="{00000000-0005-0000-0000-000060170000}"/>
    <cellStyle name="Currency 5 2 2 3 6 3" xfId="6298" xr:uid="{00000000-0005-0000-0000-000061170000}"/>
    <cellStyle name="Currency 5 2 2 3 6 3 2" xfId="14734" xr:uid="{00000000-0005-0000-0000-000062170000}"/>
    <cellStyle name="Currency 5 2 2 3 6 4" xfId="10516" xr:uid="{00000000-0005-0000-0000-000063170000}"/>
    <cellStyle name="Currency 5 2 2 3 7" xfId="2426" xr:uid="{00000000-0005-0000-0000-000064170000}"/>
    <cellStyle name="Currency 5 2 2 3 7 2" xfId="6711" xr:uid="{00000000-0005-0000-0000-000065170000}"/>
    <cellStyle name="Currency 5 2 2 3 7 2 2" xfId="15147" xr:uid="{00000000-0005-0000-0000-000066170000}"/>
    <cellStyle name="Currency 5 2 2 3 7 3" xfId="10929" xr:uid="{00000000-0005-0000-0000-000067170000}"/>
    <cellStyle name="Currency 5 2 2 3 8" xfId="2723" xr:uid="{00000000-0005-0000-0000-000068170000}"/>
    <cellStyle name="Currency 5 2 2 3 9" xfId="2804" xr:uid="{00000000-0005-0000-0000-000069170000}"/>
    <cellStyle name="Currency 5 2 2 3 9 2" xfId="7028" xr:uid="{00000000-0005-0000-0000-00006A170000}"/>
    <cellStyle name="Currency 5 2 2 3 9 2 2" xfId="15464" xr:uid="{00000000-0005-0000-0000-00006B170000}"/>
    <cellStyle name="Currency 5 2 2 3 9 3" xfId="11246" xr:uid="{00000000-0005-0000-0000-00006C170000}"/>
    <cellStyle name="Currency 5 2 2 4" xfId="202" xr:uid="{00000000-0005-0000-0000-00006D170000}"/>
    <cellStyle name="Currency 5 2 2 4 10" xfId="8865" xr:uid="{00000000-0005-0000-0000-00006E170000}"/>
    <cellStyle name="Currency 5 2 2 4 2" xfId="729" xr:uid="{00000000-0005-0000-0000-00006F170000}"/>
    <cellStyle name="Currency 5 2 2 4 2 2" xfId="2983" xr:uid="{00000000-0005-0000-0000-000070170000}"/>
    <cellStyle name="Currency 5 2 2 4 2 2 2" xfId="7206" xr:uid="{00000000-0005-0000-0000-000071170000}"/>
    <cellStyle name="Currency 5 2 2 4 2 2 2 2" xfId="15642" xr:uid="{00000000-0005-0000-0000-000072170000}"/>
    <cellStyle name="Currency 5 2 2 4 2 2 3" xfId="11424" xr:uid="{00000000-0005-0000-0000-000073170000}"/>
    <cellStyle name="Currency 5 2 2 4 2 3" xfId="5061" xr:uid="{00000000-0005-0000-0000-000074170000}"/>
    <cellStyle name="Currency 5 2 2 4 2 3 2" xfId="13497" xr:uid="{00000000-0005-0000-0000-000075170000}"/>
    <cellStyle name="Currency 5 2 2 4 2 4" xfId="9279" xr:uid="{00000000-0005-0000-0000-000076170000}"/>
    <cellStyle name="Currency 5 2 2 4 3" xfId="1165" xr:uid="{00000000-0005-0000-0000-000077170000}"/>
    <cellStyle name="Currency 5 2 2 4 3 2" xfId="3396" xr:uid="{00000000-0005-0000-0000-000078170000}"/>
    <cellStyle name="Currency 5 2 2 4 3 2 2" xfId="7619" xr:uid="{00000000-0005-0000-0000-000079170000}"/>
    <cellStyle name="Currency 5 2 2 4 3 2 2 2" xfId="16055" xr:uid="{00000000-0005-0000-0000-00007A170000}"/>
    <cellStyle name="Currency 5 2 2 4 3 2 3" xfId="11837" xr:uid="{00000000-0005-0000-0000-00007B170000}"/>
    <cellStyle name="Currency 5 2 2 4 3 3" xfId="5474" xr:uid="{00000000-0005-0000-0000-00007C170000}"/>
    <cellStyle name="Currency 5 2 2 4 3 3 2" xfId="13910" xr:uid="{00000000-0005-0000-0000-00007D170000}"/>
    <cellStyle name="Currency 5 2 2 4 3 4" xfId="9692" xr:uid="{00000000-0005-0000-0000-00007E170000}"/>
    <cellStyle name="Currency 5 2 2 4 4" xfId="1579" xr:uid="{00000000-0005-0000-0000-00007F170000}"/>
    <cellStyle name="Currency 5 2 2 4 4 2" xfId="3809" xr:uid="{00000000-0005-0000-0000-000080170000}"/>
    <cellStyle name="Currency 5 2 2 4 4 2 2" xfId="8032" xr:uid="{00000000-0005-0000-0000-000081170000}"/>
    <cellStyle name="Currency 5 2 2 4 4 2 2 2" xfId="16468" xr:uid="{00000000-0005-0000-0000-000082170000}"/>
    <cellStyle name="Currency 5 2 2 4 4 2 3" xfId="12250" xr:uid="{00000000-0005-0000-0000-000083170000}"/>
    <cellStyle name="Currency 5 2 2 4 4 3" xfId="5887" xr:uid="{00000000-0005-0000-0000-000084170000}"/>
    <cellStyle name="Currency 5 2 2 4 4 3 2" xfId="14323" xr:uid="{00000000-0005-0000-0000-000085170000}"/>
    <cellStyle name="Currency 5 2 2 4 4 4" xfId="10105" xr:uid="{00000000-0005-0000-0000-000086170000}"/>
    <cellStyle name="Currency 5 2 2 4 5" xfId="1993" xr:uid="{00000000-0005-0000-0000-000087170000}"/>
    <cellStyle name="Currency 5 2 2 4 5 2" xfId="4222" xr:uid="{00000000-0005-0000-0000-000088170000}"/>
    <cellStyle name="Currency 5 2 2 4 5 2 2" xfId="8445" xr:uid="{00000000-0005-0000-0000-000089170000}"/>
    <cellStyle name="Currency 5 2 2 4 5 2 2 2" xfId="16881" xr:uid="{00000000-0005-0000-0000-00008A170000}"/>
    <cellStyle name="Currency 5 2 2 4 5 2 3" xfId="12663" xr:uid="{00000000-0005-0000-0000-00008B170000}"/>
    <cellStyle name="Currency 5 2 2 4 5 3" xfId="6300" xr:uid="{00000000-0005-0000-0000-00008C170000}"/>
    <cellStyle name="Currency 5 2 2 4 5 3 2" xfId="14736" xr:uid="{00000000-0005-0000-0000-00008D170000}"/>
    <cellStyle name="Currency 5 2 2 4 5 4" xfId="10518" xr:uid="{00000000-0005-0000-0000-00008E170000}"/>
    <cellStyle name="Currency 5 2 2 4 6" xfId="2428" xr:uid="{00000000-0005-0000-0000-00008F170000}"/>
    <cellStyle name="Currency 5 2 2 4 6 2" xfId="6713" xr:uid="{00000000-0005-0000-0000-000090170000}"/>
    <cellStyle name="Currency 5 2 2 4 6 2 2" xfId="15149" xr:uid="{00000000-0005-0000-0000-000091170000}"/>
    <cellStyle name="Currency 5 2 2 4 6 3" xfId="10931" xr:uid="{00000000-0005-0000-0000-000092170000}"/>
    <cellStyle name="Currency 5 2 2 4 7" xfId="2725" xr:uid="{00000000-0005-0000-0000-000093170000}"/>
    <cellStyle name="Currency 5 2 2 4 8" xfId="2806" xr:uid="{00000000-0005-0000-0000-000094170000}"/>
    <cellStyle name="Currency 5 2 2 4 8 2" xfId="7030" xr:uid="{00000000-0005-0000-0000-000095170000}"/>
    <cellStyle name="Currency 5 2 2 4 8 2 2" xfId="15466" xr:uid="{00000000-0005-0000-0000-000096170000}"/>
    <cellStyle name="Currency 5 2 2 4 8 3" xfId="11248" xr:uid="{00000000-0005-0000-0000-000097170000}"/>
    <cellStyle name="Currency 5 2 2 4 9" xfId="4647" xr:uid="{00000000-0005-0000-0000-000098170000}"/>
    <cellStyle name="Currency 5 2 2 4 9 2" xfId="13083" xr:uid="{00000000-0005-0000-0000-000099170000}"/>
    <cellStyle name="Currency 5 2 2 5" xfId="203" xr:uid="{00000000-0005-0000-0000-00009A170000}"/>
    <cellStyle name="Currency 5 2 2 5 10" xfId="8866" xr:uid="{00000000-0005-0000-0000-00009B170000}"/>
    <cellStyle name="Currency 5 2 2 5 2" xfId="730" xr:uid="{00000000-0005-0000-0000-00009C170000}"/>
    <cellStyle name="Currency 5 2 2 5 2 2" xfId="2984" xr:uid="{00000000-0005-0000-0000-00009D170000}"/>
    <cellStyle name="Currency 5 2 2 5 2 2 2" xfId="7207" xr:uid="{00000000-0005-0000-0000-00009E170000}"/>
    <cellStyle name="Currency 5 2 2 5 2 2 2 2" xfId="15643" xr:uid="{00000000-0005-0000-0000-00009F170000}"/>
    <cellStyle name="Currency 5 2 2 5 2 2 3" xfId="11425" xr:uid="{00000000-0005-0000-0000-0000A0170000}"/>
    <cellStyle name="Currency 5 2 2 5 2 3" xfId="5062" xr:uid="{00000000-0005-0000-0000-0000A1170000}"/>
    <cellStyle name="Currency 5 2 2 5 2 3 2" xfId="13498" xr:uid="{00000000-0005-0000-0000-0000A2170000}"/>
    <cellStyle name="Currency 5 2 2 5 2 4" xfId="9280" xr:uid="{00000000-0005-0000-0000-0000A3170000}"/>
    <cellStyle name="Currency 5 2 2 5 3" xfId="1166" xr:uid="{00000000-0005-0000-0000-0000A4170000}"/>
    <cellStyle name="Currency 5 2 2 5 3 2" xfId="3397" xr:uid="{00000000-0005-0000-0000-0000A5170000}"/>
    <cellStyle name="Currency 5 2 2 5 3 2 2" xfId="7620" xr:uid="{00000000-0005-0000-0000-0000A6170000}"/>
    <cellStyle name="Currency 5 2 2 5 3 2 2 2" xfId="16056" xr:uid="{00000000-0005-0000-0000-0000A7170000}"/>
    <cellStyle name="Currency 5 2 2 5 3 2 3" xfId="11838" xr:uid="{00000000-0005-0000-0000-0000A8170000}"/>
    <cellStyle name="Currency 5 2 2 5 3 3" xfId="5475" xr:uid="{00000000-0005-0000-0000-0000A9170000}"/>
    <cellStyle name="Currency 5 2 2 5 3 3 2" xfId="13911" xr:uid="{00000000-0005-0000-0000-0000AA170000}"/>
    <cellStyle name="Currency 5 2 2 5 3 4" xfId="9693" xr:uid="{00000000-0005-0000-0000-0000AB170000}"/>
    <cellStyle name="Currency 5 2 2 5 4" xfId="1580" xr:uid="{00000000-0005-0000-0000-0000AC170000}"/>
    <cellStyle name="Currency 5 2 2 5 4 2" xfId="3810" xr:uid="{00000000-0005-0000-0000-0000AD170000}"/>
    <cellStyle name="Currency 5 2 2 5 4 2 2" xfId="8033" xr:uid="{00000000-0005-0000-0000-0000AE170000}"/>
    <cellStyle name="Currency 5 2 2 5 4 2 2 2" xfId="16469" xr:uid="{00000000-0005-0000-0000-0000AF170000}"/>
    <cellStyle name="Currency 5 2 2 5 4 2 3" xfId="12251" xr:uid="{00000000-0005-0000-0000-0000B0170000}"/>
    <cellStyle name="Currency 5 2 2 5 4 3" xfId="5888" xr:uid="{00000000-0005-0000-0000-0000B1170000}"/>
    <cellStyle name="Currency 5 2 2 5 4 3 2" xfId="14324" xr:uid="{00000000-0005-0000-0000-0000B2170000}"/>
    <cellStyle name="Currency 5 2 2 5 4 4" xfId="10106" xr:uid="{00000000-0005-0000-0000-0000B3170000}"/>
    <cellStyle name="Currency 5 2 2 5 5" xfId="1994" xr:uid="{00000000-0005-0000-0000-0000B4170000}"/>
    <cellStyle name="Currency 5 2 2 5 5 2" xfId="4223" xr:uid="{00000000-0005-0000-0000-0000B5170000}"/>
    <cellStyle name="Currency 5 2 2 5 5 2 2" xfId="8446" xr:uid="{00000000-0005-0000-0000-0000B6170000}"/>
    <cellStyle name="Currency 5 2 2 5 5 2 2 2" xfId="16882" xr:uid="{00000000-0005-0000-0000-0000B7170000}"/>
    <cellStyle name="Currency 5 2 2 5 5 2 3" xfId="12664" xr:uid="{00000000-0005-0000-0000-0000B8170000}"/>
    <cellStyle name="Currency 5 2 2 5 5 3" xfId="6301" xr:uid="{00000000-0005-0000-0000-0000B9170000}"/>
    <cellStyle name="Currency 5 2 2 5 5 3 2" xfId="14737" xr:uid="{00000000-0005-0000-0000-0000BA170000}"/>
    <cellStyle name="Currency 5 2 2 5 5 4" xfId="10519" xr:uid="{00000000-0005-0000-0000-0000BB170000}"/>
    <cellStyle name="Currency 5 2 2 5 6" xfId="2429" xr:uid="{00000000-0005-0000-0000-0000BC170000}"/>
    <cellStyle name="Currency 5 2 2 5 6 2" xfId="6714" xr:uid="{00000000-0005-0000-0000-0000BD170000}"/>
    <cellStyle name="Currency 5 2 2 5 6 2 2" xfId="15150" xr:uid="{00000000-0005-0000-0000-0000BE170000}"/>
    <cellStyle name="Currency 5 2 2 5 6 3" xfId="10932" xr:uid="{00000000-0005-0000-0000-0000BF170000}"/>
    <cellStyle name="Currency 5 2 2 5 7" xfId="2726" xr:uid="{00000000-0005-0000-0000-0000C0170000}"/>
    <cellStyle name="Currency 5 2 2 5 8" xfId="2807" xr:uid="{00000000-0005-0000-0000-0000C1170000}"/>
    <cellStyle name="Currency 5 2 2 5 8 2" xfId="7031" xr:uid="{00000000-0005-0000-0000-0000C2170000}"/>
    <cellStyle name="Currency 5 2 2 5 8 2 2" xfId="15467" xr:uid="{00000000-0005-0000-0000-0000C3170000}"/>
    <cellStyle name="Currency 5 2 2 5 8 3" xfId="11249" xr:uid="{00000000-0005-0000-0000-0000C4170000}"/>
    <cellStyle name="Currency 5 2 2 5 9" xfId="4648" xr:uid="{00000000-0005-0000-0000-0000C5170000}"/>
    <cellStyle name="Currency 5 2 2 5 9 2" xfId="13084" xr:uid="{00000000-0005-0000-0000-0000C6170000}"/>
    <cellStyle name="Currency 5 2 3" xfId="204" xr:uid="{00000000-0005-0000-0000-0000C7170000}"/>
    <cellStyle name="Currency 5 2 3 2" xfId="731" xr:uid="{00000000-0005-0000-0000-0000C8170000}"/>
    <cellStyle name="Currency 5 2 4" xfId="205" xr:uid="{00000000-0005-0000-0000-0000C9170000}"/>
    <cellStyle name="Currency 5 2 4 10" xfId="4649" xr:uid="{00000000-0005-0000-0000-0000CA170000}"/>
    <cellStyle name="Currency 5 2 4 10 2" xfId="13085" xr:uid="{00000000-0005-0000-0000-0000CB170000}"/>
    <cellStyle name="Currency 5 2 4 11" xfId="8867" xr:uid="{00000000-0005-0000-0000-0000CC170000}"/>
    <cellStyle name="Currency 5 2 4 2" xfId="206" xr:uid="{00000000-0005-0000-0000-0000CD170000}"/>
    <cellStyle name="Currency 5 2 4 2 10" xfId="8868" xr:uid="{00000000-0005-0000-0000-0000CE170000}"/>
    <cellStyle name="Currency 5 2 4 2 2" xfId="733" xr:uid="{00000000-0005-0000-0000-0000CF170000}"/>
    <cellStyle name="Currency 5 2 4 2 2 2" xfId="2986" xr:uid="{00000000-0005-0000-0000-0000D0170000}"/>
    <cellStyle name="Currency 5 2 4 2 2 2 2" xfId="7209" xr:uid="{00000000-0005-0000-0000-0000D1170000}"/>
    <cellStyle name="Currency 5 2 4 2 2 2 2 2" xfId="15645" xr:uid="{00000000-0005-0000-0000-0000D2170000}"/>
    <cellStyle name="Currency 5 2 4 2 2 2 3" xfId="11427" xr:uid="{00000000-0005-0000-0000-0000D3170000}"/>
    <cellStyle name="Currency 5 2 4 2 2 3" xfId="5064" xr:uid="{00000000-0005-0000-0000-0000D4170000}"/>
    <cellStyle name="Currency 5 2 4 2 2 3 2" xfId="13500" xr:uid="{00000000-0005-0000-0000-0000D5170000}"/>
    <cellStyle name="Currency 5 2 4 2 2 4" xfId="9282" xr:uid="{00000000-0005-0000-0000-0000D6170000}"/>
    <cellStyle name="Currency 5 2 4 2 3" xfId="1168" xr:uid="{00000000-0005-0000-0000-0000D7170000}"/>
    <cellStyle name="Currency 5 2 4 2 3 2" xfId="3399" xr:uid="{00000000-0005-0000-0000-0000D8170000}"/>
    <cellStyle name="Currency 5 2 4 2 3 2 2" xfId="7622" xr:uid="{00000000-0005-0000-0000-0000D9170000}"/>
    <cellStyle name="Currency 5 2 4 2 3 2 2 2" xfId="16058" xr:uid="{00000000-0005-0000-0000-0000DA170000}"/>
    <cellStyle name="Currency 5 2 4 2 3 2 3" xfId="11840" xr:uid="{00000000-0005-0000-0000-0000DB170000}"/>
    <cellStyle name="Currency 5 2 4 2 3 3" xfId="5477" xr:uid="{00000000-0005-0000-0000-0000DC170000}"/>
    <cellStyle name="Currency 5 2 4 2 3 3 2" xfId="13913" xr:uid="{00000000-0005-0000-0000-0000DD170000}"/>
    <cellStyle name="Currency 5 2 4 2 3 4" xfId="9695" xr:uid="{00000000-0005-0000-0000-0000DE170000}"/>
    <cellStyle name="Currency 5 2 4 2 4" xfId="1582" xr:uid="{00000000-0005-0000-0000-0000DF170000}"/>
    <cellStyle name="Currency 5 2 4 2 4 2" xfId="3812" xr:uid="{00000000-0005-0000-0000-0000E0170000}"/>
    <cellStyle name="Currency 5 2 4 2 4 2 2" xfId="8035" xr:uid="{00000000-0005-0000-0000-0000E1170000}"/>
    <cellStyle name="Currency 5 2 4 2 4 2 2 2" xfId="16471" xr:uid="{00000000-0005-0000-0000-0000E2170000}"/>
    <cellStyle name="Currency 5 2 4 2 4 2 3" xfId="12253" xr:uid="{00000000-0005-0000-0000-0000E3170000}"/>
    <cellStyle name="Currency 5 2 4 2 4 3" xfId="5890" xr:uid="{00000000-0005-0000-0000-0000E4170000}"/>
    <cellStyle name="Currency 5 2 4 2 4 3 2" xfId="14326" xr:uid="{00000000-0005-0000-0000-0000E5170000}"/>
    <cellStyle name="Currency 5 2 4 2 4 4" xfId="10108" xr:uid="{00000000-0005-0000-0000-0000E6170000}"/>
    <cellStyle name="Currency 5 2 4 2 5" xfId="1996" xr:uid="{00000000-0005-0000-0000-0000E7170000}"/>
    <cellStyle name="Currency 5 2 4 2 5 2" xfId="4225" xr:uid="{00000000-0005-0000-0000-0000E8170000}"/>
    <cellStyle name="Currency 5 2 4 2 5 2 2" xfId="8448" xr:uid="{00000000-0005-0000-0000-0000E9170000}"/>
    <cellStyle name="Currency 5 2 4 2 5 2 2 2" xfId="16884" xr:uid="{00000000-0005-0000-0000-0000EA170000}"/>
    <cellStyle name="Currency 5 2 4 2 5 2 3" xfId="12666" xr:uid="{00000000-0005-0000-0000-0000EB170000}"/>
    <cellStyle name="Currency 5 2 4 2 5 3" xfId="6303" xr:uid="{00000000-0005-0000-0000-0000EC170000}"/>
    <cellStyle name="Currency 5 2 4 2 5 3 2" xfId="14739" xr:uid="{00000000-0005-0000-0000-0000ED170000}"/>
    <cellStyle name="Currency 5 2 4 2 5 4" xfId="10521" xr:uid="{00000000-0005-0000-0000-0000EE170000}"/>
    <cellStyle name="Currency 5 2 4 2 6" xfId="2431" xr:uid="{00000000-0005-0000-0000-0000EF170000}"/>
    <cellStyle name="Currency 5 2 4 2 6 2" xfId="6716" xr:uid="{00000000-0005-0000-0000-0000F0170000}"/>
    <cellStyle name="Currency 5 2 4 2 6 2 2" xfId="15152" xr:uid="{00000000-0005-0000-0000-0000F1170000}"/>
    <cellStyle name="Currency 5 2 4 2 6 3" xfId="10934" xr:uid="{00000000-0005-0000-0000-0000F2170000}"/>
    <cellStyle name="Currency 5 2 4 2 7" xfId="2728" xr:uid="{00000000-0005-0000-0000-0000F3170000}"/>
    <cellStyle name="Currency 5 2 4 2 8" xfId="2809" xr:uid="{00000000-0005-0000-0000-0000F4170000}"/>
    <cellStyle name="Currency 5 2 4 2 8 2" xfId="7033" xr:uid="{00000000-0005-0000-0000-0000F5170000}"/>
    <cellStyle name="Currency 5 2 4 2 8 2 2" xfId="15469" xr:uid="{00000000-0005-0000-0000-0000F6170000}"/>
    <cellStyle name="Currency 5 2 4 2 8 3" xfId="11251" xr:uid="{00000000-0005-0000-0000-0000F7170000}"/>
    <cellStyle name="Currency 5 2 4 2 9" xfId="4650" xr:uid="{00000000-0005-0000-0000-0000F8170000}"/>
    <cellStyle name="Currency 5 2 4 2 9 2" xfId="13086" xr:uid="{00000000-0005-0000-0000-0000F9170000}"/>
    <cellStyle name="Currency 5 2 4 3" xfId="732" xr:uid="{00000000-0005-0000-0000-0000FA170000}"/>
    <cellStyle name="Currency 5 2 4 3 2" xfId="2985" xr:uid="{00000000-0005-0000-0000-0000FB170000}"/>
    <cellStyle name="Currency 5 2 4 3 2 2" xfId="7208" xr:uid="{00000000-0005-0000-0000-0000FC170000}"/>
    <cellStyle name="Currency 5 2 4 3 2 2 2" xfId="15644" xr:uid="{00000000-0005-0000-0000-0000FD170000}"/>
    <cellStyle name="Currency 5 2 4 3 2 3" xfId="11426" xr:uid="{00000000-0005-0000-0000-0000FE170000}"/>
    <cellStyle name="Currency 5 2 4 3 3" xfId="5063" xr:uid="{00000000-0005-0000-0000-0000FF170000}"/>
    <cellStyle name="Currency 5 2 4 3 3 2" xfId="13499" xr:uid="{00000000-0005-0000-0000-000000180000}"/>
    <cellStyle name="Currency 5 2 4 3 4" xfId="9281" xr:uid="{00000000-0005-0000-0000-000001180000}"/>
    <cellStyle name="Currency 5 2 4 4" xfId="1167" xr:uid="{00000000-0005-0000-0000-000002180000}"/>
    <cellStyle name="Currency 5 2 4 4 2" xfId="3398" xr:uid="{00000000-0005-0000-0000-000003180000}"/>
    <cellStyle name="Currency 5 2 4 4 2 2" xfId="7621" xr:uid="{00000000-0005-0000-0000-000004180000}"/>
    <cellStyle name="Currency 5 2 4 4 2 2 2" xfId="16057" xr:uid="{00000000-0005-0000-0000-000005180000}"/>
    <cellStyle name="Currency 5 2 4 4 2 3" xfId="11839" xr:uid="{00000000-0005-0000-0000-000006180000}"/>
    <cellStyle name="Currency 5 2 4 4 3" xfId="5476" xr:uid="{00000000-0005-0000-0000-000007180000}"/>
    <cellStyle name="Currency 5 2 4 4 3 2" xfId="13912" xr:uid="{00000000-0005-0000-0000-000008180000}"/>
    <cellStyle name="Currency 5 2 4 4 4" xfId="9694" xr:uid="{00000000-0005-0000-0000-000009180000}"/>
    <cellStyle name="Currency 5 2 4 5" xfId="1581" xr:uid="{00000000-0005-0000-0000-00000A180000}"/>
    <cellStyle name="Currency 5 2 4 5 2" xfId="3811" xr:uid="{00000000-0005-0000-0000-00000B180000}"/>
    <cellStyle name="Currency 5 2 4 5 2 2" xfId="8034" xr:uid="{00000000-0005-0000-0000-00000C180000}"/>
    <cellStyle name="Currency 5 2 4 5 2 2 2" xfId="16470" xr:uid="{00000000-0005-0000-0000-00000D180000}"/>
    <cellStyle name="Currency 5 2 4 5 2 3" xfId="12252" xr:uid="{00000000-0005-0000-0000-00000E180000}"/>
    <cellStyle name="Currency 5 2 4 5 3" xfId="5889" xr:uid="{00000000-0005-0000-0000-00000F180000}"/>
    <cellStyle name="Currency 5 2 4 5 3 2" xfId="14325" xr:uid="{00000000-0005-0000-0000-000010180000}"/>
    <cellStyle name="Currency 5 2 4 5 4" xfId="10107" xr:uid="{00000000-0005-0000-0000-000011180000}"/>
    <cellStyle name="Currency 5 2 4 6" xfId="1995" xr:uid="{00000000-0005-0000-0000-000012180000}"/>
    <cellStyle name="Currency 5 2 4 6 2" xfId="4224" xr:uid="{00000000-0005-0000-0000-000013180000}"/>
    <cellStyle name="Currency 5 2 4 6 2 2" xfId="8447" xr:uid="{00000000-0005-0000-0000-000014180000}"/>
    <cellStyle name="Currency 5 2 4 6 2 2 2" xfId="16883" xr:uid="{00000000-0005-0000-0000-000015180000}"/>
    <cellStyle name="Currency 5 2 4 6 2 3" xfId="12665" xr:uid="{00000000-0005-0000-0000-000016180000}"/>
    <cellStyle name="Currency 5 2 4 6 3" xfId="6302" xr:uid="{00000000-0005-0000-0000-000017180000}"/>
    <cellStyle name="Currency 5 2 4 6 3 2" xfId="14738" xr:uid="{00000000-0005-0000-0000-000018180000}"/>
    <cellStyle name="Currency 5 2 4 6 4" xfId="10520" xr:uid="{00000000-0005-0000-0000-000019180000}"/>
    <cellStyle name="Currency 5 2 4 7" xfId="2430" xr:uid="{00000000-0005-0000-0000-00001A180000}"/>
    <cellStyle name="Currency 5 2 4 7 2" xfId="6715" xr:uid="{00000000-0005-0000-0000-00001B180000}"/>
    <cellStyle name="Currency 5 2 4 7 2 2" xfId="15151" xr:uid="{00000000-0005-0000-0000-00001C180000}"/>
    <cellStyle name="Currency 5 2 4 7 3" xfId="10933" xr:uid="{00000000-0005-0000-0000-00001D180000}"/>
    <cellStyle name="Currency 5 2 4 8" xfId="2727" xr:uid="{00000000-0005-0000-0000-00001E180000}"/>
    <cellStyle name="Currency 5 2 4 9" xfId="2808" xr:uid="{00000000-0005-0000-0000-00001F180000}"/>
    <cellStyle name="Currency 5 2 4 9 2" xfId="7032" xr:uid="{00000000-0005-0000-0000-000020180000}"/>
    <cellStyle name="Currency 5 2 4 9 2 2" xfId="15468" xr:uid="{00000000-0005-0000-0000-000021180000}"/>
    <cellStyle name="Currency 5 2 4 9 3" xfId="11250" xr:uid="{00000000-0005-0000-0000-000022180000}"/>
    <cellStyle name="Currency 5 2 5" xfId="207" xr:uid="{00000000-0005-0000-0000-000023180000}"/>
    <cellStyle name="Currency 5 2 5 10" xfId="8869" xr:uid="{00000000-0005-0000-0000-000024180000}"/>
    <cellStyle name="Currency 5 2 5 2" xfId="734" xr:uid="{00000000-0005-0000-0000-000025180000}"/>
    <cellStyle name="Currency 5 2 5 2 2" xfId="2987" xr:uid="{00000000-0005-0000-0000-000026180000}"/>
    <cellStyle name="Currency 5 2 5 2 2 2" xfId="7210" xr:uid="{00000000-0005-0000-0000-000027180000}"/>
    <cellStyle name="Currency 5 2 5 2 2 2 2" xfId="15646" xr:uid="{00000000-0005-0000-0000-000028180000}"/>
    <cellStyle name="Currency 5 2 5 2 2 3" xfId="11428" xr:uid="{00000000-0005-0000-0000-000029180000}"/>
    <cellStyle name="Currency 5 2 5 2 3" xfId="5065" xr:uid="{00000000-0005-0000-0000-00002A180000}"/>
    <cellStyle name="Currency 5 2 5 2 3 2" xfId="13501" xr:uid="{00000000-0005-0000-0000-00002B180000}"/>
    <cellStyle name="Currency 5 2 5 2 4" xfId="9283" xr:uid="{00000000-0005-0000-0000-00002C180000}"/>
    <cellStyle name="Currency 5 2 5 3" xfId="1169" xr:uid="{00000000-0005-0000-0000-00002D180000}"/>
    <cellStyle name="Currency 5 2 5 3 2" xfId="3400" xr:uid="{00000000-0005-0000-0000-00002E180000}"/>
    <cellStyle name="Currency 5 2 5 3 2 2" xfId="7623" xr:uid="{00000000-0005-0000-0000-00002F180000}"/>
    <cellStyle name="Currency 5 2 5 3 2 2 2" xfId="16059" xr:uid="{00000000-0005-0000-0000-000030180000}"/>
    <cellStyle name="Currency 5 2 5 3 2 3" xfId="11841" xr:uid="{00000000-0005-0000-0000-000031180000}"/>
    <cellStyle name="Currency 5 2 5 3 3" xfId="5478" xr:uid="{00000000-0005-0000-0000-000032180000}"/>
    <cellStyle name="Currency 5 2 5 3 3 2" xfId="13914" xr:uid="{00000000-0005-0000-0000-000033180000}"/>
    <cellStyle name="Currency 5 2 5 3 4" xfId="9696" xr:uid="{00000000-0005-0000-0000-000034180000}"/>
    <cellStyle name="Currency 5 2 5 4" xfId="1583" xr:uid="{00000000-0005-0000-0000-000035180000}"/>
    <cellStyle name="Currency 5 2 5 4 2" xfId="3813" xr:uid="{00000000-0005-0000-0000-000036180000}"/>
    <cellStyle name="Currency 5 2 5 4 2 2" xfId="8036" xr:uid="{00000000-0005-0000-0000-000037180000}"/>
    <cellStyle name="Currency 5 2 5 4 2 2 2" xfId="16472" xr:uid="{00000000-0005-0000-0000-000038180000}"/>
    <cellStyle name="Currency 5 2 5 4 2 3" xfId="12254" xr:uid="{00000000-0005-0000-0000-000039180000}"/>
    <cellStyle name="Currency 5 2 5 4 3" xfId="5891" xr:uid="{00000000-0005-0000-0000-00003A180000}"/>
    <cellStyle name="Currency 5 2 5 4 3 2" xfId="14327" xr:uid="{00000000-0005-0000-0000-00003B180000}"/>
    <cellStyle name="Currency 5 2 5 4 4" xfId="10109" xr:uid="{00000000-0005-0000-0000-00003C180000}"/>
    <cellStyle name="Currency 5 2 5 5" xfId="1997" xr:uid="{00000000-0005-0000-0000-00003D180000}"/>
    <cellStyle name="Currency 5 2 5 5 2" xfId="4226" xr:uid="{00000000-0005-0000-0000-00003E180000}"/>
    <cellStyle name="Currency 5 2 5 5 2 2" xfId="8449" xr:uid="{00000000-0005-0000-0000-00003F180000}"/>
    <cellStyle name="Currency 5 2 5 5 2 2 2" xfId="16885" xr:uid="{00000000-0005-0000-0000-000040180000}"/>
    <cellStyle name="Currency 5 2 5 5 2 3" xfId="12667" xr:uid="{00000000-0005-0000-0000-000041180000}"/>
    <cellStyle name="Currency 5 2 5 5 3" xfId="6304" xr:uid="{00000000-0005-0000-0000-000042180000}"/>
    <cellStyle name="Currency 5 2 5 5 3 2" xfId="14740" xr:uid="{00000000-0005-0000-0000-000043180000}"/>
    <cellStyle name="Currency 5 2 5 5 4" xfId="10522" xr:uid="{00000000-0005-0000-0000-000044180000}"/>
    <cellStyle name="Currency 5 2 5 6" xfId="2432" xr:uid="{00000000-0005-0000-0000-000045180000}"/>
    <cellStyle name="Currency 5 2 5 6 2" xfId="6717" xr:uid="{00000000-0005-0000-0000-000046180000}"/>
    <cellStyle name="Currency 5 2 5 6 2 2" xfId="15153" xr:uid="{00000000-0005-0000-0000-000047180000}"/>
    <cellStyle name="Currency 5 2 5 6 3" xfId="10935" xr:uid="{00000000-0005-0000-0000-000048180000}"/>
    <cellStyle name="Currency 5 2 5 7" xfId="2729" xr:uid="{00000000-0005-0000-0000-000049180000}"/>
    <cellStyle name="Currency 5 2 5 8" xfId="2810" xr:uid="{00000000-0005-0000-0000-00004A180000}"/>
    <cellStyle name="Currency 5 2 5 8 2" xfId="7034" xr:uid="{00000000-0005-0000-0000-00004B180000}"/>
    <cellStyle name="Currency 5 2 5 8 2 2" xfId="15470" xr:uid="{00000000-0005-0000-0000-00004C180000}"/>
    <cellStyle name="Currency 5 2 5 8 3" xfId="11252" xr:uid="{00000000-0005-0000-0000-00004D180000}"/>
    <cellStyle name="Currency 5 2 5 9" xfId="4651" xr:uid="{00000000-0005-0000-0000-00004E180000}"/>
    <cellStyle name="Currency 5 2 5 9 2" xfId="13087" xr:uid="{00000000-0005-0000-0000-00004F180000}"/>
    <cellStyle name="Currency 5 2 6" xfId="208" xr:uid="{00000000-0005-0000-0000-000050180000}"/>
    <cellStyle name="Currency 5 2 6 10" xfId="8870" xr:uid="{00000000-0005-0000-0000-000051180000}"/>
    <cellStyle name="Currency 5 2 6 2" xfId="735" xr:uid="{00000000-0005-0000-0000-000052180000}"/>
    <cellStyle name="Currency 5 2 6 2 2" xfId="2988" xr:uid="{00000000-0005-0000-0000-000053180000}"/>
    <cellStyle name="Currency 5 2 6 2 2 2" xfId="7211" xr:uid="{00000000-0005-0000-0000-000054180000}"/>
    <cellStyle name="Currency 5 2 6 2 2 2 2" xfId="15647" xr:uid="{00000000-0005-0000-0000-000055180000}"/>
    <cellStyle name="Currency 5 2 6 2 2 3" xfId="11429" xr:uid="{00000000-0005-0000-0000-000056180000}"/>
    <cellStyle name="Currency 5 2 6 2 3" xfId="5066" xr:uid="{00000000-0005-0000-0000-000057180000}"/>
    <cellStyle name="Currency 5 2 6 2 3 2" xfId="13502" xr:uid="{00000000-0005-0000-0000-000058180000}"/>
    <cellStyle name="Currency 5 2 6 2 4" xfId="9284" xr:uid="{00000000-0005-0000-0000-000059180000}"/>
    <cellStyle name="Currency 5 2 6 3" xfId="1170" xr:uid="{00000000-0005-0000-0000-00005A180000}"/>
    <cellStyle name="Currency 5 2 6 3 2" xfId="3401" xr:uid="{00000000-0005-0000-0000-00005B180000}"/>
    <cellStyle name="Currency 5 2 6 3 2 2" xfId="7624" xr:uid="{00000000-0005-0000-0000-00005C180000}"/>
    <cellStyle name="Currency 5 2 6 3 2 2 2" xfId="16060" xr:uid="{00000000-0005-0000-0000-00005D180000}"/>
    <cellStyle name="Currency 5 2 6 3 2 3" xfId="11842" xr:uid="{00000000-0005-0000-0000-00005E180000}"/>
    <cellStyle name="Currency 5 2 6 3 3" xfId="5479" xr:uid="{00000000-0005-0000-0000-00005F180000}"/>
    <cellStyle name="Currency 5 2 6 3 3 2" xfId="13915" xr:uid="{00000000-0005-0000-0000-000060180000}"/>
    <cellStyle name="Currency 5 2 6 3 4" xfId="9697" xr:uid="{00000000-0005-0000-0000-000061180000}"/>
    <cellStyle name="Currency 5 2 6 4" xfId="1584" xr:uid="{00000000-0005-0000-0000-000062180000}"/>
    <cellStyle name="Currency 5 2 6 4 2" xfId="3814" xr:uid="{00000000-0005-0000-0000-000063180000}"/>
    <cellStyle name="Currency 5 2 6 4 2 2" xfId="8037" xr:uid="{00000000-0005-0000-0000-000064180000}"/>
    <cellStyle name="Currency 5 2 6 4 2 2 2" xfId="16473" xr:uid="{00000000-0005-0000-0000-000065180000}"/>
    <cellStyle name="Currency 5 2 6 4 2 3" xfId="12255" xr:uid="{00000000-0005-0000-0000-000066180000}"/>
    <cellStyle name="Currency 5 2 6 4 3" xfId="5892" xr:uid="{00000000-0005-0000-0000-000067180000}"/>
    <cellStyle name="Currency 5 2 6 4 3 2" xfId="14328" xr:uid="{00000000-0005-0000-0000-000068180000}"/>
    <cellStyle name="Currency 5 2 6 4 4" xfId="10110" xr:uid="{00000000-0005-0000-0000-000069180000}"/>
    <cellStyle name="Currency 5 2 6 5" xfId="1998" xr:uid="{00000000-0005-0000-0000-00006A180000}"/>
    <cellStyle name="Currency 5 2 6 5 2" xfId="4227" xr:uid="{00000000-0005-0000-0000-00006B180000}"/>
    <cellStyle name="Currency 5 2 6 5 2 2" xfId="8450" xr:uid="{00000000-0005-0000-0000-00006C180000}"/>
    <cellStyle name="Currency 5 2 6 5 2 2 2" xfId="16886" xr:uid="{00000000-0005-0000-0000-00006D180000}"/>
    <cellStyle name="Currency 5 2 6 5 2 3" xfId="12668" xr:uid="{00000000-0005-0000-0000-00006E180000}"/>
    <cellStyle name="Currency 5 2 6 5 3" xfId="6305" xr:uid="{00000000-0005-0000-0000-00006F180000}"/>
    <cellStyle name="Currency 5 2 6 5 3 2" xfId="14741" xr:uid="{00000000-0005-0000-0000-000070180000}"/>
    <cellStyle name="Currency 5 2 6 5 4" xfId="10523" xr:uid="{00000000-0005-0000-0000-000071180000}"/>
    <cellStyle name="Currency 5 2 6 6" xfId="2433" xr:uid="{00000000-0005-0000-0000-000072180000}"/>
    <cellStyle name="Currency 5 2 6 6 2" xfId="6718" xr:uid="{00000000-0005-0000-0000-000073180000}"/>
    <cellStyle name="Currency 5 2 6 6 2 2" xfId="15154" xr:uid="{00000000-0005-0000-0000-000074180000}"/>
    <cellStyle name="Currency 5 2 6 6 3" xfId="10936" xr:uid="{00000000-0005-0000-0000-000075180000}"/>
    <cellStyle name="Currency 5 2 6 7" xfId="2730" xr:uid="{00000000-0005-0000-0000-000076180000}"/>
    <cellStyle name="Currency 5 2 6 8" xfId="2811" xr:uid="{00000000-0005-0000-0000-000077180000}"/>
    <cellStyle name="Currency 5 2 6 8 2" xfId="7035" xr:uid="{00000000-0005-0000-0000-000078180000}"/>
    <cellStyle name="Currency 5 2 6 8 2 2" xfId="15471" xr:uid="{00000000-0005-0000-0000-000079180000}"/>
    <cellStyle name="Currency 5 2 6 8 3" xfId="11253" xr:uid="{00000000-0005-0000-0000-00007A180000}"/>
    <cellStyle name="Currency 5 2 6 9" xfId="4652" xr:uid="{00000000-0005-0000-0000-00007B180000}"/>
    <cellStyle name="Currency 5 2 6 9 2" xfId="13088" xr:uid="{00000000-0005-0000-0000-00007C180000}"/>
    <cellStyle name="Currency 5 2 7" xfId="722" xr:uid="{00000000-0005-0000-0000-00007D180000}"/>
    <cellStyle name="Currency 5 3" xfId="209" xr:uid="{00000000-0005-0000-0000-00007E180000}"/>
    <cellStyle name="Currency 5 3 2" xfId="210" xr:uid="{00000000-0005-0000-0000-00007F180000}"/>
    <cellStyle name="Currency 5 3 2 10" xfId="2812" xr:uid="{00000000-0005-0000-0000-000080180000}"/>
    <cellStyle name="Currency 5 3 2 10 2" xfId="7036" xr:uid="{00000000-0005-0000-0000-000081180000}"/>
    <cellStyle name="Currency 5 3 2 10 2 2" xfId="15472" xr:uid="{00000000-0005-0000-0000-000082180000}"/>
    <cellStyle name="Currency 5 3 2 10 3" xfId="11254" xr:uid="{00000000-0005-0000-0000-000083180000}"/>
    <cellStyle name="Currency 5 3 2 11" xfId="4653" xr:uid="{00000000-0005-0000-0000-000084180000}"/>
    <cellStyle name="Currency 5 3 2 11 2" xfId="13089" xr:uid="{00000000-0005-0000-0000-000085180000}"/>
    <cellStyle name="Currency 5 3 2 12" xfId="8871" xr:uid="{00000000-0005-0000-0000-000086180000}"/>
    <cellStyle name="Currency 5 3 2 2" xfId="211" xr:uid="{00000000-0005-0000-0000-000087180000}"/>
    <cellStyle name="Currency 5 3 2 2 10" xfId="4654" xr:uid="{00000000-0005-0000-0000-000088180000}"/>
    <cellStyle name="Currency 5 3 2 2 10 2" xfId="13090" xr:uid="{00000000-0005-0000-0000-000089180000}"/>
    <cellStyle name="Currency 5 3 2 2 11" xfId="8872" xr:uid="{00000000-0005-0000-0000-00008A180000}"/>
    <cellStyle name="Currency 5 3 2 2 2" xfId="212" xr:uid="{00000000-0005-0000-0000-00008B180000}"/>
    <cellStyle name="Currency 5 3 2 2 2 10" xfId="8873" xr:uid="{00000000-0005-0000-0000-00008C180000}"/>
    <cellStyle name="Currency 5 3 2 2 2 2" xfId="738" xr:uid="{00000000-0005-0000-0000-00008D180000}"/>
    <cellStyle name="Currency 5 3 2 2 2 2 2" xfId="2991" xr:uid="{00000000-0005-0000-0000-00008E180000}"/>
    <cellStyle name="Currency 5 3 2 2 2 2 2 2" xfId="7214" xr:uid="{00000000-0005-0000-0000-00008F180000}"/>
    <cellStyle name="Currency 5 3 2 2 2 2 2 2 2" xfId="15650" xr:uid="{00000000-0005-0000-0000-000090180000}"/>
    <cellStyle name="Currency 5 3 2 2 2 2 2 3" xfId="11432" xr:uid="{00000000-0005-0000-0000-000091180000}"/>
    <cellStyle name="Currency 5 3 2 2 2 2 3" xfId="5069" xr:uid="{00000000-0005-0000-0000-000092180000}"/>
    <cellStyle name="Currency 5 3 2 2 2 2 3 2" xfId="13505" xr:uid="{00000000-0005-0000-0000-000093180000}"/>
    <cellStyle name="Currency 5 3 2 2 2 2 4" xfId="9287" xr:uid="{00000000-0005-0000-0000-000094180000}"/>
    <cellStyle name="Currency 5 3 2 2 2 3" xfId="1173" xr:uid="{00000000-0005-0000-0000-000095180000}"/>
    <cellStyle name="Currency 5 3 2 2 2 3 2" xfId="3404" xr:uid="{00000000-0005-0000-0000-000096180000}"/>
    <cellStyle name="Currency 5 3 2 2 2 3 2 2" xfId="7627" xr:uid="{00000000-0005-0000-0000-000097180000}"/>
    <cellStyle name="Currency 5 3 2 2 2 3 2 2 2" xfId="16063" xr:uid="{00000000-0005-0000-0000-000098180000}"/>
    <cellStyle name="Currency 5 3 2 2 2 3 2 3" xfId="11845" xr:uid="{00000000-0005-0000-0000-000099180000}"/>
    <cellStyle name="Currency 5 3 2 2 2 3 3" xfId="5482" xr:uid="{00000000-0005-0000-0000-00009A180000}"/>
    <cellStyle name="Currency 5 3 2 2 2 3 3 2" xfId="13918" xr:uid="{00000000-0005-0000-0000-00009B180000}"/>
    <cellStyle name="Currency 5 3 2 2 2 3 4" xfId="9700" xr:uid="{00000000-0005-0000-0000-00009C180000}"/>
    <cellStyle name="Currency 5 3 2 2 2 4" xfId="1587" xr:uid="{00000000-0005-0000-0000-00009D180000}"/>
    <cellStyle name="Currency 5 3 2 2 2 4 2" xfId="3817" xr:uid="{00000000-0005-0000-0000-00009E180000}"/>
    <cellStyle name="Currency 5 3 2 2 2 4 2 2" xfId="8040" xr:uid="{00000000-0005-0000-0000-00009F180000}"/>
    <cellStyle name="Currency 5 3 2 2 2 4 2 2 2" xfId="16476" xr:uid="{00000000-0005-0000-0000-0000A0180000}"/>
    <cellStyle name="Currency 5 3 2 2 2 4 2 3" xfId="12258" xr:uid="{00000000-0005-0000-0000-0000A1180000}"/>
    <cellStyle name="Currency 5 3 2 2 2 4 3" xfId="5895" xr:uid="{00000000-0005-0000-0000-0000A2180000}"/>
    <cellStyle name="Currency 5 3 2 2 2 4 3 2" xfId="14331" xr:uid="{00000000-0005-0000-0000-0000A3180000}"/>
    <cellStyle name="Currency 5 3 2 2 2 4 4" xfId="10113" xr:uid="{00000000-0005-0000-0000-0000A4180000}"/>
    <cellStyle name="Currency 5 3 2 2 2 5" xfId="2001" xr:uid="{00000000-0005-0000-0000-0000A5180000}"/>
    <cellStyle name="Currency 5 3 2 2 2 5 2" xfId="4230" xr:uid="{00000000-0005-0000-0000-0000A6180000}"/>
    <cellStyle name="Currency 5 3 2 2 2 5 2 2" xfId="8453" xr:uid="{00000000-0005-0000-0000-0000A7180000}"/>
    <cellStyle name="Currency 5 3 2 2 2 5 2 2 2" xfId="16889" xr:uid="{00000000-0005-0000-0000-0000A8180000}"/>
    <cellStyle name="Currency 5 3 2 2 2 5 2 3" xfId="12671" xr:uid="{00000000-0005-0000-0000-0000A9180000}"/>
    <cellStyle name="Currency 5 3 2 2 2 5 3" xfId="6308" xr:uid="{00000000-0005-0000-0000-0000AA180000}"/>
    <cellStyle name="Currency 5 3 2 2 2 5 3 2" xfId="14744" xr:uid="{00000000-0005-0000-0000-0000AB180000}"/>
    <cellStyle name="Currency 5 3 2 2 2 5 4" xfId="10526" xr:uid="{00000000-0005-0000-0000-0000AC180000}"/>
    <cellStyle name="Currency 5 3 2 2 2 6" xfId="2436" xr:uid="{00000000-0005-0000-0000-0000AD180000}"/>
    <cellStyle name="Currency 5 3 2 2 2 6 2" xfId="6721" xr:uid="{00000000-0005-0000-0000-0000AE180000}"/>
    <cellStyle name="Currency 5 3 2 2 2 6 2 2" xfId="15157" xr:uid="{00000000-0005-0000-0000-0000AF180000}"/>
    <cellStyle name="Currency 5 3 2 2 2 6 3" xfId="10939" xr:uid="{00000000-0005-0000-0000-0000B0180000}"/>
    <cellStyle name="Currency 5 3 2 2 2 7" xfId="2733" xr:uid="{00000000-0005-0000-0000-0000B1180000}"/>
    <cellStyle name="Currency 5 3 2 2 2 8" xfId="2814" xr:uid="{00000000-0005-0000-0000-0000B2180000}"/>
    <cellStyle name="Currency 5 3 2 2 2 8 2" xfId="7038" xr:uid="{00000000-0005-0000-0000-0000B3180000}"/>
    <cellStyle name="Currency 5 3 2 2 2 8 2 2" xfId="15474" xr:uid="{00000000-0005-0000-0000-0000B4180000}"/>
    <cellStyle name="Currency 5 3 2 2 2 8 3" xfId="11256" xr:uid="{00000000-0005-0000-0000-0000B5180000}"/>
    <cellStyle name="Currency 5 3 2 2 2 9" xfId="4655" xr:uid="{00000000-0005-0000-0000-0000B6180000}"/>
    <cellStyle name="Currency 5 3 2 2 2 9 2" xfId="13091" xr:uid="{00000000-0005-0000-0000-0000B7180000}"/>
    <cellStyle name="Currency 5 3 2 2 3" xfId="737" xr:uid="{00000000-0005-0000-0000-0000B8180000}"/>
    <cellStyle name="Currency 5 3 2 2 3 2" xfId="2990" xr:uid="{00000000-0005-0000-0000-0000B9180000}"/>
    <cellStyle name="Currency 5 3 2 2 3 2 2" xfId="7213" xr:uid="{00000000-0005-0000-0000-0000BA180000}"/>
    <cellStyle name="Currency 5 3 2 2 3 2 2 2" xfId="15649" xr:uid="{00000000-0005-0000-0000-0000BB180000}"/>
    <cellStyle name="Currency 5 3 2 2 3 2 3" xfId="11431" xr:uid="{00000000-0005-0000-0000-0000BC180000}"/>
    <cellStyle name="Currency 5 3 2 2 3 3" xfId="5068" xr:uid="{00000000-0005-0000-0000-0000BD180000}"/>
    <cellStyle name="Currency 5 3 2 2 3 3 2" xfId="13504" xr:uid="{00000000-0005-0000-0000-0000BE180000}"/>
    <cellStyle name="Currency 5 3 2 2 3 4" xfId="9286" xr:uid="{00000000-0005-0000-0000-0000BF180000}"/>
    <cellStyle name="Currency 5 3 2 2 4" xfId="1172" xr:uid="{00000000-0005-0000-0000-0000C0180000}"/>
    <cellStyle name="Currency 5 3 2 2 4 2" xfId="3403" xr:uid="{00000000-0005-0000-0000-0000C1180000}"/>
    <cellStyle name="Currency 5 3 2 2 4 2 2" xfId="7626" xr:uid="{00000000-0005-0000-0000-0000C2180000}"/>
    <cellStyle name="Currency 5 3 2 2 4 2 2 2" xfId="16062" xr:uid="{00000000-0005-0000-0000-0000C3180000}"/>
    <cellStyle name="Currency 5 3 2 2 4 2 3" xfId="11844" xr:uid="{00000000-0005-0000-0000-0000C4180000}"/>
    <cellStyle name="Currency 5 3 2 2 4 3" xfId="5481" xr:uid="{00000000-0005-0000-0000-0000C5180000}"/>
    <cellStyle name="Currency 5 3 2 2 4 3 2" xfId="13917" xr:uid="{00000000-0005-0000-0000-0000C6180000}"/>
    <cellStyle name="Currency 5 3 2 2 4 4" xfId="9699" xr:uid="{00000000-0005-0000-0000-0000C7180000}"/>
    <cellStyle name="Currency 5 3 2 2 5" xfId="1586" xr:uid="{00000000-0005-0000-0000-0000C8180000}"/>
    <cellStyle name="Currency 5 3 2 2 5 2" xfId="3816" xr:uid="{00000000-0005-0000-0000-0000C9180000}"/>
    <cellStyle name="Currency 5 3 2 2 5 2 2" xfId="8039" xr:uid="{00000000-0005-0000-0000-0000CA180000}"/>
    <cellStyle name="Currency 5 3 2 2 5 2 2 2" xfId="16475" xr:uid="{00000000-0005-0000-0000-0000CB180000}"/>
    <cellStyle name="Currency 5 3 2 2 5 2 3" xfId="12257" xr:uid="{00000000-0005-0000-0000-0000CC180000}"/>
    <cellStyle name="Currency 5 3 2 2 5 3" xfId="5894" xr:uid="{00000000-0005-0000-0000-0000CD180000}"/>
    <cellStyle name="Currency 5 3 2 2 5 3 2" xfId="14330" xr:uid="{00000000-0005-0000-0000-0000CE180000}"/>
    <cellStyle name="Currency 5 3 2 2 5 4" xfId="10112" xr:uid="{00000000-0005-0000-0000-0000CF180000}"/>
    <cellStyle name="Currency 5 3 2 2 6" xfId="2000" xr:uid="{00000000-0005-0000-0000-0000D0180000}"/>
    <cellStyle name="Currency 5 3 2 2 6 2" xfId="4229" xr:uid="{00000000-0005-0000-0000-0000D1180000}"/>
    <cellStyle name="Currency 5 3 2 2 6 2 2" xfId="8452" xr:uid="{00000000-0005-0000-0000-0000D2180000}"/>
    <cellStyle name="Currency 5 3 2 2 6 2 2 2" xfId="16888" xr:uid="{00000000-0005-0000-0000-0000D3180000}"/>
    <cellStyle name="Currency 5 3 2 2 6 2 3" xfId="12670" xr:uid="{00000000-0005-0000-0000-0000D4180000}"/>
    <cellStyle name="Currency 5 3 2 2 6 3" xfId="6307" xr:uid="{00000000-0005-0000-0000-0000D5180000}"/>
    <cellStyle name="Currency 5 3 2 2 6 3 2" xfId="14743" xr:uid="{00000000-0005-0000-0000-0000D6180000}"/>
    <cellStyle name="Currency 5 3 2 2 6 4" xfId="10525" xr:uid="{00000000-0005-0000-0000-0000D7180000}"/>
    <cellStyle name="Currency 5 3 2 2 7" xfId="2435" xr:uid="{00000000-0005-0000-0000-0000D8180000}"/>
    <cellStyle name="Currency 5 3 2 2 7 2" xfId="6720" xr:uid="{00000000-0005-0000-0000-0000D9180000}"/>
    <cellStyle name="Currency 5 3 2 2 7 2 2" xfId="15156" xr:uid="{00000000-0005-0000-0000-0000DA180000}"/>
    <cellStyle name="Currency 5 3 2 2 7 3" xfId="10938" xr:uid="{00000000-0005-0000-0000-0000DB180000}"/>
    <cellStyle name="Currency 5 3 2 2 8" xfId="2732" xr:uid="{00000000-0005-0000-0000-0000DC180000}"/>
    <cellStyle name="Currency 5 3 2 2 9" xfId="2813" xr:uid="{00000000-0005-0000-0000-0000DD180000}"/>
    <cellStyle name="Currency 5 3 2 2 9 2" xfId="7037" xr:uid="{00000000-0005-0000-0000-0000DE180000}"/>
    <cellStyle name="Currency 5 3 2 2 9 2 2" xfId="15473" xr:uid="{00000000-0005-0000-0000-0000DF180000}"/>
    <cellStyle name="Currency 5 3 2 2 9 3" xfId="11255" xr:uid="{00000000-0005-0000-0000-0000E0180000}"/>
    <cellStyle name="Currency 5 3 2 3" xfId="213" xr:uid="{00000000-0005-0000-0000-0000E1180000}"/>
    <cellStyle name="Currency 5 3 2 3 10" xfId="8874" xr:uid="{00000000-0005-0000-0000-0000E2180000}"/>
    <cellStyle name="Currency 5 3 2 3 2" xfId="739" xr:uid="{00000000-0005-0000-0000-0000E3180000}"/>
    <cellStyle name="Currency 5 3 2 3 2 2" xfId="2992" xr:uid="{00000000-0005-0000-0000-0000E4180000}"/>
    <cellStyle name="Currency 5 3 2 3 2 2 2" xfId="7215" xr:uid="{00000000-0005-0000-0000-0000E5180000}"/>
    <cellStyle name="Currency 5 3 2 3 2 2 2 2" xfId="15651" xr:uid="{00000000-0005-0000-0000-0000E6180000}"/>
    <cellStyle name="Currency 5 3 2 3 2 2 3" xfId="11433" xr:uid="{00000000-0005-0000-0000-0000E7180000}"/>
    <cellStyle name="Currency 5 3 2 3 2 3" xfId="5070" xr:uid="{00000000-0005-0000-0000-0000E8180000}"/>
    <cellStyle name="Currency 5 3 2 3 2 3 2" xfId="13506" xr:uid="{00000000-0005-0000-0000-0000E9180000}"/>
    <cellStyle name="Currency 5 3 2 3 2 4" xfId="9288" xr:uid="{00000000-0005-0000-0000-0000EA180000}"/>
    <cellStyle name="Currency 5 3 2 3 3" xfId="1174" xr:uid="{00000000-0005-0000-0000-0000EB180000}"/>
    <cellStyle name="Currency 5 3 2 3 3 2" xfId="3405" xr:uid="{00000000-0005-0000-0000-0000EC180000}"/>
    <cellStyle name="Currency 5 3 2 3 3 2 2" xfId="7628" xr:uid="{00000000-0005-0000-0000-0000ED180000}"/>
    <cellStyle name="Currency 5 3 2 3 3 2 2 2" xfId="16064" xr:uid="{00000000-0005-0000-0000-0000EE180000}"/>
    <cellStyle name="Currency 5 3 2 3 3 2 3" xfId="11846" xr:uid="{00000000-0005-0000-0000-0000EF180000}"/>
    <cellStyle name="Currency 5 3 2 3 3 3" xfId="5483" xr:uid="{00000000-0005-0000-0000-0000F0180000}"/>
    <cellStyle name="Currency 5 3 2 3 3 3 2" xfId="13919" xr:uid="{00000000-0005-0000-0000-0000F1180000}"/>
    <cellStyle name="Currency 5 3 2 3 3 4" xfId="9701" xr:uid="{00000000-0005-0000-0000-0000F2180000}"/>
    <cellStyle name="Currency 5 3 2 3 4" xfId="1588" xr:uid="{00000000-0005-0000-0000-0000F3180000}"/>
    <cellStyle name="Currency 5 3 2 3 4 2" xfId="3818" xr:uid="{00000000-0005-0000-0000-0000F4180000}"/>
    <cellStyle name="Currency 5 3 2 3 4 2 2" xfId="8041" xr:uid="{00000000-0005-0000-0000-0000F5180000}"/>
    <cellStyle name="Currency 5 3 2 3 4 2 2 2" xfId="16477" xr:uid="{00000000-0005-0000-0000-0000F6180000}"/>
    <cellStyle name="Currency 5 3 2 3 4 2 3" xfId="12259" xr:uid="{00000000-0005-0000-0000-0000F7180000}"/>
    <cellStyle name="Currency 5 3 2 3 4 3" xfId="5896" xr:uid="{00000000-0005-0000-0000-0000F8180000}"/>
    <cellStyle name="Currency 5 3 2 3 4 3 2" xfId="14332" xr:uid="{00000000-0005-0000-0000-0000F9180000}"/>
    <cellStyle name="Currency 5 3 2 3 4 4" xfId="10114" xr:uid="{00000000-0005-0000-0000-0000FA180000}"/>
    <cellStyle name="Currency 5 3 2 3 5" xfId="2002" xr:uid="{00000000-0005-0000-0000-0000FB180000}"/>
    <cellStyle name="Currency 5 3 2 3 5 2" xfId="4231" xr:uid="{00000000-0005-0000-0000-0000FC180000}"/>
    <cellStyle name="Currency 5 3 2 3 5 2 2" xfId="8454" xr:uid="{00000000-0005-0000-0000-0000FD180000}"/>
    <cellStyle name="Currency 5 3 2 3 5 2 2 2" xfId="16890" xr:uid="{00000000-0005-0000-0000-0000FE180000}"/>
    <cellStyle name="Currency 5 3 2 3 5 2 3" xfId="12672" xr:uid="{00000000-0005-0000-0000-0000FF180000}"/>
    <cellStyle name="Currency 5 3 2 3 5 3" xfId="6309" xr:uid="{00000000-0005-0000-0000-000000190000}"/>
    <cellStyle name="Currency 5 3 2 3 5 3 2" xfId="14745" xr:uid="{00000000-0005-0000-0000-000001190000}"/>
    <cellStyle name="Currency 5 3 2 3 5 4" xfId="10527" xr:uid="{00000000-0005-0000-0000-000002190000}"/>
    <cellStyle name="Currency 5 3 2 3 6" xfId="2437" xr:uid="{00000000-0005-0000-0000-000003190000}"/>
    <cellStyle name="Currency 5 3 2 3 6 2" xfId="6722" xr:uid="{00000000-0005-0000-0000-000004190000}"/>
    <cellStyle name="Currency 5 3 2 3 6 2 2" xfId="15158" xr:uid="{00000000-0005-0000-0000-000005190000}"/>
    <cellStyle name="Currency 5 3 2 3 6 3" xfId="10940" xr:uid="{00000000-0005-0000-0000-000006190000}"/>
    <cellStyle name="Currency 5 3 2 3 7" xfId="2734" xr:uid="{00000000-0005-0000-0000-000007190000}"/>
    <cellStyle name="Currency 5 3 2 3 8" xfId="2815" xr:uid="{00000000-0005-0000-0000-000008190000}"/>
    <cellStyle name="Currency 5 3 2 3 8 2" xfId="7039" xr:uid="{00000000-0005-0000-0000-000009190000}"/>
    <cellStyle name="Currency 5 3 2 3 8 2 2" xfId="15475" xr:uid="{00000000-0005-0000-0000-00000A190000}"/>
    <cellStyle name="Currency 5 3 2 3 8 3" xfId="11257" xr:uid="{00000000-0005-0000-0000-00000B190000}"/>
    <cellStyle name="Currency 5 3 2 3 9" xfId="4656" xr:uid="{00000000-0005-0000-0000-00000C190000}"/>
    <cellStyle name="Currency 5 3 2 3 9 2" xfId="13092" xr:uid="{00000000-0005-0000-0000-00000D190000}"/>
    <cellStyle name="Currency 5 3 2 4" xfId="736" xr:uid="{00000000-0005-0000-0000-00000E190000}"/>
    <cellStyle name="Currency 5 3 2 4 2" xfId="2989" xr:uid="{00000000-0005-0000-0000-00000F190000}"/>
    <cellStyle name="Currency 5 3 2 4 2 2" xfId="7212" xr:uid="{00000000-0005-0000-0000-000010190000}"/>
    <cellStyle name="Currency 5 3 2 4 2 2 2" xfId="15648" xr:uid="{00000000-0005-0000-0000-000011190000}"/>
    <cellStyle name="Currency 5 3 2 4 2 3" xfId="11430" xr:uid="{00000000-0005-0000-0000-000012190000}"/>
    <cellStyle name="Currency 5 3 2 4 3" xfId="5067" xr:uid="{00000000-0005-0000-0000-000013190000}"/>
    <cellStyle name="Currency 5 3 2 4 3 2" xfId="13503" xr:uid="{00000000-0005-0000-0000-000014190000}"/>
    <cellStyle name="Currency 5 3 2 4 4" xfId="9285" xr:uid="{00000000-0005-0000-0000-000015190000}"/>
    <cellStyle name="Currency 5 3 2 5" xfId="1171" xr:uid="{00000000-0005-0000-0000-000016190000}"/>
    <cellStyle name="Currency 5 3 2 5 2" xfId="3402" xr:uid="{00000000-0005-0000-0000-000017190000}"/>
    <cellStyle name="Currency 5 3 2 5 2 2" xfId="7625" xr:uid="{00000000-0005-0000-0000-000018190000}"/>
    <cellStyle name="Currency 5 3 2 5 2 2 2" xfId="16061" xr:uid="{00000000-0005-0000-0000-000019190000}"/>
    <cellStyle name="Currency 5 3 2 5 2 3" xfId="11843" xr:uid="{00000000-0005-0000-0000-00001A190000}"/>
    <cellStyle name="Currency 5 3 2 5 3" xfId="5480" xr:uid="{00000000-0005-0000-0000-00001B190000}"/>
    <cellStyle name="Currency 5 3 2 5 3 2" xfId="13916" xr:uid="{00000000-0005-0000-0000-00001C190000}"/>
    <cellStyle name="Currency 5 3 2 5 4" xfId="9698" xr:uid="{00000000-0005-0000-0000-00001D190000}"/>
    <cellStyle name="Currency 5 3 2 6" xfId="1585" xr:uid="{00000000-0005-0000-0000-00001E190000}"/>
    <cellStyle name="Currency 5 3 2 6 2" xfId="3815" xr:uid="{00000000-0005-0000-0000-00001F190000}"/>
    <cellStyle name="Currency 5 3 2 6 2 2" xfId="8038" xr:uid="{00000000-0005-0000-0000-000020190000}"/>
    <cellStyle name="Currency 5 3 2 6 2 2 2" xfId="16474" xr:uid="{00000000-0005-0000-0000-000021190000}"/>
    <cellStyle name="Currency 5 3 2 6 2 3" xfId="12256" xr:uid="{00000000-0005-0000-0000-000022190000}"/>
    <cellStyle name="Currency 5 3 2 6 3" xfId="5893" xr:uid="{00000000-0005-0000-0000-000023190000}"/>
    <cellStyle name="Currency 5 3 2 6 3 2" xfId="14329" xr:uid="{00000000-0005-0000-0000-000024190000}"/>
    <cellStyle name="Currency 5 3 2 6 4" xfId="10111" xr:uid="{00000000-0005-0000-0000-000025190000}"/>
    <cellStyle name="Currency 5 3 2 7" xfId="1999" xr:uid="{00000000-0005-0000-0000-000026190000}"/>
    <cellStyle name="Currency 5 3 2 7 2" xfId="4228" xr:uid="{00000000-0005-0000-0000-000027190000}"/>
    <cellStyle name="Currency 5 3 2 7 2 2" xfId="8451" xr:uid="{00000000-0005-0000-0000-000028190000}"/>
    <cellStyle name="Currency 5 3 2 7 2 2 2" xfId="16887" xr:uid="{00000000-0005-0000-0000-000029190000}"/>
    <cellStyle name="Currency 5 3 2 7 2 3" xfId="12669" xr:uid="{00000000-0005-0000-0000-00002A190000}"/>
    <cellStyle name="Currency 5 3 2 7 3" xfId="6306" xr:uid="{00000000-0005-0000-0000-00002B190000}"/>
    <cellStyle name="Currency 5 3 2 7 3 2" xfId="14742" xr:uid="{00000000-0005-0000-0000-00002C190000}"/>
    <cellStyle name="Currency 5 3 2 7 4" xfId="10524" xr:uid="{00000000-0005-0000-0000-00002D190000}"/>
    <cellStyle name="Currency 5 3 2 8" xfId="2434" xr:uid="{00000000-0005-0000-0000-00002E190000}"/>
    <cellStyle name="Currency 5 3 2 8 2" xfId="6719" xr:uid="{00000000-0005-0000-0000-00002F190000}"/>
    <cellStyle name="Currency 5 3 2 8 2 2" xfId="15155" xr:uid="{00000000-0005-0000-0000-000030190000}"/>
    <cellStyle name="Currency 5 3 2 8 3" xfId="10937" xr:uid="{00000000-0005-0000-0000-000031190000}"/>
    <cellStyle name="Currency 5 3 2 9" xfId="2731" xr:uid="{00000000-0005-0000-0000-000032190000}"/>
    <cellStyle name="Currency 5 3 3" xfId="214" xr:uid="{00000000-0005-0000-0000-000033190000}"/>
    <cellStyle name="Currency 5 3 3 10" xfId="4657" xr:uid="{00000000-0005-0000-0000-000034190000}"/>
    <cellStyle name="Currency 5 3 3 10 2" xfId="13093" xr:uid="{00000000-0005-0000-0000-000035190000}"/>
    <cellStyle name="Currency 5 3 3 11" xfId="8875" xr:uid="{00000000-0005-0000-0000-000036190000}"/>
    <cellStyle name="Currency 5 3 3 2" xfId="215" xr:uid="{00000000-0005-0000-0000-000037190000}"/>
    <cellStyle name="Currency 5 3 3 2 10" xfId="8876" xr:uid="{00000000-0005-0000-0000-000038190000}"/>
    <cellStyle name="Currency 5 3 3 2 2" xfId="741" xr:uid="{00000000-0005-0000-0000-000039190000}"/>
    <cellStyle name="Currency 5 3 3 2 2 2" xfId="2994" xr:uid="{00000000-0005-0000-0000-00003A190000}"/>
    <cellStyle name="Currency 5 3 3 2 2 2 2" xfId="7217" xr:uid="{00000000-0005-0000-0000-00003B190000}"/>
    <cellStyle name="Currency 5 3 3 2 2 2 2 2" xfId="15653" xr:uid="{00000000-0005-0000-0000-00003C190000}"/>
    <cellStyle name="Currency 5 3 3 2 2 2 3" xfId="11435" xr:uid="{00000000-0005-0000-0000-00003D190000}"/>
    <cellStyle name="Currency 5 3 3 2 2 3" xfId="5072" xr:uid="{00000000-0005-0000-0000-00003E190000}"/>
    <cellStyle name="Currency 5 3 3 2 2 3 2" xfId="13508" xr:uid="{00000000-0005-0000-0000-00003F190000}"/>
    <cellStyle name="Currency 5 3 3 2 2 4" xfId="9290" xr:uid="{00000000-0005-0000-0000-000040190000}"/>
    <cellStyle name="Currency 5 3 3 2 3" xfId="1176" xr:uid="{00000000-0005-0000-0000-000041190000}"/>
    <cellStyle name="Currency 5 3 3 2 3 2" xfId="3407" xr:uid="{00000000-0005-0000-0000-000042190000}"/>
    <cellStyle name="Currency 5 3 3 2 3 2 2" xfId="7630" xr:uid="{00000000-0005-0000-0000-000043190000}"/>
    <cellStyle name="Currency 5 3 3 2 3 2 2 2" xfId="16066" xr:uid="{00000000-0005-0000-0000-000044190000}"/>
    <cellStyle name="Currency 5 3 3 2 3 2 3" xfId="11848" xr:uid="{00000000-0005-0000-0000-000045190000}"/>
    <cellStyle name="Currency 5 3 3 2 3 3" xfId="5485" xr:uid="{00000000-0005-0000-0000-000046190000}"/>
    <cellStyle name="Currency 5 3 3 2 3 3 2" xfId="13921" xr:uid="{00000000-0005-0000-0000-000047190000}"/>
    <cellStyle name="Currency 5 3 3 2 3 4" xfId="9703" xr:uid="{00000000-0005-0000-0000-000048190000}"/>
    <cellStyle name="Currency 5 3 3 2 4" xfId="1590" xr:uid="{00000000-0005-0000-0000-000049190000}"/>
    <cellStyle name="Currency 5 3 3 2 4 2" xfId="3820" xr:uid="{00000000-0005-0000-0000-00004A190000}"/>
    <cellStyle name="Currency 5 3 3 2 4 2 2" xfId="8043" xr:uid="{00000000-0005-0000-0000-00004B190000}"/>
    <cellStyle name="Currency 5 3 3 2 4 2 2 2" xfId="16479" xr:uid="{00000000-0005-0000-0000-00004C190000}"/>
    <cellStyle name="Currency 5 3 3 2 4 2 3" xfId="12261" xr:uid="{00000000-0005-0000-0000-00004D190000}"/>
    <cellStyle name="Currency 5 3 3 2 4 3" xfId="5898" xr:uid="{00000000-0005-0000-0000-00004E190000}"/>
    <cellStyle name="Currency 5 3 3 2 4 3 2" xfId="14334" xr:uid="{00000000-0005-0000-0000-00004F190000}"/>
    <cellStyle name="Currency 5 3 3 2 4 4" xfId="10116" xr:uid="{00000000-0005-0000-0000-000050190000}"/>
    <cellStyle name="Currency 5 3 3 2 5" xfId="2004" xr:uid="{00000000-0005-0000-0000-000051190000}"/>
    <cellStyle name="Currency 5 3 3 2 5 2" xfId="4233" xr:uid="{00000000-0005-0000-0000-000052190000}"/>
    <cellStyle name="Currency 5 3 3 2 5 2 2" xfId="8456" xr:uid="{00000000-0005-0000-0000-000053190000}"/>
    <cellStyle name="Currency 5 3 3 2 5 2 2 2" xfId="16892" xr:uid="{00000000-0005-0000-0000-000054190000}"/>
    <cellStyle name="Currency 5 3 3 2 5 2 3" xfId="12674" xr:uid="{00000000-0005-0000-0000-000055190000}"/>
    <cellStyle name="Currency 5 3 3 2 5 3" xfId="6311" xr:uid="{00000000-0005-0000-0000-000056190000}"/>
    <cellStyle name="Currency 5 3 3 2 5 3 2" xfId="14747" xr:uid="{00000000-0005-0000-0000-000057190000}"/>
    <cellStyle name="Currency 5 3 3 2 5 4" xfId="10529" xr:uid="{00000000-0005-0000-0000-000058190000}"/>
    <cellStyle name="Currency 5 3 3 2 6" xfId="2439" xr:uid="{00000000-0005-0000-0000-000059190000}"/>
    <cellStyle name="Currency 5 3 3 2 6 2" xfId="6724" xr:uid="{00000000-0005-0000-0000-00005A190000}"/>
    <cellStyle name="Currency 5 3 3 2 6 2 2" xfId="15160" xr:uid="{00000000-0005-0000-0000-00005B190000}"/>
    <cellStyle name="Currency 5 3 3 2 6 3" xfId="10942" xr:uid="{00000000-0005-0000-0000-00005C190000}"/>
    <cellStyle name="Currency 5 3 3 2 7" xfId="2736" xr:uid="{00000000-0005-0000-0000-00005D190000}"/>
    <cellStyle name="Currency 5 3 3 2 8" xfId="2817" xr:uid="{00000000-0005-0000-0000-00005E190000}"/>
    <cellStyle name="Currency 5 3 3 2 8 2" xfId="7041" xr:uid="{00000000-0005-0000-0000-00005F190000}"/>
    <cellStyle name="Currency 5 3 3 2 8 2 2" xfId="15477" xr:uid="{00000000-0005-0000-0000-000060190000}"/>
    <cellStyle name="Currency 5 3 3 2 8 3" xfId="11259" xr:uid="{00000000-0005-0000-0000-000061190000}"/>
    <cellStyle name="Currency 5 3 3 2 9" xfId="4658" xr:uid="{00000000-0005-0000-0000-000062190000}"/>
    <cellStyle name="Currency 5 3 3 2 9 2" xfId="13094" xr:uid="{00000000-0005-0000-0000-000063190000}"/>
    <cellStyle name="Currency 5 3 3 3" xfId="740" xr:uid="{00000000-0005-0000-0000-000064190000}"/>
    <cellStyle name="Currency 5 3 3 3 2" xfId="2993" xr:uid="{00000000-0005-0000-0000-000065190000}"/>
    <cellStyle name="Currency 5 3 3 3 2 2" xfId="7216" xr:uid="{00000000-0005-0000-0000-000066190000}"/>
    <cellStyle name="Currency 5 3 3 3 2 2 2" xfId="15652" xr:uid="{00000000-0005-0000-0000-000067190000}"/>
    <cellStyle name="Currency 5 3 3 3 2 3" xfId="11434" xr:uid="{00000000-0005-0000-0000-000068190000}"/>
    <cellStyle name="Currency 5 3 3 3 3" xfId="5071" xr:uid="{00000000-0005-0000-0000-000069190000}"/>
    <cellStyle name="Currency 5 3 3 3 3 2" xfId="13507" xr:uid="{00000000-0005-0000-0000-00006A190000}"/>
    <cellStyle name="Currency 5 3 3 3 4" xfId="9289" xr:uid="{00000000-0005-0000-0000-00006B190000}"/>
    <cellStyle name="Currency 5 3 3 4" xfId="1175" xr:uid="{00000000-0005-0000-0000-00006C190000}"/>
    <cellStyle name="Currency 5 3 3 4 2" xfId="3406" xr:uid="{00000000-0005-0000-0000-00006D190000}"/>
    <cellStyle name="Currency 5 3 3 4 2 2" xfId="7629" xr:uid="{00000000-0005-0000-0000-00006E190000}"/>
    <cellStyle name="Currency 5 3 3 4 2 2 2" xfId="16065" xr:uid="{00000000-0005-0000-0000-00006F190000}"/>
    <cellStyle name="Currency 5 3 3 4 2 3" xfId="11847" xr:uid="{00000000-0005-0000-0000-000070190000}"/>
    <cellStyle name="Currency 5 3 3 4 3" xfId="5484" xr:uid="{00000000-0005-0000-0000-000071190000}"/>
    <cellStyle name="Currency 5 3 3 4 3 2" xfId="13920" xr:uid="{00000000-0005-0000-0000-000072190000}"/>
    <cellStyle name="Currency 5 3 3 4 4" xfId="9702" xr:uid="{00000000-0005-0000-0000-000073190000}"/>
    <cellStyle name="Currency 5 3 3 5" xfId="1589" xr:uid="{00000000-0005-0000-0000-000074190000}"/>
    <cellStyle name="Currency 5 3 3 5 2" xfId="3819" xr:uid="{00000000-0005-0000-0000-000075190000}"/>
    <cellStyle name="Currency 5 3 3 5 2 2" xfId="8042" xr:uid="{00000000-0005-0000-0000-000076190000}"/>
    <cellStyle name="Currency 5 3 3 5 2 2 2" xfId="16478" xr:uid="{00000000-0005-0000-0000-000077190000}"/>
    <cellStyle name="Currency 5 3 3 5 2 3" xfId="12260" xr:uid="{00000000-0005-0000-0000-000078190000}"/>
    <cellStyle name="Currency 5 3 3 5 3" xfId="5897" xr:uid="{00000000-0005-0000-0000-000079190000}"/>
    <cellStyle name="Currency 5 3 3 5 3 2" xfId="14333" xr:uid="{00000000-0005-0000-0000-00007A190000}"/>
    <cellStyle name="Currency 5 3 3 5 4" xfId="10115" xr:uid="{00000000-0005-0000-0000-00007B190000}"/>
    <cellStyle name="Currency 5 3 3 6" xfId="2003" xr:uid="{00000000-0005-0000-0000-00007C190000}"/>
    <cellStyle name="Currency 5 3 3 6 2" xfId="4232" xr:uid="{00000000-0005-0000-0000-00007D190000}"/>
    <cellStyle name="Currency 5 3 3 6 2 2" xfId="8455" xr:uid="{00000000-0005-0000-0000-00007E190000}"/>
    <cellStyle name="Currency 5 3 3 6 2 2 2" xfId="16891" xr:uid="{00000000-0005-0000-0000-00007F190000}"/>
    <cellStyle name="Currency 5 3 3 6 2 3" xfId="12673" xr:uid="{00000000-0005-0000-0000-000080190000}"/>
    <cellStyle name="Currency 5 3 3 6 3" xfId="6310" xr:uid="{00000000-0005-0000-0000-000081190000}"/>
    <cellStyle name="Currency 5 3 3 6 3 2" xfId="14746" xr:uid="{00000000-0005-0000-0000-000082190000}"/>
    <cellStyle name="Currency 5 3 3 6 4" xfId="10528" xr:uid="{00000000-0005-0000-0000-000083190000}"/>
    <cellStyle name="Currency 5 3 3 7" xfId="2438" xr:uid="{00000000-0005-0000-0000-000084190000}"/>
    <cellStyle name="Currency 5 3 3 7 2" xfId="6723" xr:uid="{00000000-0005-0000-0000-000085190000}"/>
    <cellStyle name="Currency 5 3 3 7 2 2" xfId="15159" xr:uid="{00000000-0005-0000-0000-000086190000}"/>
    <cellStyle name="Currency 5 3 3 7 3" xfId="10941" xr:uid="{00000000-0005-0000-0000-000087190000}"/>
    <cellStyle name="Currency 5 3 3 8" xfId="2735" xr:uid="{00000000-0005-0000-0000-000088190000}"/>
    <cellStyle name="Currency 5 3 3 9" xfId="2816" xr:uid="{00000000-0005-0000-0000-000089190000}"/>
    <cellStyle name="Currency 5 3 3 9 2" xfId="7040" xr:uid="{00000000-0005-0000-0000-00008A190000}"/>
    <cellStyle name="Currency 5 3 3 9 2 2" xfId="15476" xr:uid="{00000000-0005-0000-0000-00008B190000}"/>
    <cellStyle name="Currency 5 3 3 9 3" xfId="11258" xr:uid="{00000000-0005-0000-0000-00008C190000}"/>
    <cellStyle name="Currency 5 3 4" xfId="216" xr:uid="{00000000-0005-0000-0000-00008D190000}"/>
    <cellStyle name="Currency 5 3 4 10" xfId="8877" xr:uid="{00000000-0005-0000-0000-00008E190000}"/>
    <cellStyle name="Currency 5 3 4 2" xfId="742" xr:uid="{00000000-0005-0000-0000-00008F190000}"/>
    <cellStyle name="Currency 5 3 4 2 2" xfId="2995" xr:uid="{00000000-0005-0000-0000-000090190000}"/>
    <cellStyle name="Currency 5 3 4 2 2 2" xfId="7218" xr:uid="{00000000-0005-0000-0000-000091190000}"/>
    <cellStyle name="Currency 5 3 4 2 2 2 2" xfId="15654" xr:uid="{00000000-0005-0000-0000-000092190000}"/>
    <cellStyle name="Currency 5 3 4 2 2 3" xfId="11436" xr:uid="{00000000-0005-0000-0000-000093190000}"/>
    <cellStyle name="Currency 5 3 4 2 3" xfId="5073" xr:uid="{00000000-0005-0000-0000-000094190000}"/>
    <cellStyle name="Currency 5 3 4 2 3 2" xfId="13509" xr:uid="{00000000-0005-0000-0000-000095190000}"/>
    <cellStyle name="Currency 5 3 4 2 4" xfId="9291" xr:uid="{00000000-0005-0000-0000-000096190000}"/>
    <cellStyle name="Currency 5 3 4 3" xfId="1177" xr:uid="{00000000-0005-0000-0000-000097190000}"/>
    <cellStyle name="Currency 5 3 4 3 2" xfId="3408" xr:uid="{00000000-0005-0000-0000-000098190000}"/>
    <cellStyle name="Currency 5 3 4 3 2 2" xfId="7631" xr:uid="{00000000-0005-0000-0000-000099190000}"/>
    <cellStyle name="Currency 5 3 4 3 2 2 2" xfId="16067" xr:uid="{00000000-0005-0000-0000-00009A190000}"/>
    <cellStyle name="Currency 5 3 4 3 2 3" xfId="11849" xr:uid="{00000000-0005-0000-0000-00009B190000}"/>
    <cellStyle name="Currency 5 3 4 3 3" xfId="5486" xr:uid="{00000000-0005-0000-0000-00009C190000}"/>
    <cellStyle name="Currency 5 3 4 3 3 2" xfId="13922" xr:uid="{00000000-0005-0000-0000-00009D190000}"/>
    <cellStyle name="Currency 5 3 4 3 4" xfId="9704" xr:uid="{00000000-0005-0000-0000-00009E190000}"/>
    <cellStyle name="Currency 5 3 4 4" xfId="1591" xr:uid="{00000000-0005-0000-0000-00009F190000}"/>
    <cellStyle name="Currency 5 3 4 4 2" xfId="3821" xr:uid="{00000000-0005-0000-0000-0000A0190000}"/>
    <cellStyle name="Currency 5 3 4 4 2 2" xfId="8044" xr:uid="{00000000-0005-0000-0000-0000A1190000}"/>
    <cellStyle name="Currency 5 3 4 4 2 2 2" xfId="16480" xr:uid="{00000000-0005-0000-0000-0000A2190000}"/>
    <cellStyle name="Currency 5 3 4 4 2 3" xfId="12262" xr:uid="{00000000-0005-0000-0000-0000A3190000}"/>
    <cellStyle name="Currency 5 3 4 4 3" xfId="5899" xr:uid="{00000000-0005-0000-0000-0000A4190000}"/>
    <cellStyle name="Currency 5 3 4 4 3 2" xfId="14335" xr:uid="{00000000-0005-0000-0000-0000A5190000}"/>
    <cellStyle name="Currency 5 3 4 4 4" xfId="10117" xr:uid="{00000000-0005-0000-0000-0000A6190000}"/>
    <cellStyle name="Currency 5 3 4 5" xfId="2005" xr:uid="{00000000-0005-0000-0000-0000A7190000}"/>
    <cellStyle name="Currency 5 3 4 5 2" xfId="4234" xr:uid="{00000000-0005-0000-0000-0000A8190000}"/>
    <cellStyle name="Currency 5 3 4 5 2 2" xfId="8457" xr:uid="{00000000-0005-0000-0000-0000A9190000}"/>
    <cellStyle name="Currency 5 3 4 5 2 2 2" xfId="16893" xr:uid="{00000000-0005-0000-0000-0000AA190000}"/>
    <cellStyle name="Currency 5 3 4 5 2 3" xfId="12675" xr:uid="{00000000-0005-0000-0000-0000AB190000}"/>
    <cellStyle name="Currency 5 3 4 5 3" xfId="6312" xr:uid="{00000000-0005-0000-0000-0000AC190000}"/>
    <cellStyle name="Currency 5 3 4 5 3 2" xfId="14748" xr:uid="{00000000-0005-0000-0000-0000AD190000}"/>
    <cellStyle name="Currency 5 3 4 5 4" xfId="10530" xr:uid="{00000000-0005-0000-0000-0000AE190000}"/>
    <cellStyle name="Currency 5 3 4 6" xfId="2440" xr:uid="{00000000-0005-0000-0000-0000AF190000}"/>
    <cellStyle name="Currency 5 3 4 6 2" xfId="6725" xr:uid="{00000000-0005-0000-0000-0000B0190000}"/>
    <cellStyle name="Currency 5 3 4 6 2 2" xfId="15161" xr:uid="{00000000-0005-0000-0000-0000B1190000}"/>
    <cellStyle name="Currency 5 3 4 6 3" xfId="10943" xr:uid="{00000000-0005-0000-0000-0000B2190000}"/>
    <cellStyle name="Currency 5 3 4 7" xfId="2737" xr:uid="{00000000-0005-0000-0000-0000B3190000}"/>
    <cellStyle name="Currency 5 3 4 8" xfId="2818" xr:uid="{00000000-0005-0000-0000-0000B4190000}"/>
    <cellStyle name="Currency 5 3 4 8 2" xfId="7042" xr:uid="{00000000-0005-0000-0000-0000B5190000}"/>
    <cellStyle name="Currency 5 3 4 8 2 2" xfId="15478" xr:uid="{00000000-0005-0000-0000-0000B6190000}"/>
    <cellStyle name="Currency 5 3 4 8 3" xfId="11260" xr:uid="{00000000-0005-0000-0000-0000B7190000}"/>
    <cellStyle name="Currency 5 3 4 9" xfId="4659" xr:uid="{00000000-0005-0000-0000-0000B8190000}"/>
    <cellStyle name="Currency 5 3 4 9 2" xfId="13095" xr:uid="{00000000-0005-0000-0000-0000B9190000}"/>
    <cellStyle name="Currency 5 3 5" xfId="217" xr:uid="{00000000-0005-0000-0000-0000BA190000}"/>
    <cellStyle name="Currency 5 3 5 10" xfId="8878" xr:uid="{00000000-0005-0000-0000-0000BB190000}"/>
    <cellStyle name="Currency 5 3 5 2" xfId="743" xr:uid="{00000000-0005-0000-0000-0000BC190000}"/>
    <cellStyle name="Currency 5 3 5 2 2" xfId="2996" xr:uid="{00000000-0005-0000-0000-0000BD190000}"/>
    <cellStyle name="Currency 5 3 5 2 2 2" xfId="7219" xr:uid="{00000000-0005-0000-0000-0000BE190000}"/>
    <cellStyle name="Currency 5 3 5 2 2 2 2" xfId="15655" xr:uid="{00000000-0005-0000-0000-0000BF190000}"/>
    <cellStyle name="Currency 5 3 5 2 2 3" xfId="11437" xr:uid="{00000000-0005-0000-0000-0000C0190000}"/>
    <cellStyle name="Currency 5 3 5 2 3" xfId="5074" xr:uid="{00000000-0005-0000-0000-0000C1190000}"/>
    <cellStyle name="Currency 5 3 5 2 3 2" xfId="13510" xr:uid="{00000000-0005-0000-0000-0000C2190000}"/>
    <cellStyle name="Currency 5 3 5 2 4" xfId="9292" xr:uid="{00000000-0005-0000-0000-0000C3190000}"/>
    <cellStyle name="Currency 5 3 5 3" xfId="1178" xr:uid="{00000000-0005-0000-0000-0000C4190000}"/>
    <cellStyle name="Currency 5 3 5 3 2" xfId="3409" xr:uid="{00000000-0005-0000-0000-0000C5190000}"/>
    <cellStyle name="Currency 5 3 5 3 2 2" xfId="7632" xr:uid="{00000000-0005-0000-0000-0000C6190000}"/>
    <cellStyle name="Currency 5 3 5 3 2 2 2" xfId="16068" xr:uid="{00000000-0005-0000-0000-0000C7190000}"/>
    <cellStyle name="Currency 5 3 5 3 2 3" xfId="11850" xr:uid="{00000000-0005-0000-0000-0000C8190000}"/>
    <cellStyle name="Currency 5 3 5 3 3" xfId="5487" xr:uid="{00000000-0005-0000-0000-0000C9190000}"/>
    <cellStyle name="Currency 5 3 5 3 3 2" xfId="13923" xr:uid="{00000000-0005-0000-0000-0000CA190000}"/>
    <cellStyle name="Currency 5 3 5 3 4" xfId="9705" xr:uid="{00000000-0005-0000-0000-0000CB190000}"/>
    <cellStyle name="Currency 5 3 5 4" xfId="1592" xr:uid="{00000000-0005-0000-0000-0000CC190000}"/>
    <cellStyle name="Currency 5 3 5 4 2" xfId="3822" xr:uid="{00000000-0005-0000-0000-0000CD190000}"/>
    <cellStyle name="Currency 5 3 5 4 2 2" xfId="8045" xr:uid="{00000000-0005-0000-0000-0000CE190000}"/>
    <cellStyle name="Currency 5 3 5 4 2 2 2" xfId="16481" xr:uid="{00000000-0005-0000-0000-0000CF190000}"/>
    <cellStyle name="Currency 5 3 5 4 2 3" xfId="12263" xr:uid="{00000000-0005-0000-0000-0000D0190000}"/>
    <cellStyle name="Currency 5 3 5 4 3" xfId="5900" xr:uid="{00000000-0005-0000-0000-0000D1190000}"/>
    <cellStyle name="Currency 5 3 5 4 3 2" xfId="14336" xr:uid="{00000000-0005-0000-0000-0000D2190000}"/>
    <cellStyle name="Currency 5 3 5 4 4" xfId="10118" xr:uid="{00000000-0005-0000-0000-0000D3190000}"/>
    <cellStyle name="Currency 5 3 5 5" xfId="2006" xr:uid="{00000000-0005-0000-0000-0000D4190000}"/>
    <cellStyle name="Currency 5 3 5 5 2" xfId="4235" xr:uid="{00000000-0005-0000-0000-0000D5190000}"/>
    <cellStyle name="Currency 5 3 5 5 2 2" xfId="8458" xr:uid="{00000000-0005-0000-0000-0000D6190000}"/>
    <cellStyle name="Currency 5 3 5 5 2 2 2" xfId="16894" xr:uid="{00000000-0005-0000-0000-0000D7190000}"/>
    <cellStyle name="Currency 5 3 5 5 2 3" xfId="12676" xr:uid="{00000000-0005-0000-0000-0000D8190000}"/>
    <cellStyle name="Currency 5 3 5 5 3" xfId="6313" xr:uid="{00000000-0005-0000-0000-0000D9190000}"/>
    <cellStyle name="Currency 5 3 5 5 3 2" xfId="14749" xr:uid="{00000000-0005-0000-0000-0000DA190000}"/>
    <cellStyle name="Currency 5 3 5 5 4" xfId="10531" xr:uid="{00000000-0005-0000-0000-0000DB190000}"/>
    <cellStyle name="Currency 5 3 5 6" xfId="2441" xr:uid="{00000000-0005-0000-0000-0000DC190000}"/>
    <cellStyle name="Currency 5 3 5 6 2" xfId="6726" xr:uid="{00000000-0005-0000-0000-0000DD190000}"/>
    <cellStyle name="Currency 5 3 5 6 2 2" xfId="15162" xr:uid="{00000000-0005-0000-0000-0000DE190000}"/>
    <cellStyle name="Currency 5 3 5 6 3" xfId="10944" xr:uid="{00000000-0005-0000-0000-0000DF190000}"/>
    <cellStyle name="Currency 5 3 5 7" xfId="2738" xr:uid="{00000000-0005-0000-0000-0000E0190000}"/>
    <cellStyle name="Currency 5 3 5 8" xfId="2819" xr:uid="{00000000-0005-0000-0000-0000E1190000}"/>
    <cellStyle name="Currency 5 3 5 8 2" xfId="7043" xr:uid="{00000000-0005-0000-0000-0000E2190000}"/>
    <cellStyle name="Currency 5 3 5 8 2 2" xfId="15479" xr:uid="{00000000-0005-0000-0000-0000E3190000}"/>
    <cellStyle name="Currency 5 3 5 8 3" xfId="11261" xr:uid="{00000000-0005-0000-0000-0000E4190000}"/>
    <cellStyle name="Currency 5 3 5 9" xfId="4660" xr:uid="{00000000-0005-0000-0000-0000E5190000}"/>
    <cellStyle name="Currency 5 3 5 9 2" xfId="13096" xr:uid="{00000000-0005-0000-0000-0000E6190000}"/>
    <cellStyle name="Currency 5 4" xfId="218" xr:uid="{00000000-0005-0000-0000-0000E7190000}"/>
    <cellStyle name="Currency 5 4 2" xfId="744" xr:uid="{00000000-0005-0000-0000-0000E8190000}"/>
    <cellStyle name="Currency 5 5" xfId="219" xr:uid="{00000000-0005-0000-0000-0000E9190000}"/>
    <cellStyle name="Currency 5 5 10" xfId="4661" xr:uid="{00000000-0005-0000-0000-0000EA190000}"/>
    <cellStyle name="Currency 5 5 10 2" xfId="13097" xr:uid="{00000000-0005-0000-0000-0000EB190000}"/>
    <cellStyle name="Currency 5 5 11" xfId="8879" xr:uid="{00000000-0005-0000-0000-0000EC190000}"/>
    <cellStyle name="Currency 5 5 2" xfId="220" xr:uid="{00000000-0005-0000-0000-0000ED190000}"/>
    <cellStyle name="Currency 5 5 2 10" xfId="8880" xr:uid="{00000000-0005-0000-0000-0000EE190000}"/>
    <cellStyle name="Currency 5 5 2 2" xfId="746" xr:uid="{00000000-0005-0000-0000-0000EF190000}"/>
    <cellStyle name="Currency 5 5 2 2 2" xfId="2998" xr:uid="{00000000-0005-0000-0000-0000F0190000}"/>
    <cellStyle name="Currency 5 5 2 2 2 2" xfId="7221" xr:uid="{00000000-0005-0000-0000-0000F1190000}"/>
    <cellStyle name="Currency 5 5 2 2 2 2 2" xfId="15657" xr:uid="{00000000-0005-0000-0000-0000F2190000}"/>
    <cellStyle name="Currency 5 5 2 2 2 3" xfId="11439" xr:uid="{00000000-0005-0000-0000-0000F3190000}"/>
    <cellStyle name="Currency 5 5 2 2 3" xfId="5076" xr:uid="{00000000-0005-0000-0000-0000F4190000}"/>
    <cellStyle name="Currency 5 5 2 2 3 2" xfId="13512" xr:uid="{00000000-0005-0000-0000-0000F5190000}"/>
    <cellStyle name="Currency 5 5 2 2 4" xfId="9294" xr:uid="{00000000-0005-0000-0000-0000F6190000}"/>
    <cellStyle name="Currency 5 5 2 3" xfId="1180" xr:uid="{00000000-0005-0000-0000-0000F7190000}"/>
    <cellStyle name="Currency 5 5 2 3 2" xfId="3411" xr:uid="{00000000-0005-0000-0000-0000F8190000}"/>
    <cellStyle name="Currency 5 5 2 3 2 2" xfId="7634" xr:uid="{00000000-0005-0000-0000-0000F9190000}"/>
    <cellStyle name="Currency 5 5 2 3 2 2 2" xfId="16070" xr:uid="{00000000-0005-0000-0000-0000FA190000}"/>
    <cellStyle name="Currency 5 5 2 3 2 3" xfId="11852" xr:uid="{00000000-0005-0000-0000-0000FB190000}"/>
    <cellStyle name="Currency 5 5 2 3 3" xfId="5489" xr:uid="{00000000-0005-0000-0000-0000FC190000}"/>
    <cellStyle name="Currency 5 5 2 3 3 2" xfId="13925" xr:uid="{00000000-0005-0000-0000-0000FD190000}"/>
    <cellStyle name="Currency 5 5 2 3 4" xfId="9707" xr:uid="{00000000-0005-0000-0000-0000FE190000}"/>
    <cellStyle name="Currency 5 5 2 4" xfId="1594" xr:uid="{00000000-0005-0000-0000-0000FF190000}"/>
    <cellStyle name="Currency 5 5 2 4 2" xfId="3824" xr:uid="{00000000-0005-0000-0000-0000001A0000}"/>
    <cellStyle name="Currency 5 5 2 4 2 2" xfId="8047" xr:uid="{00000000-0005-0000-0000-0000011A0000}"/>
    <cellStyle name="Currency 5 5 2 4 2 2 2" xfId="16483" xr:uid="{00000000-0005-0000-0000-0000021A0000}"/>
    <cellStyle name="Currency 5 5 2 4 2 3" xfId="12265" xr:uid="{00000000-0005-0000-0000-0000031A0000}"/>
    <cellStyle name="Currency 5 5 2 4 3" xfId="5902" xr:uid="{00000000-0005-0000-0000-0000041A0000}"/>
    <cellStyle name="Currency 5 5 2 4 3 2" xfId="14338" xr:uid="{00000000-0005-0000-0000-0000051A0000}"/>
    <cellStyle name="Currency 5 5 2 4 4" xfId="10120" xr:uid="{00000000-0005-0000-0000-0000061A0000}"/>
    <cellStyle name="Currency 5 5 2 5" xfId="2008" xr:uid="{00000000-0005-0000-0000-0000071A0000}"/>
    <cellStyle name="Currency 5 5 2 5 2" xfId="4237" xr:uid="{00000000-0005-0000-0000-0000081A0000}"/>
    <cellStyle name="Currency 5 5 2 5 2 2" xfId="8460" xr:uid="{00000000-0005-0000-0000-0000091A0000}"/>
    <cellStyle name="Currency 5 5 2 5 2 2 2" xfId="16896" xr:uid="{00000000-0005-0000-0000-00000A1A0000}"/>
    <cellStyle name="Currency 5 5 2 5 2 3" xfId="12678" xr:uid="{00000000-0005-0000-0000-00000B1A0000}"/>
    <cellStyle name="Currency 5 5 2 5 3" xfId="6315" xr:uid="{00000000-0005-0000-0000-00000C1A0000}"/>
    <cellStyle name="Currency 5 5 2 5 3 2" xfId="14751" xr:uid="{00000000-0005-0000-0000-00000D1A0000}"/>
    <cellStyle name="Currency 5 5 2 5 4" xfId="10533" xr:uid="{00000000-0005-0000-0000-00000E1A0000}"/>
    <cellStyle name="Currency 5 5 2 6" xfId="2443" xr:uid="{00000000-0005-0000-0000-00000F1A0000}"/>
    <cellStyle name="Currency 5 5 2 6 2" xfId="6728" xr:uid="{00000000-0005-0000-0000-0000101A0000}"/>
    <cellStyle name="Currency 5 5 2 6 2 2" xfId="15164" xr:uid="{00000000-0005-0000-0000-0000111A0000}"/>
    <cellStyle name="Currency 5 5 2 6 3" xfId="10946" xr:uid="{00000000-0005-0000-0000-0000121A0000}"/>
    <cellStyle name="Currency 5 5 2 7" xfId="2740" xr:uid="{00000000-0005-0000-0000-0000131A0000}"/>
    <cellStyle name="Currency 5 5 2 8" xfId="2821" xr:uid="{00000000-0005-0000-0000-0000141A0000}"/>
    <cellStyle name="Currency 5 5 2 8 2" xfId="7045" xr:uid="{00000000-0005-0000-0000-0000151A0000}"/>
    <cellStyle name="Currency 5 5 2 8 2 2" xfId="15481" xr:uid="{00000000-0005-0000-0000-0000161A0000}"/>
    <cellStyle name="Currency 5 5 2 8 3" xfId="11263" xr:uid="{00000000-0005-0000-0000-0000171A0000}"/>
    <cellStyle name="Currency 5 5 2 9" xfId="4662" xr:uid="{00000000-0005-0000-0000-0000181A0000}"/>
    <cellStyle name="Currency 5 5 2 9 2" xfId="13098" xr:uid="{00000000-0005-0000-0000-0000191A0000}"/>
    <cellStyle name="Currency 5 5 3" xfId="745" xr:uid="{00000000-0005-0000-0000-00001A1A0000}"/>
    <cellStyle name="Currency 5 5 3 2" xfId="2997" xr:uid="{00000000-0005-0000-0000-00001B1A0000}"/>
    <cellStyle name="Currency 5 5 3 2 2" xfId="7220" xr:uid="{00000000-0005-0000-0000-00001C1A0000}"/>
    <cellStyle name="Currency 5 5 3 2 2 2" xfId="15656" xr:uid="{00000000-0005-0000-0000-00001D1A0000}"/>
    <cellStyle name="Currency 5 5 3 2 3" xfId="11438" xr:uid="{00000000-0005-0000-0000-00001E1A0000}"/>
    <cellStyle name="Currency 5 5 3 3" xfId="5075" xr:uid="{00000000-0005-0000-0000-00001F1A0000}"/>
    <cellStyle name="Currency 5 5 3 3 2" xfId="13511" xr:uid="{00000000-0005-0000-0000-0000201A0000}"/>
    <cellStyle name="Currency 5 5 3 4" xfId="9293" xr:uid="{00000000-0005-0000-0000-0000211A0000}"/>
    <cellStyle name="Currency 5 5 4" xfId="1179" xr:uid="{00000000-0005-0000-0000-0000221A0000}"/>
    <cellStyle name="Currency 5 5 4 2" xfId="3410" xr:uid="{00000000-0005-0000-0000-0000231A0000}"/>
    <cellStyle name="Currency 5 5 4 2 2" xfId="7633" xr:uid="{00000000-0005-0000-0000-0000241A0000}"/>
    <cellStyle name="Currency 5 5 4 2 2 2" xfId="16069" xr:uid="{00000000-0005-0000-0000-0000251A0000}"/>
    <cellStyle name="Currency 5 5 4 2 3" xfId="11851" xr:uid="{00000000-0005-0000-0000-0000261A0000}"/>
    <cellStyle name="Currency 5 5 4 3" xfId="5488" xr:uid="{00000000-0005-0000-0000-0000271A0000}"/>
    <cellStyle name="Currency 5 5 4 3 2" xfId="13924" xr:uid="{00000000-0005-0000-0000-0000281A0000}"/>
    <cellStyle name="Currency 5 5 4 4" xfId="9706" xr:uid="{00000000-0005-0000-0000-0000291A0000}"/>
    <cellStyle name="Currency 5 5 5" xfId="1593" xr:uid="{00000000-0005-0000-0000-00002A1A0000}"/>
    <cellStyle name="Currency 5 5 5 2" xfId="3823" xr:uid="{00000000-0005-0000-0000-00002B1A0000}"/>
    <cellStyle name="Currency 5 5 5 2 2" xfId="8046" xr:uid="{00000000-0005-0000-0000-00002C1A0000}"/>
    <cellStyle name="Currency 5 5 5 2 2 2" xfId="16482" xr:uid="{00000000-0005-0000-0000-00002D1A0000}"/>
    <cellStyle name="Currency 5 5 5 2 3" xfId="12264" xr:uid="{00000000-0005-0000-0000-00002E1A0000}"/>
    <cellStyle name="Currency 5 5 5 3" xfId="5901" xr:uid="{00000000-0005-0000-0000-00002F1A0000}"/>
    <cellStyle name="Currency 5 5 5 3 2" xfId="14337" xr:uid="{00000000-0005-0000-0000-0000301A0000}"/>
    <cellStyle name="Currency 5 5 5 4" xfId="10119" xr:uid="{00000000-0005-0000-0000-0000311A0000}"/>
    <cellStyle name="Currency 5 5 6" xfId="2007" xr:uid="{00000000-0005-0000-0000-0000321A0000}"/>
    <cellStyle name="Currency 5 5 6 2" xfId="4236" xr:uid="{00000000-0005-0000-0000-0000331A0000}"/>
    <cellStyle name="Currency 5 5 6 2 2" xfId="8459" xr:uid="{00000000-0005-0000-0000-0000341A0000}"/>
    <cellStyle name="Currency 5 5 6 2 2 2" xfId="16895" xr:uid="{00000000-0005-0000-0000-0000351A0000}"/>
    <cellStyle name="Currency 5 5 6 2 3" xfId="12677" xr:uid="{00000000-0005-0000-0000-0000361A0000}"/>
    <cellStyle name="Currency 5 5 6 3" xfId="6314" xr:uid="{00000000-0005-0000-0000-0000371A0000}"/>
    <cellStyle name="Currency 5 5 6 3 2" xfId="14750" xr:uid="{00000000-0005-0000-0000-0000381A0000}"/>
    <cellStyle name="Currency 5 5 6 4" xfId="10532" xr:uid="{00000000-0005-0000-0000-0000391A0000}"/>
    <cellStyle name="Currency 5 5 7" xfId="2442" xr:uid="{00000000-0005-0000-0000-00003A1A0000}"/>
    <cellStyle name="Currency 5 5 7 2" xfId="6727" xr:uid="{00000000-0005-0000-0000-00003B1A0000}"/>
    <cellStyle name="Currency 5 5 7 2 2" xfId="15163" xr:uid="{00000000-0005-0000-0000-00003C1A0000}"/>
    <cellStyle name="Currency 5 5 7 3" xfId="10945" xr:uid="{00000000-0005-0000-0000-00003D1A0000}"/>
    <cellStyle name="Currency 5 5 8" xfId="2739" xr:uid="{00000000-0005-0000-0000-00003E1A0000}"/>
    <cellStyle name="Currency 5 5 9" xfId="2820" xr:uid="{00000000-0005-0000-0000-00003F1A0000}"/>
    <cellStyle name="Currency 5 5 9 2" xfId="7044" xr:uid="{00000000-0005-0000-0000-0000401A0000}"/>
    <cellStyle name="Currency 5 5 9 2 2" xfId="15480" xr:uid="{00000000-0005-0000-0000-0000411A0000}"/>
    <cellStyle name="Currency 5 5 9 3" xfId="11262" xr:uid="{00000000-0005-0000-0000-0000421A0000}"/>
    <cellStyle name="Currency 5 6" xfId="221" xr:uid="{00000000-0005-0000-0000-0000431A0000}"/>
    <cellStyle name="Currency 5 6 10" xfId="8881" xr:uid="{00000000-0005-0000-0000-0000441A0000}"/>
    <cellStyle name="Currency 5 6 2" xfId="747" xr:uid="{00000000-0005-0000-0000-0000451A0000}"/>
    <cellStyle name="Currency 5 6 2 2" xfId="2999" xr:uid="{00000000-0005-0000-0000-0000461A0000}"/>
    <cellStyle name="Currency 5 6 2 2 2" xfId="7222" xr:uid="{00000000-0005-0000-0000-0000471A0000}"/>
    <cellStyle name="Currency 5 6 2 2 2 2" xfId="15658" xr:uid="{00000000-0005-0000-0000-0000481A0000}"/>
    <cellStyle name="Currency 5 6 2 2 3" xfId="11440" xr:uid="{00000000-0005-0000-0000-0000491A0000}"/>
    <cellStyle name="Currency 5 6 2 3" xfId="5077" xr:uid="{00000000-0005-0000-0000-00004A1A0000}"/>
    <cellStyle name="Currency 5 6 2 3 2" xfId="13513" xr:uid="{00000000-0005-0000-0000-00004B1A0000}"/>
    <cellStyle name="Currency 5 6 2 4" xfId="9295" xr:uid="{00000000-0005-0000-0000-00004C1A0000}"/>
    <cellStyle name="Currency 5 6 3" xfId="1181" xr:uid="{00000000-0005-0000-0000-00004D1A0000}"/>
    <cellStyle name="Currency 5 6 3 2" xfId="3412" xr:uid="{00000000-0005-0000-0000-00004E1A0000}"/>
    <cellStyle name="Currency 5 6 3 2 2" xfId="7635" xr:uid="{00000000-0005-0000-0000-00004F1A0000}"/>
    <cellStyle name="Currency 5 6 3 2 2 2" xfId="16071" xr:uid="{00000000-0005-0000-0000-0000501A0000}"/>
    <cellStyle name="Currency 5 6 3 2 3" xfId="11853" xr:uid="{00000000-0005-0000-0000-0000511A0000}"/>
    <cellStyle name="Currency 5 6 3 3" xfId="5490" xr:uid="{00000000-0005-0000-0000-0000521A0000}"/>
    <cellStyle name="Currency 5 6 3 3 2" xfId="13926" xr:uid="{00000000-0005-0000-0000-0000531A0000}"/>
    <cellStyle name="Currency 5 6 3 4" xfId="9708" xr:uid="{00000000-0005-0000-0000-0000541A0000}"/>
    <cellStyle name="Currency 5 6 4" xfId="1595" xr:uid="{00000000-0005-0000-0000-0000551A0000}"/>
    <cellStyle name="Currency 5 6 4 2" xfId="3825" xr:uid="{00000000-0005-0000-0000-0000561A0000}"/>
    <cellStyle name="Currency 5 6 4 2 2" xfId="8048" xr:uid="{00000000-0005-0000-0000-0000571A0000}"/>
    <cellStyle name="Currency 5 6 4 2 2 2" xfId="16484" xr:uid="{00000000-0005-0000-0000-0000581A0000}"/>
    <cellStyle name="Currency 5 6 4 2 3" xfId="12266" xr:uid="{00000000-0005-0000-0000-0000591A0000}"/>
    <cellStyle name="Currency 5 6 4 3" xfId="5903" xr:uid="{00000000-0005-0000-0000-00005A1A0000}"/>
    <cellStyle name="Currency 5 6 4 3 2" xfId="14339" xr:uid="{00000000-0005-0000-0000-00005B1A0000}"/>
    <cellStyle name="Currency 5 6 4 4" xfId="10121" xr:uid="{00000000-0005-0000-0000-00005C1A0000}"/>
    <cellStyle name="Currency 5 6 5" xfId="2009" xr:uid="{00000000-0005-0000-0000-00005D1A0000}"/>
    <cellStyle name="Currency 5 6 5 2" xfId="4238" xr:uid="{00000000-0005-0000-0000-00005E1A0000}"/>
    <cellStyle name="Currency 5 6 5 2 2" xfId="8461" xr:uid="{00000000-0005-0000-0000-00005F1A0000}"/>
    <cellStyle name="Currency 5 6 5 2 2 2" xfId="16897" xr:uid="{00000000-0005-0000-0000-0000601A0000}"/>
    <cellStyle name="Currency 5 6 5 2 3" xfId="12679" xr:uid="{00000000-0005-0000-0000-0000611A0000}"/>
    <cellStyle name="Currency 5 6 5 3" xfId="6316" xr:uid="{00000000-0005-0000-0000-0000621A0000}"/>
    <cellStyle name="Currency 5 6 5 3 2" xfId="14752" xr:uid="{00000000-0005-0000-0000-0000631A0000}"/>
    <cellStyle name="Currency 5 6 5 4" xfId="10534" xr:uid="{00000000-0005-0000-0000-0000641A0000}"/>
    <cellStyle name="Currency 5 6 6" xfId="2444" xr:uid="{00000000-0005-0000-0000-0000651A0000}"/>
    <cellStyle name="Currency 5 6 6 2" xfId="6729" xr:uid="{00000000-0005-0000-0000-0000661A0000}"/>
    <cellStyle name="Currency 5 6 6 2 2" xfId="15165" xr:uid="{00000000-0005-0000-0000-0000671A0000}"/>
    <cellStyle name="Currency 5 6 6 3" xfId="10947" xr:uid="{00000000-0005-0000-0000-0000681A0000}"/>
    <cellStyle name="Currency 5 6 7" xfId="2741" xr:uid="{00000000-0005-0000-0000-0000691A0000}"/>
    <cellStyle name="Currency 5 6 8" xfId="2822" xr:uid="{00000000-0005-0000-0000-00006A1A0000}"/>
    <cellStyle name="Currency 5 6 8 2" xfId="7046" xr:uid="{00000000-0005-0000-0000-00006B1A0000}"/>
    <cellStyle name="Currency 5 6 8 2 2" xfId="15482" xr:uid="{00000000-0005-0000-0000-00006C1A0000}"/>
    <cellStyle name="Currency 5 6 8 3" xfId="11264" xr:uid="{00000000-0005-0000-0000-00006D1A0000}"/>
    <cellStyle name="Currency 5 6 9" xfId="4663" xr:uid="{00000000-0005-0000-0000-00006E1A0000}"/>
    <cellStyle name="Currency 5 6 9 2" xfId="13099" xr:uid="{00000000-0005-0000-0000-00006F1A0000}"/>
    <cellStyle name="Currency 5 7" xfId="222" xr:uid="{00000000-0005-0000-0000-0000701A0000}"/>
    <cellStyle name="Currency 5 7 10" xfId="8882" xr:uid="{00000000-0005-0000-0000-0000711A0000}"/>
    <cellStyle name="Currency 5 7 2" xfId="748" xr:uid="{00000000-0005-0000-0000-0000721A0000}"/>
    <cellStyle name="Currency 5 7 2 2" xfId="3000" xr:uid="{00000000-0005-0000-0000-0000731A0000}"/>
    <cellStyle name="Currency 5 7 2 2 2" xfId="7223" xr:uid="{00000000-0005-0000-0000-0000741A0000}"/>
    <cellStyle name="Currency 5 7 2 2 2 2" xfId="15659" xr:uid="{00000000-0005-0000-0000-0000751A0000}"/>
    <cellStyle name="Currency 5 7 2 2 3" xfId="11441" xr:uid="{00000000-0005-0000-0000-0000761A0000}"/>
    <cellStyle name="Currency 5 7 2 3" xfId="5078" xr:uid="{00000000-0005-0000-0000-0000771A0000}"/>
    <cellStyle name="Currency 5 7 2 3 2" xfId="13514" xr:uid="{00000000-0005-0000-0000-0000781A0000}"/>
    <cellStyle name="Currency 5 7 2 4" xfId="9296" xr:uid="{00000000-0005-0000-0000-0000791A0000}"/>
    <cellStyle name="Currency 5 7 3" xfId="1182" xr:uid="{00000000-0005-0000-0000-00007A1A0000}"/>
    <cellStyle name="Currency 5 7 3 2" xfId="3413" xr:uid="{00000000-0005-0000-0000-00007B1A0000}"/>
    <cellStyle name="Currency 5 7 3 2 2" xfId="7636" xr:uid="{00000000-0005-0000-0000-00007C1A0000}"/>
    <cellStyle name="Currency 5 7 3 2 2 2" xfId="16072" xr:uid="{00000000-0005-0000-0000-00007D1A0000}"/>
    <cellStyle name="Currency 5 7 3 2 3" xfId="11854" xr:uid="{00000000-0005-0000-0000-00007E1A0000}"/>
    <cellStyle name="Currency 5 7 3 3" xfId="5491" xr:uid="{00000000-0005-0000-0000-00007F1A0000}"/>
    <cellStyle name="Currency 5 7 3 3 2" xfId="13927" xr:uid="{00000000-0005-0000-0000-0000801A0000}"/>
    <cellStyle name="Currency 5 7 3 4" xfId="9709" xr:uid="{00000000-0005-0000-0000-0000811A0000}"/>
    <cellStyle name="Currency 5 7 4" xfId="1596" xr:uid="{00000000-0005-0000-0000-0000821A0000}"/>
    <cellStyle name="Currency 5 7 4 2" xfId="3826" xr:uid="{00000000-0005-0000-0000-0000831A0000}"/>
    <cellStyle name="Currency 5 7 4 2 2" xfId="8049" xr:uid="{00000000-0005-0000-0000-0000841A0000}"/>
    <cellStyle name="Currency 5 7 4 2 2 2" xfId="16485" xr:uid="{00000000-0005-0000-0000-0000851A0000}"/>
    <cellStyle name="Currency 5 7 4 2 3" xfId="12267" xr:uid="{00000000-0005-0000-0000-0000861A0000}"/>
    <cellStyle name="Currency 5 7 4 3" xfId="5904" xr:uid="{00000000-0005-0000-0000-0000871A0000}"/>
    <cellStyle name="Currency 5 7 4 3 2" xfId="14340" xr:uid="{00000000-0005-0000-0000-0000881A0000}"/>
    <cellStyle name="Currency 5 7 4 4" xfId="10122" xr:uid="{00000000-0005-0000-0000-0000891A0000}"/>
    <cellStyle name="Currency 5 7 5" xfId="2010" xr:uid="{00000000-0005-0000-0000-00008A1A0000}"/>
    <cellStyle name="Currency 5 7 5 2" xfId="4239" xr:uid="{00000000-0005-0000-0000-00008B1A0000}"/>
    <cellStyle name="Currency 5 7 5 2 2" xfId="8462" xr:uid="{00000000-0005-0000-0000-00008C1A0000}"/>
    <cellStyle name="Currency 5 7 5 2 2 2" xfId="16898" xr:uid="{00000000-0005-0000-0000-00008D1A0000}"/>
    <cellStyle name="Currency 5 7 5 2 3" xfId="12680" xr:uid="{00000000-0005-0000-0000-00008E1A0000}"/>
    <cellStyle name="Currency 5 7 5 3" xfId="6317" xr:uid="{00000000-0005-0000-0000-00008F1A0000}"/>
    <cellStyle name="Currency 5 7 5 3 2" xfId="14753" xr:uid="{00000000-0005-0000-0000-0000901A0000}"/>
    <cellStyle name="Currency 5 7 5 4" xfId="10535" xr:uid="{00000000-0005-0000-0000-0000911A0000}"/>
    <cellStyle name="Currency 5 7 6" xfId="2445" xr:uid="{00000000-0005-0000-0000-0000921A0000}"/>
    <cellStyle name="Currency 5 7 6 2" xfId="6730" xr:uid="{00000000-0005-0000-0000-0000931A0000}"/>
    <cellStyle name="Currency 5 7 6 2 2" xfId="15166" xr:uid="{00000000-0005-0000-0000-0000941A0000}"/>
    <cellStyle name="Currency 5 7 6 3" xfId="10948" xr:uid="{00000000-0005-0000-0000-0000951A0000}"/>
    <cellStyle name="Currency 5 7 7" xfId="2742" xr:uid="{00000000-0005-0000-0000-0000961A0000}"/>
    <cellStyle name="Currency 5 7 8" xfId="2823" xr:uid="{00000000-0005-0000-0000-0000971A0000}"/>
    <cellStyle name="Currency 5 7 8 2" xfId="7047" xr:uid="{00000000-0005-0000-0000-0000981A0000}"/>
    <cellStyle name="Currency 5 7 8 2 2" xfId="15483" xr:uid="{00000000-0005-0000-0000-0000991A0000}"/>
    <cellStyle name="Currency 5 7 8 3" xfId="11265" xr:uid="{00000000-0005-0000-0000-00009A1A0000}"/>
    <cellStyle name="Currency 5 7 9" xfId="4664" xr:uid="{00000000-0005-0000-0000-00009B1A0000}"/>
    <cellStyle name="Currency 5 7 9 2" xfId="13100" xr:uid="{00000000-0005-0000-0000-00009C1A0000}"/>
    <cellStyle name="Currency 5 8" xfId="721" xr:uid="{00000000-0005-0000-0000-00009D1A0000}"/>
    <cellStyle name="Currency 6" xfId="223" xr:uid="{00000000-0005-0000-0000-00009E1A0000}"/>
    <cellStyle name="Currency 6 2" xfId="224" xr:uid="{00000000-0005-0000-0000-00009F1A0000}"/>
    <cellStyle name="Currency 6 3" xfId="225" xr:uid="{00000000-0005-0000-0000-0000A01A0000}"/>
    <cellStyle name="Currency 6 3 2" xfId="750" xr:uid="{00000000-0005-0000-0000-0000A11A0000}"/>
    <cellStyle name="Currency 6 4" xfId="749" xr:uid="{00000000-0005-0000-0000-0000A21A0000}"/>
    <cellStyle name="Currency 7" xfId="226" xr:uid="{00000000-0005-0000-0000-0000A31A0000}"/>
    <cellStyle name="Currency 7 2" xfId="227" xr:uid="{00000000-0005-0000-0000-0000A41A0000}"/>
    <cellStyle name="Currency 7 2 2" xfId="752" xr:uid="{00000000-0005-0000-0000-0000A51A0000}"/>
    <cellStyle name="Currency 7 3" xfId="228" xr:uid="{00000000-0005-0000-0000-0000A61A0000}"/>
    <cellStyle name="Currency 7 3 2" xfId="753" xr:uid="{00000000-0005-0000-0000-0000A71A0000}"/>
    <cellStyle name="Currency 7 4" xfId="229" xr:uid="{00000000-0005-0000-0000-0000A81A0000}"/>
    <cellStyle name="Currency 7 4 2" xfId="754" xr:uid="{00000000-0005-0000-0000-0000A91A0000}"/>
    <cellStyle name="Currency 7 5" xfId="751" xr:uid="{00000000-0005-0000-0000-0000AA1A0000}"/>
    <cellStyle name="Currency 8" xfId="230" xr:uid="{00000000-0005-0000-0000-0000AB1A0000}"/>
    <cellStyle name="Currency 8 2" xfId="231" xr:uid="{00000000-0005-0000-0000-0000AC1A0000}"/>
    <cellStyle name="Currency 8 2 2" xfId="756" xr:uid="{00000000-0005-0000-0000-0000AD1A0000}"/>
    <cellStyle name="Currency 8 3" xfId="755" xr:uid="{00000000-0005-0000-0000-0000AE1A0000}"/>
    <cellStyle name="Currency 9" xfId="232" xr:uid="{00000000-0005-0000-0000-0000AF1A0000}"/>
    <cellStyle name="Currency 9 2" xfId="233" xr:uid="{00000000-0005-0000-0000-0000B01A0000}"/>
    <cellStyle name="Currency 9 2 2" xfId="758" xr:uid="{00000000-0005-0000-0000-0000B11A0000}"/>
    <cellStyle name="Currency 9 3" xfId="757" xr:uid="{00000000-0005-0000-0000-0000B21A0000}"/>
    <cellStyle name="Explanatory Text" xfId="234" builtinId="53" customBuiltin="1"/>
    <cellStyle name="Good" xfId="235" builtinId="26" customBuiltin="1"/>
    <cellStyle name="Heading 1" xfId="236" builtinId="16" customBuiltin="1"/>
    <cellStyle name="Heading 1 2" xfId="237" xr:uid="{00000000-0005-0000-0000-0000B61A0000}"/>
    <cellStyle name="Heading 2" xfId="238" builtinId="17" customBuiltin="1"/>
    <cellStyle name="Heading 2 2" xfId="239" xr:uid="{00000000-0005-0000-0000-0000B81A0000}"/>
    <cellStyle name="Heading 3" xfId="240" builtinId="18" customBuiltin="1"/>
    <cellStyle name="Heading 3 2" xfId="241" xr:uid="{00000000-0005-0000-0000-0000BA1A0000}"/>
    <cellStyle name="Heading 4" xfId="242" builtinId="19" customBuiltin="1"/>
    <cellStyle name="Heading 4 2" xfId="243" xr:uid="{00000000-0005-0000-0000-0000BC1A0000}"/>
    <cellStyle name="Hyperlink" xfId="244" builtinId="8"/>
    <cellStyle name="Hyperlink 2" xfId="245" xr:uid="{00000000-0005-0000-0000-0000BE1A0000}"/>
    <cellStyle name="Hyperlink 2 2" xfId="246" xr:uid="{00000000-0005-0000-0000-0000BF1A0000}"/>
    <cellStyle name="Input" xfId="247" builtinId="20" customBuiltin="1"/>
    <cellStyle name="Label" xfId="248" xr:uid="{00000000-0005-0000-0000-0000C11A0000}"/>
    <cellStyle name="Label No Shade" xfId="249" xr:uid="{00000000-0005-0000-0000-0000C21A0000}"/>
    <cellStyle name="Label Shaded" xfId="250" xr:uid="{00000000-0005-0000-0000-0000C31A0000}"/>
    <cellStyle name="Linked Cell" xfId="251" builtinId="24" customBuiltin="1"/>
    <cellStyle name="Neutral" xfId="252" builtinId="28" customBuiltin="1"/>
    <cellStyle name="Normal" xfId="0" builtinId="0"/>
    <cellStyle name="Normal 10" xfId="253" xr:uid="{00000000-0005-0000-0000-0000C71A0000}"/>
    <cellStyle name="Normal 10 2" xfId="254" xr:uid="{00000000-0005-0000-0000-0000C81A0000}"/>
    <cellStyle name="Normal 10 3" xfId="255" xr:uid="{00000000-0005-0000-0000-0000C91A0000}"/>
    <cellStyle name="Normal 11" xfId="256" xr:uid="{00000000-0005-0000-0000-0000CA1A0000}"/>
    <cellStyle name="Normal 11 2" xfId="257" xr:uid="{00000000-0005-0000-0000-0000CB1A0000}"/>
    <cellStyle name="Normal 11 2 3" xfId="569" xr:uid="{00000000-0005-0000-0000-0000CC1A0000}"/>
    <cellStyle name="Normal 11 3" xfId="258" xr:uid="{00000000-0005-0000-0000-0000CD1A0000}"/>
    <cellStyle name="Normal 11 3 2" xfId="759" xr:uid="{00000000-0005-0000-0000-0000CE1A0000}"/>
    <cellStyle name="Normal 12" xfId="259" xr:uid="{00000000-0005-0000-0000-0000CF1A0000}"/>
    <cellStyle name="Normal 12 10" xfId="2447" xr:uid="{00000000-0005-0000-0000-0000D01A0000}"/>
    <cellStyle name="Normal 12 10 2" xfId="6731" xr:uid="{00000000-0005-0000-0000-0000D11A0000}"/>
    <cellStyle name="Normal 12 10 2 2" xfId="15167" xr:uid="{00000000-0005-0000-0000-0000D21A0000}"/>
    <cellStyle name="Normal 12 10 3" xfId="10949" xr:uid="{00000000-0005-0000-0000-0000D31A0000}"/>
    <cellStyle name="Normal 12 11" xfId="4665" xr:uid="{00000000-0005-0000-0000-0000D41A0000}"/>
    <cellStyle name="Normal 12 11 2" xfId="13101" xr:uid="{00000000-0005-0000-0000-0000D51A0000}"/>
    <cellStyle name="Normal 12 12" xfId="8883" xr:uid="{00000000-0005-0000-0000-0000D61A0000}"/>
    <cellStyle name="Normal 12 2" xfId="260" xr:uid="{00000000-0005-0000-0000-0000D71A0000}"/>
    <cellStyle name="Normal 12 2 10" xfId="8884" xr:uid="{00000000-0005-0000-0000-0000D81A0000}"/>
    <cellStyle name="Normal 12 2 2" xfId="261" xr:uid="{00000000-0005-0000-0000-0000D91A0000}"/>
    <cellStyle name="Normal 12 2 2 2" xfId="262" xr:uid="{00000000-0005-0000-0000-0000DA1A0000}"/>
    <cellStyle name="Normal 12 2 2 2 2" xfId="763" xr:uid="{00000000-0005-0000-0000-0000DB1A0000}"/>
    <cellStyle name="Normal 12 2 2 2 2 2" xfId="3004" xr:uid="{00000000-0005-0000-0000-0000DC1A0000}"/>
    <cellStyle name="Normal 12 2 2 2 2 2 2" xfId="7227" xr:uid="{00000000-0005-0000-0000-0000DD1A0000}"/>
    <cellStyle name="Normal 12 2 2 2 2 2 2 2" xfId="15663" xr:uid="{00000000-0005-0000-0000-0000DE1A0000}"/>
    <cellStyle name="Normal 12 2 2 2 2 2 3" xfId="11445" xr:uid="{00000000-0005-0000-0000-0000DF1A0000}"/>
    <cellStyle name="Normal 12 2 2 2 2 3" xfId="5082" xr:uid="{00000000-0005-0000-0000-0000E01A0000}"/>
    <cellStyle name="Normal 12 2 2 2 2 3 2" xfId="13518" xr:uid="{00000000-0005-0000-0000-0000E11A0000}"/>
    <cellStyle name="Normal 12 2 2 2 2 4" xfId="9300" xr:uid="{00000000-0005-0000-0000-0000E21A0000}"/>
    <cellStyle name="Normal 12 2 2 2 3" xfId="1186" xr:uid="{00000000-0005-0000-0000-0000E31A0000}"/>
    <cellStyle name="Normal 12 2 2 2 3 2" xfId="3417" xr:uid="{00000000-0005-0000-0000-0000E41A0000}"/>
    <cellStyle name="Normal 12 2 2 2 3 2 2" xfId="7640" xr:uid="{00000000-0005-0000-0000-0000E51A0000}"/>
    <cellStyle name="Normal 12 2 2 2 3 2 2 2" xfId="16076" xr:uid="{00000000-0005-0000-0000-0000E61A0000}"/>
    <cellStyle name="Normal 12 2 2 2 3 2 3" xfId="11858" xr:uid="{00000000-0005-0000-0000-0000E71A0000}"/>
    <cellStyle name="Normal 12 2 2 2 3 3" xfId="5495" xr:uid="{00000000-0005-0000-0000-0000E81A0000}"/>
    <cellStyle name="Normal 12 2 2 2 3 3 2" xfId="13931" xr:uid="{00000000-0005-0000-0000-0000E91A0000}"/>
    <cellStyle name="Normal 12 2 2 2 3 4" xfId="9713" xr:uid="{00000000-0005-0000-0000-0000EA1A0000}"/>
    <cellStyle name="Normal 12 2 2 2 4" xfId="1600" xr:uid="{00000000-0005-0000-0000-0000EB1A0000}"/>
    <cellStyle name="Normal 12 2 2 2 4 2" xfId="3830" xr:uid="{00000000-0005-0000-0000-0000EC1A0000}"/>
    <cellStyle name="Normal 12 2 2 2 4 2 2" xfId="8053" xr:uid="{00000000-0005-0000-0000-0000ED1A0000}"/>
    <cellStyle name="Normal 12 2 2 2 4 2 2 2" xfId="16489" xr:uid="{00000000-0005-0000-0000-0000EE1A0000}"/>
    <cellStyle name="Normal 12 2 2 2 4 2 3" xfId="12271" xr:uid="{00000000-0005-0000-0000-0000EF1A0000}"/>
    <cellStyle name="Normal 12 2 2 2 4 3" xfId="5908" xr:uid="{00000000-0005-0000-0000-0000F01A0000}"/>
    <cellStyle name="Normal 12 2 2 2 4 3 2" xfId="14344" xr:uid="{00000000-0005-0000-0000-0000F11A0000}"/>
    <cellStyle name="Normal 12 2 2 2 4 4" xfId="10126" xr:uid="{00000000-0005-0000-0000-0000F21A0000}"/>
    <cellStyle name="Normal 12 2 2 2 5" xfId="2014" xr:uid="{00000000-0005-0000-0000-0000F31A0000}"/>
    <cellStyle name="Normal 12 2 2 2 5 2" xfId="4243" xr:uid="{00000000-0005-0000-0000-0000F41A0000}"/>
    <cellStyle name="Normal 12 2 2 2 5 2 2" xfId="8466" xr:uid="{00000000-0005-0000-0000-0000F51A0000}"/>
    <cellStyle name="Normal 12 2 2 2 5 2 2 2" xfId="16902" xr:uid="{00000000-0005-0000-0000-0000F61A0000}"/>
    <cellStyle name="Normal 12 2 2 2 5 2 3" xfId="12684" xr:uid="{00000000-0005-0000-0000-0000F71A0000}"/>
    <cellStyle name="Normal 12 2 2 2 5 3" xfId="6321" xr:uid="{00000000-0005-0000-0000-0000F81A0000}"/>
    <cellStyle name="Normal 12 2 2 2 5 3 2" xfId="14757" xr:uid="{00000000-0005-0000-0000-0000F91A0000}"/>
    <cellStyle name="Normal 12 2 2 2 5 4" xfId="10539" xr:uid="{00000000-0005-0000-0000-0000FA1A0000}"/>
    <cellStyle name="Normal 12 2 2 2 6" xfId="2450" xr:uid="{00000000-0005-0000-0000-0000FB1A0000}"/>
    <cellStyle name="Normal 12 2 2 2 6 2" xfId="6734" xr:uid="{00000000-0005-0000-0000-0000FC1A0000}"/>
    <cellStyle name="Normal 12 2 2 2 6 2 2" xfId="15170" xr:uid="{00000000-0005-0000-0000-0000FD1A0000}"/>
    <cellStyle name="Normal 12 2 2 2 6 3" xfId="10952" xr:uid="{00000000-0005-0000-0000-0000FE1A0000}"/>
    <cellStyle name="Normal 12 2 2 2 7" xfId="4668" xr:uid="{00000000-0005-0000-0000-0000FF1A0000}"/>
    <cellStyle name="Normal 12 2 2 2 7 2" xfId="13104" xr:uid="{00000000-0005-0000-0000-0000001B0000}"/>
    <cellStyle name="Normal 12 2 2 2 8" xfId="8886" xr:uid="{00000000-0005-0000-0000-0000011B0000}"/>
    <cellStyle name="Normal 12 2 2 3" xfId="762" xr:uid="{00000000-0005-0000-0000-0000021B0000}"/>
    <cellStyle name="Normal 12 2 2 3 2" xfId="3003" xr:uid="{00000000-0005-0000-0000-0000031B0000}"/>
    <cellStyle name="Normal 12 2 2 3 2 2" xfId="7226" xr:uid="{00000000-0005-0000-0000-0000041B0000}"/>
    <cellStyle name="Normal 12 2 2 3 2 2 2" xfId="15662" xr:uid="{00000000-0005-0000-0000-0000051B0000}"/>
    <cellStyle name="Normal 12 2 2 3 2 3" xfId="11444" xr:uid="{00000000-0005-0000-0000-0000061B0000}"/>
    <cellStyle name="Normal 12 2 2 3 3" xfId="5081" xr:uid="{00000000-0005-0000-0000-0000071B0000}"/>
    <cellStyle name="Normal 12 2 2 3 3 2" xfId="13517" xr:uid="{00000000-0005-0000-0000-0000081B0000}"/>
    <cellStyle name="Normal 12 2 2 3 4" xfId="9299" xr:uid="{00000000-0005-0000-0000-0000091B0000}"/>
    <cellStyle name="Normal 12 2 2 4" xfId="1185" xr:uid="{00000000-0005-0000-0000-00000A1B0000}"/>
    <cellStyle name="Normal 12 2 2 4 2" xfId="3416" xr:uid="{00000000-0005-0000-0000-00000B1B0000}"/>
    <cellStyle name="Normal 12 2 2 4 2 2" xfId="7639" xr:uid="{00000000-0005-0000-0000-00000C1B0000}"/>
    <cellStyle name="Normal 12 2 2 4 2 2 2" xfId="16075" xr:uid="{00000000-0005-0000-0000-00000D1B0000}"/>
    <cellStyle name="Normal 12 2 2 4 2 3" xfId="11857" xr:uid="{00000000-0005-0000-0000-00000E1B0000}"/>
    <cellStyle name="Normal 12 2 2 4 3" xfId="5494" xr:uid="{00000000-0005-0000-0000-00000F1B0000}"/>
    <cellStyle name="Normal 12 2 2 4 3 2" xfId="13930" xr:uid="{00000000-0005-0000-0000-0000101B0000}"/>
    <cellStyle name="Normal 12 2 2 4 4" xfId="9712" xr:uid="{00000000-0005-0000-0000-0000111B0000}"/>
    <cellStyle name="Normal 12 2 2 5" xfId="1599" xr:uid="{00000000-0005-0000-0000-0000121B0000}"/>
    <cellStyle name="Normal 12 2 2 5 2" xfId="3829" xr:uid="{00000000-0005-0000-0000-0000131B0000}"/>
    <cellStyle name="Normal 12 2 2 5 2 2" xfId="8052" xr:uid="{00000000-0005-0000-0000-0000141B0000}"/>
    <cellStyle name="Normal 12 2 2 5 2 2 2" xfId="16488" xr:uid="{00000000-0005-0000-0000-0000151B0000}"/>
    <cellStyle name="Normal 12 2 2 5 2 3" xfId="12270" xr:uid="{00000000-0005-0000-0000-0000161B0000}"/>
    <cellStyle name="Normal 12 2 2 5 3" xfId="5907" xr:uid="{00000000-0005-0000-0000-0000171B0000}"/>
    <cellStyle name="Normal 12 2 2 5 3 2" xfId="14343" xr:uid="{00000000-0005-0000-0000-0000181B0000}"/>
    <cellStyle name="Normal 12 2 2 5 4" xfId="10125" xr:uid="{00000000-0005-0000-0000-0000191B0000}"/>
    <cellStyle name="Normal 12 2 2 6" xfId="2013" xr:uid="{00000000-0005-0000-0000-00001A1B0000}"/>
    <cellStyle name="Normal 12 2 2 6 2" xfId="4242" xr:uid="{00000000-0005-0000-0000-00001B1B0000}"/>
    <cellStyle name="Normal 12 2 2 6 2 2" xfId="8465" xr:uid="{00000000-0005-0000-0000-00001C1B0000}"/>
    <cellStyle name="Normal 12 2 2 6 2 2 2" xfId="16901" xr:uid="{00000000-0005-0000-0000-00001D1B0000}"/>
    <cellStyle name="Normal 12 2 2 6 2 3" xfId="12683" xr:uid="{00000000-0005-0000-0000-00001E1B0000}"/>
    <cellStyle name="Normal 12 2 2 6 3" xfId="6320" xr:uid="{00000000-0005-0000-0000-00001F1B0000}"/>
    <cellStyle name="Normal 12 2 2 6 3 2" xfId="14756" xr:uid="{00000000-0005-0000-0000-0000201B0000}"/>
    <cellStyle name="Normal 12 2 2 6 4" xfId="10538" xr:uid="{00000000-0005-0000-0000-0000211B0000}"/>
    <cellStyle name="Normal 12 2 2 7" xfId="2449" xr:uid="{00000000-0005-0000-0000-0000221B0000}"/>
    <cellStyle name="Normal 12 2 2 7 2" xfId="6733" xr:uid="{00000000-0005-0000-0000-0000231B0000}"/>
    <cellStyle name="Normal 12 2 2 7 2 2" xfId="15169" xr:uid="{00000000-0005-0000-0000-0000241B0000}"/>
    <cellStyle name="Normal 12 2 2 7 3" xfId="10951" xr:uid="{00000000-0005-0000-0000-0000251B0000}"/>
    <cellStyle name="Normal 12 2 2 8" xfId="4667" xr:uid="{00000000-0005-0000-0000-0000261B0000}"/>
    <cellStyle name="Normal 12 2 2 8 2" xfId="13103" xr:uid="{00000000-0005-0000-0000-0000271B0000}"/>
    <cellStyle name="Normal 12 2 2 9" xfId="8885" xr:uid="{00000000-0005-0000-0000-0000281B0000}"/>
    <cellStyle name="Normal 12 2 3" xfId="263" xr:uid="{00000000-0005-0000-0000-0000291B0000}"/>
    <cellStyle name="Normal 12 2 3 2" xfId="764" xr:uid="{00000000-0005-0000-0000-00002A1B0000}"/>
    <cellStyle name="Normal 12 2 3 2 2" xfId="3005" xr:uid="{00000000-0005-0000-0000-00002B1B0000}"/>
    <cellStyle name="Normal 12 2 3 2 2 2" xfId="7228" xr:uid="{00000000-0005-0000-0000-00002C1B0000}"/>
    <cellStyle name="Normal 12 2 3 2 2 2 2" xfId="15664" xr:uid="{00000000-0005-0000-0000-00002D1B0000}"/>
    <cellStyle name="Normal 12 2 3 2 2 3" xfId="11446" xr:uid="{00000000-0005-0000-0000-00002E1B0000}"/>
    <cellStyle name="Normal 12 2 3 2 3" xfId="5083" xr:uid="{00000000-0005-0000-0000-00002F1B0000}"/>
    <cellStyle name="Normal 12 2 3 2 3 2" xfId="13519" xr:uid="{00000000-0005-0000-0000-0000301B0000}"/>
    <cellStyle name="Normal 12 2 3 2 4" xfId="9301" xr:uid="{00000000-0005-0000-0000-0000311B0000}"/>
    <cellStyle name="Normal 12 2 3 3" xfId="1187" xr:uid="{00000000-0005-0000-0000-0000321B0000}"/>
    <cellStyle name="Normal 12 2 3 3 2" xfId="3418" xr:uid="{00000000-0005-0000-0000-0000331B0000}"/>
    <cellStyle name="Normal 12 2 3 3 2 2" xfId="7641" xr:uid="{00000000-0005-0000-0000-0000341B0000}"/>
    <cellStyle name="Normal 12 2 3 3 2 2 2" xfId="16077" xr:uid="{00000000-0005-0000-0000-0000351B0000}"/>
    <cellStyle name="Normal 12 2 3 3 2 3" xfId="11859" xr:uid="{00000000-0005-0000-0000-0000361B0000}"/>
    <cellStyle name="Normal 12 2 3 3 3" xfId="5496" xr:uid="{00000000-0005-0000-0000-0000371B0000}"/>
    <cellStyle name="Normal 12 2 3 3 3 2" xfId="13932" xr:uid="{00000000-0005-0000-0000-0000381B0000}"/>
    <cellStyle name="Normal 12 2 3 3 4" xfId="9714" xr:uid="{00000000-0005-0000-0000-0000391B0000}"/>
    <cellStyle name="Normal 12 2 3 4" xfId="1601" xr:uid="{00000000-0005-0000-0000-00003A1B0000}"/>
    <cellStyle name="Normal 12 2 3 4 2" xfId="3831" xr:uid="{00000000-0005-0000-0000-00003B1B0000}"/>
    <cellStyle name="Normal 12 2 3 4 2 2" xfId="8054" xr:uid="{00000000-0005-0000-0000-00003C1B0000}"/>
    <cellStyle name="Normal 12 2 3 4 2 2 2" xfId="16490" xr:uid="{00000000-0005-0000-0000-00003D1B0000}"/>
    <cellStyle name="Normal 12 2 3 4 2 3" xfId="12272" xr:uid="{00000000-0005-0000-0000-00003E1B0000}"/>
    <cellStyle name="Normal 12 2 3 4 3" xfId="5909" xr:uid="{00000000-0005-0000-0000-00003F1B0000}"/>
    <cellStyle name="Normal 12 2 3 4 3 2" xfId="14345" xr:uid="{00000000-0005-0000-0000-0000401B0000}"/>
    <cellStyle name="Normal 12 2 3 4 4" xfId="10127" xr:uid="{00000000-0005-0000-0000-0000411B0000}"/>
    <cellStyle name="Normal 12 2 3 5" xfId="2015" xr:uid="{00000000-0005-0000-0000-0000421B0000}"/>
    <cellStyle name="Normal 12 2 3 5 2" xfId="4244" xr:uid="{00000000-0005-0000-0000-0000431B0000}"/>
    <cellStyle name="Normal 12 2 3 5 2 2" xfId="8467" xr:uid="{00000000-0005-0000-0000-0000441B0000}"/>
    <cellStyle name="Normal 12 2 3 5 2 2 2" xfId="16903" xr:uid="{00000000-0005-0000-0000-0000451B0000}"/>
    <cellStyle name="Normal 12 2 3 5 2 3" xfId="12685" xr:uid="{00000000-0005-0000-0000-0000461B0000}"/>
    <cellStyle name="Normal 12 2 3 5 3" xfId="6322" xr:uid="{00000000-0005-0000-0000-0000471B0000}"/>
    <cellStyle name="Normal 12 2 3 5 3 2" xfId="14758" xr:uid="{00000000-0005-0000-0000-0000481B0000}"/>
    <cellStyle name="Normal 12 2 3 5 4" xfId="10540" xr:uid="{00000000-0005-0000-0000-0000491B0000}"/>
    <cellStyle name="Normal 12 2 3 6" xfId="2451" xr:uid="{00000000-0005-0000-0000-00004A1B0000}"/>
    <cellStyle name="Normal 12 2 3 6 2" xfId="6735" xr:uid="{00000000-0005-0000-0000-00004B1B0000}"/>
    <cellStyle name="Normal 12 2 3 6 2 2" xfId="15171" xr:uid="{00000000-0005-0000-0000-00004C1B0000}"/>
    <cellStyle name="Normal 12 2 3 6 3" xfId="10953" xr:uid="{00000000-0005-0000-0000-00004D1B0000}"/>
    <cellStyle name="Normal 12 2 3 7" xfId="4669" xr:uid="{00000000-0005-0000-0000-00004E1B0000}"/>
    <cellStyle name="Normal 12 2 3 7 2" xfId="13105" xr:uid="{00000000-0005-0000-0000-00004F1B0000}"/>
    <cellStyle name="Normal 12 2 3 8" xfId="8887" xr:uid="{00000000-0005-0000-0000-0000501B0000}"/>
    <cellStyle name="Normal 12 2 4" xfId="761" xr:uid="{00000000-0005-0000-0000-0000511B0000}"/>
    <cellStyle name="Normal 12 2 4 2" xfId="3002" xr:uid="{00000000-0005-0000-0000-0000521B0000}"/>
    <cellStyle name="Normal 12 2 4 2 2" xfId="7225" xr:uid="{00000000-0005-0000-0000-0000531B0000}"/>
    <cellStyle name="Normal 12 2 4 2 2 2" xfId="15661" xr:uid="{00000000-0005-0000-0000-0000541B0000}"/>
    <cellStyle name="Normal 12 2 4 2 3" xfId="11443" xr:uid="{00000000-0005-0000-0000-0000551B0000}"/>
    <cellStyle name="Normal 12 2 4 3" xfId="5080" xr:uid="{00000000-0005-0000-0000-0000561B0000}"/>
    <cellStyle name="Normal 12 2 4 3 2" xfId="13516" xr:uid="{00000000-0005-0000-0000-0000571B0000}"/>
    <cellStyle name="Normal 12 2 4 4" xfId="9298" xr:uid="{00000000-0005-0000-0000-0000581B0000}"/>
    <cellStyle name="Normal 12 2 5" xfId="1184" xr:uid="{00000000-0005-0000-0000-0000591B0000}"/>
    <cellStyle name="Normal 12 2 5 2" xfId="3415" xr:uid="{00000000-0005-0000-0000-00005A1B0000}"/>
    <cellStyle name="Normal 12 2 5 2 2" xfId="7638" xr:uid="{00000000-0005-0000-0000-00005B1B0000}"/>
    <cellStyle name="Normal 12 2 5 2 2 2" xfId="16074" xr:uid="{00000000-0005-0000-0000-00005C1B0000}"/>
    <cellStyle name="Normal 12 2 5 2 3" xfId="11856" xr:uid="{00000000-0005-0000-0000-00005D1B0000}"/>
    <cellStyle name="Normal 12 2 5 3" xfId="5493" xr:uid="{00000000-0005-0000-0000-00005E1B0000}"/>
    <cellStyle name="Normal 12 2 5 3 2" xfId="13929" xr:uid="{00000000-0005-0000-0000-00005F1B0000}"/>
    <cellStyle name="Normal 12 2 5 4" xfId="9711" xr:uid="{00000000-0005-0000-0000-0000601B0000}"/>
    <cellStyle name="Normal 12 2 6" xfId="1598" xr:uid="{00000000-0005-0000-0000-0000611B0000}"/>
    <cellStyle name="Normal 12 2 6 2" xfId="3828" xr:uid="{00000000-0005-0000-0000-0000621B0000}"/>
    <cellStyle name="Normal 12 2 6 2 2" xfId="8051" xr:uid="{00000000-0005-0000-0000-0000631B0000}"/>
    <cellStyle name="Normal 12 2 6 2 2 2" xfId="16487" xr:uid="{00000000-0005-0000-0000-0000641B0000}"/>
    <cellStyle name="Normal 12 2 6 2 3" xfId="12269" xr:uid="{00000000-0005-0000-0000-0000651B0000}"/>
    <cellStyle name="Normal 12 2 6 3" xfId="5906" xr:uid="{00000000-0005-0000-0000-0000661B0000}"/>
    <cellStyle name="Normal 12 2 6 3 2" xfId="14342" xr:uid="{00000000-0005-0000-0000-0000671B0000}"/>
    <cellStyle name="Normal 12 2 6 4" xfId="10124" xr:uid="{00000000-0005-0000-0000-0000681B0000}"/>
    <cellStyle name="Normal 12 2 7" xfId="2012" xr:uid="{00000000-0005-0000-0000-0000691B0000}"/>
    <cellStyle name="Normal 12 2 7 2" xfId="4241" xr:uid="{00000000-0005-0000-0000-00006A1B0000}"/>
    <cellStyle name="Normal 12 2 7 2 2" xfId="8464" xr:uid="{00000000-0005-0000-0000-00006B1B0000}"/>
    <cellStyle name="Normal 12 2 7 2 2 2" xfId="16900" xr:uid="{00000000-0005-0000-0000-00006C1B0000}"/>
    <cellStyle name="Normal 12 2 7 2 3" xfId="12682" xr:uid="{00000000-0005-0000-0000-00006D1B0000}"/>
    <cellStyle name="Normal 12 2 7 3" xfId="6319" xr:uid="{00000000-0005-0000-0000-00006E1B0000}"/>
    <cellStyle name="Normal 12 2 7 3 2" xfId="14755" xr:uid="{00000000-0005-0000-0000-00006F1B0000}"/>
    <cellStyle name="Normal 12 2 7 4" xfId="10537" xr:uid="{00000000-0005-0000-0000-0000701B0000}"/>
    <cellStyle name="Normal 12 2 8" xfId="2448" xr:uid="{00000000-0005-0000-0000-0000711B0000}"/>
    <cellStyle name="Normal 12 2 8 2" xfId="6732" xr:uid="{00000000-0005-0000-0000-0000721B0000}"/>
    <cellStyle name="Normal 12 2 8 2 2" xfId="15168" xr:uid="{00000000-0005-0000-0000-0000731B0000}"/>
    <cellStyle name="Normal 12 2 8 3" xfId="10950" xr:uid="{00000000-0005-0000-0000-0000741B0000}"/>
    <cellStyle name="Normal 12 2 9" xfId="4666" xr:uid="{00000000-0005-0000-0000-0000751B0000}"/>
    <cellStyle name="Normal 12 2 9 2" xfId="13102" xr:uid="{00000000-0005-0000-0000-0000761B0000}"/>
    <cellStyle name="Normal 12 3" xfId="264" xr:uid="{00000000-0005-0000-0000-0000771B0000}"/>
    <cellStyle name="Normal 12 3 2" xfId="265" xr:uid="{00000000-0005-0000-0000-0000781B0000}"/>
    <cellStyle name="Normal 12 3 2 2" xfId="766" xr:uid="{00000000-0005-0000-0000-0000791B0000}"/>
    <cellStyle name="Normal 12 3 2 2 2" xfId="3007" xr:uid="{00000000-0005-0000-0000-00007A1B0000}"/>
    <cellStyle name="Normal 12 3 2 2 2 2" xfId="7230" xr:uid="{00000000-0005-0000-0000-00007B1B0000}"/>
    <cellStyle name="Normal 12 3 2 2 2 2 2" xfId="15666" xr:uid="{00000000-0005-0000-0000-00007C1B0000}"/>
    <cellStyle name="Normal 12 3 2 2 2 3" xfId="11448" xr:uid="{00000000-0005-0000-0000-00007D1B0000}"/>
    <cellStyle name="Normal 12 3 2 2 3" xfId="5085" xr:uid="{00000000-0005-0000-0000-00007E1B0000}"/>
    <cellStyle name="Normal 12 3 2 2 3 2" xfId="13521" xr:uid="{00000000-0005-0000-0000-00007F1B0000}"/>
    <cellStyle name="Normal 12 3 2 2 4" xfId="9303" xr:uid="{00000000-0005-0000-0000-0000801B0000}"/>
    <cellStyle name="Normal 12 3 2 3" xfId="1189" xr:uid="{00000000-0005-0000-0000-0000811B0000}"/>
    <cellStyle name="Normal 12 3 2 3 2" xfId="3420" xr:uid="{00000000-0005-0000-0000-0000821B0000}"/>
    <cellStyle name="Normal 12 3 2 3 2 2" xfId="7643" xr:uid="{00000000-0005-0000-0000-0000831B0000}"/>
    <cellStyle name="Normal 12 3 2 3 2 2 2" xfId="16079" xr:uid="{00000000-0005-0000-0000-0000841B0000}"/>
    <cellStyle name="Normal 12 3 2 3 2 3" xfId="11861" xr:uid="{00000000-0005-0000-0000-0000851B0000}"/>
    <cellStyle name="Normal 12 3 2 3 3" xfId="5498" xr:uid="{00000000-0005-0000-0000-0000861B0000}"/>
    <cellStyle name="Normal 12 3 2 3 3 2" xfId="13934" xr:uid="{00000000-0005-0000-0000-0000871B0000}"/>
    <cellStyle name="Normal 12 3 2 3 4" xfId="9716" xr:uid="{00000000-0005-0000-0000-0000881B0000}"/>
    <cellStyle name="Normal 12 3 2 4" xfId="1603" xr:uid="{00000000-0005-0000-0000-0000891B0000}"/>
    <cellStyle name="Normal 12 3 2 4 2" xfId="3833" xr:uid="{00000000-0005-0000-0000-00008A1B0000}"/>
    <cellStyle name="Normal 12 3 2 4 2 2" xfId="8056" xr:uid="{00000000-0005-0000-0000-00008B1B0000}"/>
    <cellStyle name="Normal 12 3 2 4 2 2 2" xfId="16492" xr:uid="{00000000-0005-0000-0000-00008C1B0000}"/>
    <cellStyle name="Normal 12 3 2 4 2 3" xfId="12274" xr:uid="{00000000-0005-0000-0000-00008D1B0000}"/>
    <cellStyle name="Normal 12 3 2 4 3" xfId="5911" xr:uid="{00000000-0005-0000-0000-00008E1B0000}"/>
    <cellStyle name="Normal 12 3 2 4 3 2" xfId="14347" xr:uid="{00000000-0005-0000-0000-00008F1B0000}"/>
    <cellStyle name="Normal 12 3 2 4 4" xfId="10129" xr:uid="{00000000-0005-0000-0000-0000901B0000}"/>
    <cellStyle name="Normal 12 3 2 5" xfId="2017" xr:uid="{00000000-0005-0000-0000-0000911B0000}"/>
    <cellStyle name="Normal 12 3 2 5 2" xfId="4246" xr:uid="{00000000-0005-0000-0000-0000921B0000}"/>
    <cellStyle name="Normal 12 3 2 5 2 2" xfId="8469" xr:uid="{00000000-0005-0000-0000-0000931B0000}"/>
    <cellStyle name="Normal 12 3 2 5 2 2 2" xfId="16905" xr:uid="{00000000-0005-0000-0000-0000941B0000}"/>
    <cellStyle name="Normal 12 3 2 5 2 3" xfId="12687" xr:uid="{00000000-0005-0000-0000-0000951B0000}"/>
    <cellStyle name="Normal 12 3 2 5 3" xfId="6324" xr:uid="{00000000-0005-0000-0000-0000961B0000}"/>
    <cellStyle name="Normal 12 3 2 5 3 2" xfId="14760" xr:uid="{00000000-0005-0000-0000-0000971B0000}"/>
    <cellStyle name="Normal 12 3 2 5 4" xfId="10542" xr:uid="{00000000-0005-0000-0000-0000981B0000}"/>
    <cellStyle name="Normal 12 3 2 6" xfId="2453" xr:uid="{00000000-0005-0000-0000-0000991B0000}"/>
    <cellStyle name="Normal 12 3 2 6 2" xfId="6737" xr:uid="{00000000-0005-0000-0000-00009A1B0000}"/>
    <cellStyle name="Normal 12 3 2 6 2 2" xfId="15173" xr:uid="{00000000-0005-0000-0000-00009B1B0000}"/>
    <cellStyle name="Normal 12 3 2 6 3" xfId="10955" xr:uid="{00000000-0005-0000-0000-00009C1B0000}"/>
    <cellStyle name="Normal 12 3 2 7" xfId="4671" xr:uid="{00000000-0005-0000-0000-00009D1B0000}"/>
    <cellStyle name="Normal 12 3 2 7 2" xfId="13107" xr:uid="{00000000-0005-0000-0000-00009E1B0000}"/>
    <cellStyle name="Normal 12 3 2 8" xfId="8889" xr:uid="{00000000-0005-0000-0000-00009F1B0000}"/>
    <cellStyle name="Normal 12 3 3" xfId="765" xr:uid="{00000000-0005-0000-0000-0000A01B0000}"/>
    <cellStyle name="Normal 12 3 3 2" xfId="3006" xr:uid="{00000000-0005-0000-0000-0000A11B0000}"/>
    <cellStyle name="Normal 12 3 3 2 2" xfId="7229" xr:uid="{00000000-0005-0000-0000-0000A21B0000}"/>
    <cellStyle name="Normal 12 3 3 2 2 2" xfId="15665" xr:uid="{00000000-0005-0000-0000-0000A31B0000}"/>
    <cellStyle name="Normal 12 3 3 2 3" xfId="11447" xr:uid="{00000000-0005-0000-0000-0000A41B0000}"/>
    <cellStyle name="Normal 12 3 3 3" xfId="5084" xr:uid="{00000000-0005-0000-0000-0000A51B0000}"/>
    <cellStyle name="Normal 12 3 3 3 2" xfId="13520" xr:uid="{00000000-0005-0000-0000-0000A61B0000}"/>
    <cellStyle name="Normal 12 3 3 4" xfId="9302" xr:uid="{00000000-0005-0000-0000-0000A71B0000}"/>
    <cellStyle name="Normal 12 3 4" xfId="1188" xr:uid="{00000000-0005-0000-0000-0000A81B0000}"/>
    <cellStyle name="Normal 12 3 4 2" xfId="3419" xr:uid="{00000000-0005-0000-0000-0000A91B0000}"/>
    <cellStyle name="Normal 12 3 4 2 2" xfId="7642" xr:uid="{00000000-0005-0000-0000-0000AA1B0000}"/>
    <cellStyle name="Normal 12 3 4 2 2 2" xfId="16078" xr:uid="{00000000-0005-0000-0000-0000AB1B0000}"/>
    <cellStyle name="Normal 12 3 4 2 3" xfId="11860" xr:uid="{00000000-0005-0000-0000-0000AC1B0000}"/>
    <cellStyle name="Normal 12 3 4 3" xfId="5497" xr:uid="{00000000-0005-0000-0000-0000AD1B0000}"/>
    <cellStyle name="Normal 12 3 4 3 2" xfId="13933" xr:uid="{00000000-0005-0000-0000-0000AE1B0000}"/>
    <cellStyle name="Normal 12 3 4 4" xfId="9715" xr:uid="{00000000-0005-0000-0000-0000AF1B0000}"/>
    <cellStyle name="Normal 12 3 5" xfId="1602" xr:uid="{00000000-0005-0000-0000-0000B01B0000}"/>
    <cellStyle name="Normal 12 3 5 2" xfId="3832" xr:uid="{00000000-0005-0000-0000-0000B11B0000}"/>
    <cellStyle name="Normal 12 3 5 2 2" xfId="8055" xr:uid="{00000000-0005-0000-0000-0000B21B0000}"/>
    <cellStyle name="Normal 12 3 5 2 2 2" xfId="16491" xr:uid="{00000000-0005-0000-0000-0000B31B0000}"/>
    <cellStyle name="Normal 12 3 5 2 3" xfId="12273" xr:uid="{00000000-0005-0000-0000-0000B41B0000}"/>
    <cellStyle name="Normal 12 3 5 3" xfId="5910" xr:uid="{00000000-0005-0000-0000-0000B51B0000}"/>
    <cellStyle name="Normal 12 3 5 3 2" xfId="14346" xr:uid="{00000000-0005-0000-0000-0000B61B0000}"/>
    <cellStyle name="Normal 12 3 5 4" xfId="10128" xr:uid="{00000000-0005-0000-0000-0000B71B0000}"/>
    <cellStyle name="Normal 12 3 6" xfId="2016" xr:uid="{00000000-0005-0000-0000-0000B81B0000}"/>
    <cellStyle name="Normal 12 3 6 2" xfId="4245" xr:uid="{00000000-0005-0000-0000-0000B91B0000}"/>
    <cellStyle name="Normal 12 3 6 2 2" xfId="8468" xr:uid="{00000000-0005-0000-0000-0000BA1B0000}"/>
    <cellStyle name="Normal 12 3 6 2 2 2" xfId="16904" xr:uid="{00000000-0005-0000-0000-0000BB1B0000}"/>
    <cellStyle name="Normal 12 3 6 2 3" xfId="12686" xr:uid="{00000000-0005-0000-0000-0000BC1B0000}"/>
    <cellStyle name="Normal 12 3 6 3" xfId="6323" xr:uid="{00000000-0005-0000-0000-0000BD1B0000}"/>
    <cellStyle name="Normal 12 3 6 3 2" xfId="14759" xr:uid="{00000000-0005-0000-0000-0000BE1B0000}"/>
    <cellStyle name="Normal 12 3 6 4" xfId="10541" xr:uid="{00000000-0005-0000-0000-0000BF1B0000}"/>
    <cellStyle name="Normal 12 3 7" xfId="2452" xr:uid="{00000000-0005-0000-0000-0000C01B0000}"/>
    <cellStyle name="Normal 12 3 7 2" xfId="6736" xr:uid="{00000000-0005-0000-0000-0000C11B0000}"/>
    <cellStyle name="Normal 12 3 7 2 2" xfId="15172" xr:uid="{00000000-0005-0000-0000-0000C21B0000}"/>
    <cellStyle name="Normal 12 3 7 3" xfId="10954" xr:uid="{00000000-0005-0000-0000-0000C31B0000}"/>
    <cellStyle name="Normal 12 3 8" xfId="4670" xr:uid="{00000000-0005-0000-0000-0000C41B0000}"/>
    <cellStyle name="Normal 12 3 8 2" xfId="13106" xr:uid="{00000000-0005-0000-0000-0000C51B0000}"/>
    <cellStyle name="Normal 12 3 9" xfId="8888" xr:uid="{00000000-0005-0000-0000-0000C61B0000}"/>
    <cellStyle name="Normal 12 4" xfId="266" xr:uid="{00000000-0005-0000-0000-0000C71B0000}"/>
    <cellStyle name="Normal 12 4 2" xfId="767" xr:uid="{00000000-0005-0000-0000-0000C81B0000}"/>
    <cellStyle name="Normal 12 4 2 2" xfId="3008" xr:uid="{00000000-0005-0000-0000-0000C91B0000}"/>
    <cellStyle name="Normal 12 4 2 2 2" xfId="7231" xr:uid="{00000000-0005-0000-0000-0000CA1B0000}"/>
    <cellStyle name="Normal 12 4 2 2 2 2" xfId="15667" xr:uid="{00000000-0005-0000-0000-0000CB1B0000}"/>
    <cellStyle name="Normal 12 4 2 2 3" xfId="11449" xr:uid="{00000000-0005-0000-0000-0000CC1B0000}"/>
    <cellStyle name="Normal 12 4 2 3" xfId="5086" xr:uid="{00000000-0005-0000-0000-0000CD1B0000}"/>
    <cellStyle name="Normal 12 4 2 3 2" xfId="13522" xr:uid="{00000000-0005-0000-0000-0000CE1B0000}"/>
    <cellStyle name="Normal 12 4 2 4" xfId="9304" xr:uid="{00000000-0005-0000-0000-0000CF1B0000}"/>
    <cellStyle name="Normal 12 4 3" xfId="1190" xr:uid="{00000000-0005-0000-0000-0000D01B0000}"/>
    <cellStyle name="Normal 12 4 3 2" xfId="3421" xr:uid="{00000000-0005-0000-0000-0000D11B0000}"/>
    <cellStyle name="Normal 12 4 3 2 2" xfId="7644" xr:uid="{00000000-0005-0000-0000-0000D21B0000}"/>
    <cellStyle name="Normal 12 4 3 2 2 2" xfId="16080" xr:uid="{00000000-0005-0000-0000-0000D31B0000}"/>
    <cellStyle name="Normal 12 4 3 2 3" xfId="11862" xr:uid="{00000000-0005-0000-0000-0000D41B0000}"/>
    <cellStyle name="Normal 12 4 3 3" xfId="5499" xr:uid="{00000000-0005-0000-0000-0000D51B0000}"/>
    <cellStyle name="Normal 12 4 3 3 2" xfId="13935" xr:uid="{00000000-0005-0000-0000-0000D61B0000}"/>
    <cellStyle name="Normal 12 4 3 4" xfId="9717" xr:uid="{00000000-0005-0000-0000-0000D71B0000}"/>
    <cellStyle name="Normal 12 4 4" xfId="1604" xr:uid="{00000000-0005-0000-0000-0000D81B0000}"/>
    <cellStyle name="Normal 12 4 4 2" xfId="3834" xr:uid="{00000000-0005-0000-0000-0000D91B0000}"/>
    <cellStyle name="Normal 12 4 4 2 2" xfId="8057" xr:uid="{00000000-0005-0000-0000-0000DA1B0000}"/>
    <cellStyle name="Normal 12 4 4 2 2 2" xfId="16493" xr:uid="{00000000-0005-0000-0000-0000DB1B0000}"/>
    <cellStyle name="Normal 12 4 4 2 3" xfId="12275" xr:uid="{00000000-0005-0000-0000-0000DC1B0000}"/>
    <cellStyle name="Normal 12 4 4 3" xfId="5912" xr:uid="{00000000-0005-0000-0000-0000DD1B0000}"/>
    <cellStyle name="Normal 12 4 4 3 2" xfId="14348" xr:uid="{00000000-0005-0000-0000-0000DE1B0000}"/>
    <cellStyle name="Normal 12 4 4 4" xfId="10130" xr:uid="{00000000-0005-0000-0000-0000DF1B0000}"/>
    <cellStyle name="Normal 12 4 5" xfId="2018" xr:uid="{00000000-0005-0000-0000-0000E01B0000}"/>
    <cellStyle name="Normal 12 4 5 2" xfId="4247" xr:uid="{00000000-0005-0000-0000-0000E11B0000}"/>
    <cellStyle name="Normal 12 4 5 2 2" xfId="8470" xr:uid="{00000000-0005-0000-0000-0000E21B0000}"/>
    <cellStyle name="Normal 12 4 5 2 2 2" xfId="16906" xr:uid="{00000000-0005-0000-0000-0000E31B0000}"/>
    <cellStyle name="Normal 12 4 5 2 3" xfId="12688" xr:uid="{00000000-0005-0000-0000-0000E41B0000}"/>
    <cellStyle name="Normal 12 4 5 3" xfId="6325" xr:uid="{00000000-0005-0000-0000-0000E51B0000}"/>
    <cellStyle name="Normal 12 4 5 3 2" xfId="14761" xr:uid="{00000000-0005-0000-0000-0000E61B0000}"/>
    <cellStyle name="Normal 12 4 5 4" xfId="10543" xr:uid="{00000000-0005-0000-0000-0000E71B0000}"/>
    <cellStyle name="Normal 12 4 6" xfId="2454" xr:uid="{00000000-0005-0000-0000-0000E81B0000}"/>
    <cellStyle name="Normal 12 4 6 2" xfId="6738" xr:uid="{00000000-0005-0000-0000-0000E91B0000}"/>
    <cellStyle name="Normal 12 4 6 2 2" xfId="15174" xr:uid="{00000000-0005-0000-0000-0000EA1B0000}"/>
    <cellStyle name="Normal 12 4 6 3" xfId="10956" xr:uid="{00000000-0005-0000-0000-0000EB1B0000}"/>
    <cellStyle name="Normal 12 4 7" xfId="4672" xr:uid="{00000000-0005-0000-0000-0000EC1B0000}"/>
    <cellStyle name="Normal 12 4 7 2" xfId="13108" xr:uid="{00000000-0005-0000-0000-0000ED1B0000}"/>
    <cellStyle name="Normal 12 4 8" xfId="8890" xr:uid="{00000000-0005-0000-0000-0000EE1B0000}"/>
    <cellStyle name="Normal 12 5" xfId="267" xr:uid="{00000000-0005-0000-0000-0000EF1B0000}"/>
    <cellStyle name="Normal 12 6" xfId="760" xr:uid="{00000000-0005-0000-0000-0000F01B0000}"/>
    <cellStyle name="Normal 12 6 2" xfId="3001" xr:uid="{00000000-0005-0000-0000-0000F11B0000}"/>
    <cellStyle name="Normal 12 6 2 2" xfId="7224" xr:uid="{00000000-0005-0000-0000-0000F21B0000}"/>
    <cellStyle name="Normal 12 6 2 2 2" xfId="15660" xr:uid="{00000000-0005-0000-0000-0000F31B0000}"/>
    <cellStyle name="Normal 12 6 2 3" xfId="11442" xr:uid="{00000000-0005-0000-0000-0000F41B0000}"/>
    <cellStyle name="Normal 12 6 3" xfId="5079" xr:uid="{00000000-0005-0000-0000-0000F51B0000}"/>
    <cellStyle name="Normal 12 6 3 2" xfId="13515" xr:uid="{00000000-0005-0000-0000-0000F61B0000}"/>
    <cellStyle name="Normal 12 6 4" xfId="9297" xr:uid="{00000000-0005-0000-0000-0000F71B0000}"/>
    <cellStyle name="Normal 12 7" xfId="1183" xr:uid="{00000000-0005-0000-0000-0000F81B0000}"/>
    <cellStyle name="Normal 12 7 2" xfId="3414" xr:uid="{00000000-0005-0000-0000-0000F91B0000}"/>
    <cellStyle name="Normal 12 7 2 2" xfId="7637" xr:uid="{00000000-0005-0000-0000-0000FA1B0000}"/>
    <cellStyle name="Normal 12 7 2 2 2" xfId="16073" xr:uid="{00000000-0005-0000-0000-0000FB1B0000}"/>
    <cellStyle name="Normal 12 7 2 3" xfId="11855" xr:uid="{00000000-0005-0000-0000-0000FC1B0000}"/>
    <cellStyle name="Normal 12 7 3" xfId="5492" xr:uid="{00000000-0005-0000-0000-0000FD1B0000}"/>
    <cellStyle name="Normal 12 7 3 2" xfId="13928" xr:uid="{00000000-0005-0000-0000-0000FE1B0000}"/>
    <cellStyle name="Normal 12 7 4" xfId="9710" xr:uid="{00000000-0005-0000-0000-0000FF1B0000}"/>
    <cellStyle name="Normal 12 8" xfId="1597" xr:uid="{00000000-0005-0000-0000-0000001C0000}"/>
    <cellStyle name="Normal 12 8 2" xfId="3827" xr:uid="{00000000-0005-0000-0000-0000011C0000}"/>
    <cellStyle name="Normal 12 8 2 2" xfId="8050" xr:uid="{00000000-0005-0000-0000-0000021C0000}"/>
    <cellStyle name="Normal 12 8 2 2 2" xfId="16486" xr:uid="{00000000-0005-0000-0000-0000031C0000}"/>
    <cellStyle name="Normal 12 8 2 3" xfId="12268" xr:uid="{00000000-0005-0000-0000-0000041C0000}"/>
    <cellStyle name="Normal 12 8 3" xfId="5905" xr:uid="{00000000-0005-0000-0000-0000051C0000}"/>
    <cellStyle name="Normal 12 8 3 2" xfId="14341" xr:uid="{00000000-0005-0000-0000-0000061C0000}"/>
    <cellStyle name="Normal 12 8 4" xfId="10123" xr:uid="{00000000-0005-0000-0000-0000071C0000}"/>
    <cellStyle name="Normal 12 9" xfId="2011" xr:uid="{00000000-0005-0000-0000-0000081C0000}"/>
    <cellStyle name="Normal 12 9 2" xfId="4240" xr:uid="{00000000-0005-0000-0000-0000091C0000}"/>
    <cellStyle name="Normal 12 9 2 2" xfId="8463" xr:uid="{00000000-0005-0000-0000-00000A1C0000}"/>
    <cellStyle name="Normal 12 9 2 2 2" xfId="16899" xr:uid="{00000000-0005-0000-0000-00000B1C0000}"/>
    <cellStyle name="Normal 12 9 2 3" xfId="12681" xr:uid="{00000000-0005-0000-0000-00000C1C0000}"/>
    <cellStyle name="Normal 12 9 3" xfId="6318" xr:uid="{00000000-0005-0000-0000-00000D1C0000}"/>
    <cellStyle name="Normal 12 9 3 2" xfId="14754" xr:uid="{00000000-0005-0000-0000-00000E1C0000}"/>
    <cellStyle name="Normal 12 9 4" xfId="10536" xr:uid="{00000000-0005-0000-0000-00000F1C0000}"/>
    <cellStyle name="Normal 13" xfId="268" xr:uid="{00000000-0005-0000-0000-0000101C0000}"/>
    <cellStyle name="Normal 13 2" xfId="269" xr:uid="{00000000-0005-0000-0000-0000111C0000}"/>
    <cellStyle name="Normal 14" xfId="270" xr:uid="{00000000-0005-0000-0000-0000121C0000}"/>
    <cellStyle name="Normal 14 2" xfId="768" xr:uid="{00000000-0005-0000-0000-0000131C0000}"/>
    <cellStyle name="Normal 14 2 2" xfId="3009" xr:uid="{00000000-0005-0000-0000-0000141C0000}"/>
    <cellStyle name="Normal 14 2 2 2" xfId="7232" xr:uid="{00000000-0005-0000-0000-0000151C0000}"/>
    <cellStyle name="Normal 14 2 2 2 2" xfId="15668" xr:uid="{00000000-0005-0000-0000-0000161C0000}"/>
    <cellStyle name="Normal 14 2 2 3" xfId="11450" xr:uid="{00000000-0005-0000-0000-0000171C0000}"/>
    <cellStyle name="Normal 14 2 3" xfId="5087" xr:uid="{00000000-0005-0000-0000-0000181C0000}"/>
    <cellStyle name="Normal 14 2 3 2" xfId="13523" xr:uid="{00000000-0005-0000-0000-0000191C0000}"/>
    <cellStyle name="Normal 14 2 4" xfId="9305" xr:uid="{00000000-0005-0000-0000-00001A1C0000}"/>
    <cellStyle name="Normal 14 3" xfId="1191" xr:uid="{00000000-0005-0000-0000-00001B1C0000}"/>
    <cellStyle name="Normal 14 3 2" xfId="3422" xr:uid="{00000000-0005-0000-0000-00001C1C0000}"/>
    <cellStyle name="Normal 14 3 2 2" xfId="7645" xr:uid="{00000000-0005-0000-0000-00001D1C0000}"/>
    <cellStyle name="Normal 14 3 2 2 2" xfId="16081" xr:uid="{00000000-0005-0000-0000-00001E1C0000}"/>
    <cellStyle name="Normal 14 3 2 3" xfId="11863" xr:uid="{00000000-0005-0000-0000-00001F1C0000}"/>
    <cellStyle name="Normal 14 3 3" xfId="5500" xr:uid="{00000000-0005-0000-0000-0000201C0000}"/>
    <cellStyle name="Normal 14 3 3 2" xfId="13936" xr:uid="{00000000-0005-0000-0000-0000211C0000}"/>
    <cellStyle name="Normal 14 3 4" xfId="9718" xr:uid="{00000000-0005-0000-0000-0000221C0000}"/>
    <cellStyle name="Normal 14 4" xfId="1605" xr:uid="{00000000-0005-0000-0000-0000231C0000}"/>
    <cellStyle name="Normal 14 4 2" xfId="3835" xr:uid="{00000000-0005-0000-0000-0000241C0000}"/>
    <cellStyle name="Normal 14 4 2 2" xfId="8058" xr:uid="{00000000-0005-0000-0000-0000251C0000}"/>
    <cellStyle name="Normal 14 4 2 2 2" xfId="16494" xr:uid="{00000000-0005-0000-0000-0000261C0000}"/>
    <cellStyle name="Normal 14 4 2 3" xfId="12276" xr:uid="{00000000-0005-0000-0000-0000271C0000}"/>
    <cellStyle name="Normal 14 4 3" xfId="5913" xr:uid="{00000000-0005-0000-0000-0000281C0000}"/>
    <cellStyle name="Normal 14 4 3 2" xfId="14349" xr:uid="{00000000-0005-0000-0000-0000291C0000}"/>
    <cellStyle name="Normal 14 4 4" xfId="10131" xr:uid="{00000000-0005-0000-0000-00002A1C0000}"/>
    <cellStyle name="Normal 14 5" xfId="2019" xr:uid="{00000000-0005-0000-0000-00002B1C0000}"/>
    <cellStyle name="Normal 14 5 2" xfId="4248" xr:uid="{00000000-0005-0000-0000-00002C1C0000}"/>
    <cellStyle name="Normal 14 5 2 2" xfId="8471" xr:uid="{00000000-0005-0000-0000-00002D1C0000}"/>
    <cellStyle name="Normal 14 5 2 2 2" xfId="16907" xr:uid="{00000000-0005-0000-0000-00002E1C0000}"/>
    <cellStyle name="Normal 14 5 2 3" xfId="12689" xr:uid="{00000000-0005-0000-0000-00002F1C0000}"/>
    <cellStyle name="Normal 14 5 3" xfId="6326" xr:uid="{00000000-0005-0000-0000-0000301C0000}"/>
    <cellStyle name="Normal 14 5 3 2" xfId="14762" xr:uid="{00000000-0005-0000-0000-0000311C0000}"/>
    <cellStyle name="Normal 14 5 4" xfId="10544" xr:uid="{00000000-0005-0000-0000-0000321C0000}"/>
    <cellStyle name="Normal 14 6" xfId="2455" xr:uid="{00000000-0005-0000-0000-0000331C0000}"/>
    <cellStyle name="Normal 14 6 2" xfId="6739" xr:uid="{00000000-0005-0000-0000-0000341C0000}"/>
    <cellStyle name="Normal 14 6 2 2" xfId="15175" xr:uid="{00000000-0005-0000-0000-0000351C0000}"/>
    <cellStyle name="Normal 14 6 3" xfId="10957" xr:uid="{00000000-0005-0000-0000-0000361C0000}"/>
    <cellStyle name="Normal 14 7" xfId="4673" xr:uid="{00000000-0005-0000-0000-0000371C0000}"/>
    <cellStyle name="Normal 14 7 2" xfId="13109" xr:uid="{00000000-0005-0000-0000-0000381C0000}"/>
    <cellStyle name="Normal 14 8" xfId="8891" xr:uid="{00000000-0005-0000-0000-0000391C0000}"/>
    <cellStyle name="Normal 15" xfId="4496" xr:uid="{00000000-0005-0000-0000-00003A1C0000}"/>
    <cellStyle name="Normal 15 2" xfId="12935" xr:uid="{00000000-0005-0000-0000-00003B1C0000}"/>
    <cellStyle name="Normal 16" xfId="4500" xr:uid="{00000000-0005-0000-0000-00003C1C0000}"/>
    <cellStyle name="Normal 16 2" xfId="8716" xr:uid="{00000000-0005-0000-0000-00003D1C0000}"/>
    <cellStyle name="Normal 16 2 2" xfId="17152" xr:uid="{00000000-0005-0000-0000-00003E1C0000}"/>
    <cellStyle name="Normal 16 3" xfId="8719" xr:uid="{00000000-0005-0000-0000-00003F1C0000}"/>
    <cellStyle name="Normal 16 3 2" xfId="17155" xr:uid="{00000000-0005-0000-0000-0000401C0000}"/>
    <cellStyle name="Normal 16 4" xfId="12938" xr:uid="{00000000-0005-0000-0000-0000411C0000}"/>
    <cellStyle name="Normal 2" xfId="271" xr:uid="{00000000-0005-0000-0000-0000421C0000}"/>
    <cellStyle name="Normal 2 2" xfId="272" xr:uid="{00000000-0005-0000-0000-0000431C0000}"/>
    <cellStyle name="Normal 2 2 2" xfId="273" xr:uid="{00000000-0005-0000-0000-0000441C0000}"/>
    <cellStyle name="Normal 2 2 2 2" xfId="274" xr:uid="{00000000-0005-0000-0000-0000451C0000}"/>
    <cellStyle name="Normal 2 2 2 3" xfId="275" xr:uid="{00000000-0005-0000-0000-0000461C0000}"/>
    <cellStyle name="Normal 2 2 2 4" xfId="1192" xr:uid="{00000000-0005-0000-0000-0000471C0000}"/>
    <cellStyle name="Normal 2 2 3" xfId="770" xr:uid="{00000000-0005-0000-0000-0000481C0000}"/>
    <cellStyle name="Normal 2 3" xfId="276" xr:uid="{00000000-0005-0000-0000-0000491C0000}"/>
    <cellStyle name="Normal 2 3 2" xfId="277" xr:uid="{00000000-0005-0000-0000-00004A1C0000}"/>
    <cellStyle name="Normal 2 4" xfId="278" xr:uid="{00000000-0005-0000-0000-00004B1C0000}"/>
    <cellStyle name="Normal 2 4 2" xfId="279" xr:uid="{00000000-0005-0000-0000-00004C1C0000}"/>
    <cellStyle name="Normal 2 4 2 10" xfId="2020" xr:uid="{00000000-0005-0000-0000-00004D1C0000}"/>
    <cellStyle name="Normal 2 4 2 10 2" xfId="4249" xr:uid="{00000000-0005-0000-0000-00004E1C0000}"/>
    <cellStyle name="Normal 2 4 2 10 2 2" xfId="8472" xr:uid="{00000000-0005-0000-0000-00004F1C0000}"/>
    <cellStyle name="Normal 2 4 2 10 2 2 2" xfId="16908" xr:uid="{00000000-0005-0000-0000-0000501C0000}"/>
    <cellStyle name="Normal 2 4 2 10 2 3" xfId="12690" xr:uid="{00000000-0005-0000-0000-0000511C0000}"/>
    <cellStyle name="Normal 2 4 2 10 3" xfId="6327" xr:uid="{00000000-0005-0000-0000-0000521C0000}"/>
    <cellStyle name="Normal 2 4 2 10 3 2" xfId="14763" xr:uid="{00000000-0005-0000-0000-0000531C0000}"/>
    <cellStyle name="Normal 2 4 2 10 4" xfId="10545" xr:uid="{00000000-0005-0000-0000-0000541C0000}"/>
    <cellStyle name="Normal 2 4 2 11" xfId="2456" xr:uid="{00000000-0005-0000-0000-0000551C0000}"/>
    <cellStyle name="Normal 2 4 2 11 2" xfId="6740" xr:uid="{00000000-0005-0000-0000-0000561C0000}"/>
    <cellStyle name="Normal 2 4 2 11 2 2" xfId="15176" xr:uid="{00000000-0005-0000-0000-0000571C0000}"/>
    <cellStyle name="Normal 2 4 2 11 3" xfId="10958" xr:uid="{00000000-0005-0000-0000-0000581C0000}"/>
    <cellStyle name="Normal 2 4 2 12" xfId="4674" xr:uid="{00000000-0005-0000-0000-0000591C0000}"/>
    <cellStyle name="Normal 2 4 2 12 2" xfId="13110" xr:uid="{00000000-0005-0000-0000-00005A1C0000}"/>
    <cellStyle name="Normal 2 4 2 13" xfId="8892" xr:uid="{00000000-0005-0000-0000-00005B1C0000}"/>
    <cellStyle name="Normal 2 4 2 2" xfId="280" xr:uid="{00000000-0005-0000-0000-00005C1C0000}"/>
    <cellStyle name="Normal 2 4 2 3" xfId="281" xr:uid="{00000000-0005-0000-0000-00005D1C0000}"/>
    <cellStyle name="Normal 2 4 2 3 10" xfId="4675" xr:uid="{00000000-0005-0000-0000-00005E1C0000}"/>
    <cellStyle name="Normal 2 4 2 3 10 2" xfId="13111" xr:uid="{00000000-0005-0000-0000-00005F1C0000}"/>
    <cellStyle name="Normal 2 4 2 3 11" xfId="8893" xr:uid="{00000000-0005-0000-0000-0000601C0000}"/>
    <cellStyle name="Normal 2 4 2 3 2" xfId="282" xr:uid="{00000000-0005-0000-0000-0000611C0000}"/>
    <cellStyle name="Normal 2 4 2 3 2 10" xfId="8894" xr:uid="{00000000-0005-0000-0000-0000621C0000}"/>
    <cellStyle name="Normal 2 4 2 3 2 2" xfId="283" xr:uid="{00000000-0005-0000-0000-0000631C0000}"/>
    <cellStyle name="Normal 2 4 2 3 2 2 2" xfId="284" xr:uid="{00000000-0005-0000-0000-0000641C0000}"/>
    <cellStyle name="Normal 2 4 2 3 2 2 2 2" xfId="775" xr:uid="{00000000-0005-0000-0000-0000651C0000}"/>
    <cellStyle name="Normal 2 4 2 3 2 2 2 2 2" xfId="3014" xr:uid="{00000000-0005-0000-0000-0000661C0000}"/>
    <cellStyle name="Normal 2 4 2 3 2 2 2 2 2 2" xfId="7237" xr:uid="{00000000-0005-0000-0000-0000671C0000}"/>
    <cellStyle name="Normal 2 4 2 3 2 2 2 2 2 2 2" xfId="15673" xr:uid="{00000000-0005-0000-0000-0000681C0000}"/>
    <cellStyle name="Normal 2 4 2 3 2 2 2 2 2 3" xfId="11455" xr:uid="{00000000-0005-0000-0000-0000691C0000}"/>
    <cellStyle name="Normal 2 4 2 3 2 2 2 2 3" xfId="5092" xr:uid="{00000000-0005-0000-0000-00006A1C0000}"/>
    <cellStyle name="Normal 2 4 2 3 2 2 2 2 3 2" xfId="13528" xr:uid="{00000000-0005-0000-0000-00006B1C0000}"/>
    <cellStyle name="Normal 2 4 2 3 2 2 2 2 4" xfId="9310" xr:uid="{00000000-0005-0000-0000-00006C1C0000}"/>
    <cellStyle name="Normal 2 4 2 3 2 2 2 3" xfId="1197" xr:uid="{00000000-0005-0000-0000-00006D1C0000}"/>
    <cellStyle name="Normal 2 4 2 3 2 2 2 3 2" xfId="3427" xr:uid="{00000000-0005-0000-0000-00006E1C0000}"/>
    <cellStyle name="Normal 2 4 2 3 2 2 2 3 2 2" xfId="7650" xr:uid="{00000000-0005-0000-0000-00006F1C0000}"/>
    <cellStyle name="Normal 2 4 2 3 2 2 2 3 2 2 2" xfId="16086" xr:uid="{00000000-0005-0000-0000-0000701C0000}"/>
    <cellStyle name="Normal 2 4 2 3 2 2 2 3 2 3" xfId="11868" xr:uid="{00000000-0005-0000-0000-0000711C0000}"/>
    <cellStyle name="Normal 2 4 2 3 2 2 2 3 3" xfId="5505" xr:uid="{00000000-0005-0000-0000-0000721C0000}"/>
    <cellStyle name="Normal 2 4 2 3 2 2 2 3 3 2" xfId="13941" xr:uid="{00000000-0005-0000-0000-0000731C0000}"/>
    <cellStyle name="Normal 2 4 2 3 2 2 2 3 4" xfId="9723" xr:uid="{00000000-0005-0000-0000-0000741C0000}"/>
    <cellStyle name="Normal 2 4 2 3 2 2 2 4" xfId="1610" xr:uid="{00000000-0005-0000-0000-0000751C0000}"/>
    <cellStyle name="Normal 2 4 2 3 2 2 2 4 2" xfId="3840" xr:uid="{00000000-0005-0000-0000-0000761C0000}"/>
    <cellStyle name="Normal 2 4 2 3 2 2 2 4 2 2" xfId="8063" xr:uid="{00000000-0005-0000-0000-0000771C0000}"/>
    <cellStyle name="Normal 2 4 2 3 2 2 2 4 2 2 2" xfId="16499" xr:uid="{00000000-0005-0000-0000-0000781C0000}"/>
    <cellStyle name="Normal 2 4 2 3 2 2 2 4 2 3" xfId="12281" xr:uid="{00000000-0005-0000-0000-0000791C0000}"/>
    <cellStyle name="Normal 2 4 2 3 2 2 2 4 3" xfId="5918" xr:uid="{00000000-0005-0000-0000-00007A1C0000}"/>
    <cellStyle name="Normal 2 4 2 3 2 2 2 4 3 2" xfId="14354" xr:uid="{00000000-0005-0000-0000-00007B1C0000}"/>
    <cellStyle name="Normal 2 4 2 3 2 2 2 4 4" xfId="10136" xr:uid="{00000000-0005-0000-0000-00007C1C0000}"/>
    <cellStyle name="Normal 2 4 2 3 2 2 2 5" xfId="2024" xr:uid="{00000000-0005-0000-0000-00007D1C0000}"/>
    <cellStyle name="Normal 2 4 2 3 2 2 2 5 2" xfId="4253" xr:uid="{00000000-0005-0000-0000-00007E1C0000}"/>
    <cellStyle name="Normal 2 4 2 3 2 2 2 5 2 2" xfId="8476" xr:uid="{00000000-0005-0000-0000-00007F1C0000}"/>
    <cellStyle name="Normal 2 4 2 3 2 2 2 5 2 2 2" xfId="16912" xr:uid="{00000000-0005-0000-0000-0000801C0000}"/>
    <cellStyle name="Normal 2 4 2 3 2 2 2 5 2 3" xfId="12694" xr:uid="{00000000-0005-0000-0000-0000811C0000}"/>
    <cellStyle name="Normal 2 4 2 3 2 2 2 5 3" xfId="6331" xr:uid="{00000000-0005-0000-0000-0000821C0000}"/>
    <cellStyle name="Normal 2 4 2 3 2 2 2 5 3 2" xfId="14767" xr:uid="{00000000-0005-0000-0000-0000831C0000}"/>
    <cellStyle name="Normal 2 4 2 3 2 2 2 5 4" xfId="10549" xr:uid="{00000000-0005-0000-0000-0000841C0000}"/>
    <cellStyle name="Normal 2 4 2 3 2 2 2 6" xfId="2460" xr:uid="{00000000-0005-0000-0000-0000851C0000}"/>
    <cellStyle name="Normal 2 4 2 3 2 2 2 6 2" xfId="6744" xr:uid="{00000000-0005-0000-0000-0000861C0000}"/>
    <cellStyle name="Normal 2 4 2 3 2 2 2 6 2 2" xfId="15180" xr:uid="{00000000-0005-0000-0000-0000871C0000}"/>
    <cellStyle name="Normal 2 4 2 3 2 2 2 6 3" xfId="10962" xr:uid="{00000000-0005-0000-0000-0000881C0000}"/>
    <cellStyle name="Normal 2 4 2 3 2 2 2 7" xfId="4678" xr:uid="{00000000-0005-0000-0000-0000891C0000}"/>
    <cellStyle name="Normal 2 4 2 3 2 2 2 7 2" xfId="13114" xr:uid="{00000000-0005-0000-0000-00008A1C0000}"/>
    <cellStyle name="Normal 2 4 2 3 2 2 2 8" xfId="8896" xr:uid="{00000000-0005-0000-0000-00008B1C0000}"/>
    <cellStyle name="Normal 2 4 2 3 2 2 3" xfId="774" xr:uid="{00000000-0005-0000-0000-00008C1C0000}"/>
    <cellStyle name="Normal 2 4 2 3 2 2 3 2" xfId="3013" xr:uid="{00000000-0005-0000-0000-00008D1C0000}"/>
    <cellStyle name="Normal 2 4 2 3 2 2 3 2 2" xfId="7236" xr:uid="{00000000-0005-0000-0000-00008E1C0000}"/>
    <cellStyle name="Normal 2 4 2 3 2 2 3 2 2 2" xfId="15672" xr:uid="{00000000-0005-0000-0000-00008F1C0000}"/>
    <cellStyle name="Normal 2 4 2 3 2 2 3 2 3" xfId="11454" xr:uid="{00000000-0005-0000-0000-0000901C0000}"/>
    <cellStyle name="Normal 2 4 2 3 2 2 3 3" xfId="5091" xr:uid="{00000000-0005-0000-0000-0000911C0000}"/>
    <cellStyle name="Normal 2 4 2 3 2 2 3 3 2" xfId="13527" xr:uid="{00000000-0005-0000-0000-0000921C0000}"/>
    <cellStyle name="Normal 2 4 2 3 2 2 3 4" xfId="9309" xr:uid="{00000000-0005-0000-0000-0000931C0000}"/>
    <cellStyle name="Normal 2 4 2 3 2 2 4" xfId="1196" xr:uid="{00000000-0005-0000-0000-0000941C0000}"/>
    <cellStyle name="Normal 2 4 2 3 2 2 4 2" xfId="3426" xr:uid="{00000000-0005-0000-0000-0000951C0000}"/>
    <cellStyle name="Normal 2 4 2 3 2 2 4 2 2" xfId="7649" xr:uid="{00000000-0005-0000-0000-0000961C0000}"/>
    <cellStyle name="Normal 2 4 2 3 2 2 4 2 2 2" xfId="16085" xr:uid="{00000000-0005-0000-0000-0000971C0000}"/>
    <cellStyle name="Normal 2 4 2 3 2 2 4 2 3" xfId="11867" xr:uid="{00000000-0005-0000-0000-0000981C0000}"/>
    <cellStyle name="Normal 2 4 2 3 2 2 4 3" xfId="5504" xr:uid="{00000000-0005-0000-0000-0000991C0000}"/>
    <cellStyle name="Normal 2 4 2 3 2 2 4 3 2" xfId="13940" xr:uid="{00000000-0005-0000-0000-00009A1C0000}"/>
    <cellStyle name="Normal 2 4 2 3 2 2 4 4" xfId="9722" xr:uid="{00000000-0005-0000-0000-00009B1C0000}"/>
    <cellStyle name="Normal 2 4 2 3 2 2 5" xfId="1609" xr:uid="{00000000-0005-0000-0000-00009C1C0000}"/>
    <cellStyle name="Normal 2 4 2 3 2 2 5 2" xfId="3839" xr:uid="{00000000-0005-0000-0000-00009D1C0000}"/>
    <cellStyle name="Normal 2 4 2 3 2 2 5 2 2" xfId="8062" xr:uid="{00000000-0005-0000-0000-00009E1C0000}"/>
    <cellStyle name="Normal 2 4 2 3 2 2 5 2 2 2" xfId="16498" xr:uid="{00000000-0005-0000-0000-00009F1C0000}"/>
    <cellStyle name="Normal 2 4 2 3 2 2 5 2 3" xfId="12280" xr:uid="{00000000-0005-0000-0000-0000A01C0000}"/>
    <cellStyle name="Normal 2 4 2 3 2 2 5 3" xfId="5917" xr:uid="{00000000-0005-0000-0000-0000A11C0000}"/>
    <cellStyle name="Normal 2 4 2 3 2 2 5 3 2" xfId="14353" xr:uid="{00000000-0005-0000-0000-0000A21C0000}"/>
    <cellStyle name="Normal 2 4 2 3 2 2 5 4" xfId="10135" xr:uid="{00000000-0005-0000-0000-0000A31C0000}"/>
    <cellStyle name="Normal 2 4 2 3 2 2 6" xfId="2023" xr:uid="{00000000-0005-0000-0000-0000A41C0000}"/>
    <cellStyle name="Normal 2 4 2 3 2 2 6 2" xfId="4252" xr:uid="{00000000-0005-0000-0000-0000A51C0000}"/>
    <cellStyle name="Normal 2 4 2 3 2 2 6 2 2" xfId="8475" xr:uid="{00000000-0005-0000-0000-0000A61C0000}"/>
    <cellStyle name="Normal 2 4 2 3 2 2 6 2 2 2" xfId="16911" xr:uid="{00000000-0005-0000-0000-0000A71C0000}"/>
    <cellStyle name="Normal 2 4 2 3 2 2 6 2 3" xfId="12693" xr:uid="{00000000-0005-0000-0000-0000A81C0000}"/>
    <cellStyle name="Normal 2 4 2 3 2 2 6 3" xfId="6330" xr:uid="{00000000-0005-0000-0000-0000A91C0000}"/>
    <cellStyle name="Normal 2 4 2 3 2 2 6 3 2" xfId="14766" xr:uid="{00000000-0005-0000-0000-0000AA1C0000}"/>
    <cellStyle name="Normal 2 4 2 3 2 2 6 4" xfId="10548" xr:uid="{00000000-0005-0000-0000-0000AB1C0000}"/>
    <cellStyle name="Normal 2 4 2 3 2 2 7" xfId="2459" xr:uid="{00000000-0005-0000-0000-0000AC1C0000}"/>
    <cellStyle name="Normal 2 4 2 3 2 2 7 2" xfId="6743" xr:uid="{00000000-0005-0000-0000-0000AD1C0000}"/>
    <cellStyle name="Normal 2 4 2 3 2 2 7 2 2" xfId="15179" xr:uid="{00000000-0005-0000-0000-0000AE1C0000}"/>
    <cellStyle name="Normal 2 4 2 3 2 2 7 3" xfId="10961" xr:uid="{00000000-0005-0000-0000-0000AF1C0000}"/>
    <cellStyle name="Normal 2 4 2 3 2 2 8" xfId="4677" xr:uid="{00000000-0005-0000-0000-0000B01C0000}"/>
    <cellStyle name="Normal 2 4 2 3 2 2 8 2" xfId="13113" xr:uid="{00000000-0005-0000-0000-0000B11C0000}"/>
    <cellStyle name="Normal 2 4 2 3 2 2 9" xfId="8895" xr:uid="{00000000-0005-0000-0000-0000B21C0000}"/>
    <cellStyle name="Normal 2 4 2 3 2 3" xfId="285" xr:uid="{00000000-0005-0000-0000-0000B31C0000}"/>
    <cellStyle name="Normal 2 4 2 3 2 3 2" xfId="776" xr:uid="{00000000-0005-0000-0000-0000B41C0000}"/>
    <cellStyle name="Normal 2 4 2 3 2 3 2 2" xfId="3015" xr:uid="{00000000-0005-0000-0000-0000B51C0000}"/>
    <cellStyle name="Normal 2 4 2 3 2 3 2 2 2" xfId="7238" xr:uid="{00000000-0005-0000-0000-0000B61C0000}"/>
    <cellStyle name="Normal 2 4 2 3 2 3 2 2 2 2" xfId="15674" xr:uid="{00000000-0005-0000-0000-0000B71C0000}"/>
    <cellStyle name="Normal 2 4 2 3 2 3 2 2 3" xfId="11456" xr:uid="{00000000-0005-0000-0000-0000B81C0000}"/>
    <cellStyle name="Normal 2 4 2 3 2 3 2 3" xfId="5093" xr:uid="{00000000-0005-0000-0000-0000B91C0000}"/>
    <cellStyle name="Normal 2 4 2 3 2 3 2 3 2" xfId="13529" xr:uid="{00000000-0005-0000-0000-0000BA1C0000}"/>
    <cellStyle name="Normal 2 4 2 3 2 3 2 4" xfId="9311" xr:uid="{00000000-0005-0000-0000-0000BB1C0000}"/>
    <cellStyle name="Normal 2 4 2 3 2 3 3" xfId="1198" xr:uid="{00000000-0005-0000-0000-0000BC1C0000}"/>
    <cellStyle name="Normal 2 4 2 3 2 3 3 2" xfId="3428" xr:uid="{00000000-0005-0000-0000-0000BD1C0000}"/>
    <cellStyle name="Normal 2 4 2 3 2 3 3 2 2" xfId="7651" xr:uid="{00000000-0005-0000-0000-0000BE1C0000}"/>
    <cellStyle name="Normal 2 4 2 3 2 3 3 2 2 2" xfId="16087" xr:uid="{00000000-0005-0000-0000-0000BF1C0000}"/>
    <cellStyle name="Normal 2 4 2 3 2 3 3 2 3" xfId="11869" xr:uid="{00000000-0005-0000-0000-0000C01C0000}"/>
    <cellStyle name="Normal 2 4 2 3 2 3 3 3" xfId="5506" xr:uid="{00000000-0005-0000-0000-0000C11C0000}"/>
    <cellStyle name="Normal 2 4 2 3 2 3 3 3 2" xfId="13942" xr:uid="{00000000-0005-0000-0000-0000C21C0000}"/>
    <cellStyle name="Normal 2 4 2 3 2 3 3 4" xfId="9724" xr:uid="{00000000-0005-0000-0000-0000C31C0000}"/>
    <cellStyle name="Normal 2 4 2 3 2 3 4" xfId="1611" xr:uid="{00000000-0005-0000-0000-0000C41C0000}"/>
    <cellStyle name="Normal 2 4 2 3 2 3 4 2" xfId="3841" xr:uid="{00000000-0005-0000-0000-0000C51C0000}"/>
    <cellStyle name="Normal 2 4 2 3 2 3 4 2 2" xfId="8064" xr:uid="{00000000-0005-0000-0000-0000C61C0000}"/>
    <cellStyle name="Normal 2 4 2 3 2 3 4 2 2 2" xfId="16500" xr:uid="{00000000-0005-0000-0000-0000C71C0000}"/>
    <cellStyle name="Normal 2 4 2 3 2 3 4 2 3" xfId="12282" xr:uid="{00000000-0005-0000-0000-0000C81C0000}"/>
    <cellStyle name="Normal 2 4 2 3 2 3 4 3" xfId="5919" xr:uid="{00000000-0005-0000-0000-0000C91C0000}"/>
    <cellStyle name="Normal 2 4 2 3 2 3 4 3 2" xfId="14355" xr:uid="{00000000-0005-0000-0000-0000CA1C0000}"/>
    <cellStyle name="Normal 2 4 2 3 2 3 4 4" xfId="10137" xr:uid="{00000000-0005-0000-0000-0000CB1C0000}"/>
    <cellStyle name="Normal 2 4 2 3 2 3 5" xfId="2025" xr:uid="{00000000-0005-0000-0000-0000CC1C0000}"/>
    <cellStyle name="Normal 2 4 2 3 2 3 5 2" xfId="4254" xr:uid="{00000000-0005-0000-0000-0000CD1C0000}"/>
    <cellStyle name="Normal 2 4 2 3 2 3 5 2 2" xfId="8477" xr:uid="{00000000-0005-0000-0000-0000CE1C0000}"/>
    <cellStyle name="Normal 2 4 2 3 2 3 5 2 2 2" xfId="16913" xr:uid="{00000000-0005-0000-0000-0000CF1C0000}"/>
    <cellStyle name="Normal 2 4 2 3 2 3 5 2 3" xfId="12695" xr:uid="{00000000-0005-0000-0000-0000D01C0000}"/>
    <cellStyle name="Normal 2 4 2 3 2 3 5 3" xfId="6332" xr:uid="{00000000-0005-0000-0000-0000D11C0000}"/>
    <cellStyle name="Normal 2 4 2 3 2 3 5 3 2" xfId="14768" xr:uid="{00000000-0005-0000-0000-0000D21C0000}"/>
    <cellStyle name="Normal 2 4 2 3 2 3 5 4" xfId="10550" xr:uid="{00000000-0005-0000-0000-0000D31C0000}"/>
    <cellStyle name="Normal 2 4 2 3 2 3 6" xfId="2461" xr:uid="{00000000-0005-0000-0000-0000D41C0000}"/>
    <cellStyle name="Normal 2 4 2 3 2 3 6 2" xfId="6745" xr:uid="{00000000-0005-0000-0000-0000D51C0000}"/>
    <cellStyle name="Normal 2 4 2 3 2 3 6 2 2" xfId="15181" xr:uid="{00000000-0005-0000-0000-0000D61C0000}"/>
    <cellStyle name="Normal 2 4 2 3 2 3 6 3" xfId="10963" xr:uid="{00000000-0005-0000-0000-0000D71C0000}"/>
    <cellStyle name="Normal 2 4 2 3 2 3 7" xfId="4679" xr:uid="{00000000-0005-0000-0000-0000D81C0000}"/>
    <cellStyle name="Normal 2 4 2 3 2 3 7 2" xfId="13115" xr:uid="{00000000-0005-0000-0000-0000D91C0000}"/>
    <cellStyle name="Normal 2 4 2 3 2 3 8" xfId="8897" xr:uid="{00000000-0005-0000-0000-0000DA1C0000}"/>
    <cellStyle name="Normal 2 4 2 3 2 4" xfId="773" xr:uid="{00000000-0005-0000-0000-0000DB1C0000}"/>
    <cellStyle name="Normal 2 4 2 3 2 4 2" xfId="3012" xr:uid="{00000000-0005-0000-0000-0000DC1C0000}"/>
    <cellStyle name="Normal 2 4 2 3 2 4 2 2" xfId="7235" xr:uid="{00000000-0005-0000-0000-0000DD1C0000}"/>
    <cellStyle name="Normal 2 4 2 3 2 4 2 2 2" xfId="15671" xr:uid="{00000000-0005-0000-0000-0000DE1C0000}"/>
    <cellStyle name="Normal 2 4 2 3 2 4 2 3" xfId="11453" xr:uid="{00000000-0005-0000-0000-0000DF1C0000}"/>
    <cellStyle name="Normal 2 4 2 3 2 4 3" xfId="5090" xr:uid="{00000000-0005-0000-0000-0000E01C0000}"/>
    <cellStyle name="Normal 2 4 2 3 2 4 3 2" xfId="13526" xr:uid="{00000000-0005-0000-0000-0000E11C0000}"/>
    <cellStyle name="Normal 2 4 2 3 2 4 4" xfId="9308" xr:uid="{00000000-0005-0000-0000-0000E21C0000}"/>
    <cellStyle name="Normal 2 4 2 3 2 5" xfId="1195" xr:uid="{00000000-0005-0000-0000-0000E31C0000}"/>
    <cellStyle name="Normal 2 4 2 3 2 5 2" xfId="3425" xr:uid="{00000000-0005-0000-0000-0000E41C0000}"/>
    <cellStyle name="Normal 2 4 2 3 2 5 2 2" xfId="7648" xr:uid="{00000000-0005-0000-0000-0000E51C0000}"/>
    <cellStyle name="Normal 2 4 2 3 2 5 2 2 2" xfId="16084" xr:uid="{00000000-0005-0000-0000-0000E61C0000}"/>
    <cellStyle name="Normal 2 4 2 3 2 5 2 3" xfId="11866" xr:uid="{00000000-0005-0000-0000-0000E71C0000}"/>
    <cellStyle name="Normal 2 4 2 3 2 5 3" xfId="5503" xr:uid="{00000000-0005-0000-0000-0000E81C0000}"/>
    <cellStyle name="Normal 2 4 2 3 2 5 3 2" xfId="13939" xr:uid="{00000000-0005-0000-0000-0000E91C0000}"/>
    <cellStyle name="Normal 2 4 2 3 2 5 4" xfId="9721" xr:uid="{00000000-0005-0000-0000-0000EA1C0000}"/>
    <cellStyle name="Normal 2 4 2 3 2 6" xfId="1608" xr:uid="{00000000-0005-0000-0000-0000EB1C0000}"/>
    <cellStyle name="Normal 2 4 2 3 2 6 2" xfId="3838" xr:uid="{00000000-0005-0000-0000-0000EC1C0000}"/>
    <cellStyle name="Normal 2 4 2 3 2 6 2 2" xfId="8061" xr:uid="{00000000-0005-0000-0000-0000ED1C0000}"/>
    <cellStyle name="Normal 2 4 2 3 2 6 2 2 2" xfId="16497" xr:uid="{00000000-0005-0000-0000-0000EE1C0000}"/>
    <cellStyle name="Normal 2 4 2 3 2 6 2 3" xfId="12279" xr:uid="{00000000-0005-0000-0000-0000EF1C0000}"/>
    <cellStyle name="Normal 2 4 2 3 2 6 3" xfId="5916" xr:uid="{00000000-0005-0000-0000-0000F01C0000}"/>
    <cellStyle name="Normal 2 4 2 3 2 6 3 2" xfId="14352" xr:uid="{00000000-0005-0000-0000-0000F11C0000}"/>
    <cellStyle name="Normal 2 4 2 3 2 6 4" xfId="10134" xr:uid="{00000000-0005-0000-0000-0000F21C0000}"/>
    <cellStyle name="Normal 2 4 2 3 2 7" xfId="2022" xr:uid="{00000000-0005-0000-0000-0000F31C0000}"/>
    <cellStyle name="Normal 2 4 2 3 2 7 2" xfId="4251" xr:uid="{00000000-0005-0000-0000-0000F41C0000}"/>
    <cellStyle name="Normal 2 4 2 3 2 7 2 2" xfId="8474" xr:uid="{00000000-0005-0000-0000-0000F51C0000}"/>
    <cellStyle name="Normal 2 4 2 3 2 7 2 2 2" xfId="16910" xr:uid="{00000000-0005-0000-0000-0000F61C0000}"/>
    <cellStyle name="Normal 2 4 2 3 2 7 2 3" xfId="12692" xr:uid="{00000000-0005-0000-0000-0000F71C0000}"/>
    <cellStyle name="Normal 2 4 2 3 2 7 3" xfId="6329" xr:uid="{00000000-0005-0000-0000-0000F81C0000}"/>
    <cellStyle name="Normal 2 4 2 3 2 7 3 2" xfId="14765" xr:uid="{00000000-0005-0000-0000-0000F91C0000}"/>
    <cellStyle name="Normal 2 4 2 3 2 7 4" xfId="10547" xr:uid="{00000000-0005-0000-0000-0000FA1C0000}"/>
    <cellStyle name="Normal 2 4 2 3 2 8" xfId="2458" xr:uid="{00000000-0005-0000-0000-0000FB1C0000}"/>
    <cellStyle name="Normal 2 4 2 3 2 8 2" xfId="6742" xr:uid="{00000000-0005-0000-0000-0000FC1C0000}"/>
    <cellStyle name="Normal 2 4 2 3 2 8 2 2" xfId="15178" xr:uid="{00000000-0005-0000-0000-0000FD1C0000}"/>
    <cellStyle name="Normal 2 4 2 3 2 8 3" xfId="10960" xr:uid="{00000000-0005-0000-0000-0000FE1C0000}"/>
    <cellStyle name="Normal 2 4 2 3 2 9" xfId="4676" xr:uid="{00000000-0005-0000-0000-0000FF1C0000}"/>
    <cellStyle name="Normal 2 4 2 3 2 9 2" xfId="13112" xr:uid="{00000000-0005-0000-0000-0000001D0000}"/>
    <cellStyle name="Normal 2 4 2 3 3" xfId="286" xr:uid="{00000000-0005-0000-0000-0000011D0000}"/>
    <cellStyle name="Normal 2 4 2 3 3 2" xfId="287" xr:uid="{00000000-0005-0000-0000-0000021D0000}"/>
    <cellStyle name="Normal 2 4 2 3 3 2 2" xfId="778" xr:uid="{00000000-0005-0000-0000-0000031D0000}"/>
    <cellStyle name="Normal 2 4 2 3 3 2 2 2" xfId="3017" xr:uid="{00000000-0005-0000-0000-0000041D0000}"/>
    <cellStyle name="Normal 2 4 2 3 3 2 2 2 2" xfId="7240" xr:uid="{00000000-0005-0000-0000-0000051D0000}"/>
    <cellStyle name="Normal 2 4 2 3 3 2 2 2 2 2" xfId="15676" xr:uid="{00000000-0005-0000-0000-0000061D0000}"/>
    <cellStyle name="Normal 2 4 2 3 3 2 2 2 3" xfId="11458" xr:uid="{00000000-0005-0000-0000-0000071D0000}"/>
    <cellStyle name="Normal 2 4 2 3 3 2 2 3" xfId="5095" xr:uid="{00000000-0005-0000-0000-0000081D0000}"/>
    <cellStyle name="Normal 2 4 2 3 3 2 2 3 2" xfId="13531" xr:uid="{00000000-0005-0000-0000-0000091D0000}"/>
    <cellStyle name="Normal 2 4 2 3 3 2 2 4" xfId="9313" xr:uid="{00000000-0005-0000-0000-00000A1D0000}"/>
    <cellStyle name="Normal 2 4 2 3 3 2 3" xfId="1200" xr:uid="{00000000-0005-0000-0000-00000B1D0000}"/>
    <cellStyle name="Normal 2 4 2 3 3 2 3 2" xfId="3430" xr:uid="{00000000-0005-0000-0000-00000C1D0000}"/>
    <cellStyle name="Normal 2 4 2 3 3 2 3 2 2" xfId="7653" xr:uid="{00000000-0005-0000-0000-00000D1D0000}"/>
    <cellStyle name="Normal 2 4 2 3 3 2 3 2 2 2" xfId="16089" xr:uid="{00000000-0005-0000-0000-00000E1D0000}"/>
    <cellStyle name="Normal 2 4 2 3 3 2 3 2 3" xfId="11871" xr:uid="{00000000-0005-0000-0000-00000F1D0000}"/>
    <cellStyle name="Normal 2 4 2 3 3 2 3 3" xfId="5508" xr:uid="{00000000-0005-0000-0000-0000101D0000}"/>
    <cellStyle name="Normal 2 4 2 3 3 2 3 3 2" xfId="13944" xr:uid="{00000000-0005-0000-0000-0000111D0000}"/>
    <cellStyle name="Normal 2 4 2 3 3 2 3 4" xfId="9726" xr:uid="{00000000-0005-0000-0000-0000121D0000}"/>
    <cellStyle name="Normal 2 4 2 3 3 2 4" xfId="1613" xr:uid="{00000000-0005-0000-0000-0000131D0000}"/>
    <cellStyle name="Normal 2 4 2 3 3 2 4 2" xfId="3843" xr:uid="{00000000-0005-0000-0000-0000141D0000}"/>
    <cellStyle name="Normal 2 4 2 3 3 2 4 2 2" xfId="8066" xr:uid="{00000000-0005-0000-0000-0000151D0000}"/>
    <cellStyle name="Normal 2 4 2 3 3 2 4 2 2 2" xfId="16502" xr:uid="{00000000-0005-0000-0000-0000161D0000}"/>
    <cellStyle name="Normal 2 4 2 3 3 2 4 2 3" xfId="12284" xr:uid="{00000000-0005-0000-0000-0000171D0000}"/>
    <cellStyle name="Normal 2 4 2 3 3 2 4 3" xfId="5921" xr:uid="{00000000-0005-0000-0000-0000181D0000}"/>
    <cellStyle name="Normal 2 4 2 3 3 2 4 3 2" xfId="14357" xr:uid="{00000000-0005-0000-0000-0000191D0000}"/>
    <cellStyle name="Normal 2 4 2 3 3 2 4 4" xfId="10139" xr:uid="{00000000-0005-0000-0000-00001A1D0000}"/>
    <cellStyle name="Normal 2 4 2 3 3 2 5" xfId="2027" xr:uid="{00000000-0005-0000-0000-00001B1D0000}"/>
    <cellStyle name="Normal 2 4 2 3 3 2 5 2" xfId="4256" xr:uid="{00000000-0005-0000-0000-00001C1D0000}"/>
    <cellStyle name="Normal 2 4 2 3 3 2 5 2 2" xfId="8479" xr:uid="{00000000-0005-0000-0000-00001D1D0000}"/>
    <cellStyle name="Normal 2 4 2 3 3 2 5 2 2 2" xfId="16915" xr:uid="{00000000-0005-0000-0000-00001E1D0000}"/>
    <cellStyle name="Normal 2 4 2 3 3 2 5 2 3" xfId="12697" xr:uid="{00000000-0005-0000-0000-00001F1D0000}"/>
    <cellStyle name="Normal 2 4 2 3 3 2 5 3" xfId="6334" xr:uid="{00000000-0005-0000-0000-0000201D0000}"/>
    <cellStyle name="Normal 2 4 2 3 3 2 5 3 2" xfId="14770" xr:uid="{00000000-0005-0000-0000-0000211D0000}"/>
    <cellStyle name="Normal 2 4 2 3 3 2 5 4" xfId="10552" xr:uid="{00000000-0005-0000-0000-0000221D0000}"/>
    <cellStyle name="Normal 2 4 2 3 3 2 6" xfId="2463" xr:uid="{00000000-0005-0000-0000-0000231D0000}"/>
    <cellStyle name="Normal 2 4 2 3 3 2 6 2" xfId="6747" xr:uid="{00000000-0005-0000-0000-0000241D0000}"/>
    <cellStyle name="Normal 2 4 2 3 3 2 6 2 2" xfId="15183" xr:uid="{00000000-0005-0000-0000-0000251D0000}"/>
    <cellStyle name="Normal 2 4 2 3 3 2 6 3" xfId="10965" xr:uid="{00000000-0005-0000-0000-0000261D0000}"/>
    <cellStyle name="Normal 2 4 2 3 3 2 7" xfId="4681" xr:uid="{00000000-0005-0000-0000-0000271D0000}"/>
    <cellStyle name="Normal 2 4 2 3 3 2 7 2" xfId="13117" xr:uid="{00000000-0005-0000-0000-0000281D0000}"/>
    <cellStyle name="Normal 2 4 2 3 3 2 8" xfId="8899" xr:uid="{00000000-0005-0000-0000-0000291D0000}"/>
    <cellStyle name="Normal 2 4 2 3 3 3" xfId="777" xr:uid="{00000000-0005-0000-0000-00002A1D0000}"/>
    <cellStyle name="Normal 2 4 2 3 3 3 2" xfId="3016" xr:uid="{00000000-0005-0000-0000-00002B1D0000}"/>
    <cellStyle name="Normal 2 4 2 3 3 3 2 2" xfId="7239" xr:uid="{00000000-0005-0000-0000-00002C1D0000}"/>
    <cellStyle name="Normal 2 4 2 3 3 3 2 2 2" xfId="15675" xr:uid="{00000000-0005-0000-0000-00002D1D0000}"/>
    <cellStyle name="Normal 2 4 2 3 3 3 2 3" xfId="11457" xr:uid="{00000000-0005-0000-0000-00002E1D0000}"/>
    <cellStyle name="Normal 2 4 2 3 3 3 3" xfId="5094" xr:uid="{00000000-0005-0000-0000-00002F1D0000}"/>
    <cellStyle name="Normal 2 4 2 3 3 3 3 2" xfId="13530" xr:uid="{00000000-0005-0000-0000-0000301D0000}"/>
    <cellStyle name="Normal 2 4 2 3 3 3 4" xfId="9312" xr:uid="{00000000-0005-0000-0000-0000311D0000}"/>
    <cellStyle name="Normal 2 4 2 3 3 4" xfId="1199" xr:uid="{00000000-0005-0000-0000-0000321D0000}"/>
    <cellStyle name="Normal 2 4 2 3 3 4 2" xfId="3429" xr:uid="{00000000-0005-0000-0000-0000331D0000}"/>
    <cellStyle name="Normal 2 4 2 3 3 4 2 2" xfId="7652" xr:uid="{00000000-0005-0000-0000-0000341D0000}"/>
    <cellStyle name="Normal 2 4 2 3 3 4 2 2 2" xfId="16088" xr:uid="{00000000-0005-0000-0000-0000351D0000}"/>
    <cellStyle name="Normal 2 4 2 3 3 4 2 3" xfId="11870" xr:uid="{00000000-0005-0000-0000-0000361D0000}"/>
    <cellStyle name="Normal 2 4 2 3 3 4 3" xfId="5507" xr:uid="{00000000-0005-0000-0000-0000371D0000}"/>
    <cellStyle name="Normal 2 4 2 3 3 4 3 2" xfId="13943" xr:uid="{00000000-0005-0000-0000-0000381D0000}"/>
    <cellStyle name="Normal 2 4 2 3 3 4 4" xfId="9725" xr:uid="{00000000-0005-0000-0000-0000391D0000}"/>
    <cellStyle name="Normal 2 4 2 3 3 5" xfId="1612" xr:uid="{00000000-0005-0000-0000-00003A1D0000}"/>
    <cellStyle name="Normal 2 4 2 3 3 5 2" xfId="3842" xr:uid="{00000000-0005-0000-0000-00003B1D0000}"/>
    <cellStyle name="Normal 2 4 2 3 3 5 2 2" xfId="8065" xr:uid="{00000000-0005-0000-0000-00003C1D0000}"/>
    <cellStyle name="Normal 2 4 2 3 3 5 2 2 2" xfId="16501" xr:uid="{00000000-0005-0000-0000-00003D1D0000}"/>
    <cellStyle name="Normal 2 4 2 3 3 5 2 3" xfId="12283" xr:uid="{00000000-0005-0000-0000-00003E1D0000}"/>
    <cellStyle name="Normal 2 4 2 3 3 5 3" xfId="5920" xr:uid="{00000000-0005-0000-0000-00003F1D0000}"/>
    <cellStyle name="Normal 2 4 2 3 3 5 3 2" xfId="14356" xr:uid="{00000000-0005-0000-0000-0000401D0000}"/>
    <cellStyle name="Normal 2 4 2 3 3 5 4" xfId="10138" xr:uid="{00000000-0005-0000-0000-0000411D0000}"/>
    <cellStyle name="Normal 2 4 2 3 3 6" xfId="2026" xr:uid="{00000000-0005-0000-0000-0000421D0000}"/>
    <cellStyle name="Normal 2 4 2 3 3 6 2" xfId="4255" xr:uid="{00000000-0005-0000-0000-0000431D0000}"/>
    <cellStyle name="Normal 2 4 2 3 3 6 2 2" xfId="8478" xr:uid="{00000000-0005-0000-0000-0000441D0000}"/>
    <cellStyle name="Normal 2 4 2 3 3 6 2 2 2" xfId="16914" xr:uid="{00000000-0005-0000-0000-0000451D0000}"/>
    <cellStyle name="Normal 2 4 2 3 3 6 2 3" xfId="12696" xr:uid="{00000000-0005-0000-0000-0000461D0000}"/>
    <cellStyle name="Normal 2 4 2 3 3 6 3" xfId="6333" xr:uid="{00000000-0005-0000-0000-0000471D0000}"/>
    <cellStyle name="Normal 2 4 2 3 3 6 3 2" xfId="14769" xr:uid="{00000000-0005-0000-0000-0000481D0000}"/>
    <cellStyle name="Normal 2 4 2 3 3 6 4" xfId="10551" xr:uid="{00000000-0005-0000-0000-0000491D0000}"/>
    <cellStyle name="Normal 2 4 2 3 3 7" xfId="2462" xr:uid="{00000000-0005-0000-0000-00004A1D0000}"/>
    <cellStyle name="Normal 2 4 2 3 3 7 2" xfId="6746" xr:uid="{00000000-0005-0000-0000-00004B1D0000}"/>
    <cellStyle name="Normal 2 4 2 3 3 7 2 2" xfId="15182" xr:uid="{00000000-0005-0000-0000-00004C1D0000}"/>
    <cellStyle name="Normal 2 4 2 3 3 7 3" xfId="10964" xr:uid="{00000000-0005-0000-0000-00004D1D0000}"/>
    <cellStyle name="Normal 2 4 2 3 3 8" xfId="4680" xr:uid="{00000000-0005-0000-0000-00004E1D0000}"/>
    <cellStyle name="Normal 2 4 2 3 3 8 2" xfId="13116" xr:uid="{00000000-0005-0000-0000-00004F1D0000}"/>
    <cellStyle name="Normal 2 4 2 3 3 9" xfId="8898" xr:uid="{00000000-0005-0000-0000-0000501D0000}"/>
    <cellStyle name="Normal 2 4 2 3 4" xfId="288" xr:uid="{00000000-0005-0000-0000-0000511D0000}"/>
    <cellStyle name="Normal 2 4 2 3 4 2" xfId="779" xr:uid="{00000000-0005-0000-0000-0000521D0000}"/>
    <cellStyle name="Normal 2 4 2 3 4 2 2" xfId="3018" xr:uid="{00000000-0005-0000-0000-0000531D0000}"/>
    <cellStyle name="Normal 2 4 2 3 4 2 2 2" xfId="7241" xr:uid="{00000000-0005-0000-0000-0000541D0000}"/>
    <cellStyle name="Normal 2 4 2 3 4 2 2 2 2" xfId="15677" xr:uid="{00000000-0005-0000-0000-0000551D0000}"/>
    <cellStyle name="Normal 2 4 2 3 4 2 2 3" xfId="11459" xr:uid="{00000000-0005-0000-0000-0000561D0000}"/>
    <cellStyle name="Normal 2 4 2 3 4 2 3" xfId="5096" xr:uid="{00000000-0005-0000-0000-0000571D0000}"/>
    <cellStyle name="Normal 2 4 2 3 4 2 3 2" xfId="13532" xr:uid="{00000000-0005-0000-0000-0000581D0000}"/>
    <cellStyle name="Normal 2 4 2 3 4 2 4" xfId="9314" xr:uid="{00000000-0005-0000-0000-0000591D0000}"/>
    <cellStyle name="Normal 2 4 2 3 4 3" xfId="1201" xr:uid="{00000000-0005-0000-0000-00005A1D0000}"/>
    <cellStyle name="Normal 2 4 2 3 4 3 2" xfId="3431" xr:uid="{00000000-0005-0000-0000-00005B1D0000}"/>
    <cellStyle name="Normal 2 4 2 3 4 3 2 2" xfId="7654" xr:uid="{00000000-0005-0000-0000-00005C1D0000}"/>
    <cellStyle name="Normal 2 4 2 3 4 3 2 2 2" xfId="16090" xr:uid="{00000000-0005-0000-0000-00005D1D0000}"/>
    <cellStyle name="Normal 2 4 2 3 4 3 2 3" xfId="11872" xr:uid="{00000000-0005-0000-0000-00005E1D0000}"/>
    <cellStyle name="Normal 2 4 2 3 4 3 3" xfId="5509" xr:uid="{00000000-0005-0000-0000-00005F1D0000}"/>
    <cellStyle name="Normal 2 4 2 3 4 3 3 2" xfId="13945" xr:uid="{00000000-0005-0000-0000-0000601D0000}"/>
    <cellStyle name="Normal 2 4 2 3 4 3 4" xfId="9727" xr:uid="{00000000-0005-0000-0000-0000611D0000}"/>
    <cellStyle name="Normal 2 4 2 3 4 4" xfId="1614" xr:uid="{00000000-0005-0000-0000-0000621D0000}"/>
    <cellStyle name="Normal 2 4 2 3 4 4 2" xfId="3844" xr:uid="{00000000-0005-0000-0000-0000631D0000}"/>
    <cellStyle name="Normal 2 4 2 3 4 4 2 2" xfId="8067" xr:uid="{00000000-0005-0000-0000-0000641D0000}"/>
    <cellStyle name="Normal 2 4 2 3 4 4 2 2 2" xfId="16503" xr:uid="{00000000-0005-0000-0000-0000651D0000}"/>
    <cellStyle name="Normal 2 4 2 3 4 4 2 3" xfId="12285" xr:uid="{00000000-0005-0000-0000-0000661D0000}"/>
    <cellStyle name="Normal 2 4 2 3 4 4 3" xfId="5922" xr:uid="{00000000-0005-0000-0000-0000671D0000}"/>
    <cellStyle name="Normal 2 4 2 3 4 4 3 2" xfId="14358" xr:uid="{00000000-0005-0000-0000-0000681D0000}"/>
    <cellStyle name="Normal 2 4 2 3 4 4 4" xfId="10140" xr:uid="{00000000-0005-0000-0000-0000691D0000}"/>
    <cellStyle name="Normal 2 4 2 3 4 5" xfId="2028" xr:uid="{00000000-0005-0000-0000-00006A1D0000}"/>
    <cellStyle name="Normal 2 4 2 3 4 5 2" xfId="4257" xr:uid="{00000000-0005-0000-0000-00006B1D0000}"/>
    <cellStyle name="Normal 2 4 2 3 4 5 2 2" xfId="8480" xr:uid="{00000000-0005-0000-0000-00006C1D0000}"/>
    <cellStyle name="Normal 2 4 2 3 4 5 2 2 2" xfId="16916" xr:uid="{00000000-0005-0000-0000-00006D1D0000}"/>
    <cellStyle name="Normal 2 4 2 3 4 5 2 3" xfId="12698" xr:uid="{00000000-0005-0000-0000-00006E1D0000}"/>
    <cellStyle name="Normal 2 4 2 3 4 5 3" xfId="6335" xr:uid="{00000000-0005-0000-0000-00006F1D0000}"/>
    <cellStyle name="Normal 2 4 2 3 4 5 3 2" xfId="14771" xr:uid="{00000000-0005-0000-0000-0000701D0000}"/>
    <cellStyle name="Normal 2 4 2 3 4 5 4" xfId="10553" xr:uid="{00000000-0005-0000-0000-0000711D0000}"/>
    <cellStyle name="Normal 2 4 2 3 4 6" xfId="2464" xr:uid="{00000000-0005-0000-0000-0000721D0000}"/>
    <cellStyle name="Normal 2 4 2 3 4 6 2" xfId="6748" xr:uid="{00000000-0005-0000-0000-0000731D0000}"/>
    <cellStyle name="Normal 2 4 2 3 4 6 2 2" xfId="15184" xr:uid="{00000000-0005-0000-0000-0000741D0000}"/>
    <cellStyle name="Normal 2 4 2 3 4 6 3" xfId="10966" xr:uid="{00000000-0005-0000-0000-0000751D0000}"/>
    <cellStyle name="Normal 2 4 2 3 4 7" xfId="4682" xr:uid="{00000000-0005-0000-0000-0000761D0000}"/>
    <cellStyle name="Normal 2 4 2 3 4 7 2" xfId="13118" xr:uid="{00000000-0005-0000-0000-0000771D0000}"/>
    <cellStyle name="Normal 2 4 2 3 4 8" xfId="8900" xr:uid="{00000000-0005-0000-0000-0000781D0000}"/>
    <cellStyle name="Normal 2 4 2 3 5" xfId="772" xr:uid="{00000000-0005-0000-0000-0000791D0000}"/>
    <cellStyle name="Normal 2 4 2 3 5 2" xfId="3011" xr:uid="{00000000-0005-0000-0000-00007A1D0000}"/>
    <cellStyle name="Normal 2 4 2 3 5 2 2" xfId="7234" xr:uid="{00000000-0005-0000-0000-00007B1D0000}"/>
    <cellStyle name="Normal 2 4 2 3 5 2 2 2" xfId="15670" xr:uid="{00000000-0005-0000-0000-00007C1D0000}"/>
    <cellStyle name="Normal 2 4 2 3 5 2 3" xfId="11452" xr:uid="{00000000-0005-0000-0000-00007D1D0000}"/>
    <cellStyle name="Normal 2 4 2 3 5 3" xfId="5089" xr:uid="{00000000-0005-0000-0000-00007E1D0000}"/>
    <cellStyle name="Normal 2 4 2 3 5 3 2" xfId="13525" xr:uid="{00000000-0005-0000-0000-00007F1D0000}"/>
    <cellStyle name="Normal 2 4 2 3 5 4" xfId="9307" xr:uid="{00000000-0005-0000-0000-0000801D0000}"/>
    <cellStyle name="Normal 2 4 2 3 6" xfId="1194" xr:uid="{00000000-0005-0000-0000-0000811D0000}"/>
    <cellStyle name="Normal 2 4 2 3 6 2" xfId="3424" xr:uid="{00000000-0005-0000-0000-0000821D0000}"/>
    <cellStyle name="Normal 2 4 2 3 6 2 2" xfId="7647" xr:uid="{00000000-0005-0000-0000-0000831D0000}"/>
    <cellStyle name="Normal 2 4 2 3 6 2 2 2" xfId="16083" xr:uid="{00000000-0005-0000-0000-0000841D0000}"/>
    <cellStyle name="Normal 2 4 2 3 6 2 3" xfId="11865" xr:uid="{00000000-0005-0000-0000-0000851D0000}"/>
    <cellStyle name="Normal 2 4 2 3 6 3" xfId="5502" xr:uid="{00000000-0005-0000-0000-0000861D0000}"/>
    <cellStyle name="Normal 2 4 2 3 6 3 2" xfId="13938" xr:uid="{00000000-0005-0000-0000-0000871D0000}"/>
    <cellStyle name="Normal 2 4 2 3 6 4" xfId="9720" xr:uid="{00000000-0005-0000-0000-0000881D0000}"/>
    <cellStyle name="Normal 2 4 2 3 7" xfId="1607" xr:uid="{00000000-0005-0000-0000-0000891D0000}"/>
    <cellStyle name="Normal 2 4 2 3 7 2" xfId="3837" xr:uid="{00000000-0005-0000-0000-00008A1D0000}"/>
    <cellStyle name="Normal 2 4 2 3 7 2 2" xfId="8060" xr:uid="{00000000-0005-0000-0000-00008B1D0000}"/>
    <cellStyle name="Normal 2 4 2 3 7 2 2 2" xfId="16496" xr:uid="{00000000-0005-0000-0000-00008C1D0000}"/>
    <cellStyle name="Normal 2 4 2 3 7 2 3" xfId="12278" xr:uid="{00000000-0005-0000-0000-00008D1D0000}"/>
    <cellStyle name="Normal 2 4 2 3 7 3" xfId="5915" xr:uid="{00000000-0005-0000-0000-00008E1D0000}"/>
    <cellStyle name="Normal 2 4 2 3 7 3 2" xfId="14351" xr:uid="{00000000-0005-0000-0000-00008F1D0000}"/>
    <cellStyle name="Normal 2 4 2 3 7 4" xfId="10133" xr:uid="{00000000-0005-0000-0000-0000901D0000}"/>
    <cellStyle name="Normal 2 4 2 3 8" xfId="2021" xr:uid="{00000000-0005-0000-0000-0000911D0000}"/>
    <cellStyle name="Normal 2 4 2 3 8 2" xfId="4250" xr:uid="{00000000-0005-0000-0000-0000921D0000}"/>
    <cellStyle name="Normal 2 4 2 3 8 2 2" xfId="8473" xr:uid="{00000000-0005-0000-0000-0000931D0000}"/>
    <cellStyle name="Normal 2 4 2 3 8 2 2 2" xfId="16909" xr:uid="{00000000-0005-0000-0000-0000941D0000}"/>
    <cellStyle name="Normal 2 4 2 3 8 2 3" xfId="12691" xr:uid="{00000000-0005-0000-0000-0000951D0000}"/>
    <cellStyle name="Normal 2 4 2 3 8 3" xfId="6328" xr:uid="{00000000-0005-0000-0000-0000961D0000}"/>
    <cellStyle name="Normal 2 4 2 3 8 3 2" xfId="14764" xr:uid="{00000000-0005-0000-0000-0000971D0000}"/>
    <cellStyle name="Normal 2 4 2 3 8 4" xfId="10546" xr:uid="{00000000-0005-0000-0000-0000981D0000}"/>
    <cellStyle name="Normal 2 4 2 3 9" xfId="2457" xr:uid="{00000000-0005-0000-0000-0000991D0000}"/>
    <cellStyle name="Normal 2 4 2 3 9 2" xfId="6741" xr:uid="{00000000-0005-0000-0000-00009A1D0000}"/>
    <cellStyle name="Normal 2 4 2 3 9 2 2" xfId="15177" xr:uid="{00000000-0005-0000-0000-00009B1D0000}"/>
    <cellStyle name="Normal 2 4 2 3 9 3" xfId="10959" xr:uid="{00000000-0005-0000-0000-00009C1D0000}"/>
    <cellStyle name="Normal 2 4 2 4" xfId="289" xr:uid="{00000000-0005-0000-0000-00009D1D0000}"/>
    <cellStyle name="Normal 2 4 2 4 10" xfId="8901" xr:uid="{00000000-0005-0000-0000-00009E1D0000}"/>
    <cellStyle name="Normal 2 4 2 4 2" xfId="290" xr:uid="{00000000-0005-0000-0000-00009F1D0000}"/>
    <cellStyle name="Normal 2 4 2 4 2 2" xfId="291" xr:uid="{00000000-0005-0000-0000-0000A01D0000}"/>
    <cellStyle name="Normal 2 4 2 4 2 2 2" xfId="782" xr:uid="{00000000-0005-0000-0000-0000A11D0000}"/>
    <cellStyle name="Normal 2 4 2 4 2 2 2 2" xfId="3021" xr:uid="{00000000-0005-0000-0000-0000A21D0000}"/>
    <cellStyle name="Normal 2 4 2 4 2 2 2 2 2" xfId="7244" xr:uid="{00000000-0005-0000-0000-0000A31D0000}"/>
    <cellStyle name="Normal 2 4 2 4 2 2 2 2 2 2" xfId="15680" xr:uid="{00000000-0005-0000-0000-0000A41D0000}"/>
    <cellStyle name="Normal 2 4 2 4 2 2 2 2 3" xfId="11462" xr:uid="{00000000-0005-0000-0000-0000A51D0000}"/>
    <cellStyle name="Normal 2 4 2 4 2 2 2 3" xfId="5099" xr:uid="{00000000-0005-0000-0000-0000A61D0000}"/>
    <cellStyle name="Normal 2 4 2 4 2 2 2 3 2" xfId="13535" xr:uid="{00000000-0005-0000-0000-0000A71D0000}"/>
    <cellStyle name="Normal 2 4 2 4 2 2 2 4" xfId="9317" xr:uid="{00000000-0005-0000-0000-0000A81D0000}"/>
    <cellStyle name="Normal 2 4 2 4 2 2 3" xfId="1204" xr:uid="{00000000-0005-0000-0000-0000A91D0000}"/>
    <cellStyle name="Normal 2 4 2 4 2 2 3 2" xfId="3434" xr:uid="{00000000-0005-0000-0000-0000AA1D0000}"/>
    <cellStyle name="Normal 2 4 2 4 2 2 3 2 2" xfId="7657" xr:uid="{00000000-0005-0000-0000-0000AB1D0000}"/>
    <cellStyle name="Normal 2 4 2 4 2 2 3 2 2 2" xfId="16093" xr:uid="{00000000-0005-0000-0000-0000AC1D0000}"/>
    <cellStyle name="Normal 2 4 2 4 2 2 3 2 3" xfId="11875" xr:uid="{00000000-0005-0000-0000-0000AD1D0000}"/>
    <cellStyle name="Normal 2 4 2 4 2 2 3 3" xfId="5512" xr:uid="{00000000-0005-0000-0000-0000AE1D0000}"/>
    <cellStyle name="Normal 2 4 2 4 2 2 3 3 2" xfId="13948" xr:uid="{00000000-0005-0000-0000-0000AF1D0000}"/>
    <cellStyle name="Normal 2 4 2 4 2 2 3 4" xfId="9730" xr:uid="{00000000-0005-0000-0000-0000B01D0000}"/>
    <cellStyle name="Normal 2 4 2 4 2 2 4" xfId="1617" xr:uid="{00000000-0005-0000-0000-0000B11D0000}"/>
    <cellStyle name="Normal 2 4 2 4 2 2 4 2" xfId="3847" xr:uid="{00000000-0005-0000-0000-0000B21D0000}"/>
    <cellStyle name="Normal 2 4 2 4 2 2 4 2 2" xfId="8070" xr:uid="{00000000-0005-0000-0000-0000B31D0000}"/>
    <cellStyle name="Normal 2 4 2 4 2 2 4 2 2 2" xfId="16506" xr:uid="{00000000-0005-0000-0000-0000B41D0000}"/>
    <cellStyle name="Normal 2 4 2 4 2 2 4 2 3" xfId="12288" xr:uid="{00000000-0005-0000-0000-0000B51D0000}"/>
    <cellStyle name="Normal 2 4 2 4 2 2 4 3" xfId="5925" xr:uid="{00000000-0005-0000-0000-0000B61D0000}"/>
    <cellStyle name="Normal 2 4 2 4 2 2 4 3 2" xfId="14361" xr:uid="{00000000-0005-0000-0000-0000B71D0000}"/>
    <cellStyle name="Normal 2 4 2 4 2 2 4 4" xfId="10143" xr:uid="{00000000-0005-0000-0000-0000B81D0000}"/>
    <cellStyle name="Normal 2 4 2 4 2 2 5" xfId="2031" xr:uid="{00000000-0005-0000-0000-0000B91D0000}"/>
    <cellStyle name="Normal 2 4 2 4 2 2 5 2" xfId="4260" xr:uid="{00000000-0005-0000-0000-0000BA1D0000}"/>
    <cellStyle name="Normal 2 4 2 4 2 2 5 2 2" xfId="8483" xr:uid="{00000000-0005-0000-0000-0000BB1D0000}"/>
    <cellStyle name="Normal 2 4 2 4 2 2 5 2 2 2" xfId="16919" xr:uid="{00000000-0005-0000-0000-0000BC1D0000}"/>
    <cellStyle name="Normal 2 4 2 4 2 2 5 2 3" xfId="12701" xr:uid="{00000000-0005-0000-0000-0000BD1D0000}"/>
    <cellStyle name="Normal 2 4 2 4 2 2 5 3" xfId="6338" xr:uid="{00000000-0005-0000-0000-0000BE1D0000}"/>
    <cellStyle name="Normal 2 4 2 4 2 2 5 3 2" xfId="14774" xr:uid="{00000000-0005-0000-0000-0000BF1D0000}"/>
    <cellStyle name="Normal 2 4 2 4 2 2 5 4" xfId="10556" xr:uid="{00000000-0005-0000-0000-0000C01D0000}"/>
    <cellStyle name="Normal 2 4 2 4 2 2 6" xfId="2467" xr:uid="{00000000-0005-0000-0000-0000C11D0000}"/>
    <cellStyle name="Normal 2 4 2 4 2 2 6 2" xfId="6751" xr:uid="{00000000-0005-0000-0000-0000C21D0000}"/>
    <cellStyle name="Normal 2 4 2 4 2 2 6 2 2" xfId="15187" xr:uid="{00000000-0005-0000-0000-0000C31D0000}"/>
    <cellStyle name="Normal 2 4 2 4 2 2 6 3" xfId="10969" xr:uid="{00000000-0005-0000-0000-0000C41D0000}"/>
    <cellStyle name="Normal 2 4 2 4 2 2 7" xfId="4685" xr:uid="{00000000-0005-0000-0000-0000C51D0000}"/>
    <cellStyle name="Normal 2 4 2 4 2 2 7 2" xfId="13121" xr:uid="{00000000-0005-0000-0000-0000C61D0000}"/>
    <cellStyle name="Normal 2 4 2 4 2 2 8" xfId="8903" xr:uid="{00000000-0005-0000-0000-0000C71D0000}"/>
    <cellStyle name="Normal 2 4 2 4 2 3" xfId="781" xr:uid="{00000000-0005-0000-0000-0000C81D0000}"/>
    <cellStyle name="Normal 2 4 2 4 2 3 2" xfId="3020" xr:uid="{00000000-0005-0000-0000-0000C91D0000}"/>
    <cellStyle name="Normal 2 4 2 4 2 3 2 2" xfId="7243" xr:uid="{00000000-0005-0000-0000-0000CA1D0000}"/>
    <cellStyle name="Normal 2 4 2 4 2 3 2 2 2" xfId="15679" xr:uid="{00000000-0005-0000-0000-0000CB1D0000}"/>
    <cellStyle name="Normal 2 4 2 4 2 3 2 3" xfId="11461" xr:uid="{00000000-0005-0000-0000-0000CC1D0000}"/>
    <cellStyle name="Normal 2 4 2 4 2 3 3" xfId="5098" xr:uid="{00000000-0005-0000-0000-0000CD1D0000}"/>
    <cellStyle name="Normal 2 4 2 4 2 3 3 2" xfId="13534" xr:uid="{00000000-0005-0000-0000-0000CE1D0000}"/>
    <cellStyle name="Normal 2 4 2 4 2 3 4" xfId="9316" xr:uid="{00000000-0005-0000-0000-0000CF1D0000}"/>
    <cellStyle name="Normal 2 4 2 4 2 4" xfId="1203" xr:uid="{00000000-0005-0000-0000-0000D01D0000}"/>
    <cellStyle name="Normal 2 4 2 4 2 4 2" xfId="3433" xr:uid="{00000000-0005-0000-0000-0000D11D0000}"/>
    <cellStyle name="Normal 2 4 2 4 2 4 2 2" xfId="7656" xr:uid="{00000000-0005-0000-0000-0000D21D0000}"/>
    <cellStyle name="Normal 2 4 2 4 2 4 2 2 2" xfId="16092" xr:uid="{00000000-0005-0000-0000-0000D31D0000}"/>
    <cellStyle name="Normal 2 4 2 4 2 4 2 3" xfId="11874" xr:uid="{00000000-0005-0000-0000-0000D41D0000}"/>
    <cellStyle name="Normal 2 4 2 4 2 4 3" xfId="5511" xr:uid="{00000000-0005-0000-0000-0000D51D0000}"/>
    <cellStyle name="Normal 2 4 2 4 2 4 3 2" xfId="13947" xr:uid="{00000000-0005-0000-0000-0000D61D0000}"/>
    <cellStyle name="Normal 2 4 2 4 2 4 4" xfId="9729" xr:uid="{00000000-0005-0000-0000-0000D71D0000}"/>
    <cellStyle name="Normal 2 4 2 4 2 5" xfId="1616" xr:uid="{00000000-0005-0000-0000-0000D81D0000}"/>
    <cellStyle name="Normal 2 4 2 4 2 5 2" xfId="3846" xr:uid="{00000000-0005-0000-0000-0000D91D0000}"/>
    <cellStyle name="Normal 2 4 2 4 2 5 2 2" xfId="8069" xr:uid="{00000000-0005-0000-0000-0000DA1D0000}"/>
    <cellStyle name="Normal 2 4 2 4 2 5 2 2 2" xfId="16505" xr:uid="{00000000-0005-0000-0000-0000DB1D0000}"/>
    <cellStyle name="Normal 2 4 2 4 2 5 2 3" xfId="12287" xr:uid="{00000000-0005-0000-0000-0000DC1D0000}"/>
    <cellStyle name="Normal 2 4 2 4 2 5 3" xfId="5924" xr:uid="{00000000-0005-0000-0000-0000DD1D0000}"/>
    <cellStyle name="Normal 2 4 2 4 2 5 3 2" xfId="14360" xr:uid="{00000000-0005-0000-0000-0000DE1D0000}"/>
    <cellStyle name="Normal 2 4 2 4 2 5 4" xfId="10142" xr:uid="{00000000-0005-0000-0000-0000DF1D0000}"/>
    <cellStyle name="Normal 2 4 2 4 2 6" xfId="2030" xr:uid="{00000000-0005-0000-0000-0000E01D0000}"/>
    <cellStyle name="Normal 2 4 2 4 2 6 2" xfId="4259" xr:uid="{00000000-0005-0000-0000-0000E11D0000}"/>
    <cellStyle name="Normal 2 4 2 4 2 6 2 2" xfId="8482" xr:uid="{00000000-0005-0000-0000-0000E21D0000}"/>
    <cellStyle name="Normal 2 4 2 4 2 6 2 2 2" xfId="16918" xr:uid="{00000000-0005-0000-0000-0000E31D0000}"/>
    <cellStyle name="Normal 2 4 2 4 2 6 2 3" xfId="12700" xr:uid="{00000000-0005-0000-0000-0000E41D0000}"/>
    <cellStyle name="Normal 2 4 2 4 2 6 3" xfId="6337" xr:uid="{00000000-0005-0000-0000-0000E51D0000}"/>
    <cellStyle name="Normal 2 4 2 4 2 6 3 2" xfId="14773" xr:uid="{00000000-0005-0000-0000-0000E61D0000}"/>
    <cellStyle name="Normal 2 4 2 4 2 6 4" xfId="10555" xr:uid="{00000000-0005-0000-0000-0000E71D0000}"/>
    <cellStyle name="Normal 2 4 2 4 2 7" xfId="2466" xr:uid="{00000000-0005-0000-0000-0000E81D0000}"/>
    <cellStyle name="Normal 2 4 2 4 2 7 2" xfId="6750" xr:uid="{00000000-0005-0000-0000-0000E91D0000}"/>
    <cellStyle name="Normal 2 4 2 4 2 7 2 2" xfId="15186" xr:uid="{00000000-0005-0000-0000-0000EA1D0000}"/>
    <cellStyle name="Normal 2 4 2 4 2 7 3" xfId="10968" xr:uid="{00000000-0005-0000-0000-0000EB1D0000}"/>
    <cellStyle name="Normal 2 4 2 4 2 8" xfId="4684" xr:uid="{00000000-0005-0000-0000-0000EC1D0000}"/>
    <cellStyle name="Normal 2 4 2 4 2 8 2" xfId="13120" xr:uid="{00000000-0005-0000-0000-0000ED1D0000}"/>
    <cellStyle name="Normal 2 4 2 4 2 9" xfId="8902" xr:uid="{00000000-0005-0000-0000-0000EE1D0000}"/>
    <cellStyle name="Normal 2 4 2 4 3" xfId="292" xr:uid="{00000000-0005-0000-0000-0000EF1D0000}"/>
    <cellStyle name="Normal 2 4 2 4 3 2" xfId="783" xr:uid="{00000000-0005-0000-0000-0000F01D0000}"/>
    <cellStyle name="Normal 2 4 2 4 3 2 2" xfId="3022" xr:uid="{00000000-0005-0000-0000-0000F11D0000}"/>
    <cellStyle name="Normal 2 4 2 4 3 2 2 2" xfId="7245" xr:uid="{00000000-0005-0000-0000-0000F21D0000}"/>
    <cellStyle name="Normal 2 4 2 4 3 2 2 2 2" xfId="15681" xr:uid="{00000000-0005-0000-0000-0000F31D0000}"/>
    <cellStyle name="Normal 2 4 2 4 3 2 2 3" xfId="11463" xr:uid="{00000000-0005-0000-0000-0000F41D0000}"/>
    <cellStyle name="Normal 2 4 2 4 3 2 3" xfId="5100" xr:uid="{00000000-0005-0000-0000-0000F51D0000}"/>
    <cellStyle name="Normal 2 4 2 4 3 2 3 2" xfId="13536" xr:uid="{00000000-0005-0000-0000-0000F61D0000}"/>
    <cellStyle name="Normal 2 4 2 4 3 2 4" xfId="9318" xr:uid="{00000000-0005-0000-0000-0000F71D0000}"/>
    <cellStyle name="Normal 2 4 2 4 3 3" xfId="1205" xr:uid="{00000000-0005-0000-0000-0000F81D0000}"/>
    <cellStyle name="Normal 2 4 2 4 3 3 2" xfId="3435" xr:uid="{00000000-0005-0000-0000-0000F91D0000}"/>
    <cellStyle name="Normal 2 4 2 4 3 3 2 2" xfId="7658" xr:uid="{00000000-0005-0000-0000-0000FA1D0000}"/>
    <cellStyle name="Normal 2 4 2 4 3 3 2 2 2" xfId="16094" xr:uid="{00000000-0005-0000-0000-0000FB1D0000}"/>
    <cellStyle name="Normal 2 4 2 4 3 3 2 3" xfId="11876" xr:uid="{00000000-0005-0000-0000-0000FC1D0000}"/>
    <cellStyle name="Normal 2 4 2 4 3 3 3" xfId="5513" xr:uid="{00000000-0005-0000-0000-0000FD1D0000}"/>
    <cellStyle name="Normal 2 4 2 4 3 3 3 2" xfId="13949" xr:uid="{00000000-0005-0000-0000-0000FE1D0000}"/>
    <cellStyle name="Normal 2 4 2 4 3 3 4" xfId="9731" xr:uid="{00000000-0005-0000-0000-0000FF1D0000}"/>
    <cellStyle name="Normal 2 4 2 4 3 4" xfId="1618" xr:uid="{00000000-0005-0000-0000-0000001E0000}"/>
    <cellStyle name="Normal 2 4 2 4 3 4 2" xfId="3848" xr:uid="{00000000-0005-0000-0000-0000011E0000}"/>
    <cellStyle name="Normal 2 4 2 4 3 4 2 2" xfId="8071" xr:uid="{00000000-0005-0000-0000-0000021E0000}"/>
    <cellStyle name="Normal 2 4 2 4 3 4 2 2 2" xfId="16507" xr:uid="{00000000-0005-0000-0000-0000031E0000}"/>
    <cellStyle name="Normal 2 4 2 4 3 4 2 3" xfId="12289" xr:uid="{00000000-0005-0000-0000-0000041E0000}"/>
    <cellStyle name="Normal 2 4 2 4 3 4 3" xfId="5926" xr:uid="{00000000-0005-0000-0000-0000051E0000}"/>
    <cellStyle name="Normal 2 4 2 4 3 4 3 2" xfId="14362" xr:uid="{00000000-0005-0000-0000-0000061E0000}"/>
    <cellStyle name="Normal 2 4 2 4 3 4 4" xfId="10144" xr:uid="{00000000-0005-0000-0000-0000071E0000}"/>
    <cellStyle name="Normal 2 4 2 4 3 5" xfId="2032" xr:uid="{00000000-0005-0000-0000-0000081E0000}"/>
    <cellStyle name="Normal 2 4 2 4 3 5 2" xfId="4261" xr:uid="{00000000-0005-0000-0000-0000091E0000}"/>
    <cellStyle name="Normal 2 4 2 4 3 5 2 2" xfId="8484" xr:uid="{00000000-0005-0000-0000-00000A1E0000}"/>
    <cellStyle name="Normal 2 4 2 4 3 5 2 2 2" xfId="16920" xr:uid="{00000000-0005-0000-0000-00000B1E0000}"/>
    <cellStyle name="Normal 2 4 2 4 3 5 2 3" xfId="12702" xr:uid="{00000000-0005-0000-0000-00000C1E0000}"/>
    <cellStyle name="Normal 2 4 2 4 3 5 3" xfId="6339" xr:uid="{00000000-0005-0000-0000-00000D1E0000}"/>
    <cellStyle name="Normal 2 4 2 4 3 5 3 2" xfId="14775" xr:uid="{00000000-0005-0000-0000-00000E1E0000}"/>
    <cellStyle name="Normal 2 4 2 4 3 5 4" xfId="10557" xr:uid="{00000000-0005-0000-0000-00000F1E0000}"/>
    <cellStyle name="Normal 2 4 2 4 3 6" xfId="2468" xr:uid="{00000000-0005-0000-0000-0000101E0000}"/>
    <cellStyle name="Normal 2 4 2 4 3 6 2" xfId="6752" xr:uid="{00000000-0005-0000-0000-0000111E0000}"/>
    <cellStyle name="Normal 2 4 2 4 3 6 2 2" xfId="15188" xr:uid="{00000000-0005-0000-0000-0000121E0000}"/>
    <cellStyle name="Normal 2 4 2 4 3 6 3" xfId="10970" xr:uid="{00000000-0005-0000-0000-0000131E0000}"/>
    <cellStyle name="Normal 2 4 2 4 3 7" xfId="4686" xr:uid="{00000000-0005-0000-0000-0000141E0000}"/>
    <cellStyle name="Normal 2 4 2 4 3 7 2" xfId="13122" xr:uid="{00000000-0005-0000-0000-0000151E0000}"/>
    <cellStyle name="Normal 2 4 2 4 3 8" xfId="8904" xr:uid="{00000000-0005-0000-0000-0000161E0000}"/>
    <cellStyle name="Normal 2 4 2 4 4" xfId="780" xr:uid="{00000000-0005-0000-0000-0000171E0000}"/>
    <cellStyle name="Normal 2 4 2 4 4 2" xfId="3019" xr:uid="{00000000-0005-0000-0000-0000181E0000}"/>
    <cellStyle name="Normal 2 4 2 4 4 2 2" xfId="7242" xr:uid="{00000000-0005-0000-0000-0000191E0000}"/>
    <cellStyle name="Normal 2 4 2 4 4 2 2 2" xfId="15678" xr:uid="{00000000-0005-0000-0000-00001A1E0000}"/>
    <cellStyle name="Normal 2 4 2 4 4 2 3" xfId="11460" xr:uid="{00000000-0005-0000-0000-00001B1E0000}"/>
    <cellStyle name="Normal 2 4 2 4 4 3" xfId="5097" xr:uid="{00000000-0005-0000-0000-00001C1E0000}"/>
    <cellStyle name="Normal 2 4 2 4 4 3 2" xfId="13533" xr:uid="{00000000-0005-0000-0000-00001D1E0000}"/>
    <cellStyle name="Normal 2 4 2 4 4 4" xfId="9315" xr:uid="{00000000-0005-0000-0000-00001E1E0000}"/>
    <cellStyle name="Normal 2 4 2 4 5" xfId="1202" xr:uid="{00000000-0005-0000-0000-00001F1E0000}"/>
    <cellStyle name="Normal 2 4 2 4 5 2" xfId="3432" xr:uid="{00000000-0005-0000-0000-0000201E0000}"/>
    <cellStyle name="Normal 2 4 2 4 5 2 2" xfId="7655" xr:uid="{00000000-0005-0000-0000-0000211E0000}"/>
    <cellStyle name="Normal 2 4 2 4 5 2 2 2" xfId="16091" xr:uid="{00000000-0005-0000-0000-0000221E0000}"/>
    <cellStyle name="Normal 2 4 2 4 5 2 3" xfId="11873" xr:uid="{00000000-0005-0000-0000-0000231E0000}"/>
    <cellStyle name="Normal 2 4 2 4 5 3" xfId="5510" xr:uid="{00000000-0005-0000-0000-0000241E0000}"/>
    <cellStyle name="Normal 2 4 2 4 5 3 2" xfId="13946" xr:uid="{00000000-0005-0000-0000-0000251E0000}"/>
    <cellStyle name="Normal 2 4 2 4 5 4" xfId="9728" xr:uid="{00000000-0005-0000-0000-0000261E0000}"/>
    <cellStyle name="Normal 2 4 2 4 6" xfId="1615" xr:uid="{00000000-0005-0000-0000-0000271E0000}"/>
    <cellStyle name="Normal 2 4 2 4 6 2" xfId="3845" xr:uid="{00000000-0005-0000-0000-0000281E0000}"/>
    <cellStyle name="Normal 2 4 2 4 6 2 2" xfId="8068" xr:uid="{00000000-0005-0000-0000-0000291E0000}"/>
    <cellStyle name="Normal 2 4 2 4 6 2 2 2" xfId="16504" xr:uid="{00000000-0005-0000-0000-00002A1E0000}"/>
    <cellStyle name="Normal 2 4 2 4 6 2 3" xfId="12286" xr:uid="{00000000-0005-0000-0000-00002B1E0000}"/>
    <cellStyle name="Normal 2 4 2 4 6 3" xfId="5923" xr:uid="{00000000-0005-0000-0000-00002C1E0000}"/>
    <cellStyle name="Normal 2 4 2 4 6 3 2" xfId="14359" xr:uid="{00000000-0005-0000-0000-00002D1E0000}"/>
    <cellStyle name="Normal 2 4 2 4 6 4" xfId="10141" xr:uid="{00000000-0005-0000-0000-00002E1E0000}"/>
    <cellStyle name="Normal 2 4 2 4 7" xfId="2029" xr:uid="{00000000-0005-0000-0000-00002F1E0000}"/>
    <cellStyle name="Normal 2 4 2 4 7 2" xfId="4258" xr:uid="{00000000-0005-0000-0000-0000301E0000}"/>
    <cellStyle name="Normal 2 4 2 4 7 2 2" xfId="8481" xr:uid="{00000000-0005-0000-0000-0000311E0000}"/>
    <cellStyle name="Normal 2 4 2 4 7 2 2 2" xfId="16917" xr:uid="{00000000-0005-0000-0000-0000321E0000}"/>
    <cellStyle name="Normal 2 4 2 4 7 2 3" xfId="12699" xr:uid="{00000000-0005-0000-0000-0000331E0000}"/>
    <cellStyle name="Normal 2 4 2 4 7 3" xfId="6336" xr:uid="{00000000-0005-0000-0000-0000341E0000}"/>
    <cellStyle name="Normal 2 4 2 4 7 3 2" xfId="14772" xr:uid="{00000000-0005-0000-0000-0000351E0000}"/>
    <cellStyle name="Normal 2 4 2 4 7 4" xfId="10554" xr:uid="{00000000-0005-0000-0000-0000361E0000}"/>
    <cellStyle name="Normal 2 4 2 4 8" xfId="2465" xr:uid="{00000000-0005-0000-0000-0000371E0000}"/>
    <cellStyle name="Normal 2 4 2 4 8 2" xfId="6749" xr:uid="{00000000-0005-0000-0000-0000381E0000}"/>
    <cellStyle name="Normal 2 4 2 4 8 2 2" xfId="15185" xr:uid="{00000000-0005-0000-0000-0000391E0000}"/>
    <cellStyle name="Normal 2 4 2 4 8 3" xfId="10967" xr:uid="{00000000-0005-0000-0000-00003A1E0000}"/>
    <cellStyle name="Normal 2 4 2 4 9" xfId="4683" xr:uid="{00000000-0005-0000-0000-00003B1E0000}"/>
    <cellStyle name="Normal 2 4 2 4 9 2" xfId="13119" xr:uid="{00000000-0005-0000-0000-00003C1E0000}"/>
    <cellStyle name="Normal 2 4 2 5" xfId="293" xr:uid="{00000000-0005-0000-0000-00003D1E0000}"/>
    <cellStyle name="Normal 2 4 2 5 2" xfId="294" xr:uid="{00000000-0005-0000-0000-00003E1E0000}"/>
    <cellStyle name="Normal 2 4 2 5 2 2" xfId="785" xr:uid="{00000000-0005-0000-0000-00003F1E0000}"/>
    <cellStyle name="Normal 2 4 2 5 2 2 2" xfId="3024" xr:uid="{00000000-0005-0000-0000-0000401E0000}"/>
    <cellStyle name="Normal 2 4 2 5 2 2 2 2" xfId="7247" xr:uid="{00000000-0005-0000-0000-0000411E0000}"/>
    <cellStyle name="Normal 2 4 2 5 2 2 2 2 2" xfId="15683" xr:uid="{00000000-0005-0000-0000-0000421E0000}"/>
    <cellStyle name="Normal 2 4 2 5 2 2 2 3" xfId="11465" xr:uid="{00000000-0005-0000-0000-0000431E0000}"/>
    <cellStyle name="Normal 2 4 2 5 2 2 3" xfId="5102" xr:uid="{00000000-0005-0000-0000-0000441E0000}"/>
    <cellStyle name="Normal 2 4 2 5 2 2 3 2" xfId="13538" xr:uid="{00000000-0005-0000-0000-0000451E0000}"/>
    <cellStyle name="Normal 2 4 2 5 2 2 4" xfId="9320" xr:uid="{00000000-0005-0000-0000-0000461E0000}"/>
    <cellStyle name="Normal 2 4 2 5 2 3" xfId="1207" xr:uid="{00000000-0005-0000-0000-0000471E0000}"/>
    <cellStyle name="Normal 2 4 2 5 2 3 2" xfId="3437" xr:uid="{00000000-0005-0000-0000-0000481E0000}"/>
    <cellStyle name="Normal 2 4 2 5 2 3 2 2" xfId="7660" xr:uid="{00000000-0005-0000-0000-0000491E0000}"/>
    <cellStyle name="Normal 2 4 2 5 2 3 2 2 2" xfId="16096" xr:uid="{00000000-0005-0000-0000-00004A1E0000}"/>
    <cellStyle name="Normal 2 4 2 5 2 3 2 3" xfId="11878" xr:uid="{00000000-0005-0000-0000-00004B1E0000}"/>
    <cellStyle name="Normal 2 4 2 5 2 3 3" xfId="5515" xr:uid="{00000000-0005-0000-0000-00004C1E0000}"/>
    <cellStyle name="Normal 2 4 2 5 2 3 3 2" xfId="13951" xr:uid="{00000000-0005-0000-0000-00004D1E0000}"/>
    <cellStyle name="Normal 2 4 2 5 2 3 4" xfId="9733" xr:uid="{00000000-0005-0000-0000-00004E1E0000}"/>
    <cellStyle name="Normal 2 4 2 5 2 4" xfId="1620" xr:uid="{00000000-0005-0000-0000-00004F1E0000}"/>
    <cellStyle name="Normal 2 4 2 5 2 4 2" xfId="3850" xr:uid="{00000000-0005-0000-0000-0000501E0000}"/>
    <cellStyle name="Normal 2 4 2 5 2 4 2 2" xfId="8073" xr:uid="{00000000-0005-0000-0000-0000511E0000}"/>
    <cellStyle name="Normal 2 4 2 5 2 4 2 2 2" xfId="16509" xr:uid="{00000000-0005-0000-0000-0000521E0000}"/>
    <cellStyle name="Normal 2 4 2 5 2 4 2 3" xfId="12291" xr:uid="{00000000-0005-0000-0000-0000531E0000}"/>
    <cellStyle name="Normal 2 4 2 5 2 4 3" xfId="5928" xr:uid="{00000000-0005-0000-0000-0000541E0000}"/>
    <cellStyle name="Normal 2 4 2 5 2 4 3 2" xfId="14364" xr:uid="{00000000-0005-0000-0000-0000551E0000}"/>
    <cellStyle name="Normal 2 4 2 5 2 4 4" xfId="10146" xr:uid="{00000000-0005-0000-0000-0000561E0000}"/>
    <cellStyle name="Normal 2 4 2 5 2 5" xfId="2034" xr:uid="{00000000-0005-0000-0000-0000571E0000}"/>
    <cellStyle name="Normal 2 4 2 5 2 5 2" xfId="4263" xr:uid="{00000000-0005-0000-0000-0000581E0000}"/>
    <cellStyle name="Normal 2 4 2 5 2 5 2 2" xfId="8486" xr:uid="{00000000-0005-0000-0000-0000591E0000}"/>
    <cellStyle name="Normal 2 4 2 5 2 5 2 2 2" xfId="16922" xr:uid="{00000000-0005-0000-0000-00005A1E0000}"/>
    <cellStyle name="Normal 2 4 2 5 2 5 2 3" xfId="12704" xr:uid="{00000000-0005-0000-0000-00005B1E0000}"/>
    <cellStyle name="Normal 2 4 2 5 2 5 3" xfId="6341" xr:uid="{00000000-0005-0000-0000-00005C1E0000}"/>
    <cellStyle name="Normal 2 4 2 5 2 5 3 2" xfId="14777" xr:uid="{00000000-0005-0000-0000-00005D1E0000}"/>
    <cellStyle name="Normal 2 4 2 5 2 5 4" xfId="10559" xr:uid="{00000000-0005-0000-0000-00005E1E0000}"/>
    <cellStyle name="Normal 2 4 2 5 2 6" xfId="2470" xr:uid="{00000000-0005-0000-0000-00005F1E0000}"/>
    <cellStyle name="Normal 2 4 2 5 2 6 2" xfId="6754" xr:uid="{00000000-0005-0000-0000-0000601E0000}"/>
    <cellStyle name="Normal 2 4 2 5 2 6 2 2" xfId="15190" xr:uid="{00000000-0005-0000-0000-0000611E0000}"/>
    <cellStyle name="Normal 2 4 2 5 2 6 3" xfId="10972" xr:uid="{00000000-0005-0000-0000-0000621E0000}"/>
    <cellStyle name="Normal 2 4 2 5 2 7" xfId="4688" xr:uid="{00000000-0005-0000-0000-0000631E0000}"/>
    <cellStyle name="Normal 2 4 2 5 2 7 2" xfId="13124" xr:uid="{00000000-0005-0000-0000-0000641E0000}"/>
    <cellStyle name="Normal 2 4 2 5 2 8" xfId="8906" xr:uid="{00000000-0005-0000-0000-0000651E0000}"/>
    <cellStyle name="Normal 2 4 2 5 3" xfId="784" xr:uid="{00000000-0005-0000-0000-0000661E0000}"/>
    <cellStyle name="Normal 2 4 2 5 3 2" xfId="3023" xr:uid="{00000000-0005-0000-0000-0000671E0000}"/>
    <cellStyle name="Normal 2 4 2 5 3 2 2" xfId="7246" xr:uid="{00000000-0005-0000-0000-0000681E0000}"/>
    <cellStyle name="Normal 2 4 2 5 3 2 2 2" xfId="15682" xr:uid="{00000000-0005-0000-0000-0000691E0000}"/>
    <cellStyle name="Normal 2 4 2 5 3 2 3" xfId="11464" xr:uid="{00000000-0005-0000-0000-00006A1E0000}"/>
    <cellStyle name="Normal 2 4 2 5 3 3" xfId="5101" xr:uid="{00000000-0005-0000-0000-00006B1E0000}"/>
    <cellStyle name="Normal 2 4 2 5 3 3 2" xfId="13537" xr:uid="{00000000-0005-0000-0000-00006C1E0000}"/>
    <cellStyle name="Normal 2 4 2 5 3 4" xfId="9319" xr:uid="{00000000-0005-0000-0000-00006D1E0000}"/>
    <cellStyle name="Normal 2 4 2 5 4" xfId="1206" xr:uid="{00000000-0005-0000-0000-00006E1E0000}"/>
    <cellStyle name="Normal 2 4 2 5 4 2" xfId="3436" xr:uid="{00000000-0005-0000-0000-00006F1E0000}"/>
    <cellStyle name="Normal 2 4 2 5 4 2 2" xfId="7659" xr:uid="{00000000-0005-0000-0000-0000701E0000}"/>
    <cellStyle name="Normal 2 4 2 5 4 2 2 2" xfId="16095" xr:uid="{00000000-0005-0000-0000-0000711E0000}"/>
    <cellStyle name="Normal 2 4 2 5 4 2 3" xfId="11877" xr:uid="{00000000-0005-0000-0000-0000721E0000}"/>
    <cellStyle name="Normal 2 4 2 5 4 3" xfId="5514" xr:uid="{00000000-0005-0000-0000-0000731E0000}"/>
    <cellStyle name="Normal 2 4 2 5 4 3 2" xfId="13950" xr:uid="{00000000-0005-0000-0000-0000741E0000}"/>
    <cellStyle name="Normal 2 4 2 5 4 4" xfId="9732" xr:uid="{00000000-0005-0000-0000-0000751E0000}"/>
    <cellStyle name="Normal 2 4 2 5 5" xfId="1619" xr:uid="{00000000-0005-0000-0000-0000761E0000}"/>
    <cellStyle name="Normal 2 4 2 5 5 2" xfId="3849" xr:uid="{00000000-0005-0000-0000-0000771E0000}"/>
    <cellStyle name="Normal 2 4 2 5 5 2 2" xfId="8072" xr:uid="{00000000-0005-0000-0000-0000781E0000}"/>
    <cellStyle name="Normal 2 4 2 5 5 2 2 2" xfId="16508" xr:uid="{00000000-0005-0000-0000-0000791E0000}"/>
    <cellStyle name="Normal 2 4 2 5 5 2 3" xfId="12290" xr:uid="{00000000-0005-0000-0000-00007A1E0000}"/>
    <cellStyle name="Normal 2 4 2 5 5 3" xfId="5927" xr:uid="{00000000-0005-0000-0000-00007B1E0000}"/>
    <cellStyle name="Normal 2 4 2 5 5 3 2" xfId="14363" xr:uid="{00000000-0005-0000-0000-00007C1E0000}"/>
    <cellStyle name="Normal 2 4 2 5 5 4" xfId="10145" xr:uid="{00000000-0005-0000-0000-00007D1E0000}"/>
    <cellStyle name="Normal 2 4 2 5 6" xfId="2033" xr:uid="{00000000-0005-0000-0000-00007E1E0000}"/>
    <cellStyle name="Normal 2 4 2 5 6 2" xfId="4262" xr:uid="{00000000-0005-0000-0000-00007F1E0000}"/>
    <cellStyle name="Normal 2 4 2 5 6 2 2" xfId="8485" xr:uid="{00000000-0005-0000-0000-0000801E0000}"/>
    <cellStyle name="Normal 2 4 2 5 6 2 2 2" xfId="16921" xr:uid="{00000000-0005-0000-0000-0000811E0000}"/>
    <cellStyle name="Normal 2 4 2 5 6 2 3" xfId="12703" xr:uid="{00000000-0005-0000-0000-0000821E0000}"/>
    <cellStyle name="Normal 2 4 2 5 6 3" xfId="6340" xr:uid="{00000000-0005-0000-0000-0000831E0000}"/>
    <cellStyle name="Normal 2 4 2 5 6 3 2" xfId="14776" xr:uid="{00000000-0005-0000-0000-0000841E0000}"/>
    <cellStyle name="Normal 2 4 2 5 6 4" xfId="10558" xr:uid="{00000000-0005-0000-0000-0000851E0000}"/>
    <cellStyle name="Normal 2 4 2 5 7" xfId="2469" xr:uid="{00000000-0005-0000-0000-0000861E0000}"/>
    <cellStyle name="Normal 2 4 2 5 7 2" xfId="6753" xr:uid="{00000000-0005-0000-0000-0000871E0000}"/>
    <cellStyle name="Normal 2 4 2 5 7 2 2" xfId="15189" xr:uid="{00000000-0005-0000-0000-0000881E0000}"/>
    <cellStyle name="Normal 2 4 2 5 7 3" xfId="10971" xr:uid="{00000000-0005-0000-0000-0000891E0000}"/>
    <cellStyle name="Normal 2 4 2 5 8" xfId="4687" xr:uid="{00000000-0005-0000-0000-00008A1E0000}"/>
    <cellStyle name="Normal 2 4 2 5 8 2" xfId="13123" xr:uid="{00000000-0005-0000-0000-00008B1E0000}"/>
    <cellStyle name="Normal 2 4 2 5 9" xfId="8905" xr:uid="{00000000-0005-0000-0000-00008C1E0000}"/>
    <cellStyle name="Normal 2 4 2 6" xfId="295" xr:uid="{00000000-0005-0000-0000-00008D1E0000}"/>
    <cellStyle name="Normal 2 4 2 6 2" xfId="786" xr:uid="{00000000-0005-0000-0000-00008E1E0000}"/>
    <cellStyle name="Normal 2 4 2 6 2 2" xfId="3025" xr:uid="{00000000-0005-0000-0000-00008F1E0000}"/>
    <cellStyle name="Normal 2 4 2 6 2 2 2" xfId="7248" xr:uid="{00000000-0005-0000-0000-0000901E0000}"/>
    <cellStyle name="Normal 2 4 2 6 2 2 2 2" xfId="15684" xr:uid="{00000000-0005-0000-0000-0000911E0000}"/>
    <cellStyle name="Normal 2 4 2 6 2 2 3" xfId="11466" xr:uid="{00000000-0005-0000-0000-0000921E0000}"/>
    <cellStyle name="Normal 2 4 2 6 2 3" xfId="5103" xr:uid="{00000000-0005-0000-0000-0000931E0000}"/>
    <cellStyle name="Normal 2 4 2 6 2 3 2" xfId="13539" xr:uid="{00000000-0005-0000-0000-0000941E0000}"/>
    <cellStyle name="Normal 2 4 2 6 2 4" xfId="9321" xr:uid="{00000000-0005-0000-0000-0000951E0000}"/>
    <cellStyle name="Normal 2 4 2 6 3" xfId="1208" xr:uid="{00000000-0005-0000-0000-0000961E0000}"/>
    <cellStyle name="Normal 2 4 2 6 3 2" xfId="3438" xr:uid="{00000000-0005-0000-0000-0000971E0000}"/>
    <cellStyle name="Normal 2 4 2 6 3 2 2" xfId="7661" xr:uid="{00000000-0005-0000-0000-0000981E0000}"/>
    <cellStyle name="Normal 2 4 2 6 3 2 2 2" xfId="16097" xr:uid="{00000000-0005-0000-0000-0000991E0000}"/>
    <cellStyle name="Normal 2 4 2 6 3 2 3" xfId="11879" xr:uid="{00000000-0005-0000-0000-00009A1E0000}"/>
    <cellStyle name="Normal 2 4 2 6 3 3" xfId="5516" xr:uid="{00000000-0005-0000-0000-00009B1E0000}"/>
    <cellStyle name="Normal 2 4 2 6 3 3 2" xfId="13952" xr:uid="{00000000-0005-0000-0000-00009C1E0000}"/>
    <cellStyle name="Normal 2 4 2 6 3 4" xfId="9734" xr:uid="{00000000-0005-0000-0000-00009D1E0000}"/>
    <cellStyle name="Normal 2 4 2 6 4" xfId="1621" xr:uid="{00000000-0005-0000-0000-00009E1E0000}"/>
    <cellStyle name="Normal 2 4 2 6 4 2" xfId="3851" xr:uid="{00000000-0005-0000-0000-00009F1E0000}"/>
    <cellStyle name="Normal 2 4 2 6 4 2 2" xfId="8074" xr:uid="{00000000-0005-0000-0000-0000A01E0000}"/>
    <cellStyle name="Normal 2 4 2 6 4 2 2 2" xfId="16510" xr:uid="{00000000-0005-0000-0000-0000A11E0000}"/>
    <cellStyle name="Normal 2 4 2 6 4 2 3" xfId="12292" xr:uid="{00000000-0005-0000-0000-0000A21E0000}"/>
    <cellStyle name="Normal 2 4 2 6 4 3" xfId="5929" xr:uid="{00000000-0005-0000-0000-0000A31E0000}"/>
    <cellStyle name="Normal 2 4 2 6 4 3 2" xfId="14365" xr:uid="{00000000-0005-0000-0000-0000A41E0000}"/>
    <cellStyle name="Normal 2 4 2 6 4 4" xfId="10147" xr:uid="{00000000-0005-0000-0000-0000A51E0000}"/>
    <cellStyle name="Normal 2 4 2 6 5" xfId="2035" xr:uid="{00000000-0005-0000-0000-0000A61E0000}"/>
    <cellStyle name="Normal 2 4 2 6 5 2" xfId="4264" xr:uid="{00000000-0005-0000-0000-0000A71E0000}"/>
    <cellStyle name="Normal 2 4 2 6 5 2 2" xfId="8487" xr:uid="{00000000-0005-0000-0000-0000A81E0000}"/>
    <cellStyle name="Normal 2 4 2 6 5 2 2 2" xfId="16923" xr:uid="{00000000-0005-0000-0000-0000A91E0000}"/>
    <cellStyle name="Normal 2 4 2 6 5 2 3" xfId="12705" xr:uid="{00000000-0005-0000-0000-0000AA1E0000}"/>
    <cellStyle name="Normal 2 4 2 6 5 3" xfId="6342" xr:uid="{00000000-0005-0000-0000-0000AB1E0000}"/>
    <cellStyle name="Normal 2 4 2 6 5 3 2" xfId="14778" xr:uid="{00000000-0005-0000-0000-0000AC1E0000}"/>
    <cellStyle name="Normal 2 4 2 6 5 4" xfId="10560" xr:uid="{00000000-0005-0000-0000-0000AD1E0000}"/>
    <cellStyle name="Normal 2 4 2 6 6" xfId="2471" xr:uid="{00000000-0005-0000-0000-0000AE1E0000}"/>
    <cellStyle name="Normal 2 4 2 6 6 2" xfId="6755" xr:uid="{00000000-0005-0000-0000-0000AF1E0000}"/>
    <cellStyle name="Normal 2 4 2 6 6 2 2" xfId="15191" xr:uid="{00000000-0005-0000-0000-0000B01E0000}"/>
    <cellStyle name="Normal 2 4 2 6 6 3" xfId="10973" xr:uid="{00000000-0005-0000-0000-0000B11E0000}"/>
    <cellStyle name="Normal 2 4 2 6 7" xfId="4689" xr:uid="{00000000-0005-0000-0000-0000B21E0000}"/>
    <cellStyle name="Normal 2 4 2 6 7 2" xfId="13125" xr:uid="{00000000-0005-0000-0000-0000B31E0000}"/>
    <cellStyle name="Normal 2 4 2 6 8" xfId="8907" xr:uid="{00000000-0005-0000-0000-0000B41E0000}"/>
    <cellStyle name="Normal 2 4 2 7" xfId="771" xr:uid="{00000000-0005-0000-0000-0000B51E0000}"/>
    <cellStyle name="Normal 2 4 2 7 2" xfId="3010" xr:uid="{00000000-0005-0000-0000-0000B61E0000}"/>
    <cellStyle name="Normal 2 4 2 7 2 2" xfId="7233" xr:uid="{00000000-0005-0000-0000-0000B71E0000}"/>
    <cellStyle name="Normal 2 4 2 7 2 2 2" xfId="15669" xr:uid="{00000000-0005-0000-0000-0000B81E0000}"/>
    <cellStyle name="Normal 2 4 2 7 2 3" xfId="11451" xr:uid="{00000000-0005-0000-0000-0000B91E0000}"/>
    <cellStyle name="Normal 2 4 2 7 3" xfId="5088" xr:uid="{00000000-0005-0000-0000-0000BA1E0000}"/>
    <cellStyle name="Normal 2 4 2 7 3 2" xfId="13524" xr:uid="{00000000-0005-0000-0000-0000BB1E0000}"/>
    <cellStyle name="Normal 2 4 2 7 4" xfId="9306" xr:uid="{00000000-0005-0000-0000-0000BC1E0000}"/>
    <cellStyle name="Normal 2 4 2 8" xfId="1193" xr:uid="{00000000-0005-0000-0000-0000BD1E0000}"/>
    <cellStyle name="Normal 2 4 2 8 2" xfId="3423" xr:uid="{00000000-0005-0000-0000-0000BE1E0000}"/>
    <cellStyle name="Normal 2 4 2 8 2 2" xfId="7646" xr:uid="{00000000-0005-0000-0000-0000BF1E0000}"/>
    <cellStyle name="Normal 2 4 2 8 2 2 2" xfId="16082" xr:uid="{00000000-0005-0000-0000-0000C01E0000}"/>
    <cellStyle name="Normal 2 4 2 8 2 3" xfId="11864" xr:uid="{00000000-0005-0000-0000-0000C11E0000}"/>
    <cellStyle name="Normal 2 4 2 8 3" xfId="5501" xr:uid="{00000000-0005-0000-0000-0000C21E0000}"/>
    <cellStyle name="Normal 2 4 2 8 3 2" xfId="13937" xr:uid="{00000000-0005-0000-0000-0000C31E0000}"/>
    <cellStyle name="Normal 2 4 2 8 4" xfId="9719" xr:uid="{00000000-0005-0000-0000-0000C41E0000}"/>
    <cellStyle name="Normal 2 4 2 9" xfId="1606" xr:uid="{00000000-0005-0000-0000-0000C51E0000}"/>
    <cellStyle name="Normal 2 4 2 9 2" xfId="3836" xr:uid="{00000000-0005-0000-0000-0000C61E0000}"/>
    <cellStyle name="Normal 2 4 2 9 2 2" xfId="8059" xr:uid="{00000000-0005-0000-0000-0000C71E0000}"/>
    <cellStyle name="Normal 2 4 2 9 2 2 2" xfId="16495" xr:uid="{00000000-0005-0000-0000-0000C81E0000}"/>
    <cellStyle name="Normal 2 4 2 9 2 3" xfId="12277" xr:uid="{00000000-0005-0000-0000-0000C91E0000}"/>
    <cellStyle name="Normal 2 4 2 9 3" xfId="5914" xr:uid="{00000000-0005-0000-0000-0000CA1E0000}"/>
    <cellStyle name="Normal 2 4 2 9 3 2" xfId="14350" xr:uid="{00000000-0005-0000-0000-0000CB1E0000}"/>
    <cellStyle name="Normal 2 4 2 9 4" xfId="10132" xr:uid="{00000000-0005-0000-0000-0000CC1E0000}"/>
    <cellStyle name="Normal 2 4 3" xfId="296" xr:uid="{00000000-0005-0000-0000-0000CD1E0000}"/>
    <cellStyle name="Normal 2 4 3 10" xfId="8908" xr:uid="{00000000-0005-0000-0000-0000CE1E0000}"/>
    <cellStyle name="Normal 2 4 3 2" xfId="297" xr:uid="{00000000-0005-0000-0000-0000CF1E0000}"/>
    <cellStyle name="Normal 2 4 3 3" xfId="298" xr:uid="{00000000-0005-0000-0000-0000D01E0000}"/>
    <cellStyle name="Normal 2 4 3 3 10" xfId="8909" xr:uid="{00000000-0005-0000-0000-0000D11E0000}"/>
    <cellStyle name="Normal 2 4 3 3 2" xfId="299" xr:uid="{00000000-0005-0000-0000-0000D21E0000}"/>
    <cellStyle name="Normal 2 4 3 3 2 2" xfId="300" xr:uid="{00000000-0005-0000-0000-0000D31E0000}"/>
    <cellStyle name="Normal 2 4 3 3 2 2 2" xfId="790" xr:uid="{00000000-0005-0000-0000-0000D41E0000}"/>
    <cellStyle name="Normal 2 4 3 3 2 2 2 2" xfId="3029" xr:uid="{00000000-0005-0000-0000-0000D51E0000}"/>
    <cellStyle name="Normal 2 4 3 3 2 2 2 2 2" xfId="7252" xr:uid="{00000000-0005-0000-0000-0000D61E0000}"/>
    <cellStyle name="Normal 2 4 3 3 2 2 2 2 2 2" xfId="15688" xr:uid="{00000000-0005-0000-0000-0000D71E0000}"/>
    <cellStyle name="Normal 2 4 3 3 2 2 2 2 3" xfId="11470" xr:uid="{00000000-0005-0000-0000-0000D81E0000}"/>
    <cellStyle name="Normal 2 4 3 3 2 2 2 3" xfId="5107" xr:uid="{00000000-0005-0000-0000-0000D91E0000}"/>
    <cellStyle name="Normal 2 4 3 3 2 2 2 3 2" xfId="13543" xr:uid="{00000000-0005-0000-0000-0000DA1E0000}"/>
    <cellStyle name="Normal 2 4 3 3 2 2 2 4" xfId="9325" xr:uid="{00000000-0005-0000-0000-0000DB1E0000}"/>
    <cellStyle name="Normal 2 4 3 3 2 2 3" xfId="1212" xr:uid="{00000000-0005-0000-0000-0000DC1E0000}"/>
    <cellStyle name="Normal 2 4 3 3 2 2 3 2" xfId="3442" xr:uid="{00000000-0005-0000-0000-0000DD1E0000}"/>
    <cellStyle name="Normal 2 4 3 3 2 2 3 2 2" xfId="7665" xr:uid="{00000000-0005-0000-0000-0000DE1E0000}"/>
    <cellStyle name="Normal 2 4 3 3 2 2 3 2 2 2" xfId="16101" xr:uid="{00000000-0005-0000-0000-0000DF1E0000}"/>
    <cellStyle name="Normal 2 4 3 3 2 2 3 2 3" xfId="11883" xr:uid="{00000000-0005-0000-0000-0000E01E0000}"/>
    <cellStyle name="Normal 2 4 3 3 2 2 3 3" xfId="5520" xr:uid="{00000000-0005-0000-0000-0000E11E0000}"/>
    <cellStyle name="Normal 2 4 3 3 2 2 3 3 2" xfId="13956" xr:uid="{00000000-0005-0000-0000-0000E21E0000}"/>
    <cellStyle name="Normal 2 4 3 3 2 2 3 4" xfId="9738" xr:uid="{00000000-0005-0000-0000-0000E31E0000}"/>
    <cellStyle name="Normal 2 4 3 3 2 2 4" xfId="1625" xr:uid="{00000000-0005-0000-0000-0000E41E0000}"/>
    <cellStyle name="Normal 2 4 3 3 2 2 4 2" xfId="3855" xr:uid="{00000000-0005-0000-0000-0000E51E0000}"/>
    <cellStyle name="Normal 2 4 3 3 2 2 4 2 2" xfId="8078" xr:uid="{00000000-0005-0000-0000-0000E61E0000}"/>
    <cellStyle name="Normal 2 4 3 3 2 2 4 2 2 2" xfId="16514" xr:uid="{00000000-0005-0000-0000-0000E71E0000}"/>
    <cellStyle name="Normal 2 4 3 3 2 2 4 2 3" xfId="12296" xr:uid="{00000000-0005-0000-0000-0000E81E0000}"/>
    <cellStyle name="Normal 2 4 3 3 2 2 4 3" xfId="5933" xr:uid="{00000000-0005-0000-0000-0000E91E0000}"/>
    <cellStyle name="Normal 2 4 3 3 2 2 4 3 2" xfId="14369" xr:uid="{00000000-0005-0000-0000-0000EA1E0000}"/>
    <cellStyle name="Normal 2 4 3 3 2 2 4 4" xfId="10151" xr:uid="{00000000-0005-0000-0000-0000EB1E0000}"/>
    <cellStyle name="Normal 2 4 3 3 2 2 5" xfId="2039" xr:uid="{00000000-0005-0000-0000-0000EC1E0000}"/>
    <cellStyle name="Normal 2 4 3 3 2 2 5 2" xfId="4268" xr:uid="{00000000-0005-0000-0000-0000ED1E0000}"/>
    <cellStyle name="Normal 2 4 3 3 2 2 5 2 2" xfId="8491" xr:uid="{00000000-0005-0000-0000-0000EE1E0000}"/>
    <cellStyle name="Normal 2 4 3 3 2 2 5 2 2 2" xfId="16927" xr:uid="{00000000-0005-0000-0000-0000EF1E0000}"/>
    <cellStyle name="Normal 2 4 3 3 2 2 5 2 3" xfId="12709" xr:uid="{00000000-0005-0000-0000-0000F01E0000}"/>
    <cellStyle name="Normal 2 4 3 3 2 2 5 3" xfId="6346" xr:uid="{00000000-0005-0000-0000-0000F11E0000}"/>
    <cellStyle name="Normal 2 4 3 3 2 2 5 3 2" xfId="14782" xr:uid="{00000000-0005-0000-0000-0000F21E0000}"/>
    <cellStyle name="Normal 2 4 3 3 2 2 5 4" xfId="10564" xr:uid="{00000000-0005-0000-0000-0000F31E0000}"/>
    <cellStyle name="Normal 2 4 3 3 2 2 6" xfId="2475" xr:uid="{00000000-0005-0000-0000-0000F41E0000}"/>
    <cellStyle name="Normal 2 4 3 3 2 2 6 2" xfId="6759" xr:uid="{00000000-0005-0000-0000-0000F51E0000}"/>
    <cellStyle name="Normal 2 4 3 3 2 2 6 2 2" xfId="15195" xr:uid="{00000000-0005-0000-0000-0000F61E0000}"/>
    <cellStyle name="Normal 2 4 3 3 2 2 6 3" xfId="10977" xr:uid="{00000000-0005-0000-0000-0000F71E0000}"/>
    <cellStyle name="Normal 2 4 3 3 2 2 7" xfId="4693" xr:uid="{00000000-0005-0000-0000-0000F81E0000}"/>
    <cellStyle name="Normal 2 4 3 3 2 2 7 2" xfId="13129" xr:uid="{00000000-0005-0000-0000-0000F91E0000}"/>
    <cellStyle name="Normal 2 4 3 3 2 2 8" xfId="8911" xr:uid="{00000000-0005-0000-0000-0000FA1E0000}"/>
    <cellStyle name="Normal 2 4 3 3 2 3" xfId="789" xr:uid="{00000000-0005-0000-0000-0000FB1E0000}"/>
    <cellStyle name="Normal 2 4 3 3 2 3 2" xfId="3028" xr:uid="{00000000-0005-0000-0000-0000FC1E0000}"/>
    <cellStyle name="Normal 2 4 3 3 2 3 2 2" xfId="7251" xr:uid="{00000000-0005-0000-0000-0000FD1E0000}"/>
    <cellStyle name="Normal 2 4 3 3 2 3 2 2 2" xfId="15687" xr:uid="{00000000-0005-0000-0000-0000FE1E0000}"/>
    <cellStyle name="Normal 2 4 3 3 2 3 2 3" xfId="11469" xr:uid="{00000000-0005-0000-0000-0000FF1E0000}"/>
    <cellStyle name="Normal 2 4 3 3 2 3 3" xfId="5106" xr:uid="{00000000-0005-0000-0000-0000001F0000}"/>
    <cellStyle name="Normal 2 4 3 3 2 3 3 2" xfId="13542" xr:uid="{00000000-0005-0000-0000-0000011F0000}"/>
    <cellStyle name="Normal 2 4 3 3 2 3 4" xfId="9324" xr:uid="{00000000-0005-0000-0000-0000021F0000}"/>
    <cellStyle name="Normal 2 4 3 3 2 4" xfId="1211" xr:uid="{00000000-0005-0000-0000-0000031F0000}"/>
    <cellStyle name="Normal 2 4 3 3 2 4 2" xfId="3441" xr:uid="{00000000-0005-0000-0000-0000041F0000}"/>
    <cellStyle name="Normal 2 4 3 3 2 4 2 2" xfId="7664" xr:uid="{00000000-0005-0000-0000-0000051F0000}"/>
    <cellStyle name="Normal 2 4 3 3 2 4 2 2 2" xfId="16100" xr:uid="{00000000-0005-0000-0000-0000061F0000}"/>
    <cellStyle name="Normal 2 4 3 3 2 4 2 3" xfId="11882" xr:uid="{00000000-0005-0000-0000-0000071F0000}"/>
    <cellStyle name="Normal 2 4 3 3 2 4 3" xfId="5519" xr:uid="{00000000-0005-0000-0000-0000081F0000}"/>
    <cellStyle name="Normal 2 4 3 3 2 4 3 2" xfId="13955" xr:uid="{00000000-0005-0000-0000-0000091F0000}"/>
    <cellStyle name="Normal 2 4 3 3 2 4 4" xfId="9737" xr:uid="{00000000-0005-0000-0000-00000A1F0000}"/>
    <cellStyle name="Normal 2 4 3 3 2 5" xfId="1624" xr:uid="{00000000-0005-0000-0000-00000B1F0000}"/>
    <cellStyle name="Normal 2 4 3 3 2 5 2" xfId="3854" xr:uid="{00000000-0005-0000-0000-00000C1F0000}"/>
    <cellStyle name="Normal 2 4 3 3 2 5 2 2" xfId="8077" xr:uid="{00000000-0005-0000-0000-00000D1F0000}"/>
    <cellStyle name="Normal 2 4 3 3 2 5 2 2 2" xfId="16513" xr:uid="{00000000-0005-0000-0000-00000E1F0000}"/>
    <cellStyle name="Normal 2 4 3 3 2 5 2 3" xfId="12295" xr:uid="{00000000-0005-0000-0000-00000F1F0000}"/>
    <cellStyle name="Normal 2 4 3 3 2 5 3" xfId="5932" xr:uid="{00000000-0005-0000-0000-0000101F0000}"/>
    <cellStyle name="Normal 2 4 3 3 2 5 3 2" xfId="14368" xr:uid="{00000000-0005-0000-0000-0000111F0000}"/>
    <cellStyle name="Normal 2 4 3 3 2 5 4" xfId="10150" xr:uid="{00000000-0005-0000-0000-0000121F0000}"/>
    <cellStyle name="Normal 2 4 3 3 2 6" xfId="2038" xr:uid="{00000000-0005-0000-0000-0000131F0000}"/>
    <cellStyle name="Normal 2 4 3 3 2 6 2" xfId="4267" xr:uid="{00000000-0005-0000-0000-0000141F0000}"/>
    <cellStyle name="Normal 2 4 3 3 2 6 2 2" xfId="8490" xr:uid="{00000000-0005-0000-0000-0000151F0000}"/>
    <cellStyle name="Normal 2 4 3 3 2 6 2 2 2" xfId="16926" xr:uid="{00000000-0005-0000-0000-0000161F0000}"/>
    <cellStyle name="Normal 2 4 3 3 2 6 2 3" xfId="12708" xr:uid="{00000000-0005-0000-0000-0000171F0000}"/>
    <cellStyle name="Normal 2 4 3 3 2 6 3" xfId="6345" xr:uid="{00000000-0005-0000-0000-0000181F0000}"/>
    <cellStyle name="Normal 2 4 3 3 2 6 3 2" xfId="14781" xr:uid="{00000000-0005-0000-0000-0000191F0000}"/>
    <cellStyle name="Normal 2 4 3 3 2 6 4" xfId="10563" xr:uid="{00000000-0005-0000-0000-00001A1F0000}"/>
    <cellStyle name="Normal 2 4 3 3 2 7" xfId="2474" xr:uid="{00000000-0005-0000-0000-00001B1F0000}"/>
    <cellStyle name="Normal 2 4 3 3 2 7 2" xfId="6758" xr:uid="{00000000-0005-0000-0000-00001C1F0000}"/>
    <cellStyle name="Normal 2 4 3 3 2 7 2 2" xfId="15194" xr:uid="{00000000-0005-0000-0000-00001D1F0000}"/>
    <cellStyle name="Normal 2 4 3 3 2 7 3" xfId="10976" xr:uid="{00000000-0005-0000-0000-00001E1F0000}"/>
    <cellStyle name="Normal 2 4 3 3 2 8" xfId="4692" xr:uid="{00000000-0005-0000-0000-00001F1F0000}"/>
    <cellStyle name="Normal 2 4 3 3 2 8 2" xfId="13128" xr:uid="{00000000-0005-0000-0000-0000201F0000}"/>
    <cellStyle name="Normal 2 4 3 3 2 9" xfId="8910" xr:uid="{00000000-0005-0000-0000-0000211F0000}"/>
    <cellStyle name="Normal 2 4 3 3 3" xfId="301" xr:uid="{00000000-0005-0000-0000-0000221F0000}"/>
    <cellStyle name="Normal 2 4 3 3 3 2" xfId="791" xr:uid="{00000000-0005-0000-0000-0000231F0000}"/>
    <cellStyle name="Normal 2 4 3 3 3 2 2" xfId="3030" xr:uid="{00000000-0005-0000-0000-0000241F0000}"/>
    <cellStyle name="Normal 2 4 3 3 3 2 2 2" xfId="7253" xr:uid="{00000000-0005-0000-0000-0000251F0000}"/>
    <cellStyle name="Normal 2 4 3 3 3 2 2 2 2" xfId="15689" xr:uid="{00000000-0005-0000-0000-0000261F0000}"/>
    <cellStyle name="Normal 2 4 3 3 3 2 2 3" xfId="11471" xr:uid="{00000000-0005-0000-0000-0000271F0000}"/>
    <cellStyle name="Normal 2 4 3 3 3 2 3" xfId="5108" xr:uid="{00000000-0005-0000-0000-0000281F0000}"/>
    <cellStyle name="Normal 2 4 3 3 3 2 3 2" xfId="13544" xr:uid="{00000000-0005-0000-0000-0000291F0000}"/>
    <cellStyle name="Normal 2 4 3 3 3 2 4" xfId="9326" xr:uid="{00000000-0005-0000-0000-00002A1F0000}"/>
    <cellStyle name="Normal 2 4 3 3 3 3" xfId="1213" xr:uid="{00000000-0005-0000-0000-00002B1F0000}"/>
    <cellStyle name="Normal 2 4 3 3 3 3 2" xfId="3443" xr:uid="{00000000-0005-0000-0000-00002C1F0000}"/>
    <cellStyle name="Normal 2 4 3 3 3 3 2 2" xfId="7666" xr:uid="{00000000-0005-0000-0000-00002D1F0000}"/>
    <cellStyle name="Normal 2 4 3 3 3 3 2 2 2" xfId="16102" xr:uid="{00000000-0005-0000-0000-00002E1F0000}"/>
    <cellStyle name="Normal 2 4 3 3 3 3 2 3" xfId="11884" xr:uid="{00000000-0005-0000-0000-00002F1F0000}"/>
    <cellStyle name="Normal 2 4 3 3 3 3 3" xfId="5521" xr:uid="{00000000-0005-0000-0000-0000301F0000}"/>
    <cellStyle name="Normal 2 4 3 3 3 3 3 2" xfId="13957" xr:uid="{00000000-0005-0000-0000-0000311F0000}"/>
    <cellStyle name="Normal 2 4 3 3 3 3 4" xfId="9739" xr:uid="{00000000-0005-0000-0000-0000321F0000}"/>
    <cellStyle name="Normal 2 4 3 3 3 4" xfId="1626" xr:uid="{00000000-0005-0000-0000-0000331F0000}"/>
    <cellStyle name="Normal 2 4 3 3 3 4 2" xfId="3856" xr:uid="{00000000-0005-0000-0000-0000341F0000}"/>
    <cellStyle name="Normal 2 4 3 3 3 4 2 2" xfId="8079" xr:uid="{00000000-0005-0000-0000-0000351F0000}"/>
    <cellStyle name="Normal 2 4 3 3 3 4 2 2 2" xfId="16515" xr:uid="{00000000-0005-0000-0000-0000361F0000}"/>
    <cellStyle name="Normal 2 4 3 3 3 4 2 3" xfId="12297" xr:uid="{00000000-0005-0000-0000-0000371F0000}"/>
    <cellStyle name="Normal 2 4 3 3 3 4 3" xfId="5934" xr:uid="{00000000-0005-0000-0000-0000381F0000}"/>
    <cellStyle name="Normal 2 4 3 3 3 4 3 2" xfId="14370" xr:uid="{00000000-0005-0000-0000-0000391F0000}"/>
    <cellStyle name="Normal 2 4 3 3 3 4 4" xfId="10152" xr:uid="{00000000-0005-0000-0000-00003A1F0000}"/>
    <cellStyle name="Normal 2 4 3 3 3 5" xfId="2040" xr:uid="{00000000-0005-0000-0000-00003B1F0000}"/>
    <cellStyle name="Normal 2 4 3 3 3 5 2" xfId="4269" xr:uid="{00000000-0005-0000-0000-00003C1F0000}"/>
    <cellStyle name="Normal 2 4 3 3 3 5 2 2" xfId="8492" xr:uid="{00000000-0005-0000-0000-00003D1F0000}"/>
    <cellStyle name="Normal 2 4 3 3 3 5 2 2 2" xfId="16928" xr:uid="{00000000-0005-0000-0000-00003E1F0000}"/>
    <cellStyle name="Normal 2 4 3 3 3 5 2 3" xfId="12710" xr:uid="{00000000-0005-0000-0000-00003F1F0000}"/>
    <cellStyle name="Normal 2 4 3 3 3 5 3" xfId="6347" xr:uid="{00000000-0005-0000-0000-0000401F0000}"/>
    <cellStyle name="Normal 2 4 3 3 3 5 3 2" xfId="14783" xr:uid="{00000000-0005-0000-0000-0000411F0000}"/>
    <cellStyle name="Normal 2 4 3 3 3 5 4" xfId="10565" xr:uid="{00000000-0005-0000-0000-0000421F0000}"/>
    <cellStyle name="Normal 2 4 3 3 3 6" xfId="2476" xr:uid="{00000000-0005-0000-0000-0000431F0000}"/>
    <cellStyle name="Normal 2 4 3 3 3 6 2" xfId="6760" xr:uid="{00000000-0005-0000-0000-0000441F0000}"/>
    <cellStyle name="Normal 2 4 3 3 3 6 2 2" xfId="15196" xr:uid="{00000000-0005-0000-0000-0000451F0000}"/>
    <cellStyle name="Normal 2 4 3 3 3 6 3" xfId="10978" xr:uid="{00000000-0005-0000-0000-0000461F0000}"/>
    <cellStyle name="Normal 2 4 3 3 3 7" xfId="4694" xr:uid="{00000000-0005-0000-0000-0000471F0000}"/>
    <cellStyle name="Normal 2 4 3 3 3 7 2" xfId="13130" xr:uid="{00000000-0005-0000-0000-0000481F0000}"/>
    <cellStyle name="Normal 2 4 3 3 3 8" xfId="8912" xr:uid="{00000000-0005-0000-0000-0000491F0000}"/>
    <cellStyle name="Normal 2 4 3 3 4" xfId="788" xr:uid="{00000000-0005-0000-0000-00004A1F0000}"/>
    <cellStyle name="Normal 2 4 3 3 4 2" xfId="3027" xr:uid="{00000000-0005-0000-0000-00004B1F0000}"/>
    <cellStyle name="Normal 2 4 3 3 4 2 2" xfId="7250" xr:uid="{00000000-0005-0000-0000-00004C1F0000}"/>
    <cellStyle name="Normal 2 4 3 3 4 2 2 2" xfId="15686" xr:uid="{00000000-0005-0000-0000-00004D1F0000}"/>
    <cellStyle name="Normal 2 4 3 3 4 2 3" xfId="11468" xr:uid="{00000000-0005-0000-0000-00004E1F0000}"/>
    <cellStyle name="Normal 2 4 3 3 4 3" xfId="5105" xr:uid="{00000000-0005-0000-0000-00004F1F0000}"/>
    <cellStyle name="Normal 2 4 3 3 4 3 2" xfId="13541" xr:uid="{00000000-0005-0000-0000-0000501F0000}"/>
    <cellStyle name="Normal 2 4 3 3 4 4" xfId="9323" xr:uid="{00000000-0005-0000-0000-0000511F0000}"/>
    <cellStyle name="Normal 2 4 3 3 5" xfId="1210" xr:uid="{00000000-0005-0000-0000-0000521F0000}"/>
    <cellStyle name="Normal 2 4 3 3 5 2" xfId="3440" xr:uid="{00000000-0005-0000-0000-0000531F0000}"/>
    <cellStyle name="Normal 2 4 3 3 5 2 2" xfId="7663" xr:uid="{00000000-0005-0000-0000-0000541F0000}"/>
    <cellStyle name="Normal 2 4 3 3 5 2 2 2" xfId="16099" xr:uid="{00000000-0005-0000-0000-0000551F0000}"/>
    <cellStyle name="Normal 2 4 3 3 5 2 3" xfId="11881" xr:uid="{00000000-0005-0000-0000-0000561F0000}"/>
    <cellStyle name="Normal 2 4 3 3 5 3" xfId="5518" xr:uid="{00000000-0005-0000-0000-0000571F0000}"/>
    <cellStyle name="Normal 2 4 3 3 5 3 2" xfId="13954" xr:uid="{00000000-0005-0000-0000-0000581F0000}"/>
    <cellStyle name="Normal 2 4 3 3 5 4" xfId="9736" xr:uid="{00000000-0005-0000-0000-0000591F0000}"/>
    <cellStyle name="Normal 2 4 3 3 6" xfId="1623" xr:uid="{00000000-0005-0000-0000-00005A1F0000}"/>
    <cellStyle name="Normal 2 4 3 3 6 2" xfId="3853" xr:uid="{00000000-0005-0000-0000-00005B1F0000}"/>
    <cellStyle name="Normal 2 4 3 3 6 2 2" xfId="8076" xr:uid="{00000000-0005-0000-0000-00005C1F0000}"/>
    <cellStyle name="Normal 2 4 3 3 6 2 2 2" xfId="16512" xr:uid="{00000000-0005-0000-0000-00005D1F0000}"/>
    <cellStyle name="Normal 2 4 3 3 6 2 3" xfId="12294" xr:uid="{00000000-0005-0000-0000-00005E1F0000}"/>
    <cellStyle name="Normal 2 4 3 3 6 3" xfId="5931" xr:uid="{00000000-0005-0000-0000-00005F1F0000}"/>
    <cellStyle name="Normal 2 4 3 3 6 3 2" xfId="14367" xr:uid="{00000000-0005-0000-0000-0000601F0000}"/>
    <cellStyle name="Normal 2 4 3 3 6 4" xfId="10149" xr:uid="{00000000-0005-0000-0000-0000611F0000}"/>
    <cellStyle name="Normal 2 4 3 3 7" xfId="2037" xr:uid="{00000000-0005-0000-0000-0000621F0000}"/>
    <cellStyle name="Normal 2 4 3 3 7 2" xfId="4266" xr:uid="{00000000-0005-0000-0000-0000631F0000}"/>
    <cellStyle name="Normal 2 4 3 3 7 2 2" xfId="8489" xr:uid="{00000000-0005-0000-0000-0000641F0000}"/>
    <cellStyle name="Normal 2 4 3 3 7 2 2 2" xfId="16925" xr:uid="{00000000-0005-0000-0000-0000651F0000}"/>
    <cellStyle name="Normal 2 4 3 3 7 2 3" xfId="12707" xr:uid="{00000000-0005-0000-0000-0000661F0000}"/>
    <cellStyle name="Normal 2 4 3 3 7 3" xfId="6344" xr:uid="{00000000-0005-0000-0000-0000671F0000}"/>
    <cellStyle name="Normal 2 4 3 3 7 3 2" xfId="14780" xr:uid="{00000000-0005-0000-0000-0000681F0000}"/>
    <cellStyle name="Normal 2 4 3 3 7 4" xfId="10562" xr:uid="{00000000-0005-0000-0000-0000691F0000}"/>
    <cellStyle name="Normal 2 4 3 3 8" xfId="2473" xr:uid="{00000000-0005-0000-0000-00006A1F0000}"/>
    <cellStyle name="Normal 2 4 3 3 8 2" xfId="6757" xr:uid="{00000000-0005-0000-0000-00006B1F0000}"/>
    <cellStyle name="Normal 2 4 3 3 8 2 2" xfId="15193" xr:uid="{00000000-0005-0000-0000-00006C1F0000}"/>
    <cellStyle name="Normal 2 4 3 3 8 3" xfId="10975" xr:uid="{00000000-0005-0000-0000-00006D1F0000}"/>
    <cellStyle name="Normal 2 4 3 3 9" xfId="4691" xr:uid="{00000000-0005-0000-0000-00006E1F0000}"/>
    <cellStyle name="Normal 2 4 3 3 9 2" xfId="13127" xr:uid="{00000000-0005-0000-0000-00006F1F0000}"/>
    <cellStyle name="Normal 2 4 3 4" xfId="787" xr:uid="{00000000-0005-0000-0000-0000701F0000}"/>
    <cellStyle name="Normal 2 4 3 4 2" xfId="3026" xr:uid="{00000000-0005-0000-0000-0000711F0000}"/>
    <cellStyle name="Normal 2 4 3 4 2 2" xfId="7249" xr:uid="{00000000-0005-0000-0000-0000721F0000}"/>
    <cellStyle name="Normal 2 4 3 4 2 2 2" xfId="15685" xr:uid="{00000000-0005-0000-0000-0000731F0000}"/>
    <cellStyle name="Normal 2 4 3 4 2 3" xfId="11467" xr:uid="{00000000-0005-0000-0000-0000741F0000}"/>
    <cellStyle name="Normal 2 4 3 4 3" xfId="5104" xr:uid="{00000000-0005-0000-0000-0000751F0000}"/>
    <cellStyle name="Normal 2 4 3 4 3 2" xfId="13540" xr:uid="{00000000-0005-0000-0000-0000761F0000}"/>
    <cellStyle name="Normal 2 4 3 4 4" xfId="9322" xr:uid="{00000000-0005-0000-0000-0000771F0000}"/>
    <cellStyle name="Normal 2 4 3 5" xfId="1209" xr:uid="{00000000-0005-0000-0000-0000781F0000}"/>
    <cellStyle name="Normal 2 4 3 5 2" xfId="3439" xr:uid="{00000000-0005-0000-0000-0000791F0000}"/>
    <cellStyle name="Normal 2 4 3 5 2 2" xfId="7662" xr:uid="{00000000-0005-0000-0000-00007A1F0000}"/>
    <cellStyle name="Normal 2 4 3 5 2 2 2" xfId="16098" xr:uid="{00000000-0005-0000-0000-00007B1F0000}"/>
    <cellStyle name="Normal 2 4 3 5 2 3" xfId="11880" xr:uid="{00000000-0005-0000-0000-00007C1F0000}"/>
    <cellStyle name="Normal 2 4 3 5 3" xfId="5517" xr:uid="{00000000-0005-0000-0000-00007D1F0000}"/>
    <cellStyle name="Normal 2 4 3 5 3 2" xfId="13953" xr:uid="{00000000-0005-0000-0000-00007E1F0000}"/>
    <cellStyle name="Normal 2 4 3 5 4" xfId="9735" xr:uid="{00000000-0005-0000-0000-00007F1F0000}"/>
    <cellStyle name="Normal 2 4 3 6" xfId="1622" xr:uid="{00000000-0005-0000-0000-0000801F0000}"/>
    <cellStyle name="Normal 2 4 3 6 2" xfId="3852" xr:uid="{00000000-0005-0000-0000-0000811F0000}"/>
    <cellStyle name="Normal 2 4 3 6 2 2" xfId="8075" xr:uid="{00000000-0005-0000-0000-0000821F0000}"/>
    <cellStyle name="Normal 2 4 3 6 2 2 2" xfId="16511" xr:uid="{00000000-0005-0000-0000-0000831F0000}"/>
    <cellStyle name="Normal 2 4 3 6 2 3" xfId="12293" xr:uid="{00000000-0005-0000-0000-0000841F0000}"/>
    <cellStyle name="Normal 2 4 3 6 3" xfId="5930" xr:uid="{00000000-0005-0000-0000-0000851F0000}"/>
    <cellStyle name="Normal 2 4 3 6 3 2" xfId="14366" xr:uid="{00000000-0005-0000-0000-0000861F0000}"/>
    <cellStyle name="Normal 2 4 3 6 4" xfId="10148" xr:uid="{00000000-0005-0000-0000-0000871F0000}"/>
    <cellStyle name="Normal 2 4 3 7" xfId="2036" xr:uid="{00000000-0005-0000-0000-0000881F0000}"/>
    <cellStyle name="Normal 2 4 3 7 2" xfId="4265" xr:uid="{00000000-0005-0000-0000-0000891F0000}"/>
    <cellStyle name="Normal 2 4 3 7 2 2" xfId="8488" xr:uid="{00000000-0005-0000-0000-00008A1F0000}"/>
    <cellStyle name="Normal 2 4 3 7 2 2 2" xfId="16924" xr:uid="{00000000-0005-0000-0000-00008B1F0000}"/>
    <cellStyle name="Normal 2 4 3 7 2 3" xfId="12706" xr:uid="{00000000-0005-0000-0000-00008C1F0000}"/>
    <cellStyle name="Normal 2 4 3 7 3" xfId="6343" xr:uid="{00000000-0005-0000-0000-00008D1F0000}"/>
    <cellStyle name="Normal 2 4 3 7 3 2" xfId="14779" xr:uid="{00000000-0005-0000-0000-00008E1F0000}"/>
    <cellStyle name="Normal 2 4 3 7 4" xfId="10561" xr:uid="{00000000-0005-0000-0000-00008F1F0000}"/>
    <cellStyle name="Normal 2 4 3 8" xfId="2472" xr:uid="{00000000-0005-0000-0000-0000901F0000}"/>
    <cellStyle name="Normal 2 4 3 8 2" xfId="6756" xr:uid="{00000000-0005-0000-0000-0000911F0000}"/>
    <cellStyle name="Normal 2 4 3 8 2 2" xfId="15192" xr:uid="{00000000-0005-0000-0000-0000921F0000}"/>
    <cellStyle name="Normal 2 4 3 8 3" xfId="10974" xr:uid="{00000000-0005-0000-0000-0000931F0000}"/>
    <cellStyle name="Normal 2 4 3 9" xfId="4690" xr:uid="{00000000-0005-0000-0000-0000941F0000}"/>
    <cellStyle name="Normal 2 4 3 9 2" xfId="13126" xr:uid="{00000000-0005-0000-0000-0000951F0000}"/>
    <cellStyle name="Normal 2 4 4" xfId="302" xr:uid="{00000000-0005-0000-0000-0000961F0000}"/>
    <cellStyle name="Normal 2 4 5" xfId="303" xr:uid="{00000000-0005-0000-0000-0000971F0000}"/>
    <cellStyle name="Normal 2 4 5 10" xfId="4695" xr:uid="{00000000-0005-0000-0000-0000981F0000}"/>
    <cellStyle name="Normal 2 4 5 10 2" xfId="13131" xr:uid="{00000000-0005-0000-0000-0000991F0000}"/>
    <cellStyle name="Normal 2 4 5 11" xfId="8913" xr:uid="{00000000-0005-0000-0000-00009A1F0000}"/>
    <cellStyle name="Normal 2 4 5 2" xfId="304" xr:uid="{00000000-0005-0000-0000-00009B1F0000}"/>
    <cellStyle name="Normal 2 4 5 2 10" xfId="8914" xr:uid="{00000000-0005-0000-0000-00009C1F0000}"/>
    <cellStyle name="Normal 2 4 5 2 2" xfId="305" xr:uid="{00000000-0005-0000-0000-00009D1F0000}"/>
    <cellStyle name="Normal 2 4 5 2 2 2" xfId="306" xr:uid="{00000000-0005-0000-0000-00009E1F0000}"/>
    <cellStyle name="Normal 2 4 5 2 2 2 2" xfId="795" xr:uid="{00000000-0005-0000-0000-00009F1F0000}"/>
    <cellStyle name="Normal 2 4 5 2 2 2 2 2" xfId="3034" xr:uid="{00000000-0005-0000-0000-0000A01F0000}"/>
    <cellStyle name="Normal 2 4 5 2 2 2 2 2 2" xfId="7257" xr:uid="{00000000-0005-0000-0000-0000A11F0000}"/>
    <cellStyle name="Normal 2 4 5 2 2 2 2 2 2 2" xfId="15693" xr:uid="{00000000-0005-0000-0000-0000A21F0000}"/>
    <cellStyle name="Normal 2 4 5 2 2 2 2 2 3" xfId="11475" xr:uid="{00000000-0005-0000-0000-0000A31F0000}"/>
    <cellStyle name="Normal 2 4 5 2 2 2 2 3" xfId="5112" xr:uid="{00000000-0005-0000-0000-0000A41F0000}"/>
    <cellStyle name="Normal 2 4 5 2 2 2 2 3 2" xfId="13548" xr:uid="{00000000-0005-0000-0000-0000A51F0000}"/>
    <cellStyle name="Normal 2 4 5 2 2 2 2 4" xfId="9330" xr:uid="{00000000-0005-0000-0000-0000A61F0000}"/>
    <cellStyle name="Normal 2 4 5 2 2 2 3" xfId="1217" xr:uid="{00000000-0005-0000-0000-0000A71F0000}"/>
    <cellStyle name="Normal 2 4 5 2 2 2 3 2" xfId="3447" xr:uid="{00000000-0005-0000-0000-0000A81F0000}"/>
    <cellStyle name="Normal 2 4 5 2 2 2 3 2 2" xfId="7670" xr:uid="{00000000-0005-0000-0000-0000A91F0000}"/>
    <cellStyle name="Normal 2 4 5 2 2 2 3 2 2 2" xfId="16106" xr:uid="{00000000-0005-0000-0000-0000AA1F0000}"/>
    <cellStyle name="Normal 2 4 5 2 2 2 3 2 3" xfId="11888" xr:uid="{00000000-0005-0000-0000-0000AB1F0000}"/>
    <cellStyle name="Normal 2 4 5 2 2 2 3 3" xfId="5525" xr:uid="{00000000-0005-0000-0000-0000AC1F0000}"/>
    <cellStyle name="Normal 2 4 5 2 2 2 3 3 2" xfId="13961" xr:uid="{00000000-0005-0000-0000-0000AD1F0000}"/>
    <cellStyle name="Normal 2 4 5 2 2 2 3 4" xfId="9743" xr:uid="{00000000-0005-0000-0000-0000AE1F0000}"/>
    <cellStyle name="Normal 2 4 5 2 2 2 4" xfId="1630" xr:uid="{00000000-0005-0000-0000-0000AF1F0000}"/>
    <cellStyle name="Normal 2 4 5 2 2 2 4 2" xfId="3860" xr:uid="{00000000-0005-0000-0000-0000B01F0000}"/>
    <cellStyle name="Normal 2 4 5 2 2 2 4 2 2" xfId="8083" xr:uid="{00000000-0005-0000-0000-0000B11F0000}"/>
    <cellStyle name="Normal 2 4 5 2 2 2 4 2 2 2" xfId="16519" xr:uid="{00000000-0005-0000-0000-0000B21F0000}"/>
    <cellStyle name="Normal 2 4 5 2 2 2 4 2 3" xfId="12301" xr:uid="{00000000-0005-0000-0000-0000B31F0000}"/>
    <cellStyle name="Normal 2 4 5 2 2 2 4 3" xfId="5938" xr:uid="{00000000-0005-0000-0000-0000B41F0000}"/>
    <cellStyle name="Normal 2 4 5 2 2 2 4 3 2" xfId="14374" xr:uid="{00000000-0005-0000-0000-0000B51F0000}"/>
    <cellStyle name="Normal 2 4 5 2 2 2 4 4" xfId="10156" xr:uid="{00000000-0005-0000-0000-0000B61F0000}"/>
    <cellStyle name="Normal 2 4 5 2 2 2 5" xfId="2044" xr:uid="{00000000-0005-0000-0000-0000B71F0000}"/>
    <cellStyle name="Normal 2 4 5 2 2 2 5 2" xfId="4273" xr:uid="{00000000-0005-0000-0000-0000B81F0000}"/>
    <cellStyle name="Normal 2 4 5 2 2 2 5 2 2" xfId="8496" xr:uid="{00000000-0005-0000-0000-0000B91F0000}"/>
    <cellStyle name="Normal 2 4 5 2 2 2 5 2 2 2" xfId="16932" xr:uid="{00000000-0005-0000-0000-0000BA1F0000}"/>
    <cellStyle name="Normal 2 4 5 2 2 2 5 2 3" xfId="12714" xr:uid="{00000000-0005-0000-0000-0000BB1F0000}"/>
    <cellStyle name="Normal 2 4 5 2 2 2 5 3" xfId="6351" xr:uid="{00000000-0005-0000-0000-0000BC1F0000}"/>
    <cellStyle name="Normal 2 4 5 2 2 2 5 3 2" xfId="14787" xr:uid="{00000000-0005-0000-0000-0000BD1F0000}"/>
    <cellStyle name="Normal 2 4 5 2 2 2 5 4" xfId="10569" xr:uid="{00000000-0005-0000-0000-0000BE1F0000}"/>
    <cellStyle name="Normal 2 4 5 2 2 2 6" xfId="2480" xr:uid="{00000000-0005-0000-0000-0000BF1F0000}"/>
    <cellStyle name="Normal 2 4 5 2 2 2 6 2" xfId="6764" xr:uid="{00000000-0005-0000-0000-0000C01F0000}"/>
    <cellStyle name="Normal 2 4 5 2 2 2 6 2 2" xfId="15200" xr:uid="{00000000-0005-0000-0000-0000C11F0000}"/>
    <cellStyle name="Normal 2 4 5 2 2 2 6 3" xfId="10982" xr:uid="{00000000-0005-0000-0000-0000C21F0000}"/>
    <cellStyle name="Normal 2 4 5 2 2 2 7" xfId="4698" xr:uid="{00000000-0005-0000-0000-0000C31F0000}"/>
    <cellStyle name="Normal 2 4 5 2 2 2 7 2" xfId="13134" xr:uid="{00000000-0005-0000-0000-0000C41F0000}"/>
    <cellStyle name="Normal 2 4 5 2 2 2 8" xfId="8916" xr:uid="{00000000-0005-0000-0000-0000C51F0000}"/>
    <cellStyle name="Normal 2 4 5 2 2 3" xfId="794" xr:uid="{00000000-0005-0000-0000-0000C61F0000}"/>
    <cellStyle name="Normal 2 4 5 2 2 3 2" xfId="3033" xr:uid="{00000000-0005-0000-0000-0000C71F0000}"/>
    <cellStyle name="Normal 2 4 5 2 2 3 2 2" xfId="7256" xr:uid="{00000000-0005-0000-0000-0000C81F0000}"/>
    <cellStyle name="Normal 2 4 5 2 2 3 2 2 2" xfId="15692" xr:uid="{00000000-0005-0000-0000-0000C91F0000}"/>
    <cellStyle name="Normal 2 4 5 2 2 3 2 3" xfId="11474" xr:uid="{00000000-0005-0000-0000-0000CA1F0000}"/>
    <cellStyle name="Normal 2 4 5 2 2 3 3" xfId="5111" xr:uid="{00000000-0005-0000-0000-0000CB1F0000}"/>
    <cellStyle name="Normal 2 4 5 2 2 3 3 2" xfId="13547" xr:uid="{00000000-0005-0000-0000-0000CC1F0000}"/>
    <cellStyle name="Normal 2 4 5 2 2 3 4" xfId="9329" xr:uid="{00000000-0005-0000-0000-0000CD1F0000}"/>
    <cellStyle name="Normal 2 4 5 2 2 4" xfId="1216" xr:uid="{00000000-0005-0000-0000-0000CE1F0000}"/>
    <cellStyle name="Normal 2 4 5 2 2 4 2" xfId="3446" xr:uid="{00000000-0005-0000-0000-0000CF1F0000}"/>
    <cellStyle name="Normal 2 4 5 2 2 4 2 2" xfId="7669" xr:uid="{00000000-0005-0000-0000-0000D01F0000}"/>
    <cellStyle name="Normal 2 4 5 2 2 4 2 2 2" xfId="16105" xr:uid="{00000000-0005-0000-0000-0000D11F0000}"/>
    <cellStyle name="Normal 2 4 5 2 2 4 2 3" xfId="11887" xr:uid="{00000000-0005-0000-0000-0000D21F0000}"/>
    <cellStyle name="Normal 2 4 5 2 2 4 3" xfId="5524" xr:uid="{00000000-0005-0000-0000-0000D31F0000}"/>
    <cellStyle name="Normal 2 4 5 2 2 4 3 2" xfId="13960" xr:uid="{00000000-0005-0000-0000-0000D41F0000}"/>
    <cellStyle name="Normal 2 4 5 2 2 4 4" xfId="9742" xr:uid="{00000000-0005-0000-0000-0000D51F0000}"/>
    <cellStyle name="Normal 2 4 5 2 2 5" xfId="1629" xr:uid="{00000000-0005-0000-0000-0000D61F0000}"/>
    <cellStyle name="Normal 2 4 5 2 2 5 2" xfId="3859" xr:uid="{00000000-0005-0000-0000-0000D71F0000}"/>
    <cellStyle name="Normal 2 4 5 2 2 5 2 2" xfId="8082" xr:uid="{00000000-0005-0000-0000-0000D81F0000}"/>
    <cellStyle name="Normal 2 4 5 2 2 5 2 2 2" xfId="16518" xr:uid="{00000000-0005-0000-0000-0000D91F0000}"/>
    <cellStyle name="Normal 2 4 5 2 2 5 2 3" xfId="12300" xr:uid="{00000000-0005-0000-0000-0000DA1F0000}"/>
    <cellStyle name="Normal 2 4 5 2 2 5 3" xfId="5937" xr:uid="{00000000-0005-0000-0000-0000DB1F0000}"/>
    <cellStyle name="Normal 2 4 5 2 2 5 3 2" xfId="14373" xr:uid="{00000000-0005-0000-0000-0000DC1F0000}"/>
    <cellStyle name="Normal 2 4 5 2 2 5 4" xfId="10155" xr:uid="{00000000-0005-0000-0000-0000DD1F0000}"/>
    <cellStyle name="Normal 2 4 5 2 2 6" xfId="2043" xr:uid="{00000000-0005-0000-0000-0000DE1F0000}"/>
    <cellStyle name="Normal 2 4 5 2 2 6 2" xfId="4272" xr:uid="{00000000-0005-0000-0000-0000DF1F0000}"/>
    <cellStyle name="Normal 2 4 5 2 2 6 2 2" xfId="8495" xr:uid="{00000000-0005-0000-0000-0000E01F0000}"/>
    <cellStyle name="Normal 2 4 5 2 2 6 2 2 2" xfId="16931" xr:uid="{00000000-0005-0000-0000-0000E11F0000}"/>
    <cellStyle name="Normal 2 4 5 2 2 6 2 3" xfId="12713" xr:uid="{00000000-0005-0000-0000-0000E21F0000}"/>
    <cellStyle name="Normal 2 4 5 2 2 6 3" xfId="6350" xr:uid="{00000000-0005-0000-0000-0000E31F0000}"/>
    <cellStyle name="Normal 2 4 5 2 2 6 3 2" xfId="14786" xr:uid="{00000000-0005-0000-0000-0000E41F0000}"/>
    <cellStyle name="Normal 2 4 5 2 2 6 4" xfId="10568" xr:uid="{00000000-0005-0000-0000-0000E51F0000}"/>
    <cellStyle name="Normal 2 4 5 2 2 7" xfId="2479" xr:uid="{00000000-0005-0000-0000-0000E61F0000}"/>
    <cellStyle name="Normal 2 4 5 2 2 7 2" xfId="6763" xr:uid="{00000000-0005-0000-0000-0000E71F0000}"/>
    <cellStyle name="Normal 2 4 5 2 2 7 2 2" xfId="15199" xr:uid="{00000000-0005-0000-0000-0000E81F0000}"/>
    <cellStyle name="Normal 2 4 5 2 2 7 3" xfId="10981" xr:uid="{00000000-0005-0000-0000-0000E91F0000}"/>
    <cellStyle name="Normal 2 4 5 2 2 8" xfId="4697" xr:uid="{00000000-0005-0000-0000-0000EA1F0000}"/>
    <cellStyle name="Normal 2 4 5 2 2 8 2" xfId="13133" xr:uid="{00000000-0005-0000-0000-0000EB1F0000}"/>
    <cellStyle name="Normal 2 4 5 2 2 9" xfId="8915" xr:uid="{00000000-0005-0000-0000-0000EC1F0000}"/>
    <cellStyle name="Normal 2 4 5 2 3" xfId="307" xr:uid="{00000000-0005-0000-0000-0000ED1F0000}"/>
    <cellStyle name="Normal 2 4 5 2 3 2" xfId="796" xr:uid="{00000000-0005-0000-0000-0000EE1F0000}"/>
    <cellStyle name="Normal 2 4 5 2 3 2 2" xfId="3035" xr:uid="{00000000-0005-0000-0000-0000EF1F0000}"/>
    <cellStyle name="Normal 2 4 5 2 3 2 2 2" xfId="7258" xr:uid="{00000000-0005-0000-0000-0000F01F0000}"/>
    <cellStyle name="Normal 2 4 5 2 3 2 2 2 2" xfId="15694" xr:uid="{00000000-0005-0000-0000-0000F11F0000}"/>
    <cellStyle name="Normal 2 4 5 2 3 2 2 3" xfId="11476" xr:uid="{00000000-0005-0000-0000-0000F21F0000}"/>
    <cellStyle name="Normal 2 4 5 2 3 2 3" xfId="5113" xr:uid="{00000000-0005-0000-0000-0000F31F0000}"/>
    <cellStyle name="Normal 2 4 5 2 3 2 3 2" xfId="13549" xr:uid="{00000000-0005-0000-0000-0000F41F0000}"/>
    <cellStyle name="Normal 2 4 5 2 3 2 4" xfId="9331" xr:uid="{00000000-0005-0000-0000-0000F51F0000}"/>
    <cellStyle name="Normal 2 4 5 2 3 3" xfId="1218" xr:uid="{00000000-0005-0000-0000-0000F61F0000}"/>
    <cellStyle name="Normal 2 4 5 2 3 3 2" xfId="3448" xr:uid="{00000000-0005-0000-0000-0000F71F0000}"/>
    <cellStyle name="Normal 2 4 5 2 3 3 2 2" xfId="7671" xr:uid="{00000000-0005-0000-0000-0000F81F0000}"/>
    <cellStyle name="Normal 2 4 5 2 3 3 2 2 2" xfId="16107" xr:uid="{00000000-0005-0000-0000-0000F91F0000}"/>
    <cellStyle name="Normal 2 4 5 2 3 3 2 3" xfId="11889" xr:uid="{00000000-0005-0000-0000-0000FA1F0000}"/>
    <cellStyle name="Normal 2 4 5 2 3 3 3" xfId="5526" xr:uid="{00000000-0005-0000-0000-0000FB1F0000}"/>
    <cellStyle name="Normal 2 4 5 2 3 3 3 2" xfId="13962" xr:uid="{00000000-0005-0000-0000-0000FC1F0000}"/>
    <cellStyle name="Normal 2 4 5 2 3 3 4" xfId="9744" xr:uid="{00000000-0005-0000-0000-0000FD1F0000}"/>
    <cellStyle name="Normal 2 4 5 2 3 4" xfId="1631" xr:uid="{00000000-0005-0000-0000-0000FE1F0000}"/>
    <cellStyle name="Normal 2 4 5 2 3 4 2" xfId="3861" xr:uid="{00000000-0005-0000-0000-0000FF1F0000}"/>
    <cellStyle name="Normal 2 4 5 2 3 4 2 2" xfId="8084" xr:uid="{00000000-0005-0000-0000-000000200000}"/>
    <cellStyle name="Normal 2 4 5 2 3 4 2 2 2" xfId="16520" xr:uid="{00000000-0005-0000-0000-000001200000}"/>
    <cellStyle name="Normal 2 4 5 2 3 4 2 3" xfId="12302" xr:uid="{00000000-0005-0000-0000-000002200000}"/>
    <cellStyle name="Normal 2 4 5 2 3 4 3" xfId="5939" xr:uid="{00000000-0005-0000-0000-000003200000}"/>
    <cellStyle name="Normal 2 4 5 2 3 4 3 2" xfId="14375" xr:uid="{00000000-0005-0000-0000-000004200000}"/>
    <cellStyle name="Normal 2 4 5 2 3 4 4" xfId="10157" xr:uid="{00000000-0005-0000-0000-000005200000}"/>
    <cellStyle name="Normal 2 4 5 2 3 5" xfId="2045" xr:uid="{00000000-0005-0000-0000-000006200000}"/>
    <cellStyle name="Normal 2 4 5 2 3 5 2" xfId="4274" xr:uid="{00000000-0005-0000-0000-000007200000}"/>
    <cellStyle name="Normal 2 4 5 2 3 5 2 2" xfId="8497" xr:uid="{00000000-0005-0000-0000-000008200000}"/>
    <cellStyle name="Normal 2 4 5 2 3 5 2 2 2" xfId="16933" xr:uid="{00000000-0005-0000-0000-000009200000}"/>
    <cellStyle name="Normal 2 4 5 2 3 5 2 3" xfId="12715" xr:uid="{00000000-0005-0000-0000-00000A200000}"/>
    <cellStyle name="Normal 2 4 5 2 3 5 3" xfId="6352" xr:uid="{00000000-0005-0000-0000-00000B200000}"/>
    <cellStyle name="Normal 2 4 5 2 3 5 3 2" xfId="14788" xr:uid="{00000000-0005-0000-0000-00000C200000}"/>
    <cellStyle name="Normal 2 4 5 2 3 5 4" xfId="10570" xr:uid="{00000000-0005-0000-0000-00000D200000}"/>
    <cellStyle name="Normal 2 4 5 2 3 6" xfId="2481" xr:uid="{00000000-0005-0000-0000-00000E200000}"/>
    <cellStyle name="Normal 2 4 5 2 3 6 2" xfId="6765" xr:uid="{00000000-0005-0000-0000-00000F200000}"/>
    <cellStyle name="Normal 2 4 5 2 3 6 2 2" xfId="15201" xr:uid="{00000000-0005-0000-0000-000010200000}"/>
    <cellStyle name="Normal 2 4 5 2 3 6 3" xfId="10983" xr:uid="{00000000-0005-0000-0000-000011200000}"/>
    <cellStyle name="Normal 2 4 5 2 3 7" xfId="4699" xr:uid="{00000000-0005-0000-0000-000012200000}"/>
    <cellStyle name="Normal 2 4 5 2 3 7 2" xfId="13135" xr:uid="{00000000-0005-0000-0000-000013200000}"/>
    <cellStyle name="Normal 2 4 5 2 3 8" xfId="8917" xr:uid="{00000000-0005-0000-0000-000014200000}"/>
    <cellStyle name="Normal 2 4 5 2 4" xfId="793" xr:uid="{00000000-0005-0000-0000-000015200000}"/>
    <cellStyle name="Normal 2 4 5 2 4 2" xfId="3032" xr:uid="{00000000-0005-0000-0000-000016200000}"/>
    <cellStyle name="Normal 2 4 5 2 4 2 2" xfId="7255" xr:uid="{00000000-0005-0000-0000-000017200000}"/>
    <cellStyle name="Normal 2 4 5 2 4 2 2 2" xfId="15691" xr:uid="{00000000-0005-0000-0000-000018200000}"/>
    <cellStyle name="Normal 2 4 5 2 4 2 3" xfId="11473" xr:uid="{00000000-0005-0000-0000-000019200000}"/>
    <cellStyle name="Normal 2 4 5 2 4 3" xfId="5110" xr:uid="{00000000-0005-0000-0000-00001A200000}"/>
    <cellStyle name="Normal 2 4 5 2 4 3 2" xfId="13546" xr:uid="{00000000-0005-0000-0000-00001B200000}"/>
    <cellStyle name="Normal 2 4 5 2 4 4" xfId="9328" xr:uid="{00000000-0005-0000-0000-00001C200000}"/>
    <cellStyle name="Normal 2 4 5 2 5" xfId="1215" xr:uid="{00000000-0005-0000-0000-00001D200000}"/>
    <cellStyle name="Normal 2 4 5 2 5 2" xfId="3445" xr:uid="{00000000-0005-0000-0000-00001E200000}"/>
    <cellStyle name="Normal 2 4 5 2 5 2 2" xfId="7668" xr:uid="{00000000-0005-0000-0000-00001F200000}"/>
    <cellStyle name="Normal 2 4 5 2 5 2 2 2" xfId="16104" xr:uid="{00000000-0005-0000-0000-000020200000}"/>
    <cellStyle name="Normal 2 4 5 2 5 2 3" xfId="11886" xr:uid="{00000000-0005-0000-0000-000021200000}"/>
    <cellStyle name="Normal 2 4 5 2 5 3" xfId="5523" xr:uid="{00000000-0005-0000-0000-000022200000}"/>
    <cellStyle name="Normal 2 4 5 2 5 3 2" xfId="13959" xr:uid="{00000000-0005-0000-0000-000023200000}"/>
    <cellStyle name="Normal 2 4 5 2 5 4" xfId="9741" xr:uid="{00000000-0005-0000-0000-000024200000}"/>
    <cellStyle name="Normal 2 4 5 2 6" xfId="1628" xr:uid="{00000000-0005-0000-0000-000025200000}"/>
    <cellStyle name="Normal 2 4 5 2 6 2" xfId="3858" xr:uid="{00000000-0005-0000-0000-000026200000}"/>
    <cellStyle name="Normal 2 4 5 2 6 2 2" xfId="8081" xr:uid="{00000000-0005-0000-0000-000027200000}"/>
    <cellStyle name="Normal 2 4 5 2 6 2 2 2" xfId="16517" xr:uid="{00000000-0005-0000-0000-000028200000}"/>
    <cellStyle name="Normal 2 4 5 2 6 2 3" xfId="12299" xr:uid="{00000000-0005-0000-0000-000029200000}"/>
    <cellStyle name="Normal 2 4 5 2 6 3" xfId="5936" xr:uid="{00000000-0005-0000-0000-00002A200000}"/>
    <cellStyle name="Normal 2 4 5 2 6 3 2" xfId="14372" xr:uid="{00000000-0005-0000-0000-00002B200000}"/>
    <cellStyle name="Normal 2 4 5 2 6 4" xfId="10154" xr:uid="{00000000-0005-0000-0000-00002C200000}"/>
    <cellStyle name="Normal 2 4 5 2 7" xfId="2042" xr:uid="{00000000-0005-0000-0000-00002D200000}"/>
    <cellStyle name="Normal 2 4 5 2 7 2" xfId="4271" xr:uid="{00000000-0005-0000-0000-00002E200000}"/>
    <cellStyle name="Normal 2 4 5 2 7 2 2" xfId="8494" xr:uid="{00000000-0005-0000-0000-00002F200000}"/>
    <cellStyle name="Normal 2 4 5 2 7 2 2 2" xfId="16930" xr:uid="{00000000-0005-0000-0000-000030200000}"/>
    <cellStyle name="Normal 2 4 5 2 7 2 3" xfId="12712" xr:uid="{00000000-0005-0000-0000-000031200000}"/>
    <cellStyle name="Normal 2 4 5 2 7 3" xfId="6349" xr:uid="{00000000-0005-0000-0000-000032200000}"/>
    <cellStyle name="Normal 2 4 5 2 7 3 2" xfId="14785" xr:uid="{00000000-0005-0000-0000-000033200000}"/>
    <cellStyle name="Normal 2 4 5 2 7 4" xfId="10567" xr:uid="{00000000-0005-0000-0000-000034200000}"/>
    <cellStyle name="Normal 2 4 5 2 8" xfId="2478" xr:uid="{00000000-0005-0000-0000-000035200000}"/>
    <cellStyle name="Normal 2 4 5 2 8 2" xfId="6762" xr:uid="{00000000-0005-0000-0000-000036200000}"/>
    <cellStyle name="Normal 2 4 5 2 8 2 2" xfId="15198" xr:uid="{00000000-0005-0000-0000-000037200000}"/>
    <cellStyle name="Normal 2 4 5 2 8 3" xfId="10980" xr:uid="{00000000-0005-0000-0000-000038200000}"/>
    <cellStyle name="Normal 2 4 5 2 9" xfId="4696" xr:uid="{00000000-0005-0000-0000-000039200000}"/>
    <cellStyle name="Normal 2 4 5 2 9 2" xfId="13132" xr:uid="{00000000-0005-0000-0000-00003A200000}"/>
    <cellStyle name="Normal 2 4 5 3" xfId="308" xr:uid="{00000000-0005-0000-0000-00003B200000}"/>
    <cellStyle name="Normal 2 4 5 3 2" xfId="309" xr:uid="{00000000-0005-0000-0000-00003C200000}"/>
    <cellStyle name="Normal 2 4 5 3 2 2" xfId="798" xr:uid="{00000000-0005-0000-0000-00003D200000}"/>
    <cellStyle name="Normal 2 4 5 3 2 2 2" xfId="3037" xr:uid="{00000000-0005-0000-0000-00003E200000}"/>
    <cellStyle name="Normal 2 4 5 3 2 2 2 2" xfId="7260" xr:uid="{00000000-0005-0000-0000-00003F200000}"/>
    <cellStyle name="Normal 2 4 5 3 2 2 2 2 2" xfId="15696" xr:uid="{00000000-0005-0000-0000-000040200000}"/>
    <cellStyle name="Normal 2 4 5 3 2 2 2 3" xfId="11478" xr:uid="{00000000-0005-0000-0000-000041200000}"/>
    <cellStyle name="Normal 2 4 5 3 2 2 3" xfId="5115" xr:uid="{00000000-0005-0000-0000-000042200000}"/>
    <cellStyle name="Normal 2 4 5 3 2 2 3 2" xfId="13551" xr:uid="{00000000-0005-0000-0000-000043200000}"/>
    <cellStyle name="Normal 2 4 5 3 2 2 4" xfId="9333" xr:uid="{00000000-0005-0000-0000-000044200000}"/>
    <cellStyle name="Normal 2 4 5 3 2 3" xfId="1220" xr:uid="{00000000-0005-0000-0000-000045200000}"/>
    <cellStyle name="Normal 2 4 5 3 2 3 2" xfId="3450" xr:uid="{00000000-0005-0000-0000-000046200000}"/>
    <cellStyle name="Normal 2 4 5 3 2 3 2 2" xfId="7673" xr:uid="{00000000-0005-0000-0000-000047200000}"/>
    <cellStyle name="Normal 2 4 5 3 2 3 2 2 2" xfId="16109" xr:uid="{00000000-0005-0000-0000-000048200000}"/>
    <cellStyle name="Normal 2 4 5 3 2 3 2 3" xfId="11891" xr:uid="{00000000-0005-0000-0000-000049200000}"/>
    <cellStyle name="Normal 2 4 5 3 2 3 3" xfId="5528" xr:uid="{00000000-0005-0000-0000-00004A200000}"/>
    <cellStyle name="Normal 2 4 5 3 2 3 3 2" xfId="13964" xr:uid="{00000000-0005-0000-0000-00004B200000}"/>
    <cellStyle name="Normal 2 4 5 3 2 3 4" xfId="9746" xr:uid="{00000000-0005-0000-0000-00004C200000}"/>
    <cellStyle name="Normal 2 4 5 3 2 4" xfId="1633" xr:uid="{00000000-0005-0000-0000-00004D200000}"/>
    <cellStyle name="Normal 2 4 5 3 2 4 2" xfId="3863" xr:uid="{00000000-0005-0000-0000-00004E200000}"/>
    <cellStyle name="Normal 2 4 5 3 2 4 2 2" xfId="8086" xr:uid="{00000000-0005-0000-0000-00004F200000}"/>
    <cellStyle name="Normal 2 4 5 3 2 4 2 2 2" xfId="16522" xr:uid="{00000000-0005-0000-0000-000050200000}"/>
    <cellStyle name="Normal 2 4 5 3 2 4 2 3" xfId="12304" xr:uid="{00000000-0005-0000-0000-000051200000}"/>
    <cellStyle name="Normal 2 4 5 3 2 4 3" xfId="5941" xr:uid="{00000000-0005-0000-0000-000052200000}"/>
    <cellStyle name="Normal 2 4 5 3 2 4 3 2" xfId="14377" xr:uid="{00000000-0005-0000-0000-000053200000}"/>
    <cellStyle name="Normal 2 4 5 3 2 4 4" xfId="10159" xr:uid="{00000000-0005-0000-0000-000054200000}"/>
    <cellStyle name="Normal 2 4 5 3 2 5" xfId="2047" xr:uid="{00000000-0005-0000-0000-000055200000}"/>
    <cellStyle name="Normal 2 4 5 3 2 5 2" xfId="4276" xr:uid="{00000000-0005-0000-0000-000056200000}"/>
    <cellStyle name="Normal 2 4 5 3 2 5 2 2" xfId="8499" xr:uid="{00000000-0005-0000-0000-000057200000}"/>
    <cellStyle name="Normal 2 4 5 3 2 5 2 2 2" xfId="16935" xr:uid="{00000000-0005-0000-0000-000058200000}"/>
    <cellStyle name="Normal 2 4 5 3 2 5 2 3" xfId="12717" xr:uid="{00000000-0005-0000-0000-000059200000}"/>
    <cellStyle name="Normal 2 4 5 3 2 5 3" xfId="6354" xr:uid="{00000000-0005-0000-0000-00005A200000}"/>
    <cellStyle name="Normal 2 4 5 3 2 5 3 2" xfId="14790" xr:uid="{00000000-0005-0000-0000-00005B200000}"/>
    <cellStyle name="Normal 2 4 5 3 2 5 4" xfId="10572" xr:uid="{00000000-0005-0000-0000-00005C200000}"/>
    <cellStyle name="Normal 2 4 5 3 2 6" xfId="2483" xr:uid="{00000000-0005-0000-0000-00005D200000}"/>
    <cellStyle name="Normal 2 4 5 3 2 6 2" xfId="6767" xr:uid="{00000000-0005-0000-0000-00005E200000}"/>
    <cellStyle name="Normal 2 4 5 3 2 6 2 2" xfId="15203" xr:uid="{00000000-0005-0000-0000-00005F200000}"/>
    <cellStyle name="Normal 2 4 5 3 2 6 3" xfId="10985" xr:uid="{00000000-0005-0000-0000-000060200000}"/>
    <cellStyle name="Normal 2 4 5 3 2 7" xfId="4701" xr:uid="{00000000-0005-0000-0000-000061200000}"/>
    <cellStyle name="Normal 2 4 5 3 2 7 2" xfId="13137" xr:uid="{00000000-0005-0000-0000-000062200000}"/>
    <cellStyle name="Normal 2 4 5 3 2 8" xfId="8919" xr:uid="{00000000-0005-0000-0000-000063200000}"/>
    <cellStyle name="Normal 2 4 5 3 3" xfId="797" xr:uid="{00000000-0005-0000-0000-000064200000}"/>
    <cellStyle name="Normal 2 4 5 3 3 2" xfId="3036" xr:uid="{00000000-0005-0000-0000-000065200000}"/>
    <cellStyle name="Normal 2 4 5 3 3 2 2" xfId="7259" xr:uid="{00000000-0005-0000-0000-000066200000}"/>
    <cellStyle name="Normal 2 4 5 3 3 2 2 2" xfId="15695" xr:uid="{00000000-0005-0000-0000-000067200000}"/>
    <cellStyle name="Normal 2 4 5 3 3 2 3" xfId="11477" xr:uid="{00000000-0005-0000-0000-000068200000}"/>
    <cellStyle name="Normal 2 4 5 3 3 3" xfId="5114" xr:uid="{00000000-0005-0000-0000-000069200000}"/>
    <cellStyle name="Normal 2 4 5 3 3 3 2" xfId="13550" xr:uid="{00000000-0005-0000-0000-00006A200000}"/>
    <cellStyle name="Normal 2 4 5 3 3 4" xfId="9332" xr:uid="{00000000-0005-0000-0000-00006B200000}"/>
    <cellStyle name="Normal 2 4 5 3 4" xfId="1219" xr:uid="{00000000-0005-0000-0000-00006C200000}"/>
    <cellStyle name="Normal 2 4 5 3 4 2" xfId="3449" xr:uid="{00000000-0005-0000-0000-00006D200000}"/>
    <cellStyle name="Normal 2 4 5 3 4 2 2" xfId="7672" xr:uid="{00000000-0005-0000-0000-00006E200000}"/>
    <cellStyle name="Normal 2 4 5 3 4 2 2 2" xfId="16108" xr:uid="{00000000-0005-0000-0000-00006F200000}"/>
    <cellStyle name="Normal 2 4 5 3 4 2 3" xfId="11890" xr:uid="{00000000-0005-0000-0000-000070200000}"/>
    <cellStyle name="Normal 2 4 5 3 4 3" xfId="5527" xr:uid="{00000000-0005-0000-0000-000071200000}"/>
    <cellStyle name="Normal 2 4 5 3 4 3 2" xfId="13963" xr:uid="{00000000-0005-0000-0000-000072200000}"/>
    <cellStyle name="Normal 2 4 5 3 4 4" xfId="9745" xr:uid="{00000000-0005-0000-0000-000073200000}"/>
    <cellStyle name="Normal 2 4 5 3 5" xfId="1632" xr:uid="{00000000-0005-0000-0000-000074200000}"/>
    <cellStyle name="Normal 2 4 5 3 5 2" xfId="3862" xr:uid="{00000000-0005-0000-0000-000075200000}"/>
    <cellStyle name="Normal 2 4 5 3 5 2 2" xfId="8085" xr:uid="{00000000-0005-0000-0000-000076200000}"/>
    <cellStyle name="Normal 2 4 5 3 5 2 2 2" xfId="16521" xr:uid="{00000000-0005-0000-0000-000077200000}"/>
    <cellStyle name="Normal 2 4 5 3 5 2 3" xfId="12303" xr:uid="{00000000-0005-0000-0000-000078200000}"/>
    <cellStyle name="Normal 2 4 5 3 5 3" xfId="5940" xr:uid="{00000000-0005-0000-0000-000079200000}"/>
    <cellStyle name="Normal 2 4 5 3 5 3 2" xfId="14376" xr:uid="{00000000-0005-0000-0000-00007A200000}"/>
    <cellStyle name="Normal 2 4 5 3 5 4" xfId="10158" xr:uid="{00000000-0005-0000-0000-00007B200000}"/>
    <cellStyle name="Normal 2 4 5 3 6" xfId="2046" xr:uid="{00000000-0005-0000-0000-00007C200000}"/>
    <cellStyle name="Normal 2 4 5 3 6 2" xfId="4275" xr:uid="{00000000-0005-0000-0000-00007D200000}"/>
    <cellStyle name="Normal 2 4 5 3 6 2 2" xfId="8498" xr:uid="{00000000-0005-0000-0000-00007E200000}"/>
    <cellStyle name="Normal 2 4 5 3 6 2 2 2" xfId="16934" xr:uid="{00000000-0005-0000-0000-00007F200000}"/>
    <cellStyle name="Normal 2 4 5 3 6 2 3" xfId="12716" xr:uid="{00000000-0005-0000-0000-000080200000}"/>
    <cellStyle name="Normal 2 4 5 3 6 3" xfId="6353" xr:uid="{00000000-0005-0000-0000-000081200000}"/>
    <cellStyle name="Normal 2 4 5 3 6 3 2" xfId="14789" xr:uid="{00000000-0005-0000-0000-000082200000}"/>
    <cellStyle name="Normal 2 4 5 3 6 4" xfId="10571" xr:uid="{00000000-0005-0000-0000-000083200000}"/>
    <cellStyle name="Normal 2 4 5 3 7" xfId="2482" xr:uid="{00000000-0005-0000-0000-000084200000}"/>
    <cellStyle name="Normal 2 4 5 3 7 2" xfId="6766" xr:uid="{00000000-0005-0000-0000-000085200000}"/>
    <cellStyle name="Normal 2 4 5 3 7 2 2" xfId="15202" xr:uid="{00000000-0005-0000-0000-000086200000}"/>
    <cellStyle name="Normal 2 4 5 3 7 3" xfId="10984" xr:uid="{00000000-0005-0000-0000-000087200000}"/>
    <cellStyle name="Normal 2 4 5 3 8" xfId="4700" xr:uid="{00000000-0005-0000-0000-000088200000}"/>
    <cellStyle name="Normal 2 4 5 3 8 2" xfId="13136" xr:uid="{00000000-0005-0000-0000-000089200000}"/>
    <cellStyle name="Normal 2 4 5 3 9" xfId="8918" xr:uid="{00000000-0005-0000-0000-00008A200000}"/>
    <cellStyle name="Normal 2 4 5 4" xfId="310" xr:uid="{00000000-0005-0000-0000-00008B200000}"/>
    <cellStyle name="Normal 2 4 5 4 2" xfId="799" xr:uid="{00000000-0005-0000-0000-00008C200000}"/>
    <cellStyle name="Normal 2 4 5 4 2 2" xfId="3038" xr:uid="{00000000-0005-0000-0000-00008D200000}"/>
    <cellStyle name="Normal 2 4 5 4 2 2 2" xfId="7261" xr:uid="{00000000-0005-0000-0000-00008E200000}"/>
    <cellStyle name="Normal 2 4 5 4 2 2 2 2" xfId="15697" xr:uid="{00000000-0005-0000-0000-00008F200000}"/>
    <cellStyle name="Normal 2 4 5 4 2 2 3" xfId="11479" xr:uid="{00000000-0005-0000-0000-000090200000}"/>
    <cellStyle name="Normal 2 4 5 4 2 3" xfId="5116" xr:uid="{00000000-0005-0000-0000-000091200000}"/>
    <cellStyle name="Normal 2 4 5 4 2 3 2" xfId="13552" xr:uid="{00000000-0005-0000-0000-000092200000}"/>
    <cellStyle name="Normal 2 4 5 4 2 4" xfId="9334" xr:uid="{00000000-0005-0000-0000-000093200000}"/>
    <cellStyle name="Normal 2 4 5 4 3" xfId="1221" xr:uid="{00000000-0005-0000-0000-000094200000}"/>
    <cellStyle name="Normal 2 4 5 4 3 2" xfId="3451" xr:uid="{00000000-0005-0000-0000-000095200000}"/>
    <cellStyle name="Normal 2 4 5 4 3 2 2" xfId="7674" xr:uid="{00000000-0005-0000-0000-000096200000}"/>
    <cellStyle name="Normal 2 4 5 4 3 2 2 2" xfId="16110" xr:uid="{00000000-0005-0000-0000-000097200000}"/>
    <cellStyle name="Normal 2 4 5 4 3 2 3" xfId="11892" xr:uid="{00000000-0005-0000-0000-000098200000}"/>
    <cellStyle name="Normal 2 4 5 4 3 3" xfId="5529" xr:uid="{00000000-0005-0000-0000-000099200000}"/>
    <cellStyle name="Normal 2 4 5 4 3 3 2" xfId="13965" xr:uid="{00000000-0005-0000-0000-00009A200000}"/>
    <cellStyle name="Normal 2 4 5 4 3 4" xfId="9747" xr:uid="{00000000-0005-0000-0000-00009B200000}"/>
    <cellStyle name="Normal 2 4 5 4 4" xfId="1634" xr:uid="{00000000-0005-0000-0000-00009C200000}"/>
    <cellStyle name="Normal 2 4 5 4 4 2" xfId="3864" xr:uid="{00000000-0005-0000-0000-00009D200000}"/>
    <cellStyle name="Normal 2 4 5 4 4 2 2" xfId="8087" xr:uid="{00000000-0005-0000-0000-00009E200000}"/>
    <cellStyle name="Normal 2 4 5 4 4 2 2 2" xfId="16523" xr:uid="{00000000-0005-0000-0000-00009F200000}"/>
    <cellStyle name="Normal 2 4 5 4 4 2 3" xfId="12305" xr:uid="{00000000-0005-0000-0000-0000A0200000}"/>
    <cellStyle name="Normal 2 4 5 4 4 3" xfId="5942" xr:uid="{00000000-0005-0000-0000-0000A1200000}"/>
    <cellStyle name="Normal 2 4 5 4 4 3 2" xfId="14378" xr:uid="{00000000-0005-0000-0000-0000A2200000}"/>
    <cellStyle name="Normal 2 4 5 4 4 4" xfId="10160" xr:uid="{00000000-0005-0000-0000-0000A3200000}"/>
    <cellStyle name="Normal 2 4 5 4 5" xfId="2048" xr:uid="{00000000-0005-0000-0000-0000A4200000}"/>
    <cellStyle name="Normal 2 4 5 4 5 2" xfId="4277" xr:uid="{00000000-0005-0000-0000-0000A5200000}"/>
    <cellStyle name="Normal 2 4 5 4 5 2 2" xfId="8500" xr:uid="{00000000-0005-0000-0000-0000A6200000}"/>
    <cellStyle name="Normal 2 4 5 4 5 2 2 2" xfId="16936" xr:uid="{00000000-0005-0000-0000-0000A7200000}"/>
    <cellStyle name="Normal 2 4 5 4 5 2 3" xfId="12718" xr:uid="{00000000-0005-0000-0000-0000A8200000}"/>
    <cellStyle name="Normal 2 4 5 4 5 3" xfId="6355" xr:uid="{00000000-0005-0000-0000-0000A9200000}"/>
    <cellStyle name="Normal 2 4 5 4 5 3 2" xfId="14791" xr:uid="{00000000-0005-0000-0000-0000AA200000}"/>
    <cellStyle name="Normal 2 4 5 4 5 4" xfId="10573" xr:uid="{00000000-0005-0000-0000-0000AB200000}"/>
    <cellStyle name="Normal 2 4 5 4 6" xfId="2484" xr:uid="{00000000-0005-0000-0000-0000AC200000}"/>
    <cellStyle name="Normal 2 4 5 4 6 2" xfId="6768" xr:uid="{00000000-0005-0000-0000-0000AD200000}"/>
    <cellStyle name="Normal 2 4 5 4 6 2 2" xfId="15204" xr:uid="{00000000-0005-0000-0000-0000AE200000}"/>
    <cellStyle name="Normal 2 4 5 4 6 3" xfId="10986" xr:uid="{00000000-0005-0000-0000-0000AF200000}"/>
    <cellStyle name="Normal 2 4 5 4 7" xfId="4702" xr:uid="{00000000-0005-0000-0000-0000B0200000}"/>
    <cellStyle name="Normal 2 4 5 4 7 2" xfId="13138" xr:uid="{00000000-0005-0000-0000-0000B1200000}"/>
    <cellStyle name="Normal 2 4 5 4 8" xfId="8920" xr:uid="{00000000-0005-0000-0000-0000B2200000}"/>
    <cellStyle name="Normal 2 4 5 5" xfId="792" xr:uid="{00000000-0005-0000-0000-0000B3200000}"/>
    <cellStyle name="Normal 2 4 5 5 2" xfId="3031" xr:uid="{00000000-0005-0000-0000-0000B4200000}"/>
    <cellStyle name="Normal 2 4 5 5 2 2" xfId="7254" xr:uid="{00000000-0005-0000-0000-0000B5200000}"/>
    <cellStyle name="Normal 2 4 5 5 2 2 2" xfId="15690" xr:uid="{00000000-0005-0000-0000-0000B6200000}"/>
    <cellStyle name="Normal 2 4 5 5 2 3" xfId="11472" xr:uid="{00000000-0005-0000-0000-0000B7200000}"/>
    <cellStyle name="Normal 2 4 5 5 3" xfId="5109" xr:uid="{00000000-0005-0000-0000-0000B8200000}"/>
    <cellStyle name="Normal 2 4 5 5 3 2" xfId="13545" xr:uid="{00000000-0005-0000-0000-0000B9200000}"/>
    <cellStyle name="Normal 2 4 5 5 4" xfId="9327" xr:uid="{00000000-0005-0000-0000-0000BA200000}"/>
    <cellStyle name="Normal 2 4 5 6" xfId="1214" xr:uid="{00000000-0005-0000-0000-0000BB200000}"/>
    <cellStyle name="Normal 2 4 5 6 2" xfId="3444" xr:uid="{00000000-0005-0000-0000-0000BC200000}"/>
    <cellStyle name="Normal 2 4 5 6 2 2" xfId="7667" xr:uid="{00000000-0005-0000-0000-0000BD200000}"/>
    <cellStyle name="Normal 2 4 5 6 2 2 2" xfId="16103" xr:uid="{00000000-0005-0000-0000-0000BE200000}"/>
    <cellStyle name="Normal 2 4 5 6 2 3" xfId="11885" xr:uid="{00000000-0005-0000-0000-0000BF200000}"/>
    <cellStyle name="Normal 2 4 5 6 3" xfId="5522" xr:uid="{00000000-0005-0000-0000-0000C0200000}"/>
    <cellStyle name="Normal 2 4 5 6 3 2" xfId="13958" xr:uid="{00000000-0005-0000-0000-0000C1200000}"/>
    <cellStyle name="Normal 2 4 5 6 4" xfId="9740" xr:uid="{00000000-0005-0000-0000-0000C2200000}"/>
    <cellStyle name="Normal 2 4 5 7" xfId="1627" xr:uid="{00000000-0005-0000-0000-0000C3200000}"/>
    <cellStyle name="Normal 2 4 5 7 2" xfId="3857" xr:uid="{00000000-0005-0000-0000-0000C4200000}"/>
    <cellStyle name="Normal 2 4 5 7 2 2" xfId="8080" xr:uid="{00000000-0005-0000-0000-0000C5200000}"/>
    <cellStyle name="Normal 2 4 5 7 2 2 2" xfId="16516" xr:uid="{00000000-0005-0000-0000-0000C6200000}"/>
    <cellStyle name="Normal 2 4 5 7 2 3" xfId="12298" xr:uid="{00000000-0005-0000-0000-0000C7200000}"/>
    <cellStyle name="Normal 2 4 5 7 3" xfId="5935" xr:uid="{00000000-0005-0000-0000-0000C8200000}"/>
    <cellStyle name="Normal 2 4 5 7 3 2" xfId="14371" xr:uid="{00000000-0005-0000-0000-0000C9200000}"/>
    <cellStyle name="Normal 2 4 5 7 4" xfId="10153" xr:uid="{00000000-0005-0000-0000-0000CA200000}"/>
    <cellStyle name="Normal 2 4 5 8" xfId="2041" xr:uid="{00000000-0005-0000-0000-0000CB200000}"/>
    <cellStyle name="Normal 2 4 5 8 2" xfId="4270" xr:uid="{00000000-0005-0000-0000-0000CC200000}"/>
    <cellStyle name="Normal 2 4 5 8 2 2" xfId="8493" xr:uid="{00000000-0005-0000-0000-0000CD200000}"/>
    <cellStyle name="Normal 2 4 5 8 2 2 2" xfId="16929" xr:uid="{00000000-0005-0000-0000-0000CE200000}"/>
    <cellStyle name="Normal 2 4 5 8 2 3" xfId="12711" xr:uid="{00000000-0005-0000-0000-0000CF200000}"/>
    <cellStyle name="Normal 2 4 5 8 3" xfId="6348" xr:uid="{00000000-0005-0000-0000-0000D0200000}"/>
    <cellStyle name="Normal 2 4 5 8 3 2" xfId="14784" xr:uid="{00000000-0005-0000-0000-0000D1200000}"/>
    <cellStyle name="Normal 2 4 5 8 4" xfId="10566" xr:uid="{00000000-0005-0000-0000-0000D2200000}"/>
    <cellStyle name="Normal 2 4 5 9" xfId="2477" xr:uid="{00000000-0005-0000-0000-0000D3200000}"/>
    <cellStyle name="Normal 2 4 5 9 2" xfId="6761" xr:uid="{00000000-0005-0000-0000-0000D4200000}"/>
    <cellStyle name="Normal 2 4 5 9 2 2" xfId="15197" xr:uid="{00000000-0005-0000-0000-0000D5200000}"/>
    <cellStyle name="Normal 2 4 5 9 3" xfId="10979" xr:uid="{00000000-0005-0000-0000-0000D6200000}"/>
    <cellStyle name="Normal 2 4 6" xfId="311" xr:uid="{00000000-0005-0000-0000-0000D7200000}"/>
    <cellStyle name="Normal 2 4 7" xfId="312" xr:uid="{00000000-0005-0000-0000-0000D8200000}"/>
    <cellStyle name="Normal 2 4 7 2" xfId="313" xr:uid="{00000000-0005-0000-0000-0000D9200000}"/>
    <cellStyle name="Normal 2 4 7 2 2" xfId="801" xr:uid="{00000000-0005-0000-0000-0000DA200000}"/>
    <cellStyle name="Normal 2 4 7 2 2 2" xfId="3040" xr:uid="{00000000-0005-0000-0000-0000DB200000}"/>
    <cellStyle name="Normal 2 4 7 2 2 2 2" xfId="7263" xr:uid="{00000000-0005-0000-0000-0000DC200000}"/>
    <cellStyle name="Normal 2 4 7 2 2 2 2 2" xfId="15699" xr:uid="{00000000-0005-0000-0000-0000DD200000}"/>
    <cellStyle name="Normal 2 4 7 2 2 2 3" xfId="11481" xr:uid="{00000000-0005-0000-0000-0000DE200000}"/>
    <cellStyle name="Normal 2 4 7 2 2 3" xfId="5118" xr:uid="{00000000-0005-0000-0000-0000DF200000}"/>
    <cellStyle name="Normal 2 4 7 2 2 3 2" xfId="13554" xr:uid="{00000000-0005-0000-0000-0000E0200000}"/>
    <cellStyle name="Normal 2 4 7 2 2 4" xfId="9336" xr:uid="{00000000-0005-0000-0000-0000E1200000}"/>
    <cellStyle name="Normal 2 4 7 2 3" xfId="1223" xr:uid="{00000000-0005-0000-0000-0000E2200000}"/>
    <cellStyle name="Normal 2 4 7 2 3 2" xfId="3453" xr:uid="{00000000-0005-0000-0000-0000E3200000}"/>
    <cellStyle name="Normal 2 4 7 2 3 2 2" xfId="7676" xr:uid="{00000000-0005-0000-0000-0000E4200000}"/>
    <cellStyle name="Normal 2 4 7 2 3 2 2 2" xfId="16112" xr:uid="{00000000-0005-0000-0000-0000E5200000}"/>
    <cellStyle name="Normal 2 4 7 2 3 2 3" xfId="11894" xr:uid="{00000000-0005-0000-0000-0000E6200000}"/>
    <cellStyle name="Normal 2 4 7 2 3 3" xfId="5531" xr:uid="{00000000-0005-0000-0000-0000E7200000}"/>
    <cellStyle name="Normal 2 4 7 2 3 3 2" xfId="13967" xr:uid="{00000000-0005-0000-0000-0000E8200000}"/>
    <cellStyle name="Normal 2 4 7 2 3 4" xfId="9749" xr:uid="{00000000-0005-0000-0000-0000E9200000}"/>
    <cellStyle name="Normal 2 4 7 2 4" xfId="1636" xr:uid="{00000000-0005-0000-0000-0000EA200000}"/>
    <cellStyle name="Normal 2 4 7 2 4 2" xfId="3866" xr:uid="{00000000-0005-0000-0000-0000EB200000}"/>
    <cellStyle name="Normal 2 4 7 2 4 2 2" xfId="8089" xr:uid="{00000000-0005-0000-0000-0000EC200000}"/>
    <cellStyle name="Normal 2 4 7 2 4 2 2 2" xfId="16525" xr:uid="{00000000-0005-0000-0000-0000ED200000}"/>
    <cellStyle name="Normal 2 4 7 2 4 2 3" xfId="12307" xr:uid="{00000000-0005-0000-0000-0000EE200000}"/>
    <cellStyle name="Normal 2 4 7 2 4 3" xfId="5944" xr:uid="{00000000-0005-0000-0000-0000EF200000}"/>
    <cellStyle name="Normal 2 4 7 2 4 3 2" xfId="14380" xr:uid="{00000000-0005-0000-0000-0000F0200000}"/>
    <cellStyle name="Normal 2 4 7 2 4 4" xfId="10162" xr:uid="{00000000-0005-0000-0000-0000F1200000}"/>
    <cellStyle name="Normal 2 4 7 2 5" xfId="2050" xr:uid="{00000000-0005-0000-0000-0000F2200000}"/>
    <cellStyle name="Normal 2 4 7 2 5 2" xfId="4279" xr:uid="{00000000-0005-0000-0000-0000F3200000}"/>
    <cellStyle name="Normal 2 4 7 2 5 2 2" xfId="8502" xr:uid="{00000000-0005-0000-0000-0000F4200000}"/>
    <cellStyle name="Normal 2 4 7 2 5 2 2 2" xfId="16938" xr:uid="{00000000-0005-0000-0000-0000F5200000}"/>
    <cellStyle name="Normal 2 4 7 2 5 2 3" xfId="12720" xr:uid="{00000000-0005-0000-0000-0000F6200000}"/>
    <cellStyle name="Normal 2 4 7 2 5 3" xfId="6357" xr:uid="{00000000-0005-0000-0000-0000F7200000}"/>
    <cellStyle name="Normal 2 4 7 2 5 3 2" xfId="14793" xr:uid="{00000000-0005-0000-0000-0000F8200000}"/>
    <cellStyle name="Normal 2 4 7 2 5 4" xfId="10575" xr:uid="{00000000-0005-0000-0000-0000F9200000}"/>
    <cellStyle name="Normal 2 4 7 2 6" xfId="2486" xr:uid="{00000000-0005-0000-0000-0000FA200000}"/>
    <cellStyle name="Normal 2 4 7 2 6 2" xfId="6770" xr:uid="{00000000-0005-0000-0000-0000FB200000}"/>
    <cellStyle name="Normal 2 4 7 2 6 2 2" xfId="15206" xr:uid="{00000000-0005-0000-0000-0000FC200000}"/>
    <cellStyle name="Normal 2 4 7 2 6 3" xfId="10988" xr:uid="{00000000-0005-0000-0000-0000FD200000}"/>
    <cellStyle name="Normal 2 4 7 2 7" xfId="4704" xr:uid="{00000000-0005-0000-0000-0000FE200000}"/>
    <cellStyle name="Normal 2 4 7 2 7 2" xfId="13140" xr:uid="{00000000-0005-0000-0000-0000FF200000}"/>
    <cellStyle name="Normal 2 4 7 2 8" xfId="8922" xr:uid="{00000000-0005-0000-0000-000000210000}"/>
    <cellStyle name="Normal 2 4 7 3" xfId="800" xr:uid="{00000000-0005-0000-0000-000001210000}"/>
    <cellStyle name="Normal 2 4 7 3 2" xfId="3039" xr:uid="{00000000-0005-0000-0000-000002210000}"/>
    <cellStyle name="Normal 2 4 7 3 2 2" xfId="7262" xr:uid="{00000000-0005-0000-0000-000003210000}"/>
    <cellStyle name="Normal 2 4 7 3 2 2 2" xfId="15698" xr:uid="{00000000-0005-0000-0000-000004210000}"/>
    <cellStyle name="Normal 2 4 7 3 2 3" xfId="11480" xr:uid="{00000000-0005-0000-0000-000005210000}"/>
    <cellStyle name="Normal 2 4 7 3 3" xfId="5117" xr:uid="{00000000-0005-0000-0000-000006210000}"/>
    <cellStyle name="Normal 2 4 7 3 3 2" xfId="13553" xr:uid="{00000000-0005-0000-0000-000007210000}"/>
    <cellStyle name="Normal 2 4 7 3 4" xfId="9335" xr:uid="{00000000-0005-0000-0000-000008210000}"/>
    <cellStyle name="Normal 2 4 7 4" xfId="1222" xr:uid="{00000000-0005-0000-0000-000009210000}"/>
    <cellStyle name="Normal 2 4 7 4 2" xfId="3452" xr:uid="{00000000-0005-0000-0000-00000A210000}"/>
    <cellStyle name="Normal 2 4 7 4 2 2" xfId="7675" xr:uid="{00000000-0005-0000-0000-00000B210000}"/>
    <cellStyle name="Normal 2 4 7 4 2 2 2" xfId="16111" xr:uid="{00000000-0005-0000-0000-00000C210000}"/>
    <cellStyle name="Normal 2 4 7 4 2 3" xfId="11893" xr:uid="{00000000-0005-0000-0000-00000D210000}"/>
    <cellStyle name="Normal 2 4 7 4 3" xfId="5530" xr:uid="{00000000-0005-0000-0000-00000E210000}"/>
    <cellStyle name="Normal 2 4 7 4 3 2" xfId="13966" xr:uid="{00000000-0005-0000-0000-00000F210000}"/>
    <cellStyle name="Normal 2 4 7 4 4" xfId="9748" xr:uid="{00000000-0005-0000-0000-000010210000}"/>
    <cellStyle name="Normal 2 4 7 5" xfId="1635" xr:uid="{00000000-0005-0000-0000-000011210000}"/>
    <cellStyle name="Normal 2 4 7 5 2" xfId="3865" xr:uid="{00000000-0005-0000-0000-000012210000}"/>
    <cellStyle name="Normal 2 4 7 5 2 2" xfId="8088" xr:uid="{00000000-0005-0000-0000-000013210000}"/>
    <cellStyle name="Normal 2 4 7 5 2 2 2" xfId="16524" xr:uid="{00000000-0005-0000-0000-000014210000}"/>
    <cellStyle name="Normal 2 4 7 5 2 3" xfId="12306" xr:uid="{00000000-0005-0000-0000-000015210000}"/>
    <cellStyle name="Normal 2 4 7 5 3" xfId="5943" xr:uid="{00000000-0005-0000-0000-000016210000}"/>
    <cellStyle name="Normal 2 4 7 5 3 2" xfId="14379" xr:uid="{00000000-0005-0000-0000-000017210000}"/>
    <cellStyle name="Normal 2 4 7 5 4" xfId="10161" xr:uid="{00000000-0005-0000-0000-000018210000}"/>
    <cellStyle name="Normal 2 4 7 6" xfId="2049" xr:uid="{00000000-0005-0000-0000-000019210000}"/>
    <cellStyle name="Normal 2 4 7 6 2" xfId="4278" xr:uid="{00000000-0005-0000-0000-00001A210000}"/>
    <cellStyle name="Normal 2 4 7 6 2 2" xfId="8501" xr:uid="{00000000-0005-0000-0000-00001B210000}"/>
    <cellStyle name="Normal 2 4 7 6 2 2 2" xfId="16937" xr:uid="{00000000-0005-0000-0000-00001C210000}"/>
    <cellStyle name="Normal 2 4 7 6 2 3" xfId="12719" xr:uid="{00000000-0005-0000-0000-00001D210000}"/>
    <cellStyle name="Normal 2 4 7 6 3" xfId="6356" xr:uid="{00000000-0005-0000-0000-00001E210000}"/>
    <cellStyle name="Normal 2 4 7 6 3 2" xfId="14792" xr:uid="{00000000-0005-0000-0000-00001F210000}"/>
    <cellStyle name="Normal 2 4 7 6 4" xfId="10574" xr:uid="{00000000-0005-0000-0000-000020210000}"/>
    <cellStyle name="Normal 2 4 7 7" xfId="2485" xr:uid="{00000000-0005-0000-0000-000021210000}"/>
    <cellStyle name="Normal 2 4 7 7 2" xfId="6769" xr:uid="{00000000-0005-0000-0000-000022210000}"/>
    <cellStyle name="Normal 2 4 7 7 2 2" xfId="15205" xr:uid="{00000000-0005-0000-0000-000023210000}"/>
    <cellStyle name="Normal 2 4 7 7 3" xfId="10987" xr:uid="{00000000-0005-0000-0000-000024210000}"/>
    <cellStyle name="Normal 2 4 7 8" xfId="4703" xr:uid="{00000000-0005-0000-0000-000025210000}"/>
    <cellStyle name="Normal 2 4 7 8 2" xfId="13139" xr:uid="{00000000-0005-0000-0000-000026210000}"/>
    <cellStyle name="Normal 2 4 7 9" xfId="8921" xr:uid="{00000000-0005-0000-0000-000027210000}"/>
    <cellStyle name="Normal 2 4 8" xfId="314" xr:uid="{00000000-0005-0000-0000-000028210000}"/>
    <cellStyle name="Normal 2 4 8 2" xfId="802" xr:uid="{00000000-0005-0000-0000-000029210000}"/>
    <cellStyle name="Normal 2 4 8 2 2" xfId="3041" xr:uid="{00000000-0005-0000-0000-00002A210000}"/>
    <cellStyle name="Normal 2 4 8 2 2 2" xfId="7264" xr:uid="{00000000-0005-0000-0000-00002B210000}"/>
    <cellStyle name="Normal 2 4 8 2 2 2 2" xfId="15700" xr:uid="{00000000-0005-0000-0000-00002C210000}"/>
    <cellStyle name="Normal 2 4 8 2 2 3" xfId="11482" xr:uid="{00000000-0005-0000-0000-00002D210000}"/>
    <cellStyle name="Normal 2 4 8 2 3" xfId="5119" xr:uid="{00000000-0005-0000-0000-00002E210000}"/>
    <cellStyle name="Normal 2 4 8 2 3 2" xfId="13555" xr:uid="{00000000-0005-0000-0000-00002F210000}"/>
    <cellStyle name="Normal 2 4 8 2 4" xfId="9337" xr:uid="{00000000-0005-0000-0000-000030210000}"/>
    <cellStyle name="Normal 2 4 8 3" xfId="1224" xr:uid="{00000000-0005-0000-0000-000031210000}"/>
    <cellStyle name="Normal 2 4 8 3 2" xfId="3454" xr:uid="{00000000-0005-0000-0000-000032210000}"/>
    <cellStyle name="Normal 2 4 8 3 2 2" xfId="7677" xr:uid="{00000000-0005-0000-0000-000033210000}"/>
    <cellStyle name="Normal 2 4 8 3 2 2 2" xfId="16113" xr:uid="{00000000-0005-0000-0000-000034210000}"/>
    <cellStyle name="Normal 2 4 8 3 2 3" xfId="11895" xr:uid="{00000000-0005-0000-0000-000035210000}"/>
    <cellStyle name="Normal 2 4 8 3 3" xfId="5532" xr:uid="{00000000-0005-0000-0000-000036210000}"/>
    <cellStyle name="Normal 2 4 8 3 3 2" xfId="13968" xr:uid="{00000000-0005-0000-0000-000037210000}"/>
    <cellStyle name="Normal 2 4 8 3 4" xfId="9750" xr:uid="{00000000-0005-0000-0000-000038210000}"/>
    <cellStyle name="Normal 2 4 8 4" xfId="1637" xr:uid="{00000000-0005-0000-0000-000039210000}"/>
    <cellStyle name="Normal 2 4 8 4 2" xfId="3867" xr:uid="{00000000-0005-0000-0000-00003A210000}"/>
    <cellStyle name="Normal 2 4 8 4 2 2" xfId="8090" xr:uid="{00000000-0005-0000-0000-00003B210000}"/>
    <cellStyle name="Normal 2 4 8 4 2 2 2" xfId="16526" xr:uid="{00000000-0005-0000-0000-00003C210000}"/>
    <cellStyle name="Normal 2 4 8 4 2 3" xfId="12308" xr:uid="{00000000-0005-0000-0000-00003D210000}"/>
    <cellStyle name="Normal 2 4 8 4 3" xfId="5945" xr:uid="{00000000-0005-0000-0000-00003E210000}"/>
    <cellStyle name="Normal 2 4 8 4 3 2" xfId="14381" xr:uid="{00000000-0005-0000-0000-00003F210000}"/>
    <cellStyle name="Normal 2 4 8 4 4" xfId="10163" xr:uid="{00000000-0005-0000-0000-000040210000}"/>
    <cellStyle name="Normal 2 4 8 5" xfId="2051" xr:uid="{00000000-0005-0000-0000-000041210000}"/>
    <cellStyle name="Normal 2 4 8 5 2" xfId="4280" xr:uid="{00000000-0005-0000-0000-000042210000}"/>
    <cellStyle name="Normal 2 4 8 5 2 2" xfId="8503" xr:uid="{00000000-0005-0000-0000-000043210000}"/>
    <cellStyle name="Normal 2 4 8 5 2 2 2" xfId="16939" xr:uid="{00000000-0005-0000-0000-000044210000}"/>
    <cellStyle name="Normal 2 4 8 5 2 3" xfId="12721" xr:uid="{00000000-0005-0000-0000-000045210000}"/>
    <cellStyle name="Normal 2 4 8 5 3" xfId="6358" xr:uid="{00000000-0005-0000-0000-000046210000}"/>
    <cellStyle name="Normal 2 4 8 5 3 2" xfId="14794" xr:uid="{00000000-0005-0000-0000-000047210000}"/>
    <cellStyle name="Normal 2 4 8 5 4" xfId="10576" xr:uid="{00000000-0005-0000-0000-000048210000}"/>
    <cellStyle name="Normal 2 4 8 6" xfId="2487" xr:uid="{00000000-0005-0000-0000-000049210000}"/>
    <cellStyle name="Normal 2 4 8 6 2" xfId="6771" xr:uid="{00000000-0005-0000-0000-00004A210000}"/>
    <cellStyle name="Normal 2 4 8 6 2 2" xfId="15207" xr:uid="{00000000-0005-0000-0000-00004B210000}"/>
    <cellStyle name="Normal 2 4 8 6 3" xfId="10989" xr:uid="{00000000-0005-0000-0000-00004C210000}"/>
    <cellStyle name="Normal 2 4 8 7" xfId="4705" xr:uid="{00000000-0005-0000-0000-00004D210000}"/>
    <cellStyle name="Normal 2 4 8 7 2" xfId="13141" xr:uid="{00000000-0005-0000-0000-00004E210000}"/>
    <cellStyle name="Normal 2 4 8 8" xfId="8923" xr:uid="{00000000-0005-0000-0000-00004F210000}"/>
    <cellStyle name="Normal 2 5" xfId="315" xr:uid="{00000000-0005-0000-0000-000050210000}"/>
    <cellStyle name="Normal 2 5 10" xfId="4706" xr:uid="{00000000-0005-0000-0000-000051210000}"/>
    <cellStyle name="Normal 2 5 10 2" xfId="13142" xr:uid="{00000000-0005-0000-0000-000052210000}"/>
    <cellStyle name="Normal 2 5 11" xfId="8924" xr:uid="{00000000-0005-0000-0000-000053210000}"/>
    <cellStyle name="Normal 2 5 2" xfId="316" xr:uid="{00000000-0005-0000-0000-000054210000}"/>
    <cellStyle name="Normal 2 5 3" xfId="317" xr:uid="{00000000-0005-0000-0000-000055210000}"/>
    <cellStyle name="Normal 2 5 4" xfId="318" xr:uid="{00000000-0005-0000-0000-000056210000}"/>
    <cellStyle name="Normal 2 5 4 10" xfId="8925" xr:uid="{00000000-0005-0000-0000-000057210000}"/>
    <cellStyle name="Normal 2 5 4 2" xfId="319" xr:uid="{00000000-0005-0000-0000-000058210000}"/>
    <cellStyle name="Normal 2 5 4 2 2" xfId="320" xr:uid="{00000000-0005-0000-0000-000059210000}"/>
    <cellStyle name="Normal 2 5 4 2 2 2" xfId="806" xr:uid="{00000000-0005-0000-0000-00005A210000}"/>
    <cellStyle name="Normal 2 5 4 2 2 2 2" xfId="3045" xr:uid="{00000000-0005-0000-0000-00005B210000}"/>
    <cellStyle name="Normal 2 5 4 2 2 2 2 2" xfId="7268" xr:uid="{00000000-0005-0000-0000-00005C210000}"/>
    <cellStyle name="Normal 2 5 4 2 2 2 2 2 2" xfId="15704" xr:uid="{00000000-0005-0000-0000-00005D210000}"/>
    <cellStyle name="Normal 2 5 4 2 2 2 2 3" xfId="11486" xr:uid="{00000000-0005-0000-0000-00005E210000}"/>
    <cellStyle name="Normal 2 5 4 2 2 2 3" xfId="5123" xr:uid="{00000000-0005-0000-0000-00005F210000}"/>
    <cellStyle name="Normal 2 5 4 2 2 2 3 2" xfId="13559" xr:uid="{00000000-0005-0000-0000-000060210000}"/>
    <cellStyle name="Normal 2 5 4 2 2 2 4" xfId="9341" xr:uid="{00000000-0005-0000-0000-000061210000}"/>
    <cellStyle name="Normal 2 5 4 2 2 3" xfId="1228" xr:uid="{00000000-0005-0000-0000-000062210000}"/>
    <cellStyle name="Normal 2 5 4 2 2 3 2" xfId="3458" xr:uid="{00000000-0005-0000-0000-000063210000}"/>
    <cellStyle name="Normal 2 5 4 2 2 3 2 2" xfId="7681" xr:uid="{00000000-0005-0000-0000-000064210000}"/>
    <cellStyle name="Normal 2 5 4 2 2 3 2 2 2" xfId="16117" xr:uid="{00000000-0005-0000-0000-000065210000}"/>
    <cellStyle name="Normal 2 5 4 2 2 3 2 3" xfId="11899" xr:uid="{00000000-0005-0000-0000-000066210000}"/>
    <cellStyle name="Normal 2 5 4 2 2 3 3" xfId="5536" xr:uid="{00000000-0005-0000-0000-000067210000}"/>
    <cellStyle name="Normal 2 5 4 2 2 3 3 2" xfId="13972" xr:uid="{00000000-0005-0000-0000-000068210000}"/>
    <cellStyle name="Normal 2 5 4 2 2 3 4" xfId="9754" xr:uid="{00000000-0005-0000-0000-000069210000}"/>
    <cellStyle name="Normal 2 5 4 2 2 4" xfId="1641" xr:uid="{00000000-0005-0000-0000-00006A210000}"/>
    <cellStyle name="Normal 2 5 4 2 2 4 2" xfId="3871" xr:uid="{00000000-0005-0000-0000-00006B210000}"/>
    <cellStyle name="Normal 2 5 4 2 2 4 2 2" xfId="8094" xr:uid="{00000000-0005-0000-0000-00006C210000}"/>
    <cellStyle name="Normal 2 5 4 2 2 4 2 2 2" xfId="16530" xr:uid="{00000000-0005-0000-0000-00006D210000}"/>
    <cellStyle name="Normal 2 5 4 2 2 4 2 3" xfId="12312" xr:uid="{00000000-0005-0000-0000-00006E210000}"/>
    <cellStyle name="Normal 2 5 4 2 2 4 3" xfId="5949" xr:uid="{00000000-0005-0000-0000-00006F210000}"/>
    <cellStyle name="Normal 2 5 4 2 2 4 3 2" xfId="14385" xr:uid="{00000000-0005-0000-0000-000070210000}"/>
    <cellStyle name="Normal 2 5 4 2 2 4 4" xfId="10167" xr:uid="{00000000-0005-0000-0000-000071210000}"/>
    <cellStyle name="Normal 2 5 4 2 2 5" xfId="2055" xr:uid="{00000000-0005-0000-0000-000072210000}"/>
    <cellStyle name="Normal 2 5 4 2 2 5 2" xfId="4284" xr:uid="{00000000-0005-0000-0000-000073210000}"/>
    <cellStyle name="Normal 2 5 4 2 2 5 2 2" xfId="8507" xr:uid="{00000000-0005-0000-0000-000074210000}"/>
    <cellStyle name="Normal 2 5 4 2 2 5 2 2 2" xfId="16943" xr:uid="{00000000-0005-0000-0000-000075210000}"/>
    <cellStyle name="Normal 2 5 4 2 2 5 2 3" xfId="12725" xr:uid="{00000000-0005-0000-0000-000076210000}"/>
    <cellStyle name="Normal 2 5 4 2 2 5 3" xfId="6362" xr:uid="{00000000-0005-0000-0000-000077210000}"/>
    <cellStyle name="Normal 2 5 4 2 2 5 3 2" xfId="14798" xr:uid="{00000000-0005-0000-0000-000078210000}"/>
    <cellStyle name="Normal 2 5 4 2 2 5 4" xfId="10580" xr:uid="{00000000-0005-0000-0000-000079210000}"/>
    <cellStyle name="Normal 2 5 4 2 2 6" xfId="2491" xr:uid="{00000000-0005-0000-0000-00007A210000}"/>
    <cellStyle name="Normal 2 5 4 2 2 6 2" xfId="6775" xr:uid="{00000000-0005-0000-0000-00007B210000}"/>
    <cellStyle name="Normal 2 5 4 2 2 6 2 2" xfId="15211" xr:uid="{00000000-0005-0000-0000-00007C210000}"/>
    <cellStyle name="Normal 2 5 4 2 2 6 3" xfId="10993" xr:uid="{00000000-0005-0000-0000-00007D210000}"/>
    <cellStyle name="Normal 2 5 4 2 2 7" xfId="4709" xr:uid="{00000000-0005-0000-0000-00007E210000}"/>
    <cellStyle name="Normal 2 5 4 2 2 7 2" xfId="13145" xr:uid="{00000000-0005-0000-0000-00007F210000}"/>
    <cellStyle name="Normal 2 5 4 2 2 8" xfId="8927" xr:uid="{00000000-0005-0000-0000-000080210000}"/>
    <cellStyle name="Normal 2 5 4 2 3" xfId="805" xr:uid="{00000000-0005-0000-0000-000081210000}"/>
    <cellStyle name="Normal 2 5 4 2 3 2" xfId="3044" xr:uid="{00000000-0005-0000-0000-000082210000}"/>
    <cellStyle name="Normal 2 5 4 2 3 2 2" xfId="7267" xr:uid="{00000000-0005-0000-0000-000083210000}"/>
    <cellStyle name="Normal 2 5 4 2 3 2 2 2" xfId="15703" xr:uid="{00000000-0005-0000-0000-000084210000}"/>
    <cellStyle name="Normal 2 5 4 2 3 2 3" xfId="11485" xr:uid="{00000000-0005-0000-0000-000085210000}"/>
    <cellStyle name="Normal 2 5 4 2 3 3" xfId="5122" xr:uid="{00000000-0005-0000-0000-000086210000}"/>
    <cellStyle name="Normal 2 5 4 2 3 3 2" xfId="13558" xr:uid="{00000000-0005-0000-0000-000087210000}"/>
    <cellStyle name="Normal 2 5 4 2 3 4" xfId="9340" xr:uid="{00000000-0005-0000-0000-000088210000}"/>
    <cellStyle name="Normal 2 5 4 2 4" xfId="1227" xr:uid="{00000000-0005-0000-0000-000089210000}"/>
    <cellStyle name="Normal 2 5 4 2 4 2" xfId="3457" xr:uid="{00000000-0005-0000-0000-00008A210000}"/>
    <cellStyle name="Normal 2 5 4 2 4 2 2" xfId="7680" xr:uid="{00000000-0005-0000-0000-00008B210000}"/>
    <cellStyle name="Normal 2 5 4 2 4 2 2 2" xfId="16116" xr:uid="{00000000-0005-0000-0000-00008C210000}"/>
    <cellStyle name="Normal 2 5 4 2 4 2 3" xfId="11898" xr:uid="{00000000-0005-0000-0000-00008D210000}"/>
    <cellStyle name="Normal 2 5 4 2 4 3" xfId="5535" xr:uid="{00000000-0005-0000-0000-00008E210000}"/>
    <cellStyle name="Normal 2 5 4 2 4 3 2" xfId="13971" xr:uid="{00000000-0005-0000-0000-00008F210000}"/>
    <cellStyle name="Normal 2 5 4 2 4 4" xfId="9753" xr:uid="{00000000-0005-0000-0000-000090210000}"/>
    <cellStyle name="Normal 2 5 4 2 5" xfId="1640" xr:uid="{00000000-0005-0000-0000-000091210000}"/>
    <cellStyle name="Normal 2 5 4 2 5 2" xfId="3870" xr:uid="{00000000-0005-0000-0000-000092210000}"/>
    <cellStyle name="Normal 2 5 4 2 5 2 2" xfId="8093" xr:uid="{00000000-0005-0000-0000-000093210000}"/>
    <cellStyle name="Normal 2 5 4 2 5 2 2 2" xfId="16529" xr:uid="{00000000-0005-0000-0000-000094210000}"/>
    <cellStyle name="Normal 2 5 4 2 5 2 3" xfId="12311" xr:uid="{00000000-0005-0000-0000-000095210000}"/>
    <cellStyle name="Normal 2 5 4 2 5 3" xfId="5948" xr:uid="{00000000-0005-0000-0000-000096210000}"/>
    <cellStyle name="Normal 2 5 4 2 5 3 2" xfId="14384" xr:uid="{00000000-0005-0000-0000-000097210000}"/>
    <cellStyle name="Normal 2 5 4 2 5 4" xfId="10166" xr:uid="{00000000-0005-0000-0000-000098210000}"/>
    <cellStyle name="Normal 2 5 4 2 6" xfId="2054" xr:uid="{00000000-0005-0000-0000-000099210000}"/>
    <cellStyle name="Normal 2 5 4 2 6 2" xfId="4283" xr:uid="{00000000-0005-0000-0000-00009A210000}"/>
    <cellStyle name="Normal 2 5 4 2 6 2 2" xfId="8506" xr:uid="{00000000-0005-0000-0000-00009B210000}"/>
    <cellStyle name="Normal 2 5 4 2 6 2 2 2" xfId="16942" xr:uid="{00000000-0005-0000-0000-00009C210000}"/>
    <cellStyle name="Normal 2 5 4 2 6 2 3" xfId="12724" xr:uid="{00000000-0005-0000-0000-00009D210000}"/>
    <cellStyle name="Normal 2 5 4 2 6 3" xfId="6361" xr:uid="{00000000-0005-0000-0000-00009E210000}"/>
    <cellStyle name="Normal 2 5 4 2 6 3 2" xfId="14797" xr:uid="{00000000-0005-0000-0000-00009F210000}"/>
    <cellStyle name="Normal 2 5 4 2 6 4" xfId="10579" xr:uid="{00000000-0005-0000-0000-0000A0210000}"/>
    <cellStyle name="Normal 2 5 4 2 7" xfId="2490" xr:uid="{00000000-0005-0000-0000-0000A1210000}"/>
    <cellStyle name="Normal 2 5 4 2 7 2" xfId="6774" xr:uid="{00000000-0005-0000-0000-0000A2210000}"/>
    <cellStyle name="Normal 2 5 4 2 7 2 2" xfId="15210" xr:uid="{00000000-0005-0000-0000-0000A3210000}"/>
    <cellStyle name="Normal 2 5 4 2 7 3" xfId="10992" xr:uid="{00000000-0005-0000-0000-0000A4210000}"/>
    <cellStyle name="Normal 2 5 4 2 8" xfId="4708" xr:uid="{00000000-0005-0000-0000-0000A5210000}"/>
    <cellStyle name="Normal 2 5 4 2 8 2" xfId="13144" xr:uid="{00000000-0005-0000-0000-0000A6210000}"/>
    <cellStyle name="Normal 2 5 4 2 9" xfId="8926" xr:uid="{00000000-0005-0000-0000-0000A7210000}"/>
    <cellStyle name="Normal 2 5 4 3" xfId="321" xr:uid="{00000000-0005-0000-0000-0000A8210000}"/>
    <cellStyle name="Normal 2 5 4 3 2" xfId="807" xr:uid="{00000000-0005-0000-0000-0000A9210000}"/>
    <cellStyle name="Normal 2 5 4 3 2 2" xfId="3046" xr:uid="{00000000-0005-0000-0000-0000AA210000}"/>
    <cellStyle name="Normal 2 5 4 3 2 2 2" xfId="7269" xr:uid="{00000000-0005-0000-0000-0000AB210000}"/>
    <cellStyle name="Normal 2 5 4 3 2 2 2 2" xfId="15705" xr:uid="{00000000-0005-0000-0000-0000AC210000}"/>
    <cellStyle name="Normal 2 5 4 3 2 2 3" xfId="11487" xr:uid="{00000000-0005-0000-0000-0000AD210000}"/>
    <cellStyle name="Normal 2 5 4 3 2 3" xfId="5124" xr:uid="{00000000-0005-0000-0000-0000AE210000}"/>
    <cellStyle name="Normal 2 5 4 3 2 3 2" xfId="13560" xr:uid="{00000000-0005-0000-0000-0000AF210000}"/>
    <cellStyle name="Normal 2 5 4 3 2 4" xfId="9342" xr:uid="{00000000-0005-0000-0000-0000B0210000}"/>
    <cellStyle name="Normal 2 5 4 3 3" xfId="1229" xr:uid="{00000000-0005-0000-0000-0000B1210000}"/>
    <cellStyle name="Normal 2 5 4 3 3 2" xfId="3459" xr:uid="{00000000-0005-0000-0000-0000B2210000}"/>
    <cellStyle name="Normal 2 5 4 3 3 2 2" xfId="7682" xr:uid="{00000000-0005-0000-0000-0000B3210000}"/>
    <cellStyle name="Normal 2 5 4 3 3 2 2 2" xfId="16118" xr:uid="{00000000-0005-0000-0000-0000B4210000}"/>
    <cellStyle name="Normal 2 5 4 3 3 2 3" xfId="11900" xr:uid="{00000000-0005-0000-0000-0000B5210000}"/>
    <cellStyle name="Normal 2 5 4 3 3 3" xfId="5537" xr:uid="{00000000-0005-0000-0000-0000B6210000}"/>
    <cellStyle name="Normal 2 5 4 3 3 3 2" xfId="13973" xr:uid="{00000000-0005-0000-0000-0000B7210000}"/>
    <cellStyle name="Normal 2 5 4 3 3 4" xfId="9755" xr:uid="{00000000-0005-0000-0000-0000B8210000}"/>
    <cellStyle name="Normal 2 5 4 3 4" xfId="1642" xr:uid="{00000000-0005-0000-0000-0000B9210000}"/>
    <cellStyle name="Normal 2 5 4 3 4 2" xfId="3872" xr:uid="{00000000-0005-0000-0000-0000BA210000}"/>
    <cellStyle name="Normal 2 5 4 3 4 2 2" xfId="8095" xr:uid="{00000000-0005-0000-0000-0000BB210000}"/>
    <cellStyle name="Normal 2 5 4 3 4 2 2 2" xfId="16531" xr:uid="{00000000-0005-0000-0000-0000BC210000}"/>
    <cellStyle name="Normal 2 5 4 3 4 2 3" xfId="12313" xr:uid="{00000000-0005-0000-0000-0000BD210000}"/>
    <cellStyle name="Normal 2 5 4 3 4 3" xfId="5950" xr:uid="{00000000-0005-0000-0000-0000BE210000}"/>
    <cellStyle name="Normal 2 5 4 3 4 3 2" xfId="14386" xr:uid="{00000000-0005-0000-0000-0000BF210000}"/>
    <cellStyle name="Normal 2 5 4 3 4 4" xfId="10168" xr:uid="{00000000-0005-0000-0000-0000C0210000}"/>
    <cellStyle name="Normal 2 5 4 3 5" xfId="2056" xr:uid="{00000000-0005-0000-0000-0000C1210000}"/>
    <cellStyle name="Normal 2 5 4 3 5 2" xfId="4285" xr:uid="{00000000-0005-0000-0000-0000C2210000}"/>
    <cellStyle name="Normal 2 5 4 3 5 2 2" xfId="8508" xr:uid="{00000000-0005-0000-0000-0000C3210000}"/>
    <cellStyle name="Normal 2 5 4 3 5 2 2 2" xfId="16944" xr:uid="{00000000-0005-0000-0000-0000C4210000}"/>
    <cellStyle name="Normal 2 5 4 3 5 2 3" xfId="12726" xr:uid="{00000000-0005-0000-0000-0000C5210000}"/>
    <cellStyle name="Normal 2 5 4 3 5 3" xfId="6363" xr:uid="{00000000-0005-0000-0000-0000C6210000}"/>
    <cellStyle name="Normal 2 5 4 3 5 3 2" xfId="14799" xr:uid="{00000000-0005-0000-0000-0000C7210000}"/>
    <cellStyle name="Normal 2 5 4 3 5 4" xfId="10581" xr:uid="{00000000-0005-0000-0000-0000C8210000}"/>
    <cellStyle name="Normal 2 5 4 3 6" xfId="2492" xr:uid="{00000000-0005-0000-0000-0000C9210000}"/>
    <cellStyle name="Normal 2 5 4 3 6 2" xfId="6776" xr:uid="{00000000-0005-0000-0000-0000CA210000}"/>
    <cellStyle name="Normal 2 5 4 3 6 2 2" xfId="15212" xr:uid="{00000000-0005-0000-0000-0000CB210000}"/>
    <cellStyle name="Normal 2 5 4 3 6 3" xfId="10994" xr:uid="{00000000-0005-0000-0000-0000CC210000}"/>
    <cellStyle name="Normal 2 5 4 3 7" xfId="4710" xr:uid="{00000000-0005-0000-0000-0000CD210000}"/>
    <cellStyle name="Normal 2 5 4 3 7 2" xfId="13146" xr:uid="{00000000-0005-0000-0000-0000CE210000}"/>
    <cellStyle name="Normal 2 5 4 3 8" xfId="8928" xr:uid="{00000000-0005-0000-0000-0000CF210000}"/>
    <cellStyle name="Normal 2 5 4 4" xfId="804" xr:uid="{00000000-0005-0000-0000-0000D0210000}"/>
    <cellStyle name="Normal 2 5 4 4 2" xfId="3043" xr:uid="{00000000-0005-0000-0000-0000D1210000}"/>
    <cellStyle name="Normal 2 5 4 4 2 2" xfId="7266" xr:uid="{00000000-0005-0000-0000-0000D2210000}"/>
    <cellStyle name="Normal 2 5 4 4 2 2 2" xfId="15702" xr:uid="{00000000-0005-0000-0000-0000D3210000}"/>
    <cellStyle name="Normal 2 5 4 4 2 3" xfId="11484" xr:uid="{00000000-0005-0000-0000-0000D4210000}"/>
    <cellStyle name="Normal 2 5 4 4 3" xfId="5121" xr:uid="{00000000-0005-0000-0000-0000D5210000}"/>
    <cellStyle name="Normal 2 5 4 4 3 2" xfId="13557" xr:uid="{00000000-0005-0000-0000-0000D6210000}"/>
    <cellStyle name="Normal 2 5 4 4 4" xfId="9339" xr:uid="{00000000-0005-0000-0000-0000D7210000}"/>
    <cellStyle name="Normal 2 5 4 5" xfId="1226" xr:uid="{00000000-0005-0000-0000-0000D8210000}"/>
    <cellStyle name="Normal 2 5 4 5 2" xfId="3456" xr:uid="{00000000-0005-0000-0000-0000D9210000}"/>
    <cellStyle name="Normal 2 5 4 5 2 2" xfId="7679" xr:uid="{00000000-0005-0000-0000-0000DA210000}"/>
    <cellStyle name="Normal 2 5 4 5 2 2 2" xfId="16115" xr:uid="{00000000-0005-0000-0000-0000DB210000}"/>
    <cellStyle name="Normal 2 5 4 5 2 3" xfId="11897" xr:uid="{00000000-0005-0000-0000-0000DC210000}"/>
    <cellStyle name="Normal 2 5 4 5 3" xfId="5534" xr:uid="{00000000-0005-0000-0000-0000DD210000}"/>
    <cellStyle name="Normal 2 5 4 5 3 2" xfId="13970" xr:uid="{00000000-0005-0000-0000-0000DE210000}"/>
    <cellStyle name="Normal 2 5 4 5 4" xfId="9752" xr:uid="{00000000-0005-0000-0000-0000DF210000}"/>
    <cellStyle name="Normal 2 5 4 6" xfId="1639" xr:uid="{00000000-0005-0000-0000-0000E0210000}"/>
    <cellStyle name="Normal 2 5 4 6 2" xfId="3869" xr:uid="{00000000-0005-0000-0000-0000E1210000}"/>
    <cellStyle name="Normal 2 5 4 6 2 2" xfId="8092" xr:uid="{00000000-0005-0000-0000-0000E2210000}"/>
    <cellStyle name="Normal 2 5 4 6 2 2 2" xfId="16528" xr:uid="{00000000-0005-0000-0000-0000E3210000}"/>
    <cellStyle name="Normal 2 5 4 6 2 3" xfId="12310" xr:uid="{00000000-0005-0000-0000-0000E4210000}"/>
    <cellStyle name="Normal 2 5 4 6 3" xfId="5947" xr:uid="{00000000-0005-0000-0000-0000E5210000}"/>
    <cellStyle name="Normal 2 5 4 6 3 2" xfId="14383" xr:uid="{00000000-0005-0000-0000-0000E6210000}"/>
    <cellStyle name="Normal 2 5 4 6 4" xfId="10165" xr:uid="{00000000-0005-0000-0000-0000E7210000}"/>
    <cellStyle name="Normal 2 5 4 7" xfId="2053" xr:uid="{00000000-0005-0000-0000-0000E8210000}"/>
    <cellStyle name="Normal 2 5 4 7 2" xfId="4282" xr:uid="{00000000-0005-0000-0000-0000E9210000}"/>
    <cellStyle name="Normal 2 5 4 7 2 2" xfId="8505" xr:uid="{00000000-0005-0000-0000-0000EA210000}"/>
    <cellStyle name="Normal 2 5 4 7 2 2 2" xfId="16941" xr:uid="{00000000-0005-0000-0000-0000EB210000}"/>
    <cellStyle name="Normal 2 5 4 7 2 3" xfId="12723" xr:uid="{00000000-0005-0000-0000-0000EC210000}"/>
    <cellStyle name="Normal 2 5 4 7 3" xfId="6360" xr:uid="{00000000-0005-0000-0000-0000ED210000}"/>
    <cellStyle name="Normal 2 5 4 7 3 2" xfId="14796" xr:uid="{00000000-0005-0000-0000-0000EE210000}"/>
    <cellStyle name="Normal 2 5 4 7 4" xfId="10578" xr:uid="{00000000-0005-0000-0000-0000EF210000}"/>
    <cellStyle name="Normal 2 5 4 8" xfId="2489" xr:uid="{00000000-0005-0000-0000-0000F0210000}"/>
    <cellStyle name="Normal 2 5 4 8 2" xfId="6773" xr:uid="{00000000-0005-0000-0000-0000F1210000}"/>
    <cellStyle name="Normal 2 5 4 8 2 2" xfId="15209" xr:uid="{00000000-0005-0000-0000-0000F2210000}"/>
    <cellStyle name="Normal 2 5 4 8 3" xfId="10991" xr:uid="{00000000-0005-0000-0000-0000F3210000}"/>
    <cellStyle name="Normal 2 5 4 9" xfId="4707" xr:uid="{00000000-0005-0000-0000-0000F4210000}"/>
    <cellStyle name="Normal 2 5 4 9 2" xfId="13143" xr:uid="{00000000-0005-0000-0000-0000F5210000}"/>
    <cellStyle name="Normal 2 5 5" xfId="803" xr:uid="{00000000-0005-0000-0000-0000F6210000}"/>
    <cellStyle name="Normal 2 5 5 2" xfId="3042" xr:uid="{00000000-0005-0000-0000-0000F7210000}"/>
    <cellStyle name="Normal 2 5 5 2 2" xfId="7265" xr:uid="{00000000-0005-0000-0000-0000F8210000}"/>
    <cellStyle name="Normal 2 5 5 2 2 2" xfId="15701" xr:uid="{00000000-0005-0000-0000-0000F9210000}"/>
    <cellStyle name="Normal 2 5 5 2 3" xfId="11483" xr:uid="{00000000-0005-0000-0000-0000FA210000}"/>
    <cellStyle name="Normal 2 5 5 3" xfId="5120" xr:uid="{00000000-0005-0000-0000-0000FB210000}"/>
    <cellStyle name="Normal 2 5 5 3 2" xfId="13556" xr:uid="{00000000-0005-0000-0000-0000FC210000}"/>
    <cellStyle name="Normal 2 5 5 4" xfId="9338" xr:uid="{00000000-0005-0000-0000-0000FD210000}"/>
    <cellStyle name="Normal 2 5 6" xfId="1225" xr:uid="{00000000-0005-0000-0000-0000FE210000}"/>
    <cellStyle name="Normal 2 5 6 2" xfId="3455" xr:uid="{00000000-0005-0000-0000-0000FF210000}"/>
    <cellStyle name="Normal 2 5 6 2 2" xfId="7678" xr:uid="{00000000-0005-0000-0000-000000220000}"/>
    <cellStyle name="Normal 2 5 6 2 2 2" xfId="16114" xr:uid="{00000000-0005-0000-0000-000001220000}"/>
    <cellStyle name="Normal 2 5 6 2 3" xfId="11896" xr:uid="{00000000-0005-0000-0000-000002220000}"/>
    <cellStyle name="Normal 2 5 6 3" xfId="5533" xr:uid="{00000000-0005-0000-0000-000003220000}"/>
    <cellStyle name="Normal 2 5 6 3 2" xfId="13969" xr:uid="{00000000-0005-0000-0000-000004220000}"/>
    <cellStyle name="Normal 2 5 6 4" xfId="9751" xr:uid="{00000000-0005-0000-0000-000005220000}"/>
    <cellStyle name="Normal 2 5 7" xfId="1638" xr:uid="{00000000-0005-0000-0000-000006220000}"/>
    <cellStyle name="Normal 2 5 7 2" xfId="3868" xr:uid="{00000000-0005-0000-0000-000007220000}"/>
    <cellStyle name="Normal 2 5 7 2 2" xfId="8091" xr:uid="{00000000-0005-0000-0000-000008220000}"/>
    <cellStyle name="Normal 2 5 7 2 2 2" xfId="16527" xr:uid="{00000000-0005-0000-0000-000009220000}"/>
    <cellStyle name="Normal 2 5 7 2 3" xfId="12309" xr:uid="{00000000-0005-0000-0000-00000A220000}"/>
    <cellStyle name="Normal 2 5 7 3" xfId="5946" xr:uid="{00000000-0005-0000-0000-00000B220000}"/>
    <cellStyle name="Normal 2 5 7 3 2" xfId="14382" xr:uid="{00000000-0005-0000-0000-00000C220000}"/>
    <cellStyle name="Normal 2 5 7 4" xfId="10164" xr:uid="{00000000-0005-0000-0000-00000D220000}"/>
    <cellStyle name="Normal 2 5 8" xfId="2052" xr:uid="{00000000-0005-0000-0000-00000E220000}"/>
    <cellStyle name="Normal 2 5 8 2" xfId="4281" xr:uid="{00000000-0005-0000-0000-00000F220000}"/>
    <cellStyle name="Normal 2 5 8 2 2" xfId="8504" xr:uid="{00000000-0005-0000-0000-000010220000}"/>
    <cellStyle name="Normal 2 5 8 2 2 2" xfId="16940" xr:uid="{00000000-0005-0000-0000-000011220000}"/>
    <cellStyle name="Normal 2 5 8 2 3" xfId="12722" xr:uid="{00000000-0005-0000-0000-000012220000}"/>
    <cellStyle name="Normal 2 5 8 3" xfId="6359" xr:uid="{00000000-0005-0000-0000-000013220000}"/>
    <cellStyle name="Normal 2 5 8 3 2" xfId="14795" xr:uid="{00000000-0005-0000-0000-000014220000}"/>
    <cellStyle name="Normal 2 5 8 4" xfId="10577" xr:uid="{00000000-0005-0000-0000-000015220000}"/>
    <cellStyle name="Normal 2 5 9" xfId="2488" xr:uid="{00000000-0005-0000-0000-000016220000}"/>
    <cellStyle name="Normal 2 5 9 2" xfId="6772" xr:uid="{00000000-0005-0000-0000-000017220000}"/>
    <cellStyle name="Normal 2 5 9 2 2" xfId="15208" xr:uid="{00000000-0005-0000-0000-000018220000}"/>
    <cellStyle name="Normal 2 5 9 3" xfId="10990" xr:uid="{00000000-0005-0000-0000-000019220000}"/>
    <cellStyle name="Normal 2 6" xfId="322" xr:uid="{00000000-0005-0000-0000-00001A220000}"/>
    <cellStyle name="Normal 2 7" xfId="769" xr:uid="{00000000-0005-0000-0000-00001B220000}"/>
    <cellStyle name="Normal 2 8" xfId="4495" xr:uid="{00000000-0005-0000-0000-00001C220000}"/>
    <cellStyle name="Normal 2 8 2" xfId="12934" xr:uid="{00000000-0005-0000-0000-00001D220000}"/>
    <cellStyle name="Normal 3" xfId="323" xr:uid="{00000000-0005-0000-0000-00001E220000}"/>
    <cellStyle name="Normal 3 2" xfId="324" xr:uid="{00000000-0005-0000-0000-00001F220000}"/>
    <cellStyle name="Normal 3 2 10" xfId="8929" xr:uid="{00000000-0005-0000-0000-000020220000}"/>
    <cellStyle name="Normal 3 2 2" xfId="325" xr:uid="{00000000-0005-0000-0000-000021220000}"/>
    <cellStyle name="Normal 3 2 2 2" xfId="810" xr:uid="{00000000-0005-0000-0000-000022220000}"/>
    <cellStyle name="Normal 3 2 3" xfId="326" xr:uid="{00000000-0005-0000-0000-000023220000}"/>
    <cellStyle name="Normal 3 2 3 10" xfId="8930" xr:uid="{00000000-0005-0000-0000-000024220000}"/>
    <cellStyle name="Normal 3 2 3 2" xfId="327" xr:uid="{00000000-0005-0000-0000-000025220000}"/>
    <cellStyle name="Normal 3 2 3 2 2" xfId="328" xr:uid="{00000000-0005-0000-0000-000026220000}"/>
    <cellStyle name="Normal 3 2 3 2 2 2" xfId="813" xr:uid="{00000000-0005-0000-0000-000027220000}"/>
    <cellStyle name="Normal 3 2 3 2 2 2 2" xfId="3050" xr:uid="{00000000-0005-0000-0000-000028220000}"/>
    <cellStyle name="Normal 3 2 3 2 2 2 2 2" xfId="7273" xr:uid="{00000000-0005-0000-0000-000029220000}"/>
    <cellStyle name="Normal 3 2 3 2 2 2 2 2 2" xfId="15709" xr:uid="{00000000-0005-0000-0000-00002A220000}"/>
    <cellStyle name="Normal 3 2 3 2 2 2 2 3" xfId="11491" xr:uid="{00000000-0005-0000-0000-00002B220000}"/>
    <cellStyle name="Normal 3 2 3 2 2 2 3" xfId="5128" xr:uid="{00000000-0005-0000-0000-00002C220000}"/>
    <cellStyle name="Normal 3 2 3 2 2 2 3 2" xfId="13564" xr:uid="{00000000-0005-0000-0000-00002D220000}"/>
    <cellStyle name="Normal 3 2 3 2 2 2 4" xfId="9346" xr:uid="{00000000-0005-0000-0000-00002E220000}"/>
    <cellStyle name="Normal 3 2 3 2 2 3" xfId="1233" xr:uid="{00000000-0005-0000-0000-00002F220000}"/>
    <cellStyle name="Normal 3 2 3 2 2 3 2" xfId="3463" xr:uid="{00000000-0005-0000-0000-000030220000}"/>
    <cellStyle name="Normal 3 2 3 2 2 3 2 2" xfId="7686" xr:uid="{00000000-0005-0000-0000-000031220000}"/>
    <cellStyle name="Normal 3 2 3 2 2 3 2 2 2" xfId="16122" xr:uid="{00000000-0005-0000-0000-000032220000}"/>
    <cellStyle name="Normal 3 2 3 2 2 3 2 3" xfId="11904" xr:uid="{00000000-0005-0000-0000-000033220000}"/>
    <cellStyle name="Normal 3 2 3 2 2 3 3" xfId="5541" xr:uid="{00000000-0005-0000-0000-000034220000}"/>
    <cellStyle name="Normal 3 2 3 2 2 3 3 2" xfId="13977" xr:uid="{00000000-0005-0000-0000-000035220000}"/>
    <cellStyle name="Normal 3 2 3 2 2 3 4" xfId="9759" xr:uid="{00000000-0005-0000-0000-000036220000}"/>
    <cellStyle name="Normal 3 2 3 2 2 4" xfId="1646" xr:uid="{00000000-0005-0000-0000-000037220000}"/>
    <cellStyle name="Normal 3 2 3 2 2 4 2" xfId="3876" xr:uid="{00000000-0005-0000-0000-000038220000}"/>
    <cellStyle name="Normal 3 2 3 2 2 4 2 2" xfId="8099" xr:uid="{00000000-0005-0000-0000-000039220000}"/>
    <cellStyle name="Normal 3 2 3 2 2 4 2 2 2" xfId="16535" xr:uid="{00000000-0005-0000-0000-00003A220000}"/>
    <cellStyle name="Normal 3 2 3 2 2 4 2 3" xfId="12317" xr:uid="{00000000-0005-0000-0000-00003B220000}"/>
    <cellStyle name="Normal 3 2 3 2 2 4 3" xfId="5954" xr:uid="{00000000-0005-0000-0000-00003C220000}"/>
    <cellStyle name="Normal 3 2 3 2 2 4 3 2" xfId="14390" xr:uid="{00000000-0005-0000-0000-00003D220000}"/>
    <cellStyle name="Normal 3 2 3 2 2 4 4" xfId="10172" xr:uid="{00000000-0005-0000-0000-00003E220000}"/>
    <cellStyle name="Normal 3 2 3 2 2 5" xfId="2060" xr:uid="{00000000-0005-0000-0000-00003F220000}"/>
    <cellStyle name="Normal 3 2 3 2 2 5 2" xfId="4289" xr:uid="{00000000-0005-0000-0000-000040220000}"/>
    <cellStyle name="Normal 3 2 3 2 2 5 2 2" xfId="8512" xr:uid="{00000000-0005-0000-0000-000041220000}"/>
    <cellStyle name="Normal 3 2 3 2 2 5 2 2 2" xfId="16948" xr:uid="{00000000-0005-0000-0000-000042220000}"/>
    <cellStyle name="Normal 3 2 3 2 2 5 2 3" xfId="12730" xr:uid="{00000000-0005-0000-0000-000043220000}"/>
    <cellStyle name="Normal 3 2 3 2 2 5 3" xfId="6367" xr:uid="{00000000-0005-0000-0000-000044220000}"/>
    <cellStyle name="Normal 3 2 3 2 2 5 3 2" xfId="14803" xr:uid="{00000000-0005-0000-0000-000045220000}"/>
    <cellStyle name="Normal 3 2 3 2 2 5 4" xfId="10585" xr:uid="{00000000-0005-0000-0000-000046220000}"/>
    <cellStyle name="Normal 3 2 3 2 2 6" xfId="2496" xr:uid="{00000000-0005-0000-0000-000047220000}"/>
    <cellStyle name="Normal 3 2 3 2 2 6 2" xfId="6780" xr:uid="{00000000-0005-0000-0000-000048220000}"/>
    <cellStyle name="Normal 3 2 3 2 2 6 2 2" xfId="15216" xr:uid="{00000000-0005-0000-0000-000049220000}"/>
    <cellStyle name="Normal 3 2 3 2 2 6 3" xfId="10998" xr:uid="{00000000-0005-0000-0000-00004A220000}"/>
    <cellStyle name="Normal 3 2 3 2 2 7" xfId="4714" xr:uid="{00000000-0005-0000-0000-00004B220000}"/>
    <cellStyle name="Normal 3 2 3 2 2 7 2" xfId="13150" xr:uid="{00000000-0005-0000-0000-00004C220000}"/>
    <cellStyle name="Normal 3 2 3 2 2 8" xfId="8932" xr:uid="{00000000-0005-0000-0000-00004D220000}"/>
    <cellStyle name="Normal 3 2 3 2 3" xfId="812" xr:uid="{00000000-0005-0000-0000-00004E220000}"/>
    <cellStyle name="Normal 3 2 3 2 3 2" xfId="3049" xr:uid="{00000000-0005-0000-0000-00004F220000}"/>
    <cellStyle name="Normal 3 2 3 2 3 2 2" xfId="7272" xr:uid="{00000000-0005-0000-0000-000050220000}"/>
    <cellStyle name="Normal 3 2 3 2 3 2 2 2" xfId="15708" xr:uid="{00000000-0005-0000-0000-000051220000}"/>
    <cellStyle name="Normal 3 2 3 2 3 2 3" xfId="11490" xr:uid="{00000000-0005-0000-0000-000052220000}"/>
    <cellStyle name="Normal 3 2 3 2 3 3" xfId="5127" xr:uid="{00000000-0005-0000-0000-000053220000}"/>
    <cellStyle name="Normal 3 2 3 2 3 3 2" xfId="13563" xr:uid="{00000000-0005-0000-0000-000054220000}"/>
    <cellStyle name="Normal 3 2 3 2 3 4" xfId="9345" xr:uid="{00000000-0005-0000-0000-000055220000}"/>
    <cellStyle name="Normal 3 2 3 2 4" xfId="1232" xr:uid="{00000000-0005-0000-0000-000056220000}"/>
    <cellStyle name="Normal 3 2 3 2 4 2" xfId="3462" xr:uid="{00000000-0005-0000-0000-000057220000}"/>
    <cellStyle name="Normal 3 2 3 2 4 2 2" xfId="7685" xr:uid="{00000000-0005-0000-0000-000058220000}"/>
    <cellStyle name="Normal 3 2 3 2 4 2 2 2" xfId="16121" xr:uid="{00000000-0005-0000-0000-000059220000}"/>
    <cellStyle name="Normal 3 2 3 2 4 2 3" xfId="11903" xr:uid="{00000000-0005-0000-0000-00005A220000}"/>
    <cellStyle name="Normal 3 2 3 2 4 3" xfId="5540" xr:uid="{00000000-0005-0000-0000-00005B220000}"/>
    <cellStyle name="Normal 3 2 3 2 4 3 2" xfId="13976" xr:uid="{00000000-0005-0000-0000-00005C220000}"/>
    <cellStyle name="Normal 3 2 3 2 4 4" xfId="9758" xr:uid="{00000000-0005-0000-0000-00005D220000}"/>
    <cellStyle name="Normal 3 2 3 2 5" xfId="1645" xr:uid="{00000000-0005-0000-0000-00005E220000}"/>
    <cellStyle name="Normal 3 2 3 2 5 2" xfId="3875" xr:uid="{00000000-0005-0000-0000-00005F220000}"/>
    <cellStyle name="Normal 3 2 3 2 5 2 2" xfId="8098" xr:uid="{00000000-0005-0000-0000-000060220000}"/>
    <cellStyle name="Normal 3 2 3 2 5 2 2 2" xfId="16534" xr:uid="{00000000-0005-0000-0000-000061220000}"/>
    <cellStyle name="Normal 3 2 3 2 5 2 3" xfId="12316" xr:uid="{00000000-0005-0000-0000-000062220000}"/>
    <cellStyle name="Normal 3 2 3 2 5 3" xfId="5953" xr:uid="{00000000-0005-0000-0000-000063220000}"/>
    <cellStyle name="Normal 3 2 3 2 5 3 2" xfId="14389" xr:uid="{00000000-0005-0000-0000-000064220000}"/>
    <cellStyle name="Normal 3 2 3 2 5 4" xfId="10171" xr:uid="{00000000-0005-0000-0000-000065220000}"/>
    <cellStyle name="Normal 3 2 3 2 6" xfId="2059" xr:uid="{00000000-0005-0000-0000-000066220000}"/>
    <cellStyle name="Normal 3 2 3 2 6 2" xfId="4288" xr:uid="{00000000-0005-0000-0000-000067220000}"/>
    <cellStyle name="Normal 3 2 3 2 6 2 2" xfId="8511" xr:uid="{00000000-0005-0000-0000-000068220000}"/>
    <cellStyle name="Normal 3 2 3 2 6 2 2 2" xfId="16947" xr:uid="{00000000-0005-0000-0000-000069220000}"/>
    <cellStyle name="Normal 3 2 3 2 6 2 3" xfId="12729" xr:uid="{00000000-0005-0000-0000-00006A220000}"/>
    <cellStyle name="Normal 3 2 3 2 6 3" xfId="6366" xr:uid="{00000000-0005-0000-0000-00006B220000}"/>
    <cellStyle name="Normal 3 2 3 2 6 3 2" xfId="14802" xr:uid="{00000000-0005-0000-0000-00006C220000}"/>
    <cellStyle name="Normal 3 2 3 2 6 4" xfId="10584" xr:uid="{00000000-0005-0000-0000-00006D220000}"/>
    <cellStyle name="Normal 3 2 3 2 7" xfId="2495" xr:uid="{00000000-0005-0000-0000-00006E220000}"/>
    <cellStyle name="Normal 3 2 3 2 7 2" xfId="6779" xr:uid="{00000000-0005-0000-0000-00006F220000}"/>
    <cellStyle name="Normal 3 2 3 2 7 2 2" xfId="15215" xr:uid="{00000000-0005-0000-0000-000070220000}"/>
    <cellStyle name="Normal 3 2 3 2 7 3" xfId="10997" xr:uid="{00000000-0005-0000-0000-000071220000}"/>
    <cellStyle name="Normal 3 2 3 2 8" xfId="4713" xr:uid="{00000000-0005-0000-0000-000072220000}"/>
    <cellStyle name="Normal 3 2 3 2 8 2" xfId="13149" xr:uid="{00000000-0005-0000-0000-000073220000}"/>
    <cellStyle name="Normal 3 2 3 2 9" xfId="8931" xr:uid="{00000000-0005-0000-0000-000074220000}"/>
    <cellStyle name="Normal 3 2 3 3" xfId="329" xr:uid="{00000000-0005-0000-0000-000075220000}"/>
    <cellStyle name="Normal 3 2 3 3 2" xfId="814" xr:uid="{00000000-0005-0000-0000-000076220000}"/>
    <cellStyle name="Normal 3 2 3 3 2 2" xfId="3051" xr:uid="{00000000-0005-0000-0000-000077220000}"/>
    <cellStyle name="Normal 3 2 3 3 2 2 2" xfId="7274" xr:uid="{00000000-0005-0000-0000-000078220000}"/>
    <cellStyle name="Normal 3 2 3 3 2 2 2 2" xfId="15710" xr:uid="{00000000-0005-0000-0000-000079220000}"/>
    <cellStyle name="Normal 3 2 3 3 2 2 3" xfId="11492" xr:uid="{00000000-0005-0000-0000-00007A220000}"/>
    <cellStyle name="Normal 3 2 3 3 2 3" xfId="5129" xr:uid="{00000000-0005-0000-0000-00007B220000}"/>
    <cellStyle name="Normal 3 2 3 3 2 3 2" xfId="13565" xr:uid="{00000000-0005-0000-0000-00007C220000}"/>
    <cellStyle name="Normal 3 2 3 3 2 4" xfId="9347" xr:uid="{00000000-0005-0000-0000-00007D220000}"/>
    <cellStyle name="Normal 3 2 3 3 3" xfId="1234" xr:uid="{00000000-0005-0000-0000-00007E220000}"/>
    <cellStyle name="Normal 3 2 3 3 3 2" xfId="3464" xr:uid="{00000000-0005-0000-0000-00007F220000}"/>
    <cellStyle name="Normal 3 2 3 3 3 2 2" xfId="7687" xr:uid="{00000000-0005-0000-0000-000080220000}"/>
    <cellStyle name="Normal 3 2 3 3 3 2 2 2" xfId="16123" xr:uid="{00000000-0005-0000-0000-000081220000}"/>
    <cellStyle name="Normal 3 2 3 3 3 2 3" xfId="11905" xr:uid="{00000000-0005-0000-0000-000082220000}"/>
    <cellStyle name="Normal 3 2 3 3 3 3" xfId="5542" xr:uid="{00000000-0005-0000-0000-000083220000}"/>
    <cellStyle name="Normal 3 2 3 3 3 3 2" xfId="13978" xr:uid="{00000000-0005-0000-0000-000084220000}"/>
    <cellStyle name="Normal 3 2 3 3 3 4" xfId="9760" xr:uid="{00000000-0005-0000-0000-000085220000}"/>
    <cellStyle name="Normal 3 2 3 3 4" xfId="1647" xr:uid="{00000000-0005-0000-0000-000086220000}"/>
    <cellStyle name="Normal 3 2 3 3 4 2" xfId="3877" xr:uid="{00000000-0005-0000-0000-000087220000}"/>
    <cellStyle name="Normal 3 2 3 3 4 2 2" xfId="8100" xr:uid="{00000000-0005-0000-0000-000088220000}"/>
    <cellStyle name="Normal 3 2 3 3 4 2 2 2" xfId="16536" xr:uid="{00000000-0005-0000-0000-000089220000}"/>
    <cellStyle name="Normal 3 2 3 3 4 2 3" xfId="12318" xr:uid="{00000000-0005-0000-0000-00008A220000}"/>
    <cellStyle name="Normal 3 2 3 3 4 3" xfId="5955" xr:uid="{00000000-0005-0000-0000-00008B220000}"/>
    <cellStyle name="Normal 3 2 3 3 4 3 2" xfId="14391" xr:uid="{00000000-0005-0000-0000-00008C220000}"/>
    <cellStyle name="Normal 3 2 3 3 4 4" xfId="10173" xr:uid="{00000000-0005-0000-0000-00008D220000}"/>
    <cellStyle name="Normal 3 2 3 3 5" xfId="2061" xr:uid="{00000000-0005-0000-0000-00008E220000}"/>
    <cellStyle name="Normal 3 2 3 3 5 2" xfId="4290" xr:uid="{00000000-0005-0000-0000-00008F220000}"/>
    <cellStyle name="Normal 3 2 3 3 5 2 2" xfId="8513" xr:uid="{00000000-0005-0000-0000-000090220000}"/>
    <cellStyle name="Normal 3 2 3 3 5 2 2 2" xfId="16949" xr:uid="{00000000-0005-0000-0000-000091220000}"/>
    <cellStyle name="Normal 3 2 3 3 5 2 3" xfId="12731" xr:uid="{00000000-0005-0000-0000-000092220000}"/>
    <cellStyle name="Normal 3 2 3 3 5 3" xfId="6368" xr:uid="{00000000-0005-0000-0000-000093220000}"/>
    <cellStyle name="Normal 3 2 3 3 5 3 2" xfId="14804" xr:uid="{00000000-0005-0000-0000-000094220000}"/>
    <cellStyle name="Normal 3 2 3 3 5 4" xfId="10586" xr:uid="{00000000-0005-0000-0000-000095220000}"/>
    <cellStyle name="Normal 3 2 3 3 6" xfId="2497" xr:uid="{00000000-0005-0000-0000-000096220000}"/>
    <cellStyle name="Normal 3 2 3 3 6 2" xfId="6781" xr:uid="{00000000-0005-0000-0000-000097220000}"/>
    <cellStyle name="Normal 3 2 3 3 6 2 2" xfId="15217" xr:uid="{00000000-0005-0000-0000-000098220000}"/>
    <cellStyle name="Normal 3 2 3 3 6 3" xfId="10999" xr:uid="{00000000-0005-0000-0000-000099220000}"/>
    <cellStyle name="Normal 3 2 3 3 7" xfId="4715" xr:uid="{00000000-0005-0000-0000-00009A220000}"/>
    <cellStyle name="Normal 3 2 3 3 7 2" xfId="13151" xr:uid="{00000000-0005-0000-0000-00009B220000}"/>
    <cellStyle name="Normal 3 2 3 3 8" xfId="8933" xr:uid="{00000000-0005-0000-0000-00009C220000}"/>
    <cellStyle name="Normal 3 2 3 4" xfId="811" xr:uid="{00000000-0005-0000-0000-00009D220000}"/>
    <cellStyle name="Normal 3 2 3 4 2" xfId="3048" xr:uid="{00000000-0005-0000-0000-00009E220000}"/>
    <cellStyle name="Normal 3 2 3 4 2 2" xfId="7271" xr:uid="{00000000-0005-0000-0000-00009F220000}"/>
    <cellStyle name="Normal 3 2 3 4 2 2 2" xfId="15707" xr:uid="{00000000-0005-0000-0000-0000A0220000}"/>
    <cellStyle name="Normal 3 2 3 4 2 3" xfId="11489" xr:uid="{00000000-0005-0000-0000-0000A1220000}"/>
    <cellStyle name="Normal 3 2 3 4 3" xfId="5126" xr:uid="{00000000-0005-0000-0000-0000A2220000}"/>
    <cellStyle name="Normal 3 2 3 4 3 2" xfId="13562" xr:uid="{00000000-0005-0000-0000-0000A3220000}"/>
    <cellStyle name="Normal 3 2 3 4 4" xfId="9344" xr:uid="{00000000-0005-0000-0000-0000A4220000}"/>
    <cellStyle name="Normal 3 2 3 5" xfId="1231" xr:uid="{00000000-0005-0000-0000-0000A5220000}"/>
    <cellStyle name="Normal 3 2 3 5 2" xfId="3461" xr:uid="{00000000-0005-0000-0000-0000A6220000}"/>
    <cellStyle name="Normal 3 2 3 5 2 2" xfId="7684" xr:uid="{00000000-0005-0000-0000-0000A7220000}"/>
    <cellStyle name="Normal 3 2 3 5 2 2 2" xfId="16120" xr:uid="{00000000-0005-0000-0000-0000A8220000}"/>
    <cellStyle name="Normal 3 2 3 5 2 3" xfId="11902" xr:uid="{00000000-0005-0000-0000-0000A9220000}"/>
    <cellStyle name="Normal 3 2 3 5 3" xfId="5539" xr:uid="{00000000-0005-0000-0000-0000AA220000}"/>
    <cellStyle name="Normal 3 2 3 5 3 2" xfId="13975" xr:uid="{00000000-0005-0000-0000-0000AB220000}"/>
    <cellStyle name="Normal 3 2 3 5 4" xfId="9757" xr:uid="{00000000-0005-0000-0000-0000AC220000}"/>
    <cellStyle name="Normal 3 2 3 6" xfId="1644" xr:uid="{00000000-0005-0000-0000-0000AD220000}"/>
    <cellStyle name="Normal 3 2 3 6 2" xfId="3874" xr:uid="{00000000-0005-0000-0000-0000AE220000}"/>
    <cellStyle name="Normal 3 2 3 6 2 2" xfId="8097" xr:uid="{00000000-0005-0000-0000-0000AF220000}"/>
    <cellStyle name="Normal 3 2 3 6 2 2 2" xfId="16533" xr:uid="{00000000-0005-0000-0000-0000B0220000}"/>
    <cellStyle name="Normal 3 2 3 6 2 3" xfId="12315" xr:uid="{00000000-0005-0000-0000-0000B1220000}"/>
    <cellStyle name="Normal 3 2 3 6 3" xfId="5952" xr:uid="{00000000-0005-0000-0000-0000B2220000}"/>
    <cellStyle name="Normal 3 2 3 6 3 2" xfId="14388" xr:uid="{00000000-0005-0000-0000-0000B3220000}"/>
    <cellStyle name="Normal 3 2 3 6 4" xfId="10170" xr:uid="{00000000-0005-0000-0000-0000B4220000}"/>
    <cellStyle name="Normal 3 2 3 7" xfId="2058" xr:uid="{00000000-0005-0000-0000-0000B5220000}"/>
    <cellStyle name="Normal 3 2 3 7 2" xfId="4287" xr:uid="{00000000-0005-0000-0000-0000B6220000}"/>
    <cellStyle name="Normal 3 2 3 7 2 2" xfId="8510" xr:uid="{00000000-0005-0000-0000-0000B7220000}"/>
    <cellStyle name="Normal 3 2 3 7 2 2 2" xfId="16946" xr:uid="{00000000-0005-0000-0000-0000B8220000}"/>
    <cellStyle name="Normal 3 2 3 7 2 3" xfId="12728" xr:uid="{00000000-0005-0000-0000-0000B9220000}"/>
    <cellStyle name="Normal 3 2 3 7 3" xfId="6365" xr:uid="{00000000-0005-0000-0000-0000BA220000}"/>
    <cellStyle name="Normal 3 2 3 7 3 2" xfId="14801" xr:uid="{00000000-0005-0000-0000-0000BB220000}"/>
    <cellStyle name="Normal 3 2 3 7 4" xfId="10583" xr:uid="{00000000-0005-0000-0000-0000BC220000}"/>
    <cellStyle name="Normal 3 2 3 8" xfId="2494" xr:uid="{00000000-0005-0000-0000-0000BD220000}"/>
    <cellStyle name="Normal 3 2 3 8 2" xfId="6778" xr:uid="{00000000-0005-0000-0000-0000BE220000}"/>
    <cellStyle name="Normal 3 2 3 8 2 2" xfId="15214" xr:uid="{00000000-0005-0000-0000-0000BF220000}"/>
    <cellStyle name="Normal 3 2 3 8 3" xfId="10996" xr:uid="{00000000-0005-0000-0000-0000C0220000}"/>
    <cellStyle name="Normal 3 2 3 9" xfId="4712" xr:uid="{00000000-0005-0000-0000-0000C1220000}"/>
    <cellStyle name="Normal 3 2 3 9 2" xfId="13148" xr:uid="{00000000-0005-0000-0000-0000C2220000}"/>
    <cellStyle name="Normal 3 2 4" xfId="809" xr:uid="{00000000-0005-0000-0000-0000C3220000}"/>
    <cellStyle name="Normal 3 2 4 2" xfId="3047" xr:uid="{00000000-0005-0000-0000-0000C4220000}"/>
    <cellStyle name="Normal 3 2 4 2 2" xfId="7270" xr:uid="{00000000-0005-0000-0000-0000C5220000}"/>
    <cellStyle name="Normal 3 2 4 2 2 2" xfId="15706" xr:uid="{00000000-0005-0000-0000-0000C6220000}"/>
    <cellStyle name="Normal 3 2 4 2 3" xfId="11488" xr:uid="{00000000-0005-0000-0000-0000C7220000}"/>
    <cellStyle name="Normal 3 2 4 3" xfId="5125" xr:uid="{00000000-0005-0000-0000-0000C8220000}"/>
    <cellStyle name="Normal 3 2 4 3 2" xfId="13561" xr:uid="{00000000-0005-0000-0000-0000C9220000}"/>
    <cellStyle name="Normal 3 2 4 4" xfId="9343" xr:uid="{00000000-0005-0000-0000-0000CA220000}"/>
    <cellStyle name="Normal 3 2 5" xfId="1230" xr:uid="{00000000-0005-0000-0000-0000CB220000}"/>
    <cellStyle name="Normal 3 2 5 2" xfId="3460" xr:uid="{00000000-0005-0000-0000-0000CC220000}"/>
    <cellStyle name="Normal 3 2 5 2 2" xfId="7683" xr:uid="{00000000-0005-0000-0000-0000CD220000}"/>
    <cellStyle name="Normal 3 2 5 2 2 2" xfId="16119" xr:uid="{00000000-0005-0000-0000-0000CE220000}"/>
    <cellStyle name="Normal 3 2 5 2 3" xfId="11901" xr:uid="{00000000-0005-0000-0000-0000CF220000}"/>
    <cellStyle name="Normal 3 2 5 3" xfId="5538" xr:uid="{00000000-0005-0000-0000-0000D0220000}"/>
    <cellStyle name="Normal 3 2 5 3 2" xfId="13974" xr:uid="{00000000-0005-0000-0000-0000D1220000}"/>
    <cellStyle name="Normal 3 2 5 4" xfId="9756" xr:uid="{00000000-0005-0000-0000-0000D2220000}"/>
    <cellStyle name="Normal 3 2 6" xfId="1643" xr:uid="{00000000-0005-0000-0000-0000D3220000}"/>
    <cellStyle name="Normal 3 2 6 2" xfId="3873" xr:uid="{00000000-0005-0000-0000-0000D4220000}"/>
    <cellStyle name="Normal 3 2 6 2 2" xfId="8096" xr:uid="{00000000-0005-0000-0000-0000D5220000}"/>
    <cellStyle name="Normal 3 2 6 2 2 2" xfId="16532" xr:uid="{00000000-0005-0000-0000-0000D6220000}"/>
    <cellStyle name="Normal 3 2 6 2 3" xfId="12314" xr:uid="{00000000-0005-0000-0000-0000D7220000}"/>
    <cellStyle name="Normal 3 2 6 3" xfId="5951" xr:uid="{00000000-0005-0000-0000-0000D8220000}"/>
    <cellStyle name="Normal 3 2 6 3 2" xfId="14387" xr:uid="{00000000-0005-0000-0000-0000D9220000}"/>
    <cellStyle name="Normal 3 2 6 4" xfId="10169" xr:uid="{00000000-0005-0000-0000-0000DA220000}"/>
    <cellStyle name="Normal 3 2 7" xfId="2057" xr:uid="{00000000-0005-0000-0000-0000DB220000}"/>
    <cellStyle name="Normal 3 2 7 2" xfId="4286" xr:uid="{00000000-0005-0000-0000-0000DC220000}"/>
    <cellStyle name="Normal 3 2 7 2 2" xfId="8509" xr:uid="{00000000-0005-0000-0000-0000DD220000}"/>
    <cellStyle name="Normal 3 2 7 2 2 2" xfId="16945" xr:uid="{00000000-0005-0000-0000-0000DE220000}"/>
    <cellStyle name="Normal 3 2 7 2 3" xfId="12727" xr:uid="{00000000-0005-0000-0000-0000DF220000}"/>
    <cellStyle name="Normal 3 2 7 3" xfId="6364" xr:uid="{00000000-0005-0000-0000-0000E0220000}"/>
    <cellStyle name="Normal 3 2 7 3 2" xfId="14800" xr:uid="{00000000-0005-0000-0000-0000E1220000}"/>
    <cellStyle name="Normal 3 2 7 4" xfId="10582" xr:uid="{00000000-0005-0000-0000-0000E2220000}"/>
    <cellStyle name="Normal 3 2 8" xfId="2493" xr:uid="{00000000-0005-0000-0000-0000E3220000}"/>
    <cellStyle name="Normal 3 2 8 2" xfId="6777" xr:uid="{00000000-0005-0000-0000-0000E4220000}"/>
    <cellStyle name="Normal 3 2 8 2 2" xfId="15213" xr:uid="{00000000-0005-0000-0000-0000E5220000}"/>
    <cellStyle name="Normal 3 2 8 3" xfId="10995" xr:uid="{00000000-0005-0000-0000-0000E6220000}"/>
    <cellStyle name="Normal 3 2 9" xfId="4711" xr:uid="{00000000-0005-0000-0000-0000E7220000}"/>
    <cellStyle name="Normal 3 2 9 2" xfId="13147" xr:uid="{00000000-0005-0000-0000-0000E8220000}"/>
    <cellStyle name="Normal 3 3" xfId="330" xr:uid="{00000000-0005-0000-0000-0000E9220000}"/>
    <cellStyle name="Normal 3 3 2" xfId="331" xr:uid="{00000000-0005-0000-0000-0000EA220000}"/>
    <cellStyle name="Normal 3 3 3" xfId="332" xr:uid="{00000000-0005-0000-0000-0000EB220000}"/>
    <cellStyle name="Normal 3 4" xfId="333" xr:uid="{00000000-0005-0000-0000-0000EC220000}"/>
    <cellStyle name="Normal 3 5" xfId="334" xr:uid="{00000000-0005-0000-0000-0000ED220000}"/>
    <cellStyle name="Normal 3 6" xfId="808" xr:uid="{00000000-0005-0000-0000-0000EE220000}"/>
    <cellStyle name="Normal 4" xfId="335" xr:uid="{00000000-0005-0000-0000-0000EF220000}"/>
    <cellStyle name="Normal 4 10" xfId="8934" xr:uid="{00000000-0005-0000-0000-0000F0220000}"/>
    <cellStyle name="Normal 4 2" xfId="336" xr:uid="{00000000-0005-0000-0000-0000F1220000}"/>
    <cellStyle name="Normal 4 2 2" xfId="337" xr:uid="{00000000-0005-0000-0000-0000F2220000}"/>
    <cellStyle name="Normal 4 2 2 10" xfId="2062" xr:uid="{00000000-0005-0000-0000-0000F3220000}"/>
    <cellStyle name="Normal 4 2 2 10 2" xfId="4291" xr:uid="{00000000-0005-0000-0000-0000F4220000}"/>
    <cellStyle name="Normal 4 2 2 10 2 2" xfId="8514" xr:uid="{00000000-0005-0000-0000-0000F5220000}"/>
    <cellStyle name="Normal 4 2 2 10 2 2 2" xfId="16950" xr:uid="{00000000-0005-0000-0000-0000F6220000}"/>
    <cellStyle name="Normal 4 2 2 10 2 3" xfId="12732" xr:uid="{00000000-0005-0000-0000-0000F7220000}"/>
    <cellStyle name="Normal 4 2 2 10 3" xfId="6369" xr:uid="{00000000-0005-0000-0000-0000F8220000}"/>
    <cellStyle name="Normal 4 2 2 10 3 2" xfId="14805" xr:uid="{00000000-0005-0000-0000-0000F9220000}"/>
    <cellStyle name="Normal 4 2 2 10 4" xfId="10587" xr:uid="{00000000-0005-0000-0000-0000FA220000}"/>
    <cellStyle name="Normal 4 2 2 11" xfId="2498" xr:uid="{00000000-0005-0000-0000-0000FB220000}"/>
    <cellStyle name="Normal 4 2 2 11 2" xfId="6782" xr:uid="{00000000-0005-0000-0000-0000FC220000}"/>
    <cellStyle name="Normal 4 2 2 11 2 2" xfId="15218" xr:uid="{00000000-0005-0000-0000-0000FD220000}"/>
    <cellStyle name="Normal 4 2 2 11 3" xfId="11000" xr:uid="{00000000-0005-0000-0000-0000FE220000}"/>
    <cellStyle name="Normal 4 2 2 12" xfId="4717" xr:uid="{00000000-0005-0000-0000-0000FF220000}"/>
    <cellStyle name="Normal 4 2 2 12 2" xfId="13153" xr:uid="{00000000-0005-0000-0000-000000230000}"/>
    <cellStyle name="Normal 4 2 2 13" xfId="8935" xr:uid="{00000000-0005-0000-0000-000001230000}"/>
    <cellStyle name="Normal 4 2 2 2" xfId="338" xr:uid="{00000000-0005-0000-0000-000002230000}"/>
    <cellStyle name="Normal 4 2 2 3" xfId="339" xr:uid="{00000000-0005-0000-0000-000003230000}"/>
    <cellStyle name="Normal 4 2 2 3 10" xfId="4718" xr:uid="{00000000-0005-0000-0000-000004230000}"/>
    <cellStyle name="Normal 4 2 2 3 10 2" xfId="13154" xr:uid="{00000000-0005-0000-0000-000005230000}"/>
    <cellStyle name="Normal 4 2 2 3 11" xfId="8936" xr:uid="{00000000-0005-0000-0000-000006230000}"/>
    <cellStyle name="Normal 4 2 2 3 2" xfId="340" xr:uid="{00000000-0005-0000-0000-000007230000}"/>
    <cellStyle name="Normal 4 2 2 3 2 10" xfId="8937" xr:uid="{00000000-0005-0000-0000-000008230000}"/>
    <cellStyle name="Normal 4 2 2 3 2 2" xfId="341" xr:uid="{00000000-0005-0000-0000-000009230000}"/>
    <cellStyle name="Normal 4 2 2 3 2 2 2" xfId="342" xr:uid="{00000000-0005-0000-0000-00000A230000}"/>
    <cellStyle name="Normal 4 2 2 3 2 2 2 2" xfId="819" xr:uid="{00000000-0005-0000-0000-00000B230000}"/>
    <cellStyle name="Normal 4 2 2 3 2 2 2 2 2" xfId="3056" xr:uid="{00000000-0005-0000-0000-00000C230000}"/>
    <cellStyle name="Normal 4 2 2 3 2 2 2 2 2 2" xfId="7279" xr:uid="{00000000-0005-0000-0000-00000D230000}"/>
    <cellStyle name="Normal 4 2 2 3 2 2 2 2 2 2 2" xfId="15715" xr:uid="{00000000-0005-0000-0000-00000E230000}"/>
    <cellStyle name="Normal 4 2 2 3 2 2 2 2 2 3" xfId="11497" xr:uid="{00000000-0005-0000-0000-00000F230000}"/>
    <cellStyle name="Normal 4 2 2 3 2 2 2 2 3" xfId="5134" xr:uid="{00000000-0005-0000-0000-000010230000}"/>
    <cellStyle name="Normal 4 2 2 3 2 2 2 2 3 2" xfId="13570" xr:uid="{00000000-0005-0000-0000-000011230000}"/>
    <cellStyle name="Normal 4 2 2 3 2 2 2 2 4" xfId="9352" xr:uid="{00000000-0005-0000-0000-000012230000}"/>
    <cellStyle name="Normal 4 2 2 3 2 2 2 3" xfId="1239" xr:uid="{00000000-0005-0000-0000-000013230000}"/>
    <cellStyle name="Normal 4 2 2 3 2 2 2 3 2" xfId="3469" xr:uid="{00000000-0005-0000-0000-000014230000}"/>
    <cellStyle name="Normal 4 2 2 3 2 2 2 3 2 2" xfId="7692" xr:uid="{00000000-0005-0000-0000-000015230000}"/>
    <cellStyle name="Normal 4 2 2 3 2 2 2 3 2 2 2" xfId="16128" xr:uid="{00000000-0005-0000-0000-000016230000}"/>
    <cellStyle name="Normal 4 2 2 3 2 2 2 3 2 3" xfId="11910" xr:uid="{00000000-0005-0000-0000-000017230000}"/>
    <cellStyle name="Normal 4 2 2 3 2 2 2 3 3" xfId="5547" xr:uid="{00000000-0005-0000-0000-000018230000}"/>
    <cellStyle name="Normal 4 2 2 3 2 2 2 3 3 2" xfId="13983" xr:uid="{00000000-0005-0000-0000-000019230000}"/>
    <cellStyle name="Normal 4 2 2 3 2 2 2 3 4" xfId="9765" xr:uid="{00000000-0005-0000-0000-00001A230000}"/>
    <cellStyle name="Normal 4 2 2 3 2 2 2 4" xfId="1652" xr:uid="{00000000-0005-0000-0000-00001B230000}"/>
    <cellStyle name="Normal 4 2 2 3 2 2 2 4 2" xfId="3882" xr:uid="{00000000-0005-0000-0000-00001C230000}"/>
    <cellStyle name="Normal 4 2 2 3 2 2 2 4 2 2" xfId="8105" xr:uid="{00000000-0005-0000-0000-00001D230000}"/>
    <cellStyle name="Normal 4 2 2 3 2 2 2 4 2 2 2" xfId="16541" xr:uid="{00000000-0005-0000-0000-00001E230000}"/>
    <cellStyle name="Normal 4 2 2 3 2 2 2 4 2 3" xfId="12323" xr:uid="{00000000-0005-0000-0000-00001F230000}"/>
    <cellStyle name="Normal 4 2 2 3 2 2 2 4 3" xfId="5960" xr:uid="{00000000-0005-0000-0000-000020230000}"/>
    <cellStyle name="Normal 4 2 2 3 2 2 2 4 3 2" xfId="14396" xr:uid="{00000000-0005-0000-0000-000021230000}"/>
    <cellStyle name="Normal 4 2 2 3 2 2 2 4 4" xfId="10178" xr:uid="{00000000-0005-0000-0000-000022230000}"/>
    <cellStyle name="Normal 4 2 2 3 2 2 2 5" xfId="2066" xr:uid="{00000000-0005-0000-0000-000023230000}"/>
    <cellStyle name="Normal 4 2 2 3 2 2 2 5 2" xfId="4295" xr:uid="{00000000-0005-0000-0000-000024230000}"/>
    <cellStyle name="Normal 4 2 2 3 2 2 2 5 2 2" xfId="8518" xr:uid="{00000000-0005-0000-0000-000025230000}"/>
    <cellStyle name="Normal 4 2 2 3 2 2 2 5 2 2 2" xfId="16954" xr:uid="{00000000-0005-0000-0000-000026230000}"/>
    <cellStyle name="Normal 4 2 2 3 2 2 2 5 2 3" xfId="12736" xr:uid="{00000000-0005-0000-0000-000027230000}"/>
    <cellStyle name="Normal 4 2 2 3 2 2 2 5 3" xfId="6373" xr:uid="{00000000-0005-0000-0000-000028230000}"/>
    <cellStyle name="Normal 4 2 2 3 2 2 2 5 3 2" xfId="14809" xr:uid="{00000000-0005-0000-0000-000029230000}"/>
    <cellStyle name="Normal 4 2 2 3 2 2 2 5 4" xfId="10591" xr:uid="{00000000-0005-0000-0000-00002A230000}"/>
    <cellStyle name="Normal 4 2 2 3 2 2 2 6" xfId="2502" xr:uid="{00000000-0005-0000-0000-00002B230000}"/>
    <cellStyle name="Normal 4 2 2 3 2 2 2 6 2" xfId="6786" xr:uid="{00000000-0005-0000-0000-00002C230000}"/>
    <cellStyle name="Normal 4 2 2 3 2 2 2 6 2 2" xfId="15222" xr:uid="{00000000-0005-0000-0000-00002D230000}"/>
    <cellStyle name="Normal 4 2 2 3 2 2 2 6 3" xfId="11004" xr:uid="{00000000-0005-0000-0000-00002E230000}"/>
    <cellStyle name="Normal 4 2 2 3 2 2 2 7" xfId="4721" xr:uid="{00000000-0005-0000-0000-00002F230000}"/>
    <cellStyle name="Normal 4 2 2 3 2 2 2 7 2" xfId="13157" xr:uid="{00000000-0005-0000-0000-000030230000}"/>
    <cellStyle name="Normal 4 2 2 3 2 2 2 8" xfId="8939" xr:uid="{00000000-0005-0000-0000-000031230000}"/>
    <cellStyle name="Normal 4 2 2 3 2 2 3" xfId="818" xr:uid="{00000000-0005-0000-0000-000032230000}"/>
    <cellStyle name="Normal 4 2 2 3 2 2 3 2" xfId="3055" xr:uid="{00000000-0005-0000-0000-000033230000}"/>
    <cellStyle name="Normal 4 2 2 3 2 2 3 2 2" xfId="7278" xr:uid="{00000000-0005-0000-0000-000034230000}"/>
    <cellStyle name="Normal 4 2 2 3 2 2 3 2 2 2" xfId="15714" xr:uid="{00000000-0005-0000-0000-000035230000}"/>
    <cellStyle name="Normal 4 2 2 3 2 2 3 2 3" xfId="11496" xr:uid="{00000000-0005-0000-0000-000036230000}"/>
    <cellStyle name="Normal 4 2 2 3 2 2 3 3" xfId="5133" xr:uid="{00000000-0005-0000-0000-000037230000}"/>
    <cellStyle name="Normal 4 2 2 3 2 2 3 3 2" xfId="13569" xr:uid="{00000000-0005-0000-0000-000038230000}"/>
    <cellStyle name="Normal 4 2 2 3 2 2 3 4" xfId="9351" xr:uid="{00000000-0005-0000-0000-000039230000}"/>
    <cellStyle name="Normal 4 2 2 3 2 2 4" xfId="1238" xr:uid="{00000000-0005-0000-0000-00003A230000}"/>
    <cellStyle name="Normal 4 2 2 3 2 2 4 2" xfId="3468" xr:uid="{00000000-0005-0000-0000-00003B230000}"/>
    <cellStyle name="Normal 4 2 2 3 2 2 4 2 2" xfId="7691" xr:uid="{00000000-0005-0000-0000-00003C230000}"/>
    <cellStyle name="Normal 4 2 2 3 2 2 4 2 2 2" xfId="16127" xr:uid="{00000000-0005-0000-0000-00003D230000}"/>
    <cellStyle name="Normal 4 2 2 3 2 2 4 2 3" xfId="11909" xr:uid="{00000000-0005-0000-0000-00003E230000}"/>
    <cellStyle name="Normal 4 2 2 3 2 2 4 3" xfId="5546" xr:uid="{00000000-0005-0000-0000-00003F230000}"/>
    <cellStyle name="Normal 4 2 2 3 2 2 4 3 2" xfId="13982" xr:uid="{00000000-0005-0000-0000-000040230000}"/>
    <cellStyle name="Normal 4 2 2 3 2 2 4 4" xfId="9764" xr:uid="{00000000-0005-0000-0000-000041230000}"/>
    <cellStyle name="Normal 4 2 2 3 2 2 5" xfId="1651" xr:uid="{00000000-0005-0000-0000-000042230000}"/>
    <cellStyle name="Normal 4 2 2 3 2 2 5 2" xfId="3881" xr:uid="{00000000-0005-0000-0000-000043230000}"/>
    <cellStyle name="Normal 4 2 2 3 2 2 5 2 2" xfId="8104" xr:uid="{00000000-0005-0000-0000-000044230000}"/>
    <cellStyle name="Normal 4 2 2 3 2 2 5 2 2 2" xfId="16540" xr:uid="{00000000-0005-0000-0000-000045230000}"/>
    <cellStyle name="Normal 4 2 2 3 2 2 5 2 3" xfId="12322" xr:uid="{00000000-0005-0000-0000-000046230000}"/>
    <cellStyle name="Normal 4 2 2 3 2 2 5 3" xfId="5959" xr:uid="{00000000-0005-0000-0000-000047230000}"/>
    <cellStyle name="Normal 4 2 2 3 2 2 5 3 2" xfId="14395" xr:uid="{00000000-0005-0000-0000-000048230000}"/>
    <cellStyle name="Normal 4 2 2 3 2 2 5 4" xfId="10177" xr:uid="{00000000-0005-0000-0000-000049230000}"/>
    <cellStyle name="Normal 4 2 2 3 2 2 6" xfId="2065" xr:uid="{00000000-0005-0000-0000-00004A230000}"/>
    <cellStyle name="Normal 4 2 2 3 2 2 6 2" xfId="4294" xr:uid="{00000000-0005-0000-0000-00004B230000}"/>
    <cellStyle name="Normal 4 2 2 3 2 2 6 2 2" xfId="8517" xr:uid="{00000000-0005-0000-0000-00004C230000}"/>
    <cellStyle name="Normal 4 2 2 3 2 2 6 2 2 2" xfId="16953" xr:uid="{00000000-0005-0000-0000-00004D230000}"/>
    <cellStyle name="Normal 4 2 2 3 2 2 6 2 3" xfId="12735" xr:uid="{00000000-0005-0000-0000-00004E230000}"/>
    <cellStyle name="Normal 4 2 2 3 2 2 6 3" xfId="6372" xr:uid="{00000000-0005-0000-0000-00004F230000}"/>
    <cellStyle name="Normal 4 2 2 3 2 2 6 3 2" xfId="14808" xr:uid="{00000000-0005-0000-0000-000050230000}"/>
    <cellStyle name="Normal 4 2 2 3 2 2 6 4" xfId="10590" xr:uid="{00000000-0005-0000-0000-000051230000}"/>
    <cellStyle name="Normal 4 2 2 3 2 2 7" xfId="2501" xr:uid="{00000000-0005-0000-0000-000052230000}"/>
    <cellStyle name="Normal 4 2 2 3 2 2 7 2" xfId="6785" xr:uid="{00000000-0005-0000-0000-000053230000}"/>
    <cellStyle name="Normal 4 2 2 3 2 2 7 2 2" xfId="15221" xr:uid="{00000000-0005-0000-0000-000054230000}"/>
    <cellStyle name="Normal 4 2 2 3 2 2 7 3" xfId="11003" xr:uid="{00000000-0005-0000-0000-000055230000}"/>
    <cellStyle name="Normal 4 2 2 3 2 2 8" xfId="4720" xr:uid="{00000000-0005-0000-0000-000056230000}"/>
    <cellStyle name="Normal 4 2 2 3 2 2 8 2" xfId="13156" xr:uid="{00000000-0005-0000-0000-000057230000}"/>
    <cellStyle name="Normal 4 2 2 3 2 2 9" xfId="8938" xr:uid="{00000000-0005-0000-0000-000058230000}"/>
    <cellStyle name="Normal 4 2 2 3 2 3" xfId="343" xr:uid="{00000000-0005-0000-0000-000059230000}"/>
    <cellStyle name="Normal 4 2 2 3 2 3 2" xfId="820" xr:uid="{00000000-0005-0000-0000-00005A230000}"/>
    <cellStyle name="Normal 4 2 2 3 2 3 2 2" xfId="3057" xr:uid="{00000000-0005-0000-0000-00005B230000}"/>
    <cellStyle name="Normal 4 2 2 3 2 3 2 2 2" xfId="7280" xr:uid="{00000000-0005-0000-0000-00005C230000}"/>
    <cellStyle name="Normal 4 2 2 3 2 3 2 2 2 2" xfId="15716" xr:uid="{00000000-0005-0000-0000-00005D230000}"/>
    <cellStyle name="Normal 4 2 2 3 2 3 2 2 3" xfId="11498" xr:uid="{00000000-0005-0000-0000-00005E230000}"/>
    <cellStyle name="Normal 4 2 2 3 2 3 2 3" xfId="5135" xr:uid="{00000000-0005-0000-0000-00005F230000}"/>
    <cellStyle name="Normal 4 2 2 3 2 3 2 3 2" xfId="13571" xr:uid="{00000000-0005-0000-0000-000060230000}"/>
    <cellStyle name="Normal 4 2 2 3 2 3 2 4" xfId="9353" xr:uid="{00000000-0005-0000-0000-000061230000}"/>
    <cellStyle name="Normal 4 2 2 3 2 3 3" xfId="1240" xr:uid="{00000000-0005-0000-0000-000062230000}"/>
    <cellStyle name="Normal 4 2 2 3 2 3 3 2" xfId="3470" xr:uid="{00000000-0005-0000-0000-000063230000}"/>
    <cellStyle name="Normal 4 2 2 3 2 3 3 2 2" xfId="7693" xr:uid="{00000000-0005-0000-0000-000064230000}"/>
    <cellStyle name="Normal 4 2 2 3 2 3 3 2 2 2" xfId="16129" xr:uid="{00000000-0005-0000-0000-000065230000}"/>
    <cellStyle name="Normal 4 2 2 3 2 3 3 2 3" xfId="11911" xr:uid="{00000000-0005-0000-0000-000066230000}"/>
    <cellStyle name="Normal 4 2 2 3 2 3 3 3" xfId="5548" xr:uid="{00000000-0005-0000-0000-000067230000}"/>
    <cellStyle name="Normal 4 2 2 3 2 3 3 3 2" xfId="13984" xr:uid="{00000000-0005-0000-0000-000068230000}"/>
    <cellStyle name="Normal 4 2 2 3 2 3 3 4" xfId="9766" xr:uid="{00000000-0005-0000-0000-000069230000}"/>
    <cellStyle name="Normal 4 2 2 3 2 3 4" xfId="1653" xr:uid="{00000000-0005-0000-0000-00006A230000}"/>
    <cellStyle name="Normal 4 2 2 3 2 3 4 2" xfId="3883" xr:uid="{00000000-0005-0000-0000-00006B230000}"/>
    <cellStyle name="Normal 4 2 2 3 2 3 4 2 2" xfId="8106" xr:uid="{00000000-0005-0000-0000-00006C230000}"/>
    <cellStyle name="Normal 4 2 2 3 2 3 4 2 2 2" xfId="16542" xr:uid="{00000000-0005-0000-0000-00006D230000}"/>
    <cellStyle name="Normal 4 2 2 3 2 3 4 2 3" xfId="12324" xr:uid="{00000000-0005-0000-0000-00006E230000}"/>
    <cellStyle name="Normal 4 2 2 3 2 3 4 3" xfId="5961" xr:uid="{00000000-0005-0000-0000-00006F230000}"/>
    <cellStyle name="Normal 4 2 2 3 2 3 4 3 2" xfId="14397" xr:uid="{00000000-0005-0000-0000-000070230000}"/>
    <cellStyle name="Normal 4 2 2 3 2 3 4 4" xfId="10179" xr:uid="{00000000-0005-0000-0000-000071230000}"/>
    <cellStyle name="Normal 4 2 2 3 2 3 5" xfId="2067" xr:uid="{00000000-0005-0000-0000-000072230000}"/>
    <cellStyle name="Normal 4 2 2 3 2 3 5 2" xfId="4296" xr:uid="{00000000-0005-0000-0000-000073230000}"/>
    <cellStyle name="Normal 4 2 2 3 2 3 5 2 2" xfId="8519" xr:uid="{00000000-0005-0000-0000-000074230000}"/>
    <cellStyle name="Normal 4 2 2 3 2 3 5 2 2 2" xfId="16955" xr:uid="{00000000-0005-0000-0000-000075230000}"/>
    <cellStyle name="Normal 4 2 2 3 2 3 5 2 3" xfId="12737" xr:uid="{00000000-0005-0000-0000-000076230000}"/>
    <cellStyle name="Normal 4 2 2 3 2 3 5 3" xfId="6374" xr:uid="{00000000-0005-0000-0000-000077230000}"/>
    <cellStyle name="Normal 4 2 2 3 2 3 5 3 2" xfId="14810" xr:uid="{00000000-0005-0000-0000-000078230000}"/>
    <cellStyle name="Normal 4 2 2 3 2 3 5 4" xfId="10592" xr:uid="{00000000-0005-0000-0000-000079230000}"/>
    <cellStyle name="Normal 4 2 2 3 2 3 6" xfId="2503" xr:uid="{00000000-0005-0000-0000-00007A230000}"/>
    <cellStyle name="Normal 4 2 2 3 2 3 6 2" xfId="6787" xr:uid="{00000000-0005-0000-0000-00007B230000}"/>
    <cellStyle name="Normal 4 2 2 3 2 3 6 2 2" xfId="15223" xr:uid="{00000000-0005-0000-0000-00007C230000}"/>
    <cellStyle name="Normal 4 2 2 3 2 3 6 3" xfId="11005" xr:uid="{00000000-0005-0000-0000-00007D230000}"/>
    <cellStyle name="Normal 4 2 2 3 2 3 7" xfId="4722" xr:uid="{00000000-0005-0000-0000-00007E230000}"/>
    <cellStyle name="Normal 4 2 2 3 2 3 7 2" xfId="13158" xr:uid="{00000000-0005-0000-0000-00007F230000}"/>
    <cellStyle name="Normal 4 2 2 3 2 3 8" xfId="8940" xr:uid="{00000000-0005-0000-0000-000080230000}"/>
    <cellStyle name="Normal 4 2 2 3 2 4" xfId="817" xr:uid="{00000000-0005-0000-0000-000081230000}"/>
    <cellStyle name="Normal 4 2 2 3 2 4 2" xfId="3054" xr:uid="{00000000-0005-0000-0000-000082230000}"/>
    <cellStyle name="Normal 4 2 2 3 2 4 2 2" xfId="7277" xr:uid="{00000000-0005-0000-0000-000083230000}"/>
    <cellStyle name="Normal 4 2 2 3 2 4 2 2 2" xfId="15713" xr:uid="{00000000-0005-0000-0000-000084230000}"/>
    <cellStyle name="Normal 4 2 2 3 2 4 2 3" xfId="11495" xr:uid="{00000000-0005-0000-0000-000085230000}"/>
    <cellStyle name="Normal 4 2 2 3 2 4 3" xfId="5132" xr:uid="{00000000-0005-0000-0000-000086230000}"/>
    <cellStyle name="Normal 4 2 2 3 2 4 3 2" xfId="13568" xr:uid="{00000000-0005-0000-0000-000087230000}"/>
    <cellStyle name="Normal 4 2 2 3 2 4 4" xfId="9350" xr:uid="{00000000-0005-0000-0000-000088230000}"/>
    <cellStyle name="Normal 4 2 2 3 2 5" xfId="1237" xr:uid="{00000000-0005-0000-0000-000089230000}"/>
    <cellStyle name="Normal 4 2 2 3 2 5 2" xfId="3467" xr:uid="{00000000-0005-0000-0000-00008A230000}"/>
    <cellStyle name="Normal 4 2 2 3 2 5 2 2" xfId="7690" xr:uid="{00000000-0005-0000-0000-00008B230000}"/>
    <cellStyle name="Normal 4 2 2 3 2 5 2 2 2" xfId="16126" xr:uid="{00000000-0005-0000-0000-00008C230000}"/>
    <cellStyle name="Normal 4 2 2 3 2 5 2 3" xfId="11908" xr:uid="{00000000-0005-0000-0000-00008D230000}"/>
    <cellStyle name="Normal 4 2 2 3 2 5 3" xfId="5545" xr:uid="{00000000-0005-0000-0000-00008E230000}"/>
    <cellStyle name="Normal 4 2 2 3 2 5 3 2" xfId="13981" xr:uid="{00000000-0005-0000-0000-00008F230000}"/>
    <cellStyle name="Normal 4 2 2 3 2 5 4" xfId="9763" xr:uid="{00000000-0005-0000-0000-000090230000}"/>
    <cellStyle name="Normal 4 2 2 3 2 6" xfId="1650" xr:uid="{00000000-0005-0000-0000-000091230000}"/>
    <cellStyle name="Normal 4 2 2 3 2 6 2" xfId="3880" xr:uid="{00000000-0005-0000-0000-000092230000}"/>
    <cellStyle name="Normal 4 2 2 3 2 6 2 2" xfId="8103" xr:uid="{00000000-0005-0000-0000-000093230000}"/>
    <cellStyle name="Normal 4 2 2 3 2 6 2 2 2" xfId="16539" xr:uid="{00000000-0005-0000-0000-000094230000}"/>
    <cellStyle name="Normal 4 2 2 3 2 6 2 3" xfId="12321" xr:uid="{00000000-0005-0000-0000-000095230000}"/>
    <cellStyle name="Normal 4 2 2 3 2 6 3" xfId="5958" xr:uid="{00000000-0005-0000-0000-000096230000}"/>
    <cellStyle name="Normal 4 2 2 3 2 6 3 2" xfId="14394" xr:uid="{00000000-0005-0000-0000-000097230000}"/>
    <cellStyle name="Normal 4 2 2 3 2 6 4" xfId="10176" xr:uid="{00000000-0005-0000-0000-000098230000}"/>
    <cellStyle name="Normal 4 2 2 3 2 7" xfId="2064" xr:uid="{00000000-0005-0000-0000-000099230000}"/>
    <cellStyle name="Normal 4 2 2 3 2 7 2" xfId="4293" xr:uid="{00000000-0005-0000-0000-00009A230000}"/>
    <cellStyle name="Normal 4 2 2 3 2 7 2 2" xfId="8516" xr:uid="{00000000-0005-0000-0000-00009B230000}"/>
    <cellStyle name="Normal 4 2 2 3 2 7 2 2 2" xfId="16952" xr:uid="{00000000-0005-0000-0000-00009C230000}"/>
    <cellStyle name="Normal 4 2 2 3 2 7 2 3" xfId="12734" xr:uid="{00000000-0005-0000-0000-00009D230000}"/>
    <cellStyle name="Normal 4 2 2 3 2 7 3" xfId="6371" xr:uid="{00000000-0005-0000-0000-00009E230000}"/>
    <cellStyle name="Normal 4 2 2 3 2 7 3 2" xfId="14807" xr:uid="{00000000-0005-0000-0000-00009F230000}"/>
    <cellStyle name="Normal 4 2 2 3 2 7 4" xfId="10589" xr:uid="{00000000-0005-0000-0000-0000A0230000}"/>
    <cellStyle name="Normal 4 2 2 3 2 8" xfId="2500" xr:uid="{00000000-0005-0000-0000-0000A1230000}"/>
    <cellStyle name="Normal 4 2 2 3 2 8 2" xfId="6784" xr:uid="{00000000-0005-0000-0000-0000A2230000}"/>
    <cellStyle name="Normal 4 2 2 3 2 8 2 2" xfId="15220" xr:uid="{00000000-0005-0000-0000-0000A3230000}"/>
    <cellStyle name="Normal 4 2 2 3 2 8 3" xfId="11002" xr:uid="{00000000-0005-0000-0000-0000A4230000}"/>
    <cellStyle name="Normal 4 2 2 3 2 9" xfId="4719" xr:uid="{00000000-0005-0000-0000-0000A5230000}"/>
    <cellStyle name="Normal 4 2 2 3 2 9 2" xfId="13155" xr:uid="{00000000-0005-0000-0000-0000A6230000}"/>
    <cellStyle name="Normal 4 2 2 3 3" xfId="344" xr:uid="{00000000-0005-0000-0000-0000A7230000}"/>
    <cellStyle name="Normal 4 2 2 3 3 2" xfId="345" xr:uid="{00000000-0005-0000-0000-0000A8230000}"/>
    <cellStyle name="Normal 4 2 2 3 3 2 2" xfId="822" xr:uid="{00000000-0005-0000-0000-0000A9230000}"/>
    <cellStyle name="Normal 4 2 2 3 3 2 2 2" xfId="3059" xr:uid="{00000000-0005-0000-0000-0000AA230000}"/>
    <cellStyle name="Normal 4 2 2 3 3 2 2 2 2" xfId="7282" xr:uid="{00000000-0005-0000-0000-0000AB230000}"/>
    <cellStyle name="Normal 4 2 2 3 3 2 2 2 2 2" xfId="15718" xr:uid="{00000000-0005-0000-0000-0000AC230000}"/>
    <cellStyle name="Normal 4 2 2 3 3 2 2 2 3" xfId="11500" xr:uid="{00000000-0005-0000-0000-0000AD230000}"/>
    <cellStyle name="Normal 4 2 2 3 3 2 2 3" xfId="5137" xr:uid="{00000000-0005-0000-0000-0000AE230000}"/>
    <cellStyle name="Normal 4 2 2 3 3 2 2 3 2" xfId="13573" xr:uid="{00000000-0005-0000-0000-0000AF230000}"/>
    <cellStyle name="Normal 4 2 2 3 3 2 2 4" xfId="9355" xr:uid="{00000000-0005-0000-0000-0000B0230000}"/>
    <cellStyle name="Normal 4 2 2 3 3 2 3" xfId="1242" xr:uid="{00000000-0005-0000-0000-0000B1230000}"/>
    <cellStyle name="Normal 4 2 2 3 3 2 3 2" xfId="3472" xr:uid="{00000000-0005-0000-0000-0000B2230000}"/>
    <cellStyle name="Normal 4 2 2 3 3 2 3 2 2" xfId="7695" xr:uid="{00000000-0005-0000-0000-0000B3230000}"/>
    <cellStyle name="Normal 4 2 2 3 3 2 3 2 2 2" xfId="16131" xr:uid="{00000000-0005-0000-0000-0000B4230000}"/>
    <cellStyle name="Normal 4 2 2 3 3 2 3 2 3" xfId="11913" xr:uid="{00000000-0005-0000-0000-0000B5230000}"/>
    <cellStyle name="Normal 4 2 2 3 3 2 3 3" xfId="5550" xr:uid="{00000000-0005-0000-0000-0000B6230000}"/>
    <cellStyle name="Normal 4 2 2 3 3 2 3 3 2" xfId="13986" xr:uid="{00000000-0005-0000-0000-0000B7230000}"/>
    <cellStyle name="Normal 4 2 2 3 3 2 3 4" xfId="9768" xr:uid="{00000000-0005-0000-0000-0000B8230000}"/>
    <cellStyle name="Normal 4 2 2 3 3 2 4" xfId="1655" xr:uid="{00000000-0005-0000-0000-0000B9230000}"/>
    <cellStyle name="Normal 4 2 2 3 3 2 4 2" xfId="3885" xr:uid="{00000000-0005-0000-0000-0000BA230000}"/>
    <cellStyle name="Normal 4 2 2 3 3 2 4 2 2" xfId="8108" xr:uid="{00000000-0005-0000-0000-0000BB230000}"/>
    <cellStyle name="Normal 4 2 2 3 3 2 4 2 2 2" xfId="16544" xr:uid="{00000000-0005-0000-0000-0000BC230000}"/>
    <cellStyle name="Normal 4 2 2 3 3 2 4 2 3" xfId="12326" xr:uid="{00000000-0005-0000-0000-0000BD230000}"/>
    <cellStyle name="Normal 4 2 2 3 3 2 4 3" xfId="5963" xr:uid="{00000000-0005-0000-0000-0000BE230000}"/>
    <cellStyle name="Normal 4 2 2 3 3 2 4 3 2" xfId="14399" xr:uid="{00000000-0005-0000-0000-0000BF230000}"/>
    <cellStyle name="Normal 4 2 2 3 3 2 4 4" xfId="10181" xr:uid="{00000000-0005-0000-0000-0000C0230000}"/>
    <cellStyle name="Normal 4 2 2 3 3 2 5" xfId="2069" xr:uid="{00000000-0005-0000-0000-0000C1230000}"/>
    <cellStyle name="Normal 4 2 2 3 3 2 5 2" xfId="4298" xr:uid="{00000000-0005-0000-0000-0000C2230000}"/>
    <cellStyle name="Normal 4 2 2 3 3 2 5 2 2" xfId="8521" xr:uid="{00000000-0005-0000-0000-0000C3230000}"/>
    <cellStyle name="Normal 4 2 2 3 3 2 5 2 2 2" xfId="16957" xr:uid="{00000000-0005-0000-0000-0000C4230000}"/>
    <cellStyle name="Normal 4 2 2 3 3 2 5 2 3" xfId="12739" xr:uid="{00000000-0005-0000-0000-0000C5230000}"/>
    <cellStyle name="Normal 4 2 2 3 3 2 5 3" xfId="6376" xr:uid="{00000000-0005-0000-0000-0000C6230000}"/>
    <cellStyle name="Normal 4 2 2 3 3 2 5 3 2" xfId="14812" xr:uid="{00000000-0005-0000-0000-0000C7230000}"/>
    <cellStyle name="Normal 4 2 2 3 3 2 5 4" xfId="10594" xr:uid="{00000000-0005-0000-0000-0000C8230000}"/>
    <cellStyle name="Normal 4 2 2 3 3 2 6" xfId="2505" xr:uid="{00000000-0005-0000-0000-0000C9230000}"/>
    <cellStyle name="Normal 4 2 2 3 3 2 6 2" xfId="6789" xr:uid="{00000000-0005-0000-0000-0000CA230000}"/>
    <cellStyle name="Normal 4 2 2 3 3 2 6 2 2" xfId="15225" xr:uid="{00000000-0005-0000-0000-0000CB230000}"/>
    <cellStyle name="Normal 4 2 2 3 3 2 6 3" xfId="11007" xr:uid="{00000000-0005-0000-0000-0000CC230000}"/>
    <cellStyle name="Normal 4 2 2 3 3 2 7" xfId="4724" xr:uid="{00000000-0005-0000-0000-0000CD230000}"/>
    <cellStyle name="Normal 4 2 2 3 3 2 7 2" xfId="13160" xr:uid="{00000000-0005-0000-0000-0000CE230000}"/>
    <cellStyle name="Normal 4 2 2 3 3 2 8" xfId="8942" xr:uid="{00000000-0005-0000-0000-0000CF230000}"/>
    <cellStyle name="Normal 4 2 2 3 3 3" xfId="821" xr:uid="{00000000-0005-0000-0000-0000D0230000}"/>
    <cellStyle name="Normal 4 2 2 3 3 3 2" xfId="3058" xr:uid="{00000000-0005-0000-0000-0000D1230000}"/>
    <cellStyle name="Normal 4 2 2 3 3 3 2 2" xfId="7281" xr:uid="{00000000-0005-0000-0000-0000D2230000}"/>
    <cellStyle name="Normal 4 2 2 3 3 3 2 2 2" xfId="15717" xr:uid="{00000000-0005-0000-0000-0000D3230000}"/>
    <cellStyle name="Normal 4 2 2 3 3 3 2 3" xfId="11499" xr:uid="{00000000-0005-0000-0000-0000D4230000}"/>
    <cellStyle name="Normal 4 2 2 3 3 3 3" xfId="5136" xr:uid="{00000000-0005-0000-0000-0000D5230000}"/>
    <cellStyle name="Normal 4 2 2 3 3 3 3 2" xfId="13572" xr:uid="{00000000-0005-0000-0000-0000D6230000}"/>
    <cellStyle name="Normal 4 2 2 3 3 3 4" xfId="9354" xr:uid="{00000000-0005-0000-0000-0000D7230000}"/>
    <cellStyle name="Normal 4 2 2 3 3 4" xfId="1241" xr:uid="{00000000-0005-0000-0000-0000D8230000}"/>
    <cellStyle name="Normal 4 2 2 3 3 4 2" xfId="3471" xr:uid="{00000000-0005-0000-0000-0000D9230000}"/>
    <cellStyle name="Normal 4 2 2 3 3 4 2 2" xfId="7694" xr:uid="{00000000-0005-0000-0000-0000DA230000}"/>
    <cellStyle name="Normal 4 2 2 3 3 4 2 2 2" xfId="16130" xr:uid="{00000000-0005-0000-0000-0000DB230000}"/>
    <cellStyle name="Normal 4 2 2 3 3 4 2 3" xfId="11912" xr:uid="{00000000-0005-0000-0000-0000DC230000}"/>
    <cellStyle name="Normal 4 2 2 3 3 4 3" xfId="5549" xr:uid="{00000000-0005-0000-0000-0000DD230000}"/>
    <cellStyle name="Normal 4 2 2 3 3 4 3 2" xfId="13985" xr:uid="{00000000-0005-0000-0000-0000DE230000}"/>
    <cellStyle name="Normal 4 2 2 3 3 4 4" xfId="9767" xr:uid="{00000000-0005-0000-0000-0000DF230000}"/>
    <cellStyle name="Normal 4 2 2 3 3 5" xfId="1654" xr:uid="{00000000-0005-0000-0000-0000E0230000}"/>
    <cellStyle name="Normal 4 2 2 3 3 5 2" xfId="3884" xr:uid="{00000000-0005-0000-0000-0000E1230000}"/>
    <cellStyle name="Normal 4 2 2 3 3 5 2 2" xfId="8107" xr:uid="{00000000-0005-0000-0000-0000E2230000}"/>
    <cellStyle name="Normal 4 2 2 3 3 5 2 2 2" xfId="16543" xr:uid="{00000000-0005-0000-0000-0000E3230000}"/>
    <cellStyle name="Normal 4 2 2 3 3 5 2 3" xfId="12325" xr:uid="{00000000-0005-0000-0000-0000E4230000}"/>
    <cellStyle name="Normal 4 2 2 3 3 5 3" xfId="5962" xr:uid="{00000000-0005-0000-0000-0000E5230000}"/>
    <cellStyle name="Normal 4 2 2 3 3 5 3 2" xfId="14398" xr:uid="{00000000-0005-0000-0000-0000E6230000}"/>
    <cellStyle name="Normal 4 2 2 3 3 5 4" xfId="10180" xr:uid="{00000000-0005-0000-0000-0000E7230000}"/>
    <cellStyle name="Normal 4 2 2 3 3 6" xfId="2068" xr:uid="{00000000-0005-0000-0000-0000E8230000}"/>
    <cellStyle name="Normal 4 2 2 3 3 6 2" xfId="4297" xr:uid="{00000000-0005-0000-0000-0000E9230000}"/>
    <cellStyle name="Normal 4 2 2 3 3 6 2 2" xfId="8520" xr:uid="{00000000-0005-0000-0000-0000EA230000}"/>
    <cellStyle name="Normal 4 2 2 3 3 6 2 2 2" xfId="16956" xr:uid="{00000000-0005-0000-0000-0000EB230000}"/>
    <cellStyle name="Normal 4 2 2 3 3 6 2 3" xfId="12738" xr:uid="{00000000-0005-0000-0000-0000EC230000}"/>
    <cellStyle name="Normal 4 2 2 3 3 6 3" xfId="6375" xr:uid="{00000000-0005-0000-0000-0000ED230000}"/>
    <cellStyle name="Normal 4 2 2 3 3 6 3 2" xfId="14811" xr:uid="{00000000-0005-0000-0000-0000EE230000}"/>
    <cellStyle name="Normal 4 2 2 3 3 6 4" xfId="10593" xr:uid="{00000000-0005-0000-0000-0000EF230000}"/>
    <cellStyle name="Normal 4 2 2 3 3 7" xfId="2504" xr:uid="{00000000-0005-0000-0000-0000F0230000}"/>
    <cellStyle name="Normal 4 2 2 3 3 7 2" xfId="6788" xr:uid="{00000000-0005-0000-0000-0000F1230000}"/>
    <cellStyle name="Normal 4 2 2 3 3 7 2 2" xfId="15224" xr:uid="{00000000-0005-0000-0000-0000F2230000}"/>
    <cellStyle name="Normal 4 2 2 3 3 7 3" xfId="11006" xr:uid="{00000000-0005-0000-0000-0000F3230000}"/>
    <cellStyle name="Normal 4 2 2 3 3 8" xfId="4723" xr:uid="{00000000-0005-0000-0000-0000F4230000}"/>
    <cellStyle name="Normal 4 2 2 3 3 8 2" xfId="13159" xr:uid="{00000000-0005-0000-0000-0000F5230000}"/>
    <cellStyle name="Normal 4 2 2 3 3 9" xfId="8941" xr:uid="{00000000-0005-0000-0000-0000F6230000}"/>
    <cellStyle name="Normal 4 2 2 3 4" xfId="346" xr:uid="{00000000-0005-0000-0000-0000F7230000}"/>
    <cellStyle name="Normal 4 2 2 3 4 2" xfId="823" xr:uid="{00000000-0005-0000-0000-0000F8230000}"/>
    <cellStyle name="Normal 4 2 2 3 4 2 2" xfId="3060" xr:uid="{00000000-0005-0000-0000-0000F9230000}"/>
    <cellStyle name="Normal 4 2 2 3 4 2 2 2" xfId="7283" xr:uid="{00000000-0005-0000-0000-0000FA230000}"/>
    <cellStyle name="Normal 4 2 2 3 4 2 2 2 2" xfId="15719" xr:uid="{00000000-0005-0000-0000-0000FB230000}"/>
    <cellStyle name="Normal 4 2 2 3 4 2 2 3" xfId="11501" xr:uid="{00000000-0005-0000-0000-0000FC230000}"/>
    <cellStyle name="Normal 4 2 2 3 4 2 3" xfId="5138" xr:uid="{00000000-0005-0000-0000-0000FD230000}"/>
    <cellStyle name="Normal 4 2 2 3 4 2 3 2" xfId="13574" xr:uid="{00000000-0005-0000-0000-0000FE230000}"/>
    <cellStyle name="Normal 4 2 2 3 4 2 4" xfId="9356" xr:uid="{00000000-0005-0000-0000-0000FF230000}"/>
    <cellStyle name="Normal 4 2 2 3 4 3" xfId="1243" xr:uid="{00000000-0005-0000-0000-000000240000}"/>
    <cellStyle name="Normal 4 2 2 3 4 3 2" xfId="3473" xr:uid="{00000000-0005-0000-0000-000001240000}"/>
    <cellStyle name="Normal 4 2 2 3 4 3 2 2" xfId="7696" xr:uid="{00000000-0005-0000-0000-000002240000}"/>
    <cellStyle name="Normal 4 2 2 3 4 3 2 2 2" xfId="16132" xr:uid="{00000000-0005-0000-0000-000003240000}"/>
    <cellStyle name="Normal 4 2 2 3 4 3 2 3" xfId="11914" xr:uid="{00000000-0005-0000-0000-000004240000}"/>
    <cellStyle name="Normal 4 2 2 3 4 3 3" xfId="5551" xr:uid="{00000000-0005-0000-0000-000005240000}"/>
    <cellStyle name="Normal 4 2 2 3 4 3 3 2" xfId="13987" xr:uid="{00000000-0005-0000-0000-000006240000}"/>
    <cellStyle name="Normal 4 2 2 3 4 3 4" xfId="9769" xr:uid="{00000000-0005-0000-0000-000007240000}"/>
    <cellStyle name="Normal 4 2 2 3 4 4" xfId="1656" xr:uid="{00000000-0005-0000-0000-000008240000}"/>
    <cellStyle name="Normal 4 2 2 3 4 4 2" xfId="3886" xr:uid="{00000000-0005-0000-0000-000009240000}"/>
    <cellStyle name="Normal 4 2 2 3 4 4 2 2" xfId="8109" xr:uid="{00000000-0005-0000-0000-00000A240000}"/>
    <cellStyle name="Normal 4 2 2 3 4 4 2 2 2" xfId="16545" xr:uid="{00000000-0005-0000-0000-00000B240000}"/>
    <cellStyle name="Normal 4 2 2 3 4 4 2 3" xfId="12327" xr:uid="{00000000-0005-0000-0000-00000C240000}"/>
    <cellStyle name="Normal 4 2 2 3 4 4 3" xfId="5964" xr:uid="{00000000-0005-0000-0000-00000D240000}"/>
    <cellStyle name="Normal 4 2 2 3 4 4 3 2" xfId="14400" xr:uid="{00000000-0005-0000-0000-00000E240000}"/>
    <cellStyle name="Normal 4 2 2 3 4 4 4" xfId="10182" xr:uid="{00000000-0005-0000-0000-00000F240000}"/>
    <cellStyle name="Normal 4 2 2 3 4 5" xfId="2070" xr:uid="{00000000-0005-0000-0000-000010240000}"/>
    <cellStyle name="Normal 4 2 2 3 4 5 2" xfId="4299" xr:uid="{00000000-0005-0000-0000-000011240000}"/>
    <cellStyle name="Normal 4 2 2 3 4 5 2 2" xfId="8522" xr:uid="{00000000-0005-0000-0000-000012240000}"/>
    <cellStyle name="Normal 4 2 2 3 4 5 2 2 2" xfId="16958" xr:uid="{00000000-0005-0000-0000-000013240000}"/>
    <cellStyle name="Normal 4 2 2 3 4 5 2 3" xfId="12740" xr:uid="{00000000-0005-0000-0000-000014240000}"/>
    <cellStyle name="Normal 4 2 2 3 4 5 3" xfId="6377" xr:uid="{00000000-0005-0000-0000-000015240000}"/>
    <cellStyle name="Normal 4 2 2 3 4 5 3 2" xfId="14813" xr:uid="{00000000-0005-0000-0000-000016240000}"/>
    <cellStyle name="Normal 4 2 2 3 4 5 4" xfId="10595" xr:uid="{00000000-0005-0000-0000-000017240000}"/>
    <cellStyle name="Normal 4 2 2 3 4 6" xfId="2506" xr:uid="{00000000-0005-0000-0000-000018240000}"/>
    <cellStyle name="Normal 4 2 2 3 4 6 2" xfId="6790" xr:uid="{00000000-0005-0000-0000-000019240000}"/>
    <cellStyle name="Normal 4 2 2 3 4 6 2 2" xfId="15226" xr:uid="{00000000-0005-0000-0000-00001A240000}"/>
    <cellStyle name="Normal 4 2 2 3 4 6 3" xfId="11008" xr:uid="{00000000-0005-0000-0000-00001B240000}"/>
    <cellStyle name="Normal 4 2 2 3 4 7" xfId="4725" xr:uid="{00000000-0005-0000-0000-00001C240000}"/>
    <cellStyle name="Normal 4 2 2 3 4 7 2" xfId="13161" xr:uid="{00000000-0005-0000-0000-00001D240000}"/>
    <cellStyle name="Normal 4 2 2 3 4 8" xfId="8943" xr:uid="{00000000-0005-0000-0000-00001E240000}"/>
    <cellStyle name="Normal 4 2 2 3 5" xfId="816" xr:uid="{00000000-0005-0000-0000-00001F240000}"/>
    <cellStyle name="Normal 4 2 2 3 5 2" xfId="3053" xr:uid="{00000000-0005-0000-0000-000020240000}"/>
    <cellStyle name="Normal 4 2 2 3 5 2 2" xfId="7276" xr:uid="{00000000-0005-0000-0000-000021240000}"/>
    <cellStyle name="Normal 4 2 2 3 5 2 2 2" xfId="15712" xr:uid="{00000000-0005-0000-0000-000022240000}"/>
    <cellStyle name="Normal 4 2 2 3 5 2 3" xfId="11494" xr:uid="{00000000-0005-0000-0000-000023240000}"/>
    <cellStyle name="Normal 4 2 2 3 5 3" xfId="5131" xr:uid="{00000000-0005-0000-0000-000024240000}"/>
    <cellStyle name="Normal 4 2 2 3 5 3 2" xfId="13567" xr:uid="{00000000-0005-0000-0000-000025240000}"/>
    <cellStyle name="Normal 4 2 2 3 5 4" xfId="9349" xr:uid="{00000000-0005-0000-0000-000026240000}"/>
    <cellStyle name="Normal 4 2 2 3 6" xfId="1236" xr:uid="{00000000-0005-0000-0000-000027240000}"/>
    <cellStyle name="Normal 4 2 2 3 6 2" xfId="3466" xr:uid="{00000000-0005-0000-0000-000028240000}"/>
    <cellStyle name="Normal 4 2 2 3 6 2 2" xfId="7689" xr:uid="{00000000-0005-0000-0000-000029240000}"/>
    <cellStyle name="Normal 4 2 2 3 6 2 2 2" xfId="16125" xr:uid="{00000000-0005-0000-0000-00002A240000}"/>
    <cellStyle name="Normal 4 2 2 3 6 2 3" xfId="11907" xr:uid="{00000000-0005-0000-0000-00002B240000}"/>
    <cellStyle name="Normal 4 2 2 3 6 3" xfId="5544" xr:uid="{00000000-0005-0000-0000-00002C240000}"/>
    <cellStyle name="Normal 4 2 2 3 6 3 2" xfId="13980" xr:uid="{00000000-0005-0000-0000-00002D240000}"/>
    <cellStyle name="Normal 4 2 2 3 6 4" xfId="9762" xr:uid="{00000000-0005-0000-0000-00002E240000}"/>
    <cellStyle name="Normal 4 2 2 3 7" xfId="1649" xr:uid="{00000000-0005-0000-0000-00002F240000}"/>
    <cellStyle name="Normal 4 2 2 3 7 2" xfId="3879" xr:uid="{00000000-0005-0000-0000-000030240000}"/>
    <cellStyle name="Normal 4 2 2 3 7 2 2" xfId="8102" xr:uid="{00000000-0005-0000-0000-000031240000}"/>
    <cellStyle name="Normal 4 2 2 3 7 2 2 2" xfId="16538" xr:uid="{00000000-0005-0000-0000-000032240000}"/>
    <cellStyle name="Normal 4 2 2 3 7 2 3" xfId="12320" xr:uid="{00000000-0005-0000-0000-000033240000}"/>
    <cellStyle name="Normal 4 2 2 3 7 3" xfId="5957" xr:uid="{00000000-0005-0000-0000-000034240000}"/>
    <cellStyle name="Normal 4 2 2 3 7 3 2" xfId="14393" xr:uid="{00000000-0005-0000-0000-000035240000}"/>
    <cellStyle name="Normal 4 2 2 3 7 4" xfId="10175" xr:uid="{00000000-0005-0000-0000-000036240000}"/>
    <cellStyle name="Normal 4 2 2 3 8" xfId="2063" xr:uid="{00000000-0005-0000-0000-000037240000}"/>
    <cellStyle name="Normal 4 2 2 3 8 2" xfId="4292" xr:uid="{00000000-0005-0000-0000-000038240000}"/>
    <cellStyle name="Normal 4 2 2 3 8 2 2" xfId="8515" xr:uid="{00000000-0005-0000-0000-000039240000}"/>
    <cellStyle name="Normal 4 2 2 3 8 2 2 2" xfId="16951" xr:uid="{00000000-0005-0000-0000-00003A240000}"/>
    <cellStyle name="Normal 4 2 2 3 8 2 3" xfId="12733" xr:uid="{00000000-0005-0000-0000-00003B240000}"/>
    <cellStyle name="Normal 4 2 2 3 8 3" xfId="6370" xr:uid="{00000000-0005-0000-0000-00003C240000}"/>
    <cellStyle name="Normal 4 2 2 3 8 3 2" xfId="14806" xr:uid="{00000000-0005-0000-0000-00003D240000}"/>
    <cellStyle name="Normal 4 2 2 3 8 4" xfId="10588" xr:uid="{00000000-0005-0000-0000-00003E240000}"/>
    <cellStyle name="Normal 4 2 2 3 9" xfId="2499" xr:uid="{00000000-0005-0000-0000-00003F240000}"/>
    <cellStyle name="Normal 4 2 2 3 9 2" xfId="6783" xr:uid="{00000000-0005-0000-0000-000040240000}"/>
    <cellStyle name="Normal 4 2 2 3 9 2 2" xfId="15219" xr:uid="{00000000-0005-0000-0000-000041240000}"/>
    <cellStyle name="Normal 4 2 2 3 9 3" xfId="11001" xr:uid="{00000000-0005-0000-0000-000042240000}"/>
    <cellStyle name="Normal 4 2 2 4" xfId="347" xr:uid="{00000000-0005-0000-0000-000043240000}"/>
    <cellStyle name="Normal 4 2 2 4 10" xfId="8944" xr:uid="{00000000-0005-0000-0000-000044240000}"/>
    <cellStyle name="Normal 4 2 2 4 2" xfId="348" xr:uid="{00000000-0005-0000-0000-000045240000}"/>
    <cellStyle name="Normal 4 2 2 4 2 2" xfId="349" xr:uid="{00000000-0005-0000-0000-000046240000}"/>
    <cellStyle name="Normal 4 2 2 4 2 2 2" xfId="826" xr:uid="{00000000-0005-0000-0000-000047240000}"/>
    <cellStyle name="Normal 4 2 2 4 2 2 2 2" xfId="3063" xr:uid="{00000000-0005-0000-0000-000048240000}"/>
    <cellStyle name="Normal 4 2 2 4 2 2 2 2 2" xfId="7286" xr:uid="{00000000-0005-0000-0000-000049240000}"/>
    <cellStyle name="Normal 4 2 2 4 2 2 2 2 2 2" xfId="15722" xr:uid="{00000000-0005-0000-0000-00004A240000}"/>
    <cellStyle name="Normal 4 2 2 4 2 2 2 2 3" xfId="11504" xr:uid="{00000000-0005-0000-0000-00004B240000}"/>
    <cellStyle name="Normal 4 2 2 4 2 2 2 3" xfId="5141" xr:uid="{00000000-0005-0000-0000-00004C240000}"/>
    <cellStyle name="Normal 4 2 2 4 2 2 2 3 2" xfId="13577" xr:uid="{00000000-0005-0000-0000-00004D240000}"/>
    <cellStyle name="Normal 4 2 2 4 2 2 2 4" xfId="9359" xr:uid="{00000000-0005-0000-0000-00004E240000}"/>
    <cellStyle name="Normal 4 2 2 4 2 2 3" xfId="1246" xr:uid="{00000000-0005-0000-0000-00004F240000}"/>
    <cellStyle name="Normal 4 2 2 4 2 2 3 2" xfId="3476" xr:uid="{00000000-0005-0000-0000-000050240000}"/>
    <cellStyle name="Normal 4 2 2 4 2 2 3 2 2" xfId="7699" xr:uid="{00000000-0005-0000-0000-000051240000}"/>
    <cellStyle name="Normal 4 2 2 4 2 2 3 2 2 2" xfId="16135" xr:uid="{00000000-0005-0000-0000-000052240000}"/>
    <cellStyle name="Normal 4 2 2 4 2 2 3 2 3" xfId="11917" xr:uid="{00000000-0005-0000-0000-000053240000}"/>
    <cellStyle name="Normal 4 2 2 4 2 2 3 3" xfId="5554" xr:uid="{00000000-0005-0000-0000-000054240000}"/>
    <cellStyle name="Normal 4 2 2 4 2 2 3 3 2" xfId="13990" xr:uid="{00000000-0005-0000-0000-000055240000}"/>
    <cellStyle name="Normal 4 2 2 4 2 2 3 4" xfId="9772" xr:uid="{00000000-0005-0000-0000-000056240000}"/>
    <cellStyle name="Normal 4 2 2 4 2 2 4" xfId="1659" xr:uid="{00000000-0005-0000-0000-000057240000}"/>
    <cellStyle name="Normal 4 2 2 4 2 2 4 2" xfId="3889" xr:uid="{00000000-0005-0000-0000-000058240000}"/>
    <cellStyle name="Normal 4 2 2 4 2 2 4 2 2" xfId="8112" xr:uid="{00000000-0005-0000-0000-000059240000}"/>
    <cellStyle name="Normal 4 2 2 4 2 2 4 2 2 2" xfId="16548" xr:uid="{00000000-0005-0000-0000-00005A240000}"/>
    <cellStyle name="Normal 4 2 2 4 2 2 4 2 3" xfId="12330" xr:uid="{00000000-0005-0000-0000-00005B240000}"/>
    <cellStyle name="Normal 4 2 2 4 2 2 4 3" xfId="5967" xr:uid="{00000000-0005-0000-0000-00005C240000}"/>
    <cellStyle name="Normal 4 2 2 4 2 2 4 3 2" xfId="14403" xr:uid="{00000000-0005-0000-0000-00005D240000}"/>
    <cellStyle name="Normal 4 2 2 4 2 2 4 4" xfId="10185" xr:uid="{00000000-0005-0000-0000-00005E240000}"/>
    <cellStyle name="Normal 4 2 2 4 2 2 5" xfId="2073" xr:uid="{00000000-0005-0000-0000-00005F240000}"/>
    <cellStyle name="Normal 4 2 2 4 2 2 5 2" xfId="4302" xr:uid="{00000000-0005-0000-0000-000060240000}"/>
    <cellStyle name="Normal 4 2 2 4 2 2 5 2 2" xfId="8525" xr:uid="{00000000-0005-0000-0000-000061240000}"/>
    <cellStyle name="Normal 4 2 2 4 2 2 5 2 2 2" xfId="16961" xr:uid="{00000000-0005-0000-0000-000062240000}"/>
    <cellStyle name="Normal 4 2 2 4 2 2 5 2 3" xfId="12743" xr:uid="{00000000-0005-0000-0000-000063240000}"/>
    <cellStyle name="Normal 4 2 2 4 2 2 5 3" xfId="6380" xr:uid="{00000000-0005-0000-0000-000064240000}"/>
    <cellStyle name="Normal 4 2 2 4 2 2 5 3 2" xfId="14816" xr:uid="{00000000-0005-0000-0000-000065240000}"/>
    <cellStyle name="Normal 4 2 2 4 2 2 5 4" xfId="10598" xr:uid="{00000000-0005-0000-0000-000066240000}"/>
    <cellStyle name="Normal 4 2 2 4 2 2 6" xfId="2509" xr:uid="{00000000-0005-0000-0000-000067240000}"/>
    <cellStyle name="Normal 4 2 2 4 2 2 6 2" xfId="6793" xr:uid="{00000000-0005-0000-0000-000068240000}"/>
    <cellStyle name="Normal 4 2 2 4 2 2 6 2 2" xfId="15229" xr:uid="{00000000-0005-0000-0000-000069240000}"/>
    <cellStyle name="Normal 4 2 2 4 2 2 6 3" xfId="11011" xr:uid="{00000000-0005-0000-0000-00006A240000}"/>
    <cellStyle name="Normal 4 2 2 4 2 2 7" xfId="4728" xr:uid="{00000000-0005-0000-0000-00006B240000}"/>
    <cellStyle name="Normal 4 2 2 4 2 2 7 2" xfId="13164" xr:uid="{00000000-0005-0000-0000-00006C240000}"/>
    <cellStyle name="Normal 4 2 2 4 2 2 8" xfId="8946" xr:uid="{00000000-0005-0000-0000-00006D240000}"/>
    <cellStyle name="Normal 4 2 2 4 2 3" xfId="825" xr:uid="{00000000-0005-0000-0000-00006E240000}"/>
    <cellStyle name="Normal 4 2 2 4 2 3 2" xfId="3062" xr:uid="{00000000-0005-0000-0000-00006F240000}"/>
    <cellStyle name="Normal 4 2 2 4 2 3 2 2" xfId="7285" xr:uid="{00000000-0005-0000-0000-000070240000}"/>
    <cellStyle name="Normal 4 2 2 4 2 3 2 2 2" xfId="15721" xr:uid="{00000000-0005-0000-0000-000071240000}"/>
    <cellStyle name="Normal 4 2 2 4 2 3 2 3" xfId="11503" xr:uid="{00000000-0005-0000-0000-000072240000}"/>
    <cellStyle name="Normal 4 2 2 4 2 3 3" xfId="5140" xr:uid="{00000000-0005-0000-0000-000073240000}"/>
    <cellStyle name="Normal 4 2 2 4 2 3 3 2" xfId="13576" xr:uid="{00000000-0005-0000-0000-000074240000}"/>
    <cellStyle name="Normal 4 2 2 4 2 3 4" xfId="9358" xr:uid="{00000000-0005-0000-0000-000075240000}"/>
    <cellStyle name="Normal 4 2 2 4 2 4" xfId="1245" xr:uid="{00000000-0005-0000-0000-000076240000}"/>
    <cellStyle name="Normal 4 2 2 4 2 4 2" xfId="3475" xr:uid="{00000000-0005-0000-0000-000077240000}"/>
    <cellStyle name="Normal 4 2 2 4 2 4 2 2" xfId="7698" xr:uid="{00000000-0005-0000-0000-000078240000}"/>
    <cellStyle name="Normal 4 2 2 4 2 4 2 2 2" xfId="16134" xr:uid="{00000000-0005-0000-0000-000079240000}"/>
    <cellStyle name="Normal 4 2 2 4 2 4 2 3" xfId="11916" xr:uid="{00000000-0005-0000-0000-00007A240000}"/>
    <cellStyle name="Normal 4 2 2 4 2 4 3" xfId="5553" xr:uid="{00000000-0005-0000-0000-00007B240000}"/>
    <cellStyle name="Normal 4 2 2 4 2 4 3 2" xfId="13989" xr:uid="{00000000-0005-0000-0000-00007C240000}"/>
    <cellStyle name="Normal 4 2 2 4 2 4 4" xfId="9771" xr:uid="{00000000-0005-0000-0000-00007D240000}"/>
    <cellStyle name="Normal 4 2 2 4 2 5" xfId="1658" xr:uid="{00000000-0005-0000-0000-00007E240000}"/>
    <cellStyle name="Normal 4 2 2 4 2 5 2" xfId="3888" xr:uid="{00000000-0005-0000-0000-00007F240000}"/>
    <cellStyle name="Normal 4 2 2 4 2 5 2 2" xfId="8111" xr:uid="{00000000-0005-0000-0000-000080240000}"/>
    <cellStyle name="Normal 4 2 2 4 2 5 2 2 2" xfId="16547" xr:uid="{00000000-0005-0000-0000-000081240000}"/>
    <cellStyle name="Normal 4 2 2 4 2 5 2 3" xfId="12329" xr:uid="{00000000-0005-0000-0000-000082240000}"/>
    <cellStyle name="Normal 4 2 2 4 2 5 3" xfId="5966" xr:uid="{00000000-0005-0000-0000-000083240000}"/>
    <cellStyle name="Normal 4 2 2 4 2 5 3 2" xfId="14402" xr:uid="{00000000-0005-0000-0000-000084240000}"/>
    <cellStyle name="Normal 4 2 2 4 2 5 4" xfId="10184" xr:uid="{00000000-0005-0000-0000-000085240000}"/>
    <cellStyle name="Normal 4 2 2 4 2 6" xfId="2072" xr:uid="{00000000-0005-0000-0000-000086240000}"/>
    <cellStyle name="Normal 4 2 2 4 2 6 2" xfId="4301" xr:uid="{00000000-0005-0000-0000-000087240000}"/>
    <cellStyle name="Normal 4 2 2 4 2 6 2 2" xfId="8524" xr:uid="{00000000-0005-0000-0000-000088240000}"/>
    <cellStyle name="Normal 4 2 2 4 2 6 2 2 2" xfId="16960" xr:uid="{00000000-0005-0000-0000-000089240000}"/>
    <cellStyle name="Normal 4 2 2 4 2 6 2 3" xfId="12742" xr:uid="{00000000-0005-0000-0000-00008A240000}"/>
    <cellStyle name="Normal 4 2 2 4 2 6 3" xfId="6379" xr:uid="{00000000-0005-0000-0000-00008B240000}"/>
    <cellStyle name="Normal 4 2 2 4 2 6 3 2" xfId="14815" xr:uid="{00000000-0005-0000-0000-00008C240000}"/>
    <cellStyle name="Normal 4 2 2 4 2 6 4" xfId="10597" xr:uid="{00000000-0005-0000-0000-00008D240000}"/>
    <cellStyle name="Normal 4 2 2 4 2 7" xfId="2508" xr:uid="{00000000-0005-0000-0000-00008E240000}"/>
    <cellStyle name="Normal 4 2 2 4 2 7 2" xfId="6792" xr:uid="{00000000-0005-0000-0000-00008F240000}"/>
    <cellStyle name="Normal 4 2 2 4 2 7 2 2" xfId="15228" xr:uid="{00000000-0005-0000-0000-000090240000}"/>
    <cellStyle name="Normal 4 2 2 4 2 7 3" xfId="11010" xr:uid="{00000000-0005-0000-0000-000091240000}"/>
    <cellStyle name="Normal 4 2 2 4 2 8" xfId="4727" xr:uid="{00000000-0005-0000-0000-000092240000}"/>
    <cellStyle name="Normal 4 2 2 4 2 8 2" xfId="13163" xr:uid="{00000000-0005-0000-0000-000093240000}"/>
    <cellStyle name="Normal 4 2 2 4 2 9" xfId="8945" xr:uid="{00000000-0005-0000-0000-000094240000}"/>
    <cellStyle name="Normal 4 2 2 4 3" xfId="350" xr:uid="{00000000-0005-0000-0000-000095240000}"/>
    <cellStyle name="Normal 4 2 2 4 3 2" xfId="827" xr:uid="{00000000-0005-0000-0000-000096240000}"/>
    <cellStyle name="Normal 4 2 2 4 3 2 2" xfId="3064" xr:uid="{00000000-0005-0000-0000-000097240000}"/>
    <cellStyle name="Normal 4 2 2 4 3 2 2 2" xfId="7287" xr:uid="{00000000-0005-0000-0000-000098240000}"/>
    <cellStyle name="Normal 4 2 2 4 3 2 2 2 2" xfId="15723" xr:uid="{00000000-0005-0000-0000-000099240000}"/>
    <cellStyle name="Normal 4 2 2 4 3 2 2 3" xfId="11505" xr:uid="{00000000-0005-0000-0000-00009A240000}"/>
    <cellStyle name="Normal 4 2 2 4 3 2 3" xfId="5142" xr:uid="{00000000-0005-0000-0000-00009B240000}"/>
    <cellStyle name="Normal 4 2 2 4 3 2 3 2" xfId="13578" xr:uid="{00000000-0005-0000-0000-00009C240000}"/>
    <cellStyle name="Normal 4 2 2 4 3 2 4" xfId="9360" xr:uid="{00000000-0005-0000-0000-00009D240000}"/>
    <cellStyle name="Normal 4 2 2 4 3 3" xfId="1247" xr:uid="{00000000-0005-0000-0000-00009E240000}"/>
    <cellStyle name="Normal 4 2 2 4 3 3 2" xfId="3477" xr:uid="{00000000-0005-0000-0000-00009F240000}"/>
    <cellStyle name="Normal 4 2 2 4 3 3 2 2" xfId="7700" xr:uid="{00000000-0005-0000-0000-0000A0240000}"/>
    <cellStyle name="Normal 4 2 2 4 3 3 2 2 2" xfId="16136" xr:uid="{00000000-0005-0000-0000-0000A1240000}"/>
    <cellStyle name="Normal 4 2 2 4 3 3 2 3" xfId="11918" xr:uid="{00000000-0005-0000-0000-0000A2240000}"/>
    <cellStyle name="Normal 4 2 2 4 3 3 3" xfId="5555" xr:uid="{00000000-0005-0000-0000-0000A3240000}"/>
    <cellStyle name="Normal 4 2 2 4 3 3 3 2" xfId="13991" xr:uid="{00000000-0005-0000-0000-0000A4240000}"/>
    <cellStyle name="Normal 4 2 2 4 3 3 4" xfId="9773" xr:uid="{00000000-0005-0000-0000-0000A5240000}"/>
    <cellStyle name="Normal 4 2 2 4 3 4" xfId="1660" xr:uid="{00000000-0005-0000-0000-0000A6240000}"/>
    <cellStyle name="Normal 4 2 2 4 3 4 2" xfId="3890" xr:uid="{00000000-0005-0000-0000-0000A7240000}"/>
    <cellStyle name="Normal 4 2 2 4 3 4 2 2" xfId="8113" xr:uid="{00000000-0005-0000-0000-0000A8240000}"/>
    <cellStyle name="Normal 4 2 2 4 3 4 2 2 2" xfId="16549" xr:uid="{00000000-0005-0000-0000-0000A9240000}"/>
    <cellStyle name="Normal 4 2 2 4 3 4 2 3" xfId="12331" xr:uid="{00000000-0005-0000-0000-0000AA240000}"/>
    <cellStyle name="Normal 4 2 2 4 3 4 3" xfId="5968" xr:uid="{00000000-0005-0000-0000-0000AB240000}"/>
    <cellStyle name="Normal 4 2 2 4 3 4 3 2" xfId="14404" xr:uid="{00000000-0005-0000-0000-0000AC240000}"/>
    <cellStyle name="Normal 4 2 2 4 3 4 4" xfId="10186" xr:uid="{00000000-0005-0000-0000-0000AD240000}"/>
    <cellStyle name="Normal 4 2 2 4 3 5" xfId="2074" xr:uid="{00000000-0005-0000-0000-0000AE240000}"/>
    <cellStyle name="Normal 4 2 2 4 3 5 2" xfId="4303" xr:uid="{00000000-0005-0000-0000-0000AF240000}"/>
    <cellStyle name="Normal 4 2 2 4 3 5 2 2" xfId="8526" xr:uid="{00000000-0005-0000-0000-0000B0240000}"/>
    <cellStyle name="Normal 4 2 2 4 3 5 2 2 2" xfId="16962" xr:uid="{00000000-0005-0000-0000-0000B1240000}"/>
    <cellStyle name="Normal 4 2 2 4 3 5 2 3" xfId="12744" xr:uid="{00000000-0005-0000-0000-0000B2240000}"/>
    <cellStyle name="Normal 4 2 2 4 3 5 3" xfId="6381" xr:uid="{00000000-0005-0000-0000-0000B3240000}"/>
    <cellStyle name="Normal 4 2 2 4 3 5 3 2" xfId="14817" xr:uid="{00000000-0005-0000-0000-0000B4240000}"/>
    <cellStyle name="Normal 4 2 2 4 3 5 4" xfId="10599" xr:uid="{00000000-0005-0000-0000-0000B5240000}"/>
    <cellStyle name="Normal 4 2 2 4 3 6" xfId="2510" xr:uid="{00000000-0005-0000-0000-0000B6240000}"/>
    <cellStyle name="Normal 4 2 2 4 3 6 2" xfId="6794" xr:uid="{00000000-0005-0000-0000-0000B7240000}"/>
    <cellStyle name="Normal 4 2 2 4 3 6 2 2" xfId="15230" xr:uid="{00000000-0005-0000-0000-0000B8240000}"/>
    <cellStyle name="Normal 4 2 2 4 3 6 3" xfId="11012" xr:uid="{00000000-0005-0000-0000-0000B9240000}"/>
    <cellStyle name="Normal 4 2 2 4 3 7" xfId="4729" xr:uid="{00000000-0005-0000-0000-0000BA240000}"/>
    <cellStyle name="Normal 4 2 2 4 3 7 2" xfId="13165" xr:uid="{00000000-0005-0000-0000-0000BB240000}"/>
    <cellStyle name="Normal 4 2 2 4 3 8" xfId="8947" xr:uid="{00000000-0005-0000-0000-0000BC240000}"/>
    <cellStyle name="Normal 4 2 2 4 4" xfId="824" xr:uid="{00000000-0005-0000-0000-0000BD240000}"/>
    <cellStyle name="Normal 4 2 2 4 4 2" xfId="3061" xr:uid="{00000000-0005-0000-0000-0000BE240000}"/>
    <cellStyle name="Normal 4 2 2 4 4 2 2" xfId="7284" xr:uid="{00000000-0005-0000-0000-0000BF240000}"/>
    <cellStyle name="Normal 4 2 2 4 4 2 2 2" xfId="15720" xr:uid="{00000000-0005-0000-0000-0000C0240000}"/>
    <cellStyle name="Normal 4 2 2 4 4 2 3" xfId="11502" xr:uid="{00000000-0005-0000-0000-0000C1240000}"/>
    <cellStyle name="Normal 4 2 2 4 4 3" xfId="5139" xr:uid="{00000000-0005-0000-0000-0000C2240000}"/>
    <cellStyle name="Normal 4 2 2 4 4 3 2" xfId="13575" xr:uid="{00000000-0005-0000-0000-0000C3240000}"/>
    <cellStyle name="Normal 4 2 2 4 4 4" xfId="9357" xr:uid="{00000000-0005-0000-0000-0000C4240000}"/>
    <cellStyle name="Normal 4 2 2 4 5" xfId="1244" xr:uid="{00000000-0005-0000-0000-0000C5240000}"/>
    <cellStyle name="Normal 4 2 2 4 5 2" xfId="3474" xr:uid="{00000000-0005-0000-0000-0000C6240000}"/>
    <cellStyle name="Normal 4 2 2 4 5 2 2" xfId="7697" xr:uid="{00000000-0005-0000-0000-0000C7240000}"/>
    <cellStyle name="Normal 4 2 2 4 5 2 2 2" xfId="16133" xr:uid="{00000000-0005-0000-0000-0000C8240000}"/>
    <cellStyle name="Normal 4 2 2 4 5 2 3" xfId="11915" xr:uid="{00000000-0005-0000-0000-0000C9240000}"/>
    <cellStyle name="Normal 4 2 2 4 5 3" xfId="5552" xr:uid="{00000000-0005-0000-0000-0000CA240000}"/>
    <cellStyle name="Normal 4 2 2 4 5 3 2" xfId="13988" xr:uid="{00000000-0005-0000-0000-0000CB240000}"/>
    <cellStyle name="Normal 4 2 2 4 5 4" xfId="9770" xr:uid="{00000000-0005-0000-0000-0000CC240000}"/>
    <cellStyle name="Normal 4 2 2 4 6" xfId="1657" xr:uid="{00000000-0005-0000-0000-0000CD240000}"/>
    <cellStyle name="Normal 4 2 2 4 6 2" xfId="3887" xr:uid="{00000000-0005-0000-0000-0000CE240000}"/>
    <cellStyle name="Normal 4 2 2 4 6 2 2" xfId="8110" xr:uid="{00000000-0005-0000-0000-0000CF240000}"/>
    <cellStyle name="Normal 4 2 2 4 6 2 2 2" xfId="16546" xr:uid="{00000000-0005-0000-0000-0000D0240000}"/>
    <cellStyle name="Normal 4 2 2 4 6 2 3" xfId="12328" xr:uid="{00000000-0005-0000-0000-0000D1240000}"/>
    <cellStyle name="Normal 4 2 2 4 6 3" xfId="5965" xr:uid="{00000000-0005-0000-0000-0000D2240000}"/>
    <cellStyle name="Normal 4 2 2 4 6 3 2" xfId="14401" xr:uid="{00000000-0005-0000-0000-0000D3240000}"/>
    <cellStyle name="Normal 4 2 2 4 6 4" xfId="10183" xr:uid="{00000000-0005-0000-0000-0000D4240000}"/>
    <cellStyle name="Normal 4 2 2 4 7" xfId="2071" xr:uid="{00000000-0005-0000-0000-0000D5240000}"/>
    <cellStyle name="Normal 4 2 2 4 7 2" xfId="4300" xr:uid="{00000000-0005-0000-0000-0000D6240000}"/>
    <cellStyle name="Normal 4 2 2 4 7 2 2" xfId="8523" xr:uid="{00000000-0005-0000-0000-0000D7240000}"/>
    <cellStyle name="Normal 4 2 2 4 7 2 2 2" xfId="16959" xr:uid="{00000000-0005-0000-0000-0000D8240000}"/>
    <cellStyle name="Normal 4 2 2 4 7 2 3" xfId="12741" xr:uid="{00000000-0005-0000-0000-0000D9240000}"/>
    <cellStyle name="Normal 4 2 2 4 7 3" xfId="6378" xr:uid="{00000000-0005-0000-0000-0000DA240000}"/>
    <cellStyle name="Normal 4 2 2 4 7 3 2" xfId="14814" xr:uid="{00000000-0005-0000-0000-0000DB240000}"/>
    <cellStyle name="Normal 4 2 2 4 7 4" xfId="10596" xr:uid="{00000000-0005-0000-0000-0000DC240000}"/>
    <cellStyle name="Normal 4 2 2 4 8" xfId="2507" xr:uid="{00000000-0005-0000-0000-0000DD240000}"/>
    <cellStyle name="Normal 4 2 2 4 8 2" xfId="6791" xr:uid="{00000000-0005-0000-0000-0000DE240000}"/>
    <cellStyle name="Normal 4 2 2 4 8 2 2" xfId="15227" xr:uid="{00000000-0005-0000-0000-0000DF240000}"/>
    <cellStyle name="Normal 4 2 2 4 8 3" xfId="11009" xr:uid="{00000000-0005-0000-0000-0000E0240000}"/>
    <cellStyle name="Normal 4 2 2 4 9" xfId="4726" xr:uid="{00000000-0005-0000-0000-0000E1240000}"/>
    <cellStyle name="Normal 4 2 2 4 9 2" xfId="13162" xr:uid="{00000000-0005-0000-0000-0000E2240000}"/>
    <cellStyle name="Normal 4 2 2 5" xfId="351" xr:uid="{00000000-0005-0000-0000-0000E3240000}"/>
    <cellStyle name="Normal 4 2 2 5 2" xfId="352" xr:uid="{00000000-0005-0000-0000-0000E4240000}"/>
    <cellStyle name="Normal 4 2 2 5 2 2" xfId="829" xr:uid="{00000000-0005-0000-0000-0000E5240000}"/>
    <cellStyle name="Normal 4 2 2 5 2 2 2" xfId="3066" xr:uid="{00000000-0005-0000-0000-0000E6240000}"/>
    <cellStyle name="Normal 4 2 2 5 2 2 2 2" xfId="7289" xr:uid="{00000000-0005-0000-0000-0000E7240000}"/>
    <cellStyle name="Normal 4 2 2 5 2 2 2 2 2" xfId="15725" xr:uid="{00000000-0005-0000-0000-0000E8240000}"/>
    <cellStyle name="Normal 4 2 2 5 2 2 2 3" xfId="11507" xr:uid="{00000000-0005-0000-0000-0000E9240000}"/>
    <cellStyle name="Normal 4 2 2 5 2 2 3" xfId="5144" xr:uid="{00000000-0005-0000-0000-0000EA240000}"/>
    <cellStyle name="Normal 4 2 2 5 2 2 3 2" xfId="13580" xr:uid="{00000000-0005-0000-0000-0000EB240000}"/>
    <cellStyle name="Normal 4 2 2 5 2 2 4" xfId="9362" xr:uid="{00000000-0005-0000-0000-0000EC240000}"/>
    <cellStyle name="Normal 4 2 2 5 2 3" xfId="1249" xr:uid="{00000000-0005-0000-0000-0000ED240000}"/>
    <cellStyle name="Normal 4 2 2 5 2 3 2" xfId="3479" xr:uid="{00000000-0005-0000-0000-0000EE240000}"/>
    <cellStyle name="Normal 4 2 2 5 2 3 2 2" xfId="7702" xr:uid="{00000000-0005-0000-0000-0000EF240000}"/>
    <cellStyle name="Normal 4 2 2 5 2 3 2 2 2" xfId="16138" xr:uid="{00000000-0005-0000-0000-0000F0240000}"/>
    <cellStyle name="Normal 4 2 2 5 2 3 2 3" xfId="11920" xr:uid="{00000000-0005-0000-0000-0000F1240000}"/>
    <cellStyle name="Normal 4 2 2 5 2 3 3" xfId="5557" xr:uid="{00000000-0005-0000-0000-0000F2240000}"/>
    <cellStyle name="Normal 4 2 2 5 2 3 3 2" xfId="13993" xr:uid="{00000000-0005-0000-0000-0000F3240000}"/>
    <cellStyle name="Normal 4 2 2 5 2 3 4" xfId="9775" xr:uid="{00000000-0005-0000-0000-0000F4240000}"/>
    <cellStyle name="Normal 4 2 2 5 2 4" xfId="1662" xr:uid="{00000000-0005-0000-0000-0000F5240000}"/>
    <cellStyle name="Normal 4 2 2 5 2 4 2" xfId="3892" xr:uid="{00000000-0005-0000-0000-0000F6240000}"/>
    <cellStyle name="Normal 4 2 2 5 2 4 2 2" xfId="8115" xr:uid="{00000000-0005-0000-0000-0000F7240000}"/>
    <cellStyle name="Normal 4 2 2 5 2 4 2 2 2" xfId="16551" xr:uid="{00000000-0005-0000-0000-0000F8240000}"/>
    <cellStyle name="Normal 4 2 2 5 2 4 2 3" xfId="12333" xr:uid="{00000000-0005-0000-0000-0000F9240000}"/>
    <cellStyle name="Normal 4 2 2 5 2 4 3" xfId="5970" xr:uid="{00000000-0005-0000-0000-0000FA240000}"/>
    <cellStyle name="Normal 4 2 2 5 2 4 3 2" xfId="14406" xr:uid="{00000000-0005-0000-0000-0000FB240000}"/>
    <cellStyle name="Normal 4 2 2 5 2 4 4" xfId="10188" xr:uid="{00000000-0005-0000-0000-0000FC240000}"/>
    <cellStyle name="Normal 4 2 2 5 2 5" xfId="2076" xr:uid="{00000000-0005-0000-0000-0000FD240000}"/>
    <cellStyle name="Normal 4 2 2 5 2 5 2" xfId="4305" xr:uid="{00000000-0005-0000-0000-0000FE240000}"/>
    <cellStyle name="Normal 4 2 2 5 2 5 2 2" xfId="8528" xr:uid="{00000000-0005-0000-0000-0000FF240000}"/>
    <cellStyle name="Normal 4 2 2 5 2 5 2 2 2" xfId="16964" xr:uid="{00000000-0005-0000-0000-000000250000}"/>
    <cellStyle name="Normal 4 2 2 5 2 5 2 3" xfId="12746" xr:uid="{00000000-0005-0000-0000-000001250000}"/>
    <cellStyle name="Normal 4 2 2 5 2 5 3" xfId="6383" xr:uid="{00000000-0005-0000-0000-000002250000}"/>
    <cellStyle name="Normal 4 2 2 5 2 5 3 2" xfId="14819" xr:uid="{00000000-0005-0000-0000-000003250000}"/>
    <cellStyle name="Normal 4 2 2 5 2 5 4" xfId="10601" xr:uid="{00000000-0005-0000-0000-000004250000}"/>
    <cellStyle name="Normal 4 2 2 5 2 6" xfId="2512" xr:uid="{00000000-0005-0000-0000-000005250000}"/>
    <cellStyle name="Normal 4 2 2 5 2 6 2" xfId="6796" xr:uid="{00000000-0005-0000-0000-000006250000}"/>
    <cellStyle name="Normal 4 2 2 5 2 6 2 2" xfId="15232" xr:uid="{00000000-0005-0000-0000-000007250000}"/>
    <cellStyle name="Normal 4 2 2 5 2 6 3" xfId="11014" xr:uid="{00000000-0005-0000-0000-000008250000}"/>
    <cellStyle name="Normal 4 2 2 5 2 7" xfId="4731" xr:uid="{00000000-0005-0000-0000-000009250000}"/>
    <cellStyle name="Normal 4 2 2 5 2 7 2" xfId="13167" xr:uid="{00000000-0005-0000-0000-00000A250000}"/>
    <cellStyle name="Normal 4 2 2 5 2 8" xfId="8949" xr:uid="{00000000-0005-0000-0000-00000B250000}"/>
    <cellStyle name="Normal 4 2 2 5 3" xfId="828" xr:uid="{00000000-0005-0000-0000-00000C250000}"/>
    <cellStyle name="Normal 4 2 2 5 3 2" xfId="3065" xr:uid="{00000000-0005-0000-0000-00000D250000}"/>
    <cellStyle name="Normal 4 2 2 5 3 2 2" xfId="7288" xr:uid="{00000000-0005-0000-0000-00000E250000}"/>
    <cellStyle name="Normal 4 2 2 5 3 2 2 2" xfId="15724" xr:uid="{00000000-0005-0000-0000-00000F250000}"/>
    <cellStyle name="Normal 4 2 2 5 3 2 3" xfId="11506" xr:uid="{00000000-0005-0000-0000-000010250000}"/>
    <cellStyle name="Normal 4 2 2 5 3 3" xfId="5143" xr:uid="{00000000-0005-0000-0000-000011250000}"/>
    <cellStyle name="Normal 4 2 2 5 3 3 2" xfId="13579" xr:uid="{00000000-0005-0000-0000-000012250000}"/>
    <cellStyle name="Normal 4 2 2 5 3 4" xfId="9361" xr:uid="{00000000-0005-0000-0000-000013250000}"/>
    <cellStyle name="Normal 4 2 2 5 4" xfId="1248" xr:uid="{00000000-0005-0000-0000-000014250000}"/>
    <cellStyle name="Normal 4 2 2 5 4 2" xfId="3478" xr:uid="{00000000-0005-0000-0000-000015250000}"/>
    <cellStyle name="Normal 4 2 2 5 4 2 2" xfId="7701" xr:uid="{00000000-0005-0000-0000-000016250000}"/>
    <cellStyle name="Normal 4 2 2 5 4 2 2 2" xfId="16137" xr:uid="{00000000-0005-0000-0000-000017250000}"/>
    <cellStyle name="Normal 4 2 2 5 4 2 3" xfId="11919" xr:uid="{00000000-0005-0000-0000-000018250000}"/>
    <cellStyle name="Normal 4 2 2 5 4 3" xfId="5556" xr:uid="{00000000-0005-0000-0000-000019250000}"/>
    <cellStyle name="Normal 4 2 2 5 4 3 2" xfId="13992" xr:uid="{00000000-0005-0000-0000-00001A250000}"/>
    <cellStyle name="Normal 4 2 2 5 4 4" xfId="9774" xr:uid="{00000000-0005-0000-0000-00001B250000}"/>
    <cellStyle name="Normal 4 2 2 5 5" xfId="1661" xr:uid="{00000000-0005-0000-0000-00001C250000}"/>
    <cellStyle name="Normal 4 2 2 5 5 2" xfId="3891" xr:uid="{00000000-0005-0000-0000-00001D250000}"/>
    <cellStyle name="Normal 4 2 2 5 5 2 2" xfId="8114" xr:uid="{00000000-0005-0000-0000-00001E250000}"/>
    <cellStyle name="Normal 4 2 2 5 5 2 2 2" xfId="16550" xr:uid="{00000000-0005-0000-0000-00001F250000}"/>
    <cellStyle name="Normal 4 2 2 5 5 2 3" xfId="12332" xr:uid="{00000000-0005-0000-0000-000020250000}"/>
    <cellStyle name="Normal 4 2 2 5 5 3" xfId="5969" xr:uid="{00000000-0005-0000-0000-000021250000}"/>
    <cellStyle name="Normal 4 2 2 5 5 3 2" xfId="14405" xr:uid="{00000000-0005-0000-0000-000022250000}"/>
    <cellStyle name="Normal 4 2 2 5 5 4" xfId="10187" xr:uid="{00000000-0005-0000-0000-000023250000}"/>
    <cellStyle name="Normal 4 2 2 5 6" xfId="2075" xr:uid="{00000000-0005-0000-0000-000024250000}"/>
    <cellStyle name="Normal 4 2 2 5 6 2" xfId="4304" xr:uid="{00000000-0005-0000-0000-000025250000}"/>
    <cellStyle name="Normal 4 2 2 5 6 2 2" xfId="8527" xr:uid="{00000000-0005-0000-0000-000026250000}"/>
    <cellStyle name="Normal 4 2 2 5 6 2 2 2" xfId="16963" xr:uid="{00000000-0005-0000-0000-000027250000}"/>
    <cellStyle name="Normal 4 2 2 5 6 2 3" xfId="12745" xr:uid="{00000000-0005-0000-0000-000028250000}"/>
    <cellStyle name="Normal 4 2 2 5 6 3" xfId="6382" xr:uid="{00000000-0005-0000-0000-000029250000}"/>
    <cellStyle name="Normal 4 2 2 5 6 3 2" xfId="14818" xr:uid="{00000000-0005-0000-0000-00002A250000}"/>
    <cellStyle name="Normal 4 2 2 5 6 4" xfId="10600" xr:uid="{00000000-0005-0000-0000-00002B250000}"/>
    <cellStyle name="Normal 4 2 2 5 7" xfId="2511" xr:uid="{00000000-0005-0000-0000-00002C250000}"/>
    <cellStyle name="Normal 4 2 2 5 7 2" xfId="6795" xr:uid="{00000000-0005-0000-0000-00002D250000}"/>
    <cellStyle name="Normal 4 2 2 5 7 2 2" xfId="15231" xr:uid="{00000000-0005-0000-0000-00002E250000}"/>
    <cellStyle name="Normal 4 2 2 5 7 3" xfId="11013" xr:uid="{00000000-0005-0000-0000-00002F250000}"/>
    <cellStyle name="Normal 4 2 2 5 8" xfId="4730" xr:uid="{00000000-0005-0000-0000-000030250000}"/>
    <cellStyle name="Normal 4 2 2 5 8 2" xfId="13166" xr:uid="{00000000-0005-0000-0000-000031250000}"/>
    <cellStyle name="Normal 4 2 2 5 9" xfId="8948" xr:uid="{00000000-0005-0000-0000-000032250000}"/>
    <cellStyle name="Normal 4 2 2 6" xfId="353" xr:uid="{00000000-0005-0000-0000-000033250000}"/>
    <cellStyle name="Normal 4 2 2 6 2" xfId="830" xr:uid="{00000000-0005-0000-0000-000034250000}"/>
    <cellStyle name="Normal 4 2 2 6 2 2" xfId="3067" xr:uid="{00000000-0005-0000-0000-000035250000}"/>
    <cellStyle name="Normal 4 2 2 6 2 2 2" xfId="7290" xr:uid="{00000000-0005-0000-0000-000036250000}"/>
    <cellStyle name="Normal 4 2 2 6 2 2 2 2" xfId="15726" xr:uid="{00000000-0005-0000-0000-000037250000}"/>
    <cellStyle name="Normal 4 2 2 6 2 2 3" xfId="11508" xr:uid="{00000000-0005-0000-0000-000038250000}"/>
    <cellStyle name="Normal 4 2 2 6 2 3" xfId="5145" xr:uid="{00000000-0005-0000-0000-000039250000}"/>
    <cellStyle name="Normal 4 2 2 6 2 3 2" xfId="13581" xr:uid="{00000000-0005-0000-0000-00003A250000}"/>
    <cellStyle name="Normal 4 2 2 6 2 4" xfId="9363" xr:uid="{00000000-0005-0000-0000-00003B250000}"/>
    <cellStyle name="Normal 4 2 2 6 3" xfId="1250" xr:uid="{00000000-0005-0000-0000-00003C250000}"/>
    <cellStyle name="Normal 4 2 2 6 3 2" xfId="3480" xr:uid="{00000000-0005-0000-0000-00003D250000}"/>
    <cellStyle name="Normal 4 2 2 6 3 2 2" xfId="7703" xr:uid="{00000000-0005-0000-0000-00003E250000}"/>
    <cellStyle name="Normal 4 2 2 6 3 2 2 2" xfId="16139" xr:uid="{00000000-0005-0000-0000-00003F250000}"/>
    <cellStyle name="Normal 4 2 2 6 3 2 3" xfId="11921" xr:uid="{00000000-0005-0000-0000-000040250000}"/>
    <cellStyle name="Normal 4 2 2 6 3 3" xfId="5558" xr:uid="{00000000-0005-0000-0000-000041250000}"/>
    <cellStyle name="Normal 4 2 2 6 3 3 2" xfId="13994" xr:uid="{00000000-0005-0000-0000-000042250000}"/>
    <cellStyle name="Normal 4 2 2 6 3 4" xfId="9776" xr:uid="{00000000-0005-0000-0000-000043250000}"/>
    <cellStyle name="Normal 4 2 2 6 4" xfId="1663" xr:uid="{00000000-0005-0000-0000-000044250000}"/>
    <cellStyle name="Normal 4 2 2 6 4 2" xfId="3893" xr:uid="{00000000-0005-0000-0000-000045250000}"/>
    <cellStyle name="Normal 4 2 2 6 4 2 2" xfId="8116" xr:uid="{00000000-0005-0000-0000-000046250000}"/>
    <cellStyle name="Normal 4 2 2 6 4 2 2 2" xfId="16552" xr:uid="{00000000-0005-0000-0000-000047250000}"/>
    <cellStyle name="Normal 4 2 2 6 4 2 3" xfId="12334" xr:uid="{00000000-0005-0000-0000-000048250000}"/>
    <cellStyle name="Normal 4 2 2 6 4 3" xfId="5971" xr:uid="{00000000-0005-0000-0000-000049250000}"/>
    <cellStyle name="Normal 4 2 2 6 4 3 2" xfId="14407" xr:uid="{00000000-0005-0000-0000-00004A250000}"/>
    <cellStyle name="Normal 4 2 2 6 4 4" xfId="10189" xr:uid="{00000000-0005-0000-0000-00004B250000}"/>
    <cellStyle name="Normal 4 2 2 6 5" xfId="2077" xr:uid="{00000000-0005-0000-0000-00004C250000}"/>
    <cellStyle name="Normal 4 2 2 6 5 2" xfId="4306" xr:uid="{00000000-0005-0000-0000-00004D250000}"/>
    <cellStyle name="Normal 4 2 2 6 5 2 2" xfId="8529" xr:uid="{00000000-0005-0000-0000-00004E250000}"/>
    <cellStyle name="Normal 4 2 2 6 5 2 2 2" xfId="16965" xr:uid="{00000000-0005-0000-0000-00004F250000}"/>
    <cellStyle name="Normal 4 2 2 6 5 2 3" xfId="12747" xr:uid="{00000000-0005-0000-0000-000050250000}"/>
    <cellStyle name="Normal 4 2 2 6 5 3" xfId="6384" xr:uid="{00000000-0005-0000-0000-000051250000}"/>
    <cellStyle name="Normal 4 2 2 6 5 3 2" xfId="14820" xr:uid="{00000000-0005-0000-0000-000052250000}"/>
    <cellStyle name="Normal 4 2 2 6 5 4" xfId="10602" xr:uid="{00000000-0005-0000-0000-000053250000}"/>
    <cellStyle name="Normal 4 2 2 6 6" xfId="2513" xr:uid="{00000000-0005-0000-0000-000054250000}"/>
    <cellStyle name="Normal 4 2 2 6 6 2" xfId="6797" xr:uid="{00000000-0005-0000-0000-000055250000}"/>
    <cellStyle name="Normal 4 2 2 6 6 2 2" xfId="15233" xr:uid="{00000000-0005-0000-0000-000056250000}"/>
    <cellStyle name="Normal 4 2 2 6 6 3" xfId="11015" xr:uid="{00000000-0005-0000-0000-000057250000}"/>
    <cellStyle name="Normal 4 2 2 6 7" xfId="4732" xr:uid="{00000000-0005-0000-0000-000058250000}"/>
    <cellStyle name="Normal 4 2 2 6 7 2" xfId="13168" xr:uid="{00000000-0005-0000-0000-000059250000}"/>
    <cellStyle name="Normal 4 2 2 6 8" xfId="8950" xr:uid="{00000000-0005-0000-0000-00005A250000}"/>
    <cellStyle name="Normal 4 2 2 7" xfId="815" xr:uid="{00000000-0005-0000-0000-00005B250000}"/>
    <cellStyle name="Normal 4 2 2 7 2" xfId="3052" xr:uid="{00000000-0005-0000-0000-00005C250000}"/>
    <cellStyle name="Normal 4 2 2 7 2 2" xfId="7275" xr:uid="{00000000-0005-0000-0000-00005D250000}"/>
    <cellStyle name="Normal 4 2 2 7 2 2 2" xfId="15711" xr:uid="{00000000-0005-0000-0000-00005E250000}"/>
    <cellStyle name="Normal 4 2 2 7 2 3" xfId="11493" xr:uid="{00000000-0005-0000-0000-00005F250000}"/>
    <cellStyle name="Normal 4 2 2 7 3" xfId="5130" xr:uid="{00000000-0005-0000-0000-000060250000}"/>
    <cellStyle name="Normal 4 2 2 7 3 2" xfId="13566" xr:uid="{00000000-0005-0000-0000-000061250000}"/>
    <cellStyle name="Normal 4 2 2 7 4" xfId="9348" xr:uid="{00000000-0005-0000-0000-000062250000}"/>
    <cellStyle name="Normal 4 2 2 8" xfId="1235" xr:uid="{00000000-0005-0000-0000-000063250000}"/>
    <cellStyle name="Normal 4 2 2 8 2" xfId="3465" xr:uid="{00000000-0005-0000-0000-000064250000}"/>
    <cellStyle name="Normal 4 2 2 8 2 2" xfId="7688" xr:uid="{00000000-0005-0000-0000-000065250000}"/>
    <cellStyle name="Normal 4 2 2 8 2 2 2" xfId="16124" xr:uid="{00000000-0005-0000-0000-000066250000}"/>
    <cellStyle name="Normal 4 2 2 8 2 3" xfId="11906" xr:uid="{00000000-0005-0000-0000-000067250000}"/>
    <cellStyle name="Normal 4 2 2 8 3" xfId="5543" xr:uid="{00000000-0005-0000-0000-000068250000}"/>
    <cellStyle name="Normal 4 2 2 8 3 2" xfId="13979" xr:uid="{00000000-0005-0000-0000-000069250000}"/>
    <cellStyle name="Normal 4 2 2 8 4" xfId="9761" xr:uid="{00000000-0005-0000-0000-00006A250000}"/>
    <cellStyle name="Normal 4 2 2 9" xfId="1648" xr:uid="{00000000-0005-0000-0000-00006B250000}"/>
    <cellStyle name="Normal 4 2 2 9 2" xfId="3878" xr:uid="{00000000-0005-0000-0000-00006C250000}"/>
    <cellStyle name="Normal 4 2 2 9 2 2" xfId="8101" xr:uid="{00000000-0005-0000-0000-00006D250000}"/>
    <cellStyle name="Normal 4 2 2 9 2 2 2" xfId="16537" xr:uid="{00000000-0005-0000-0000-00006E250000}"/>
    <cellStyle name="Normal 4 2 2 9 2 3" xfId="12319" xr:uid="{00000000-0005-0000-0000-00006F250000}"/>
    <cellStyle name="Normal 4 2 2 9 3" xfId="5956" xr:uid="{00000000-0005-0000-0000-000070250000}"/>
    <cellStyle name="Normal 4 2 2 9 3 2" xfId="14392" xr:uid="{00000000-0005-0000-0000-000071250000}"/>
    <cellStyle name="Normal 4 2 2 9 4" xfId="10174" xr:uid="{00000000-0005-0000-0000-000072250000}"/>
    <cellStyle name="Normal 4 2 3" xfId="354" xr:uid="{00000000-0005-0000-0000-000073250000}"/>
    <cellStyle name="Normal 4 2 4" xfId="355" xr:uid="{00000000-0005-0000-0000-000074250000}"/>
    <cellStyle name="Normal 4 2 4 10" xfId="4733" xr:uid="{00000000-0005-0000-0000-000075250000}"/>
    <cellStyle name="Normal 4 2 4 10 2" xfId="13169" xr:uid="{00000000-0005-0000-0000-000076250000}"/>
    <cellStyle name="Normal 4 2 4 11" xfId="8951" xr:uid="{00000000-0005-0000-0000-000077250000}"/>
    <cellStyle name="Normal 4 2 4 2" xfId="356" xr:uid="{00000000-0005-0000-0000-000078250000}"/>
    <cellStyle name="Normal 4 2 4 2 10" xfId="8952" xr:uid="{00000000-0005-0000-0000-000079250000}"/>
    <cellStyle name="Normal 4 2 4 2 2" xfId="357" xr:uid="{00000000-0005-0000-0000-00007A250000}"/>
    <cellStyle name="Normal 4 2 4 2 2 2" xfId="358" xr:uid="{00000000-0005-0000-0000-00007B250000}"/>
    <cellStyle name="Normal 4 2 4 2 2 2 2" xfId="834" xr:uid="{00000000-0005-0000-0000-00007C250000}"/>
    <cellStyle name="Normal 4 2 4 2 2 2 2 2" xfId="3071" xr:uid="{00000000-0005-0000-0000-00007D250000}"/>
    <cellStyle name="Normal 4 2 4 2 2 2 2 2 2" xfId="7294" xr:uid="{00000000-0005-0000-0000-00007E250000}"/>
    <cellStyle name="Normal 4 2 4 2 2 2 2 2 2 2" xfId="15730" xr:uid="{00000000-0005-0000-0000-00007F250000}"/>
    <cellStyle name="Normal 4 2 4 2 2 2 2 2 3" xfId="11512" xr:uid="{00000000-0005-0000-0000-000080250000}"/>
    <cellStyle name="Normal 4 2 4 2 2 2 2 3" xfId="5149" xr:uid="{00000000-0005-0000-0000-000081250000}"/>
    <cellStyle name="Normal 4 2 4 2 2 2 2 3 2" xfId="13585" xr:uid="{00000000-0005-0000-0000-000082250000}"/>
    <cellStyle name="Normal 4 2 4 2 2 2 2 4" xfId="9367" xr:uid="{00000000-0005-0000-0000-000083250000}"/>
    <cellStyle name="Normal 4 2 4 2 2 2 3" xfId="1254" xr:uid="{00000000-0005-0000-0000-000084250000}"/>
    <cellStyle name="Normal 4 2 4 2 2 2 3 2" xfId="3484" xr:uid="{00000000-0005-0000-0000-000085250000}"/>
    <cellStyle name="Normal 4 2 4 2 2 2 3 2 2" xfId="7707" xr:uid="{00000000-0005-0000-0000-000086250000}"/>
    <cellStyle name="Normal 4 2 4 2 2 2 3 2 2 2" xfId="16143" xr:uid="{00000000-0005-0000-0000-000087250000}"/>
    <cellStyle name="Normal 4 2 4 2 2 2 3 2 3" xfId="11925" xr:uid="{00000000-0005-0000-0000-000088250000}"/>
    <cellStyle name="Normal 4 2 4 2 2 2 3 3" xfId="5562" xr:uid="{00000000-0005-0000-0000-000089250000}"/>
    <cellStyle name="Normal 4 2 4 2 2 2 3 3 2" xfId="13998" xr:uid="{00000000-0005-0000-0000-00008A250000}"/>
    <cellStyle name="Normal 4 2 4 2 2 2 3 4" xfId="9780" xr:uid="{00000000-0005-0000-0000-00008B250000}"/>
    <cellStyle name="Normal 4 2 4 2 2 2 4" xfId="1667" xr:uid="{00000000-0005-0000-0000-00008C250000}"/>
    <cellStyle name="Normal 4 2 4 2 2 2 4 2" xfId="3897" xr:uid="{00000000-0005-0000-0000-00008D250000}"/>
    <cellStyle name="Normal 4 2 4 2 2 2 4 2 2" xfId="8120" xr:uid="{00000000-0005-0000-0000-00008E250000}"/>
    <cellStyle name="Normal 4 2 4 2 2 2 4 2 2 2" xfId="16556" xr:uid="{00000000-0005-0000-0000-00008F250000}"/>
    <cellStyle name="Normal 4 2 4 2 2 2 4 2 3" xfId="12338" xr:uid="{00000000-0005-0000-0000-000090250000}"/>
    <cellStyle name="Normal 4 2 4 2 2 2 4 3" xfId="5975" xr:uid="{00000000-0005-0000-0000-000091250000}"/>
    <cellStyle name="Normal 4 2 4 2 2 2 4 3 2" xfId="14411" xr:uid="{00000000-0005-0000-0000-000092250000}"/>
    <cellStyle name="Normal 4 2 4 2 2 2 4 4" xfId="10193" xr:uid="{00000000-0005-0000-0000-000093250000}"/>
    <cellStyle name="Normal 4 2 4 2 2 2 5" xfId="2081" xr:uid="{00000000-0005-0000-0000-000094250000}"/>
    <cellStyle name="Normal 4 2 4 2 2 2 5 2" xfId="4310" xr:uid="{00000000-0005-0000-0000-000095250000}"/>
    <cellStyle name="Normal 4 2 4 2 2 2 5 2 2" xfId="8533" xr:uid="{00000000-0005-0000-0000-000096250000}"/>
    <cellStyle name="Normal 4 2 4 2 2 2 5 2 2 2" xfId="16969" xr:uid="{00000000-0005-0000-0000-000097250000}"/>
    <cellStyle name="Normal 4 2 4 2 2 2 5 2 3" xfId="12751" xr:uid="{00000000-0005-0000-0000-000098250000}"/>
    <cellStyle name="Normal 4 2 4 2 2 2 5 3" xfId="6388" xr:uid="{00000000-0005-0000-0000-000099250000}"/>
    <cellStyle name="Normal 4 2 4 2 2 2 5 3 2" xfId="14824" xr:uid="{00000000-0005-0000-0000-00009A250000}"/>
    <cellStyle name="Normal 4 2 4 2 2 2 5 4" xfId="10606" xr:uid="{00000000-0005-0000-0000-00009B250000}"/>
    <cellStyle name="Normal 4 2 4 2 2 2 6" xfId="2517" xr:uid="{00000000-0005-0000-0000-00009C250000}"/>
    <cellStyle name="Normal 4 2 4 2 2 2 6 2" xfId="6801" xr:uid="{00000000-0005-0000-0000-00009D250000}"/>
    <cellStyle name="Normal 4 2 4 2 2 2 6 2 2" xfId="15237" xr:uid="{00000000-0005-0000-0000-00009E250000}"/>
    <cellStyle name="Normal 4 2 4 2 2 2 6 3" xfId="11019" xr:uid="{00000000-0005-0000-0000-00009F250000}"/>
    <cellStyle name="Normal 4 2 4 2 2 2 7" xfId="4736" xr:uid="{00000000-0005-0000-0000-0000A0250000}"/>
    <cellStyle name="Normal 4 2 4 2 2 2 7 2" xfId="13172" xr:uid="{00000000-0005-0000-0000-0000A1250000}"/>
    <cellStyle name="Normal 4 2 4 2 2 2 8" xfId="8954" xr:uid="{00000000-0005-0000-0000-0000A2250000}"/>
    <cellStyle name="Normal 4 2 4 2 2 3" xfId="833" xr:uid="{00000000-0005-0000-0000-0000A3250000}"/>
    <cellStyle name="Normal 4 2 4 2 2 3 2" xfId="3070" xr:uid="{00000000-0005-0000-0000-0000A4250000}"/>
    <cellStyle name="Normal 4 2 4 2 2 3 2 2" xfId="7293" xr:uid="{00000000-0005-0000-0000-0000A5250000}"/>
    <cellStyle name="Normal 4 2 4 2 2 3 2 2 2" xfId="15729" xr:uid="{00000000-0005-0000-0000-0000A6250000}"/>
    <cellStyle name="Normal 4 2 4 2 2 3 2 3" xfId="11511" xr:uid="{00000000-0005-0000-0000-0000A7250000}"/>
    <cellStyle name="Normal 4 2 4 2 2 3 3" xfId="5148" xr:uid="{00000000-0005-0000-0000-0000A8250000}"/>
    <cellStyle name="Normal 4 2 4 2 2 3 3 2" xfId="13584" xr:uid="{00000000-0005-0000-0000-0000A9250000}"/>
    <cellStyle name="Normal 4 2 4 2 2 3 4" xfId="9366" xr:uid="{00000000-0005-0000-0000-0000AA250000}"/>
    <cellStyle name="Normal 4 2 4 2 2 4" xfId="1253" xr:uid="{00000000-0005-0000-0000-0000AB250000}"/>
    <cellStyle name="Normal 4 2 4 2 2 4 2" xfId="3483" xr:uid="{00000000-0005-0000-0000-0000AC250000}"/>
    <cellStyle name="Normal 4 2 4 2 2 4 2 2" xfId="7706" xr:uid="{00000000-0005-0000-0000-0000AD250000}"/>
    <cellStyle name="Normal 4 2 4 2 2 4 2 2 2" xfId="16142" xr:uid="{00000000-0005-0000-0000-0000AE250000}"/>
    <cellStyle name="Normal 4 2 4 2 2 4 2 3" xfId="11924" xr:uid="{00000000-0005-0000-0000-0000AF250000}"/>
    <cellStyle name="Normal 4 2 4 2 2 4 3" xfId="5561" xr:uid="{00000000-0005-0000-0000-0000B0250000}"/>
    <cellStyle name="Normal 4 2 4 2 2 4 3 2" xfId="13997" xr:uid="{00000000-0005-0000-0000-0000B1250000}"/>
    <cellStyle name="Normal 4 2 4 2 2 4 4" xfId="9779" xr:uid="{00000000-0005-0000-0000-0000B2250000}"/>
    <cellStyle name="Normal 4 2 4 2 2 5" xfId="1666" xr:uid="{00000000-0005-0000-0000-0000B3250000}"/>
    <cellStyle name="Normal 4 2 4 2 2 5 2" xfId="3896" xr:uid="{00000000-0005-0000-0000-0000B4250000}"/>
    <cellStyle name="Normal 4 2 4 2 2 5 2 2" xfId="8119" xr:uid="{00000000-0005-0000-0000-0000B5250000}"/>
    <cellStyle name="Normal 4 2 4 2 2 5 2 2 2" xfId="16555" xr:uid="{00000000-0005-0000-0000-0000B6250000}"/>
    <cellStyle name="Normal 4 2 4 2 2 5 2 3" xfId="12337" xr:uid="{00000000-0005-0000-0000-0000B7250000}"/>
    <cellStyle name="Normal 4 2 4 2 2 5 3" xfId="5974" xr:uid="{00000000-0005-0000-0000-0000B8250000}"/>
    <cellStyle name="Normal 4 2 4 2 2 5 3 2" xfId="14410" xr:uid="{00000000-0005-0000-0000-0000B9250000}"/>
    <cellStyle name="Normal 4 2 4 2 2 5 4" xfId="10192" xr:uid="{00000000-0005-0000-0000-0000BA250000}"/>
    <cellStyle name="Normal 4 2 4 2 2 6" xfId="2080" xr:uid="{00000000-0005-0000-0000-0000BB250000}"/>
    <cellStyle name="Normal 4 2 4 2 2 6 2" xfId="4309" xr:uid="{00000000-0005-0000-0000-0000BC250000}"/>
    <cellStyle name="Normal 4 2 4 2 2 6 2 2" xfId="8532" xr:uid="{00000000-0005-0000-0000-0000BD250000}"/>
    <cellStyle name="Normal 4 2 4 2 2 6 2 2 2" xfId="16968" xr:uid="{00000000-0005-0000-0000-0000BE250000}"/>
    <cellStyle name="Normal 4 2 4 2 2 6 2 3" xfId="12750" xr:uid="{00000000-0005-0000-0000-0000BF250000}"/>
    <cellStyle name="Normal 4 2 4 2 2 6 3" xfId="6387" xr:uid="{00000000-0005-0000-0000-0000C0250000}"/>
    <cellStyle name="Normal 4 2 4 2 2 6 3 2" xfId="14823" xr:uid="{00000000-0005-0000-0000-0000C1250000}"/>
    <cellStyle name="Normal 4 2 4 2 2 6 4" xfId="10605" xr:uid="{00000000-0005-0000-0000-0000C2250000}"/>
    <cellStyle name="Normal 4 2 4 2 2 7" xfId="2516" xr:uid="{00000000-0005-0000-0000-0000C3250000}"/>
    <cellStyle name="Normal 4 2 4 2 2 7 2" xfId="6800" xr:uid="{00000000-0005-0000-0000-0000C4250000}"/>
    <cellStyle name="Normal 4 2 4 2 2 7 2 2" xfId="15236" xr:uid="{00000000-0005-0000-0000-0000C5250000}"/>
    <cellStyle name="Normal 4 2 4 2 2 7 3" xfId="11018" xr:uid="{00000000-0005-0000-0000-0000C6250000}"/>
    <cellStyle name="Normal 4 2 4 2 2 8" xfId="4735" xr:uid="{00000000-0005-0000-0000-0000C7250000}"/>
    <cellStyle name="Normal 4 2 4 2 2 8 2" xfId="13171" xr:uid="{00000000-0005-0000-0000-0000C8250000}"/>
    <cellStyle name="Normal 4 2 4 2 2 9" xfId="8953" xr:uid="{00000000-0005-0000-0000-0000C9250000}"/>
    <cellStyle name="Normal 4 2 4 2 3" xfId="359" xr:uid="{00000000-0005-0000-0000-0000CA250000}"/>
    <cellStyle name="Normal 4 2 4 2 3 2" xfId="835" xr:uid="{00000000-0005-0000-0000-0000CB250000}"/>
    <cellStyle name="Normal 4 2 4 2 3 2 2" xfId="3072" xr:uid="{00000000-0005-0000-0000-0000CC250000}"/>
    <cellStyle name="Normal 4 2 4 2 3 2 2 2" xfId="7295" xr:uid="{00000000-0005-0000-0000-0000CD250000}"/>
    <cellStyle name="Normal 4 2 4 2 3 2 2 2 2" xfId="15731" xr:uid="{00000000-0005-0000-0000-0000CE250000}"/>
    <cellStyle name="Normal 4 2 4 2 3 2 2 3" xfId="11513" xr:uid="{00000000-0005-0000-0000-0000CF250000}"/>
    <cellStyle name="Normal 4 2 4 2 3 2 3" xfId="5150" xr:uid="{00000000-0005-0000-0000-0000D0250000}"/>
    <cellStyle name="Normal 4 2 4 2 3 2 3 2" xfId="13586" xr:uid="{00000000-0005-0000-0000-0000D1250000}"/>
    <cellStyle name="Normal 4 2 4 2 3 2 4" xfId="9368" xr:uid="{00000000-0005-0000-0000-0000D2250000}"/>
    <cellStyle name="Normal 4 2 4 2 3 3" xfId="1255" xr:uid="{00000000-0005-0000-0000-0000D3250000}"/>
    <cellStyle name="Normal 4 2 4 2 3 3 2" xfId="3485" xr:uid="{00000000-0005-0000-0000-0000D4250000}"/>
    <cellStyle name="Normal 4 2 4 2 3 3 2 2" xfId="7708" xr:uid="{00000000-0005-0000-0000-0000D5250000}"/>
    <cellStyle name="Normal 4 2 4 2 3 3 2 2 2" xfId="16144" xr:uid="{00000000-0005-0000-0000-0000D6250000}"/>
    <cellStyle name="Normal 4 2 4 2 3 3 2 3" xfId="11926" xr:uid="{00000000-0005-0000-0000-0000D7250000}"/>
    <cellStyle name="Normal 4 2 4 2 3 3 3" xfId="5563" xr:uid="{00000000-0005-0000-0000-0000D8250000}"/>
    <cellStyle name="Normal 4 2 4 2 3 3 3 2" xfId="13999" xr:uid="{00000000-0005-0000-0000-0000D9250000}"/>
    <cellStyle name="Normal 4 2 4 2 3 3 4" xfId="9781" xr:uid="{00000000-0005-0000-0000-0000DA250000}"/>
    <cellStyle name="Normal 4 2 4 2 3 4" xfId="1668" xr:uid="{00000000-0005-0000-0000-0000DB250000}"/>
    <cellStyle name="Normal 4 2 4 2 3 4 2" xfId="3898" xr:uid="{00000000-0005-0000-0000-0000DC250000}"/>
    <cellStyle name="Normal 4 2 4 2 3 4 2 2" xfId="8121" xr:uid="{00000000-0005-0000-0000-0000DD250000}"/>
    <cellStyle name="Normal 4 2 4 2 3 4 2 2 2" xfId="16557" xr:uid="{00000000-0005-0000-0000-0000DE250000}"/>
    <cellStyle name="Normal 4 2 4 2 3 4 2 3" xfId="12339" xr:uid="{00000000-0005-0000-0000-0000DF250000}"/>
    <cellStyle name="Normal 4 2 4 2 3 4 3" xfId="5976" xr:uid="{00000000-0005-0000-0000-0000E0250000}"/>
    <cellStyle name="Normal 4 2 4 2 3 4 3 2" xfId="14412" xr:uid="{00000000-0005-0000-0000-0000E1250000}"/>
    <cellStyle name="Normal 4 2 4 2 3 4 4" xfId="10194" xr:uid="{00000000-0005-0000-0000-0000E2250000}"/>
    <cellStyle name="Normal 4 2 4 2 3 5" xfId="2082" xr:uid="{00000000-0005-0000-0000-0000E3250000}"/>
    <cellStyle name="Normal 4 2 4 2 3 5 2" xfId="4311" xr:uid="{00000000-0005-0000-0000-0000E4250000}"/>
    <cellStyle name="Normal 4 2 4 2 3 5 2 2" xfId="8534" xr:uid="{00000000-0005-0000-0000-0000E5250000}"/>
    <cellStyle name="Normal 4 2 4 2 3 5 2 2 2" xfId="16970" xr:uid="{00000000-0005-0000-0000-0000E6250000}"/>
    <cellStyle name="Normal 4 2 4 2 3 5 2 3" xfId="12752" xr:uid="{00000000-0005-0000-0000-0000E7250000}"/>
    <cellStyle name="Normal 4 2 4 2 3 5 3" xfId="6389" xr:uid="{00000000-0005-0000-0000-0000E8250000}"/>
    <cellStyle name="Normal 4 2 4 2 3 5 3 2" xfId="14825" xr:uid="{00000000-0005-0000-0000-0000E9250000}"/>
    <cellStyle name="Normal 4 2 4 2 3 5 4" xfId="10607" xr:uid="{00000000-0005-0000-0000-0000EA250000}"/>
    <cellStyle name="Normal 4 2 4 2 3 6" xfId="2518" xr:uid="{00000000-0005-0000-0000-0000EB250000}"/>
    <cellStyle name="Normal 4 2 4 2 3 6 2" xfId="6802" xr:uid="{00000000-0005-0000-0000-0000EC250000}"/>
    <cellStyle name="Normal 4 2 4 2 3 6 2 2" xfId="15238" xr:uid="{00000000-0005-0000-0000-0000ED250000}"/>
    <cellStyle name="Normal 4 2 4 2 3 6 3" xfId="11020" xr:uid="{00000000-0005-0000-0000-0000EE250000}"/>
    <cellStyle name="Normal 4 2 4 2 3 7" xfId="4737" xr:uid="{00000000-0005-0000-0000-0000EF250000}"/>
    <cellStyle name="Normal 4 2 4 2 3 7 2" xfId="13173" xr:uid="{00000000-0005-0000-0000-0000F0250000}"/>
    <cellStyle name="Normal 4 2 4 2 3 8" xfId="8955" xr:uid="{00000000-0005-0000-0000-0000F1250000}"/>
    <cellStyle name="Normal 4 2 4 2 4" xfId="832" xr:uid="{00000000-0005-0000-0000-0000F2250000}"/>
    <cellStyle name="Normal 4 2 4 2 4 2" xfId="3069" xr:uid="{00000000-0005-0000-0000-0000F3250000}"/>
    <cellStyle name="Normal 4 2 4 2 4 2 2" xfId="7292" xr:uid="{00000000-0005-0000-0000-0000F4250000}"/>
    <cellStyle name="Normal 4 2 4 2 4 2 2 2" xfId="15728" xr:uid="{00000000-0005-0000-0000-0000F5250000}"/>
    <cellStyle name="Normal 4 2 4 2 4 2 3" xfId="11510" xr:uid="{00000000-0005-0000-0000-0000F6250000}"/>
    <cellStyle name="Normal 4 2 4 2 4 3" xfId="5147" xr:uid="{00000000-0005-0000-0000-0000F7250000}"/>
    <cellStyle name="Normal 4 2 4 2 4 3 2" xfId="13583" xr:uid="{00000000-0005-0000-0000-0000F8250000}"/>
    <cellStyle name="Normal 4 2 4 2 4 4" xfId="9365" xr:uid="{00000000-0005-0000-0000-0000F9250000}"/>
    <cellStyle name="Normal 4 2 4 2 5" xfId="1252" xr:uid="{00000000-0005-0000-0000-0000FA250000}"/>
    <cellStyle name="Normal 4 2 4 2 5 2" xfId="3482" xr:uid="{00000000-0005-0000-0000-0000FB250000}"/>
    <cellStyle name="Normal 4 2 4 2 5 2 2" xfId="7705" xr:uid="{00000000-0005-0000-0000-0000FC250000}"/>
    <cellStyle name="Normal 4 2 4 2 5 2 2 2" xfId="16141" xr:uid="{00000000-0005-0000-0000-0000FD250000}"/>
    <cellStyle name="Normal 4 2 4 2 5 2 3" xfId="11923" xr:uid="{00000000-0005-0000-0000-0000FE250000}"/>
    <cellStyle name="Normal 4 2 4 2 5 3" xfId="5560" xr:uid="{00000000-0005-0000-0000-0000FF250000}"/>
    <cellStyle name="Normal 4 2 4 2 5 3 2" xfId="13996" xr:uid="{00000000-0005-0000-0000-000000260000}"/>
    <cellStyle name="Normal 4 2 4 2 5 4" xfId="9778" xr:uid="{00000000-0005-0000-0000-000001260000}"/>
    <cellStyle name="Normal 4 2 4 2 6" xfId="1665" xr:uid="{00000000-0005-0000-0000-000002260000}"/>
    <cellStyle name="Normal 4 2 4 2 6 2" xfId="3895" xr:uid="{00000000-0005-0000-0000-000003260000}"/>
    <cellStyle name="Normal 4 2 4 2 6 2 2" xfId="8118" xr:uid="{00000000-0005-0000-0000-000004260000}"/>
    <cellStyle name="Normal 4 2 4 2 6 2 2 2" xfId="16554" xr:uid="{00000000-0005-0000-0000-000005260000}"/>
    <cellStyle name="Normal 4 2 4 2 6 2 3" xfId="12336" xr:uid="{00000000-0005-0000-0000-000006260000}"/>
    <cellStyle name="Normal 4 2 4 2 6 3" xfId="5973" xr:uid="{00000000-0005-0000-0000-000007260000}"/>
    <cellStyle name="Normal 4 2 4 2 6 3 2" xfId="14409" xr:uid="{00000000-0005-0000-0000-000008260000}"/>
    <cellStyle name="Normal 4 2 4 2 6 4" xfId="10191" xr:uid="{00000000-0005-0000-0000-000009260000}"/>
    <cellStyle name="Normal 4 2 4 2 7" xfId="2079" xr:uid="{00000000-0005-0000-0000-00000A260000}"/>
    <cellStyle name="Normal 4 2 4 2 7 2" xfId="4308" xr:uid="{00000000-0005-0000-0000-00000B260000}"/>
    <cellStyle name="Normal 4 2 4 2 7 2 2" xfId="8531" xr:uid="{00000000-0005-0000-0000-00000C260000}"/>
    <cellStyle name="Normal 4 2 4 2 7 2 2 2" xfId="16967" xr:uid="{00000000-0005-0000-0000-00000D260000}"/>
    <cellStyle name="Normal 4 2 4 2 7 2 3" xfId="12749" xr:uid="{00000000-0005-0000-0000-00000E260000}"/>
    <cellStyle name="Normal 4 2 4 2 7 3" xfId="6386" xr:uid="{00000000-0005-0000-0000-00000F260000}"/>
    <cellStyle name="Normal 4 2 4 2 7 3 2" xfId="14822" xr:uid="{00000000-0005-0000-0000-000010260000}"/>
    <cellStyle name="Normal 4 2 4 2 7 4" xfId="10604" xr:uid="{00000000-0005-0000-0000-000011260000}"/>
    <cellStyle name="Normal 4 2 4 2 8" xfId="2515" xr:uid="{00000000-0005-0000-0000-000012260000}"/>
    <cellStyle name="Normal 4 2 4 2 8 2" xfId="6799" xr:uid="{00000000-0005-0000-0000-000013260000}"/>
    <cellStyle name="Normal 4 2 4 2 8 2 2" xfId="15235" xr:uid="{00000000-0005-0000-0000-000014260000}"/>
    <cellStyle name="Normal 4 2 4 2 8 3" xfId="11017" xr:uid="{00000000-0005-0000-0000-000015260000}"/>
    <cellStyle name="Normal 4 2 4 2 9" xfId="4734" xr:uid="{00000000-0005-0000-0000-000016260000}"/>
    <cellStyle name="Normal 4 2 4 2 9 2" xfId="13170" xr:uid="{00000000-0005-0000-0000-000017260000}"/>
    <cellStyle name="Normal 4 2 4 3" xfId="360" xr:uid="{00000000-0005-0000-0000-000018260000}"/>
    <cellStyle name="Normal 4 2 4 3 2" xfId="361" xr:uid="{00000000-0005-0000-0000-000019260000}"/>
    <cellStyle name="Normal 4 2 4 3 2 2" xfId="837" xr:uid="{00000000-0005-0000-0000-00001A260000}"/>
    <cellStyle name="Normal 4 2 4 3 2 2 2" xfId="3074" xr:uid="{00000000-0005-0000-0000-00001B260000}"/>
    <cellStyle name="Normal 4 2 4 3 2 2 2 2" xfId="7297" xr:uid="{00000000-0005-0000-0000-00001C260000}"/>
    <cellStyle name="Normal 4 2 4 3 2 2 2 2 2" xfId="15733" xr:uid="{00000000-0005-0000-0000-00001D260000}"/>
    <cellStyle name="Normal 4 2 4 3 2 2 2 3" xfId="11515" xr:uid="{00000000-0005-0000-0000-00001E260000}"/>
    <cellStyle name="Normal 4 2 4 3 2 2 3" xfId="5152" xr:uid="{00000000-0005-0000-0000-00001F260000}"/>
    <cellStyle name="Normal 4 2 4 3 2 2 3 2" xfId="13588" xr:uid="{00000000-0005-0000-0000-000020260000}"/>
    <cellStyle name="Normal 4 2 4 3 2 2 4" xfId="9370" xr:uid="{00000000-0005-0000-0000-000021260000}"/>
    <cellStyle name="Normal 4 2 4 3 2 3" xfId="1257" xr:uid="{00000000-0005-0000-0000-000022260000}"/>
    <cellStyle name="Normal 4 2 4 3 2 3 2" xfId="3487" xr:uid="{00000000-0005-0000-0000-000023260000}"/>
    <cellStyle name="Normal 4 2 4 3 2 3 2 2" xfId="7710" xr:uid="{00000000-0005-0000-0000-000024260000}"/>
    <cellStyle name="Normal 4 2 4 3 2 3 2 2 2" xfId="16146" xr:uid="{00000000-0005-0000-0000-000025260000}"/>
    <cellStyle name="Normal 4 2 4 3 2 3 2 3" xfId="11928" xr:uid="{00000000-0005-0000-0000-000026260000}"/>
    <cellStyle name="Normal 4 2 4 3 2 3 3" xfId="5565" xr:uid="{00000000-0005-0000-0000-000027260000}"/>
    <cellStyle name="Normal 4 2 4 3 2 3 3 2" xfId="14001" xr:uid="{00000000-0005-0000-0000-000028260000}"/>
    <cellStyle name="Normal 4 2 4 3 2 3 4" xfId="9783" xr:uid="{00000000-0005-0000-0000-000029260000}"/>
    <cellStyle name="Normal 4 2 4 3 2 4" xfId="1670" xr:uid="{00000000-0005-0000-0000-00002A260000}"/>
    <cellStyle name="Normal 4 2 4 3 2 4 2" xfId="3900" xr:uid="{00000000-0005-0000-0000-00002B260000}"/>
    <cellStyle name="Normal 4 2 4 3 2 4 2 2" xfId="8123" xr:uid="{00000000-0005-0000-0000-00002C260000}"/>
    <cellStyle name="Normal 4 2 4 3 2 4 2 2 2" xfId="16559" xr:uid="{00000000-0005-0000-0000-00002D260000}"/>
    <cellStyle name="Normal 4 2 4 3 2 4 2 3" xfId="12341" xr:uid="{00000000-0005-0000-0000-00002E260000}"/>
    <cellStyle name="Normal 4 2 4 3 2 4 3" xfId="5978" xr:uid="{00000000-0005-0000-0000-00002F260000}"/>
    <cellStyle name="Normal 4 2 4 3 2 4 3 2" xfId="14414" xr:uid="{00000000-0005-0000-0000-000030260000}"/>
    <cellStyle name="Normal 4 2 4 3 2 4 4" xfId="10196" xr:uid="{00000000-0005-0000-0000-000031260000}"/>
    <cellStyle name="Normal 4 2 4 3 2 5" xfId="2084" xr:uid="{00000000-0005-0000-0000-000032260000}"/>
    <cellStyle name="Normal 4 2 4 3 2 5 2" xfId="4313" xr:uid="{00000000-0005-0000-0000-000033260000}"/>
    <cellStyle name="Normal 4 2 4 3 2 5 2 2" xfId="8536" xr:uid="{00000000-0005-0000-0000-000034260000}"/>
    <cellStyle name="Normal 4 2 4 3 2 5 2 2 2" xfId="16972" xr:uid="{00000000-0005-0000-0000-000035260000}"/>
    <cellStyle name="Normal 4 2 4 3 2 5 2 3" xfId="12754" xr:uid="{00000000-0005-0000-0000-000036260000}"/>
    <cellStyle name="Normal 4 2 4 3 2 5 3" xfId="6391" xr:uid="{00000000-0005-0000-0000-000037260000}"/>
    <cellStyle name="Normal 4 2 4 3 2 5 3 2" xfId="14827" xr:uid="{00000000-0005-0000-0000-000038260000}"/>
    <cellStyle name="Normal 4 2 4 3 2 5 4" xfId="10609" xr:uid="{00000000-0005-0000-0000-000039260000}"/>
    <cellStyle name="Normal 4 2 4 3 2 6" xfId="2520" xr:uid="{00000000-0005-0000-0000-00003A260000}"/>
    <cellStyle name="Normal 4 2 4 3 2 6 2" xfId="6804" xr:uid="{00000000-0005-0000-0000-00003B260000}"/>
    <cellStyle name="Normal 4 2 4 3 2 6 2 2" xfId="15240" xr:uid="{00000000-0005-0000-0000-00003C260000}"/>
    <cellStyle name="Normal 4 2 4 3 2 6 3" xfId="11022" xr:uid="{00000000-0005-0000-0000-00003D260000}"/>
    <cellStyle name="Normal 4 2 4 3 2 7" xfId="4739" xr:uid="{00000000-0005-0000-0000-00003E260000}"/>
    <cellStyle name="Normal 4 2 4 3 2 7 2" xfId="13175" xr:uid="{00000000-0005-0000-0000-00003F260000}"/>
    <cellStyle name="Normal 4 2 4 3 2 8" xfId="8957" xr:uid="{00000000-0005-0000-0000-000040260000}"/>
    <cellStyle name="Normal 4 2 4 3 3" xfId="836" xr:uid="{00000000-0005-0000-0000-000041260000}"/>
    <cellStyle name="Normal 4 2 4 3 3 2" xfId="3073" xr:uid="{00000000-0005-0000-0000-000042260000}"/>
    <cellStyle name="Normal 4 2 4 3 3 2 2" xfId="7296" xr:uid="{00000000-0005-0000-0000-000043260000}"/>
    <cellStyle name="Normal 4 2 4 3 3 2 2 2" xfId="15732" xr:uid="{00000000-0005-0000-0000-000044260000}"/>
    <cellStyle name="Normal 4 2 4 3 3 2 3" xfId="11514" xr:uid="{00000000-0005-0000-0000-000045260000}"/>
    <cellStyle name="Normal 4 2 4 3 3 3" xfId="5151" xr:uid="{00000000-0005-0000-0000-000046260000}"/>
    <cellStyle name="Normal 4 2 4 3 3 3 2" xfId="13587" xr:uid="{00000000-0005-0000-0000-000047260000}"/>
    <cellStyle name="Normal 4 2 4 3 3 4" xfId="9369" xr:uid="{00000000-0005-0000-0000-000048260000}"/>
    <cellStyle name="Normal 4 2 4 3 4" xfId="1256" xr:uid="{00000000-0005-0000-0000-000049260000}"/>
    <cellStyle name="Normal 4 2 4 3 4 2" xfId="3486" xr:uid="{00000000-0005-0000-0000-00004A260000}"/>
    <cellStyle name="Normal 4 2 4 3 4 2 2" xfId="7709" xr:uid="{00000000-0005-0000-0000-00004B260000}"/>
    <cellStyle name="Normal 4 2 4 3 4 2 2 2" xfId="16145" xr:uid="{00000000-0005-0000-0000-00004C260000}"/>
    <cellStyle name="Normal 4 2 4 3 4 2 3" xfId="11927" xr:uid="{00000000-0005-0000-0000-00004D260000}"/>
    <cellStyle name="Normal 4 2 4 3 4 3" xfId="5564" xr:uid="{00000000-0005-0000-0000-00004E260000}"/>
    <cellStyle name="Normal 4 2 4 3 4 3 2" xfId="14000" xr:uid="{00000000-0005-0000-0000-00004F260000}"/>
    <cellStyle name="Normal 4 2 4 3 4 4" xfId="9782" xr:uid="{00000000-0005-0000-0000-000050260000}"/>
    <cellStyle name="Normal 4 2 4 3 5" xfId="1669" xr:uid="{00000000-0005-0000-0000-000051260000}"/>
    <cellStyle name="Normal 4 2 4 3 5 2" xfId="3899" xr:uid="{00000000-0005-0000-0000-000052260000}"/>
    <cellStyle name="Normal 4 2 4 3 5 2 2" xfId="8122" xr:uid="{00000000-0005-0000-0000-000053260000}"/>
    <cellStyle name="Normal 4 2 4 3 5 2 2 2" xfId="16558" xr:uid="{00000000-0005-0000-0000-000054260000}"/>
    <cellStyle name="Normal 4 2 4 3 5 2 3" xfId="12340" xr:uid="{00000000-0005-0000-0000-000055260000}"/>
    <cellStyle name="Normal 4 2 4 3 5 3" xfId="5977" xr:uid="{00000000-0005-0000-0000-000056260000}"/>
    <cellStyle name="Normal 4 2 4 3 5 3 2" xfId="14413" xr:uid="{00000000-0005-0000-0000-000057260000}"/>
    <cellStyle name="Normal 4 2 4 3 5 4" xfId="10195" xr:uid="{00000000-0005-0000-0000-000058260000}"/>
    <cellStyle name="Normal 4 2 4 3 6" xfId="2083" xr:uid="{00000000-0005-0000-0000-000059260000}"/>
    <cellStyle name="Normal 4 2 4 3 6 2" xfId="4312" xr:uid="{00000000-0005-0000-0000-00005A260000}"/>
    <cellStyle name="Normal 4 2 4 3 6 2 2" xfId="8535" xr:uid="{00000000-0005-0000-0000-00005B260000}"/>
    <cellStyle name="Normal 4 2 4 3 6 2 2 2" xfId="16971" xr:uid="{00000000-0005-0000-0000-00005C260000}"/>
    <cellStyle name="Normal 4 2 4 3 6 2 3" xfId="12753" xr:uid="{00000000-0005-0000-0000-00005D260000}"/>
    <cellStyle name="Normal 4 2 4 3 6 3" xfId="6390" xr:uid="{00000000-0005-0000-0000-00005E260000}"/>
    <cellStyle name="Normal 4 2 4 3 6 3 2" xfId="14826" xr:uid="{00000000-0005-0000-0000-00005F260000}"/>
    <cellStyle name="Normal 4 2 4 3 6 4" xfId="10608" xr:uid="{00000000-0005-0000-0000-000060260000}"/>
    <cellStyle name="Normal 4 2 4 3 7" xfId="2519" xr:uid="{00000000-0005-0000-0000-000061260000}"/>
    <cellStyle name="Normal 4 2 4 3 7 2" xfId="6803" xr:uid="{00000000-0005-0000-0000-000062260000}"/>
    <cellStyle name="Normal 4 2 4 3 7 2 2" xfId="15239" xr:uid="{00000000-0005-0000-0000-000063260000}"/>
    <cellStyle name="Normal 4 2 4 3 7 3" xfId="11021" xr:uid="{00000000-0005-0000-0000-000064260000}"/>
    <cellStyle name="Normal 4 2 4 3 8" xfId="4738" xr:uid="{00000000-0005-0000-0000-000065260000}"/>
    <cellStyle name="Normal 4 2 4 3 8 2" xfId="13174" xr:uid="{00000000-0005-0000-0000-000066260000}"/>
    <cellStyle name="Normal 4 2 4 3 9" xfId="8956" xr:uid="{00000000-0005-0000-0000-000067260000}"/>
    <cellStyle name="Normal 4 2 4 4" xfId="362" xr:uid="{00000000-0005-0000-0000-000068260000}"/>
    <cellStyle name="Normal 4 2 4 4 2" xfId="838" xr:uid="{00000000-0005-0000-0000-000069260000}"/>
    <cellStyle name="Normal 4 2 4 4 2 2" xfId="3075" xr:uid="{00000000-0005-0000-0000-00006A260000}"/>
    <cellStyle name="Normal 4 2 4 4 2 2 2" xfId="7298" xr:uid="{00000000-0005-0000-0000-00006B260000}"/>
    <cellStyle name="Normal 4 2 4 4 2 2 2 2" xfId="15734" xr:uid="{00000000-0005-0000-0000-00006C260000}"/>
    <cellStyle name="Normal 4 2 4 4 2 2 3" xfId="11516" xr:uid="{00000000-0005-0000-0000-00006D260000}"/>
    <cellStyle name="Normal 4 2 4 4 2 3" xfId="5153" xr:uid="{00000000-0005-0000-0000-00006E260000}"/>
    <cellStyle name="Normal 4 2 4 4 2 3 2" xfId="13589" xr:uid="{00000000-0005-0000-0000-00006F260000}"/>
    <cellStyle name="Normal 4 2 4 4 2 4" xfId="9371" xr:uid="{00000000-0005-0000-0000-000070260000}"/>
    <cellStyle name="Normal 4 2 4 4 3" xfId="1258" xr:uid="{00000000-0005-0000-0000-000071260000}"/>
    <cellStyle name="Normal 4 2 4 4 3 2" xfId="3488" xr:uid="{00000000-0005-0000-0000-000072260000}"/>
    <cellStyle name="Normal 4 2 4 4 3 2 2" xfId="7711" xr:uid="{00000000-0005-0000-0000-000073260000}"/>
    <cellStyle name="Normal 4 2 4 4 3 2 2 2" xfId="16147" xr:uid="{00000000-0005-0000-0000-000074260000}"/>
    <cellStyle name="Normal 4 2 4 4 3 2 3" xfId="11929" xr:uid="{00000000-0005-0000-0000-000075260000}"/>
    <cellStyle name="Normal 4 2 4 4 3 3" xfId="5566" xr:uid="{00000000-0005-0000-0000-000076260000}"/>
    <cellStyle name="Normal 4 2 4 4 3 3 2" xfId="14002" xr:uid="{00000000-0005-0000-0000-000077260000}"/>
    <cellStyle name="Normal 4 2 4 4 3 4" xfId="9784" xr:uid="{00000000-0005-0000-0000-000078260000}"/>
    <cellStyle name="Normal 4 2 4 4 4" xfId="1671" xr:uid="{00000000-0005-0000-0000-000079260000}"/>
    <cellStyle name="Normal 4 2 4 4 4 2" xfId="3901" xr:uid="{00000000-0005-0000-0000-00007A260000}"/>
    <cellStyle name="Normal 4 2 4 4 4 2 2" xfId="8124" xr:uid="{00000000-0005-0000-0000-00007B260000}"/>
    <cellStyle name="Normal 4 2 4 4 4 2 2 2" xfId="16560" xr:uid="{00000000-0005-0000-0000-00007C260000}"/>
    <cellStyle name="Normal 4 2 4 4 4 2 3" xfId="12342" xr:uid="{00000000-0005-0000-0000-00007D260000}"/>
    <cellStyle name="Normal 4 2 4 4 4 3" xfId="5979" xr:uid="{00000000-0005-0000-0000-00007E260000}"/>
    <cellStyle name="Normal 4 2 4 4 4 3 2" xfId="14415" xr:uid="{00000000-0005-0000-0000-00007F260000}"/>
    <cellStyle name="Normal 4 2 4 4 4 4" xfId="10197" xr:uid="{00000000-0005-0000-0000-000080260000}"/>
    <cellStyle name="Normal 4 2 4 4 5" xfId="2085" xr:uid="{00000000-0005-0000-0000-000081260000}"/>
    <cellStyle name="Normal 4 2 4 4 5 2" xfId="4314" xr:uid="{00000000-0005-0000-0000-000082260000}"/>
    <cellStyle name="Normal 4 2 4 4 5 2 2" xfId="8537" xr:uid="{00000000-0005-0000-0000-000083260000}"/>
    <cellStyle name="Normal 4 2 4 4 5 2 2 2" xfId="16973" xr:uid="{00000000-0005-0000-0000-000084260000}"/>
    <cellStyle name="Normal 4 2 4 4 5 2 3" xfId="12755" xr:uid="{00000000-0005-0000-0000-000085260000}"/>
    <cellStyle name="Normal 4 2 4 4 5 3" xfId="6392" xr:uid="{00000000-0005-0000-0000-000086260000}"/>
    <cellStyle name="Normal 4 2 4 4 5 3 2" xfId="14828" xr:uid="{00000000-0005-0000-0000-000087260000}"/>
    <cellStyle name="Normal 4 2 4 4 5 4" xfId="10610" xr:uid="{00000000-0005-0000-0000-000088260000}"/>
    <cellStyle name="Normal 4 2 4 4 6" xfId="2521" xr:uid="{00000000-0005-0000-0000-000089260000}"/>
    <cellStyle name="Normal 4 2 4 4 6 2" xfId="6805" xr:uid="{00000000-0005-0000-0000-00008A260000}"/>
    <cellStyle name="Normal 4 2 4 4 6 2 2" xfId="15241" xr:uid="{00000000-0005-0000-0000-00008B260000}"/>
    <cellStyle name="Normal 4 2 4 4 6 3" xfId="11023" xr:uid="{00000000-0005-0000-0000-00008C260000}"/>
    <cellStyle name="Normal 4 2 4 4 7" xfId="4740" xr:uid="{00000000-0005-0000-0000-00008D260000}"/>
    <cellStyle name="Normal 4 2 4 4 7 2" xfId="13176" xr:uid="{00000000-0005-0000-0000-00008E260000}"/>
    <cellStyle name="Normal 4 2 4 4 8" xfId="8958" xr:uid="{00000000-0005-0000-0000-00008F260000}"/>
    <cellStyle name="Normal 4 2 4 5" xfId="831" xr:uid="{00000000-0005-0000-0000-000090260000}"/>
    <cellStyle name="Normal 4 2 4 5 2" xfId="3068" xr:uid="{00000000-0005-0000-0000-000091260000}"/>
    <cellStyle name="Normal 4 2 4 5 2 2" xfId="7291" xr:uid="{00000000-0005-0000-0000-000092260000}"/>
    <cellStyle name="Normal 4 2 4 5 2 2 2" xfId="15727" xr:uid="{00000000-0005-0000-0000-000093260000}"/>
    <cellStyle name="Normal 4 2 4 5 2 3" xfId="11509" xr:uid="{00000000-0005-0000-0000-000094260000}"/>
    <cellStyle name="Normal 4 2 4 5 3" xfId="5146" xr:uid="{00000000-0005-0000-0000-000095260000}"/>
    <cellStyle name="Normal 4 2 4 5 3 2" xfId="13582" xr:uid="{00000000-0005-0000-0000-000096260000}"/>
    <cellStyle name="Normal 4 2 4 5 4" xfId="9364" xr:uid="{00000000-0005-0000-0000-000097260000}"/>
    <cellStyle name="Normal 4 2 4 6" xfId="1251" xr:uid="{00000000-0005-0000-0000-000098260000}"/>
    <cellStyle name="Normal 4 2 4 6 2" xfId="3481" xr:uid="{00000000-0005-0000-0000-000099260000}"/>
    <cellStyle name="Normal 4 2 4 6 2 2" xfId="7704" xr:uid="{00000000-0005-0000-0000-00009A260000}"/>
    <cellStyle name="Normal 4 2 4 6 2 2 2" xfId="16140" xr:uid="{00000000-0005-0000-0000-00009B260000}"/>
    <cellStyle name="Normal 4 2 4 6 2 3" xfId="11922" xr:uid="{00000000-0005-0000-0000-00009C260000}"/>
    <cellStyle name="Normal 4 2 4 6 3" xfId="5559" xr:uid="{00000000-0005-0000-0000-00009D260000}"/>
    <cellStyle name="Normal 4 2 4 6 3 2" xfId="13995" xr:uid="{00000000-0005-0000-0000-00009E260000}"/>
    <cellStyle name="Normal 4 2 4 6 4" xfId="9777" xr:uid="{00000000-0005-0000-0000-00009F260000}"/>
    <cellStyle name="Normal 4 2 4 7" xfId="1664" xr:uid="{00000000-0005-0000-0000-0000A0260000}"/>
    <cellStyle name="Normal 4 2 4 7 2" xfId="3894" xr:uid="{00000000-0005-0000-0000-0000A1260000}"/>
    <cellStyle name="Normal 4 2 4 7 2 2" xfId="8117" xr:uid="{00000000-0005-0000-0000-0000A2260000}"/>
    <cellStyle name="Normal 4 2 4 7 2 2 2" xfId="16553" xr:uid="{00000000-0005-0000-0000-0000A3260000}"/>
    <cellStyle name="Normal 4 2 4 7 2 3" xfId="12335" xr:uid="{00000000-0005-0000-0000-0000A4260000}"/>
    <cellStyle name="Normal 4 2 4 7 3" xfId="5972" xr:uid="{00000000-0005-0000-0000-0000A5260000}"/>
    <cellStyle name="Normal 4 2 4 7 3 2" xfId="14408" xr:uid="{00000000-0005-0000-0000-0000A6260000}"/>
    <cellStyle name="Normal 4 2 4 7 4" xfId="10190" xr:uid="{00000000-0005-0000-0000-0000A7260000}"/>
    <cellStyle name="Normal 4 2 4 8" xfId="2078" xr:uid="{00000000-0005-0000-0000-0000A8260000}"/>
    <cellStyle name="Normal 4 2 4 8 2" xfId="4307" xr:uid="{00000000-0005-0000-0000-0000A9260000}"/>
    <cellStyle name="Normal 4 2 4 8 2 2" xfId="8530" xr:uid="{00000000-0005-0000-0000-0000AA260000}"/>
    <cellStyle name="Normal 4 2 4 8 2 2 2" xfId="16966" xr:uid="{00000000-0005-0000-0000-0000AB260000}"/>
    <cellStyle name="Normal 4 2 4 8 2 3" xfId="12748" xr:uid="{00000000-0005-0000-0000-0000AC260000}"/>
    <cellStyle name="Normal 4 2 4 8 3" xfId="6385" xr:uid="{00000000-0005-0000-0000-0000AD260000}"/>
    <cellStyle name="Normal 4 2 4 8 3 2" xfId="14821" xr:uid="{00000000-0005-0000-0000-0000AE260000}"/>
    <cellStyle name="Normal 4 2 4 8 4" xfId="10603" xr:uid="{00000000-0005-0000-0000-0000AF260000}"/>
    <cellStyle name="Normal 4 2 4 9" xfId="2514" xr:uid="{00000000-0005-0000-0000-0000B0260000}"/>
    <cellStyle name="Normal 4 2 4 9 2" xfId="6798" xr:uid="{00000000-0005-0000-0000-0000B1260000}"/>
    <cellStyle name="Normal 4 2 4 9 2 2" xfId="15234" xr:uid="{00000000-0005-0000-0000-0000B2260000}"/>
    <cellStyle name="Normal 4 2 4 9 3" xfId="11016" xr:uid="{00000000-0005-0000-0000-0000B3260000}"/>
    <cellStyle name="Normal 4 2 5" xfId="363" xr:uid="{00000000-0005-0000-0000-0000B4260000}"/>
    <cellStyle name="Normal 4 2 5 2" xfId="364" xr:uid="{00000000-0005-0000-0000-0000B5260000}"/>
    <cellStyle name="Normal 4 2 5 2 2" xfId="840" xr:uid="{00000000-0005-0000-0000-0000B6260000}"/>
    <cellStyle name="Normal 4 2 5 2 2 2" xfId="3077" xr:uid="{00000000-0005-0000-0000-0000B7260000}"/>
    <cellStyle name="Normal 4 2 5 2 2 2 2" xfId="7300" xr:uid="{00000000-0005-0000-0000-0000B8260000}"/>
    <cellStyle name="Normal 4 2 5 2 2 2 2 2" xfId="15736" xr:uid="{00000000-0005-0000-0000-0000B9260000}"/>
    <cellStyle name="Normal 4 2 5 2 2 2 3" xfId="11518" xr:uid="{00000000-0005-0000-0000-0000BA260000}"/>
    <cellStyle name="Normal 4 2 5 2 2 3" xfId="5155" xr:uid="{00000000-0005-0000-0000-0000BB260000}"/>
    <cellStyle name="Normal 4 2 5 2 2 3 2" xfId="13591" xr:uid="{00000000-0005-0000-0000-0000BC260000}"/>
    <cellStyle name="Normal 4 2 5 2 2 4" xfId="9373" xr:uid="{00000000-0005-0000-0000-0000BD260000}"/>
    <cellStyle name="Normal 4 2 5 2 3" xfId="1260" xr:uid="{00000000-0005-0000-0000-0000BE260000}"/>
    <cellStyle name="Normal 4 2 5 2 3 2" xfId="3490" xr:uid="{00000000-0005-0000-0000-0000BF260000}"/>
    <cellStyle name="Normal 4 2 5 2 3 2 2" xfId="7713" xr:uid="{00000000-0005-0000-0000-0000C0260000}"/>
    <cellStyle name="Normal 4 2 5 2 3 2 2 2" xfId="16149" xr:uid="{00000000-0005-0000-0000-0000C1260000}"/>
    <cellStyle name="Normal 4 2 5 2 3 2 3" xfId="11931" xr:uid="{00000000-0005-0000-0000-0000C2260000}"/>
    <cellStyle name="Normal 4 2 5 2 3 3" xfId="5568" xr:uid="{00000000-0005-0000-0000-0000C3260000}"/>
    <cellStyle name="Normal 4 2 5 2 3 3 2" xfId="14004" xr:uid="{00000000-0005-0000-0000-0000C4260000}"/>
    <cellStyle name="Normal 4 2 5 2 3 4" xfId="9786" xr:uid="{00000000-0005-0000-0000-0000C5260000}"/>
    <cellStyle name="Normal 4 2 5 2 4" xfId="1673" xr:uid="{00000000-0005-0000-0000-0000C6260000}"/>
    <cellStyle name="Normal 4 2 5 2 4 2" xfId="3903" xr:uid="{00000000-0005-0000-0000-0000C7260000}"/>
    <cellStyle name="Normal 4 2 5 2 4 2 2" xfId="8126" xr:uid="{00000000-0005-0000-0000-0000C8260000}"/>
    <cellStyle name="Normal 4 2 5 2 4 2 2 2" xfId="16562" xr:uid="{00000000-0005-0000-0000-0000C9260000}"/>
    <cellStyle name="Normal 4 2 5 2 4 2 3" xfId="12344" xr:uid="{00000000-0005-0000-0000-0000CA260000}"/>
    <cellStyle name="Normal 4 2 5 2 4 3" xfId="5981" xr:uid="{00000000-0005-0000-0000-0000CB260000}"/>
    <cellStyle name="Normal 4 2 5 2 4 3 2" xfId="14417" xr:uid="{00000000-0005-0000-0000-0000CC260000}"/>
    <cellStyle name="Normal 4 2 5 2 4 4" xfId="10199" xr:uid="{00000000-0005-0000-0000-0000CD260000}"/>
    <cellStyle name="Normal 4 2 5 2 5" xfId="2087" xr:uid="{00000000-0005-0000-0000-0000CE260000}"/>
    <cellStyle name="Normal 4 2 5 2 5 2" xfId="4316" xr:uid="{00000000-0005-0000-0000-0000CF260000}"/>
    <cellStyle name="Normal 4 2 5 2 5 2 2" xfId="8539" xr:uid="{00000000-0005-0000-0000-0000D0260000}"/>
    <cellStyle name="Normal 4 2 5 2 5 2 2 2" xfId="16975" xr:uid="{00000000-0005-0000-0000-0000D1260000}"/>
    <cellStyle name="Normal 4 2 5 2 5 2 3" xfId="12757" xr:uid="{00000000-0005-0000-0000-0000D2260000}"/>
    <cellStyle name="Normal 4 2 5 2 5 3" xfId="6394" xr:uid="{00000000-0005-0000-0000-0000D3260000}"/>
    <cellStyle name="Normal 4 2 5 2 5 3 2" xfId="14830" xr:uid="{00000000-0005-0000-0000-0000D4260000}"/>
    <cellStyle name="Normal 4 2 5 2 5 4" xfId="10612" xr:uid="{00000000-0005-0000-0000-0000D5260000}"/>
    <cellStyle name="Normal 4 2 5 2 6" xfId="2523" xr:uid="{00000000-0005-0000-0000-0000D6260000}"/>
    <cellStyle name="Normal 4 2 5 2 6 2" xfId="6807" xr:uid="{00000000-0005-0000-0000-0000D7260000}"/>
    <cellStyle name="Normal 4 2 5 2 6 2 2" xfId="15243" xr:uid="{00000000-0005-0000-0000-0000D8260000}"/>
    <cellStyle name="Normal 4 2 5 2 6 3" xfId="11025" xr:uid="{00000000-0005-0000-0000-0000D9260000}"/>
    <cellStyle name="Normal 4 2 5 2 7" xfId="4742" xr:uid="{00000000-0005-0000-0000-0000DA260000}"/>
    <cellStyle name="Normal 4 2 5 2 7 2" xfId="13178" xr:uid="{00000000-0005-0000-0000-0000DB260000}"/>
    <cellStyle name="Normal 4 2 5 2 8" xfId="8960" xr:uid="{00000000-0005-0000-0000-0000DC260000}"/>
    <cellStyle name="Normal 4 2 5 3" xfId="839" xr:uid="{00000000-0005-0000-0000-0000DD260000}"/>
    <cellStyle name="Normal 4 2 5 3 2" xfId="3076" xr:uid="{00000000-0005-0000-0000-0000DE260000}"/>
    <cellStyle name="Normal 4 2 5 3 2 2" xfId="7299" xr:uid="{00000000-0005-0000-0000-0000DF260000}"/>
    <cellStyle name="Normal 4 2 5 3 2 2 2" xfId="15735" xr:uid="{00000000-0005-0000-0000-0000E0260000}"/>
    <cellStyle name="Normal 4 2 5 3 2 3" xfId="11517" xr:uid="{00000000-0005-0000-0000-0000E1260000}"/>
    <cellStyle name="Normal 4 2 5 3 3" xfId="5154" xr:uid="{00000000-0005-0000-0000-0000E2260000}"/>
    <cellStyle name="Normal 4 2 5 3 3 2" xfId="13590" xr:uid="{00000000-0005-0000-0000-0000E3260000}"/>
    <cellStyle name="Normal 4 2 5 3 4" xfId="9372" xr:uid="{00000000-0005-0000-0000-0000E4260000}"/>
    <cellStyle name="Normal 4 2 5 4" xfId="1259" xr:uid="{00000000-0005-0000-0000-0000E5260000}"/>
    <cellStyle name="Normal 4 2 5 4 2" xfId="3489" xr:uid="{00000000-0005-0000-0000-0000E6260000}"/>
    <cellStyle name="Normal 4 2 5 4 2 2" xfId="7712" xr:uid="{00000000-0005-0000-0000-0000E7260000}"/>
    <cellStyle name="Normal 4 2 5 4 2 2 2" xfId="16148" xr:uid="{00000000-0005-0000-0000-0000E8260000}"/>
    <cellStyle name="Normal 4 2 5 4 2 3" xfId="11930" xr:uid="{00000000-0005-0000-0000-0000E9260000}"/>
    <cellStyle name="Normal 4 2 5 4 3" xfId="5567" xr:uid="{00000000-0005-0000-0000-0000EA260000}"/>
    <cellStyle name="Normal 4 2 5 4 3 2" xfId="14003" xr:uid="{00000000-0005-0000-0000-0000EB260000}"/>
    <cellStyle name="Normal 4 2 5 4 4" xfId="9785" xr:uid="{00000000-0005-0000-0000-0000EC260000}"/>
    <cellStyle name="Normal 4 2 5 5" xfId="1672" xr:uid="{00000000-0005-0000-0000-0000ED260000}"/>
    <cellStyle name="Normal 4 2 5 5 2" xfId="3902" xr:uid="{00000000-0005-0000-0000-0000EE260000}"/>
    <cellStyle name="Normal 4 2 5 5 2 2" xfId="8125" xr:uid="{00000000-0005-0000-0000-0000EF260000}"/>
    <cellStyle name="Normal 4 2 5 5 2 2 2" xfId="16561" xr:uid="{00000000-0005-0000-0000-0000F0260000}"/>
    <cellStyle name="Normal 4 2 5 5 2 3" xfId="12343" xr:uid="{00000000-0005-0000-0000-0000F1260000}"/>
    <cellStyle name="Normal 4 2 5 5 3" xfId="5980" xr:uid="{00000000-0005-0000-0000-0000F2260000}"/>
    <cellStyle name="Normal 4 2 5 5 3 2" xfId="14416" xr:uid="{00000000-0005-0000-0000-0000F3260000}"/>
    <cellStyle name="Normal 4 2 5 5 4" xfId="10198" xr:uid="{00000000-0005-0000-0000-0000F4260000}"/>
    <cellStyle name="Normal 4 2 5 6" xfId="2086" xr:uid="{00000000-0005-0000-0000-0000F5260000}"/>
    <cellStyle name="Normal 4 2 5 6 2" xfId="4315" xr:uid="{00000000-0005-0000-0000-0000F6260000}"/>
    <cellStyle name="Normal 4 2 5 6 2 2" xfId="8538" xr:uid="{00000000-0005-0000-0000-0000F7260000}"/>
    <cellStyle name="Normal 4 2 5 6 2 2 2" xfId="16974" xr:uid="{00000000-0005-0000-0000-0000F8260000}"/>
    <cellStyle name="Normal 4 2 5 6 2 3" xfId="12756" xr:uid="{00000000-0005-0000-0000-0000F9260000}"/>
    <cellStyle name="Normal 4 2 5 6 3" xfId="6393" xr:uid="{00000000-0005-0000-0000-0000FA260000}"/>
    <cellStyle name="Normal 4 2 5 6 3 2" xfId="14829" xr:uid="{00000000-0005-0000-0000-0000FB260000}"/>
    <cellStyle name="Normal 4 2 5 6 4" xfId="10611" xr:uid="{00000000-0005-0000-0000-0000FC260000}"/>
    <cellStyle name="Normal 4 2 5 7" xfId="2522" xr:uid="{00000000-0005-0000-0000-0000FD260000}"/>
    <cellStyle name="Normal 4 2 5 7 2" xfId="6806" xr:uid="{00000000-0005-0000-0000-0000FE260000}"/>
    <cellStyle name="Normal 4 2 5 7 2 2" xfId="15242" xr:uid="{00000000-0005-0000-0000-0000FF260000}"/>
    <cellStyle name="Normal 4 2 5 7 3" xfId="11024" xr:uid="{00000000-0005-0000-0000-000000270000}"/>
    <cellStyle name="Normal 4 2 5 8" xfId="4741" xr:uid="{00000000-0005-0000-0000-000001270000}"/>
    <cellStyle name="Normal 4 2 5 8 2" xfId="13177" xr:uid="{00000000-0005-0000-0000-000002270000}"/>
    <cellStyle name="Normal 4 2 5 9" xfId="8959" xr:uid="{00000000-0005-0000-0000-000003270000}"/>
    <cellStyle name="Normal 4 2 6" xfId="365" xr:uid="{00000000-0005-0000-0000-000004270000}"/>
    <cellStyle name="Normal 4 2 6 2" xfId="841" xr:uid="{00000000-0005-0000-0000-000005270000}"/>
    <cellStyle name="Normal 4 2 6 2 2" xfId="3078" xr:uid="{00000000-0005-0000-0000-000006270000}"/>
    <cellStyle name="Normal 4 2 6 2 2 2" xfId="7301" xr:uid="{00000000-0005-0000-0000-000007270000}"/>
    <cellStyle name="Normal 4 2 6 2 2 2 2" xfId="15737" xr:uid="{00000000-0005-0000-0000-000008270000}"/>
    <cellStyle name="Normal 4 2 6 2 2 3" xfId="11519" xr:uid="{00000000-0005-0000-0000-000009270000}"/>
    <cellStyle name="Normal 4 2 6 2 3" xfId="5156" xr:uid="{00000000-0005-0000-0000-00000A270000}"/>
    <cellStyle name="Normal 4 2 6 2 3 2" xfId="13592" xr:uid="{00000000-0005-0000-0000-00000B270000}"/>
    <cellStyle name="Normal 4 2 6 2 4" xfId="9374" xr:uid="{00000000-0005-0000-0000-00000C270000}"/>
    <cellStyle name="Normal 4 2 6 3" xfId="1261" xr:uid="{00000000-0005-0000-0000-00000D270000}"/>
    <cellStyle name="Normal 4 2 6 3 2" xfId="3491" xr:uid="{00000000-0005-0000-0000-00000E270000}"/>
    <cellStyle name="Normal 4 2 6 3 2 2" xfId="7714" xr:uid="{00000000-0005-0000-0000-00000F270000}"/>
    <cellStyle name="Normal 4 2 6 3 2 2 2" xfId="16150" xr:uid="{00000000-0005-0000-0000-000010270000}"/>
    <cellStyle name="Normal 4 2 6 3 2 3" xfId="11932" xr:uid="{00000000-0005-0000-0000-000011270000}"/>
    <cellStyle name="Normal 4 2 6 3 3" xfId="5569" xr:uid="{00000000-0005-0000-0000-000012270000}"/>
    <cellStyle name="Normal 4 2 6 3 3 2" xfId="14005" xr:uid="{00000000-0005-0000-0000-000013270000}"/>
    <cellStyle name="Normal 4 2 6 3 4" xfId="9787" xr:uid="{00000000-0005-0000-0000-000014270000}"/>
    <cellStyle name="Normal 4 2 6 4" xfId="1674" xr:uid="{00000000-0005-0000-0000-000015270000}"/>
    <cellStyle name="Normal 4 2 6 4 2" xfId="3904" xr:uid="{00000000-0005-0000-0000-000016270000}"/>
    <cellStyle name="Normal 4 2 6 4 2 2" xfId="8127" xr:uid="{00000000-0005-0000-0000-000017270000}"/>
    <cellStyle name="Normal 4 2 6 4 2 2 2" xfId="16563" xr:uid="{00000000-0005-0000-0000-000018270000}"/>
    <cellStyle name="Normal 4 2 6 4 2 3" xfId="12345" xr:uid="{00000000-0005-0000-0000-000019270000}"/>
    <cellStyle name="Normal 4 2 6 4 3" xfId="5982" xr:uid="{00000000-0005-0000-0000-00001A270000}"/>
    <cellStyle name="Normal 4 2 6 4 3 2" xfId="14418" xr:uid="{00000000-0005-0000-0000-00001B270000}"/>
    <cellStyle name="Normal 4 2 6 4 4" xfId="10200" xr:uid="{00000000-0005-0000-0000-00001C270000}"/>
    <cellStyle name="Normal 4 2 6 5" xfId="2088" xr:uid="{00000000-0005-0000-0000-00001D270000}"/>
    <cellStyle name="Normal 4 2 6 5 2" xfId="4317" xr:uid="{00000000-0005-0000-0000-00001E270000}"/>
    <cellStyle name="Normal 4 2 6 5 2 2" xfId="8540" xr:uid="{00000000-0005-0000-0000-00001F270000}"/>
    <cellStyle name="Normal 4 2 6 5 2 2 2" xfId="16976" xr:uid="{00000000-0005-0000-0000-000020270000}"/>
    <cellStyle name="Normal 4 2 6 5 2 3" xfId="12758" xr:uid="{00000000-0005-0000-0000-000021270000}"/>
    <cellStyle name="Normal 4 2 6 5 3" xfId="6395" xr:uid="{00000000-0005-0000-0000-000022270000}"/>
    <cellStyle name="Normal 4 2 6 5 3 2" xfId="14831" xr:uid="{00000000-0005-0000-0000-000023270000}"/>
    <cellStyle name="Normal 4 2 6 5 4" xfId="10613" xr:uid="{00000000-0005-0000-0000-000024270000}"/>
    <cellStyle name="Normal 4 2 6 6" xfId="2524" xr:uid="{00000000-0005-0000-0000-000025270000}"/>
    <cellStyle name="Normal 4 2 6 6 2" xfId="6808" xr:uid="{00000000-0005-0000-0000-000026270000}"/>
    <cellStyle name="Normal 4 2 6 6 2 2" xfId="15244" xr:uid="{00000000-0005-0000-0000-000027270000}"/>
    <cellStyle name="Normal 4 2 6 6 3" xfId="11026" xr:uid="{00000000-0005-0000-0000-000028270000}"/>
    <cellStyle name="Normal 4 2 6 7" xfId="4743" xr:uid="{00000000-0005-0000-0000-000029270000}"/>
    <cellStyle name="Normal 4 2 6 7 2" xfId="13179" xr:uid="{00000000-0005-0000-0000-00002A270000}"/>
    <cellStyle name="Normal 4 2 6 8" xfId="8961" xr:uid="{00000000-0005-0000-0000-00002B270000}"/>
    <cellStyle name="Normal 4 3" xfId="366" xr:uid="{00000000-0005-0000-0000-00002C270000}"/>
    <cellStyle name="Normal 4 3 10" xfId="8962" xr:uid="{00000000-0005-0000-0000-00002D270000}"/>
    <cellStyle name="Normal 4 3 2" xfId="367" xr:uid="{00000000-0005-0000-0000-00002E270000}"/>
    <cellStyle name="Normal 4 3 2 2" xfId="368" xr:uid="{00000000-0005-0000-0000-00002F270000}"/>
    <cellStyle name="Normal 4 3 2 2 2" xfId="369" xr:uid="{00000000-0005-0000-0000-000030270000}"/>
    <cellStyle name="Normal 4 3 2 2 2 10" xfId="8963" xr:uid="{00000000-0005-0000-0000-000031270000}"/>
    <cellStyle name="Normal 4 3 2 2 2 2" xfId="370" xr:uid="{00000000-0005-0000-0000-000032270000}"/>
    <cellStyle name="Normal 4 3 2 2 2 2 2" xfId="371" xr:uid="{00000000-0005-0000-0000-000033270000}"/>
    <cellStyle name="Normal 4 3 2 2 2 2 2 2" xfId="846" xr:uid="{00000000-0005-0000-0000-000034270000}"/>
    <cellStyle name="Normal 4 3 2 2 2 2 2 2 2" xfId="3082" xr:uid="{00000000-0005-0000-0000-000035270000}"/>
    <cellStyle name="Normal 4 3 2 2 2 2 2 2 2 2" xfId="7305" xr:uid="{00000000-0005-0000-0000-000036270000}"/>
    <cellStyle name="Normal 4 3 2 2 2 2 2 2 2 2 2" xfId="15741" xr:uid="{00000000-0005-0000-0000-000037270000}"/>
    <cellStyle name="Normal 4 3 2 2 2 2 2 2 2 3" xfId="11523" xr:uid="{00000000-0005-0000-0000-000038270000}"/>
    <cellStyle name="Normal 4 3 2 2 2 2 2 2 3" xfId="5160" xr:uid="{00000000-0005-0000-0000-000039270000}"/>
    <cellStyle name="Normal 4 3 2 2 2 2 2 2 3 2" xfId="13596" xr:uid="{00000000-0005-0000-0000-00003A270000}"/>
    <cellStyle name="Normal 4 3 2 2 2 2 2 2 4" xfId="9378" xr:uid="{00000000-0005-0000-0000-00003B270000}"/>
    <cellStyle name="Normal 4 3 2 2 2 2 2 3" xfId="1265" xr:uid="{00000000-0005-0000-0000-00003C270000}"/>
    <cellStyle name="Normal 4 3 2 2 2 2 2 3 2" xfId="3495" xr:uid="{00000000-0005-0000-0000-00003D270000}"/>
    <cellStyle name="Normal 4 3 2 2 2 2 2 3 2 2" xfId="7718" xr:uid="{00000000-0005-0000-0000-00003E270000}"/>
    <cellStyle name="Normal 4 3 2 2 2 2 2 3 2 2 2" xfId="16154" xr:uid="{00000000-0005-0000-0000-00003F270000}"/>
    <cellStyle name="Normal 4 3 2 2 2 2 2 3 2 3" xfId="11936" xr:uid="{00000000-0005-0000-0000-000040270000}"/>
    <cellStyle name="Normal 4 3 2 2 2 2 2 3 3" xfId="5573" xr:uid="{00000000-0005-0000-0000-000041270000}"/>
    <cellStyle name="Normal 4 3 2 2 2 2 2 3 3 2" xfId="14009" xr:uid="{00000000-0005-0000-0000-000042270000}"/>
    <cellStyle name="Normal 4 3 2 2 2 2 2 3 4" xfId="9791" xr:uid="{00000000-0005-0000-0000-000043270000}"/>
    <cellStyle name="Normal 4 3 2 2 2 2 2 4" xfId="1678" xr:uid="{00000000-0005-0000-0000-000044270000}"/>
    <cellStyle name="Normal 4 3 2 2 2 2 2 4 2" xfId="3908" xr:uid="{00000000-0005-0000-0000-000045270000}"/>
    <cellStyle name="Normal 4 3 2 2 2 2 2 4 2 2" xfId="8131" xr:uid="{00000000-0005-0000-0000-000046270000}"/>
    <cellStyle name="Normal 4 3 2 2 2 2 2 4 2 2 2" xfId="16567" xr:uid="{00000000-0005-0000-0000-000047270000}"/>
    <cellStyle name="Normal 4 3 2 2 2 2 2 4 2 3" xfId="12349" xr:uid="{00000000-0005-0000-0000-000048270000}"/>
    <cellStyle name="Normal 4 3 2 2 2 2 2 4 3" xfId="5986" xr:uid="{00000000-0005-0000-0000-000049270000}"/>
    <cellStyle name="Normal 4 3 2 2 2 2 2 4 3 2" xfId="14422" xr:uid="{00000000-0005-0000-0000-00004A270000}"/>
    <cellStyle name="Normal 4 3 2 2 2 2 2 4 4" xfId="10204" xr:uid="{00000000-0005-0000-0000-00004B270000}"/>
    <cellStyle name="Normal 4 3 2 2 2 2 2 5" xfId="2092" xr:uid="{00000000-0005-0000-0000-00004C270000}"/>
    <cellStyle name="Normal 4 3 2 2 2 2 2 5 2" xfId="4321" xr:uid="{00000000-0005-0000-0000-00004D270000}"/>
    <cellStyle name="Normal 4 3 2 2 2 2 2 5 2 2" xfId="8544" xr:uid="{00000000-0005-0000-0000-00004E270000}"/>
    <cellStyle name="Normal 4 3 2 2 2 2 2 5 2 2 2" xfId="16980" xr:uid="{00000000-0005-0000-0000-00004F270000}"/>
    <cellStyle name="Normal 4 3 2 2 2 2 2 5 2 3" xfId="12762" xr:uid="{00000000-0005-0000-0000-000050270000}"/>
    <cellStyle name="Normal 4 3 2 2 2 2 2 5 3" xfId="6399" xr:uid="{00000000-0005-0000-0000-000051270000}"/>
    <cellStyle name="Normal 4 3 2 2 2 2 2 5 3 2" xfId="14835" xr:uid="{00000000-0005-0000-0000-000052270000}"/>
    <cellStyle name="Normal 4 3 2 2 2 2 2 5 4" xfId="10617" xr:uid="{00000000-0005-0000-0000-000053270000}"/>
    <cellStyle name="Normal 4 3 2 2 2 2 2 6" xfId="2528" xr:uid="{00000000-0005-0000-0000-000054270000}"/>
    <cellStyle name="Normal 4 3 2 2 2 2 2 6 2" xfId="6812" xr:uid="{00000000-0005-0000-0000-000055270000}"/>
    <cellStyle name="Normal 4 3 2 2 2 2 2 6 2 2" xfId="15248" xr:uid="{00000000-0005-0000-0000-000056270000}"/>
    <cellStyle name="Normal 4 3 2 2 2 2 2 6 3" xfId="11030" xr:uid="{00000000-0005-0000-0000-000057270000}"/>
    <cellStyle name="Normal 4 3 2 2 2 2 2 7" xfId="4747" xr:uid="{00000000-0005-0000-0000-000058270000}"/>
    <cellStyle name="Normal 4 3 2 2 2 2 2 7 2" xfId="13183" xr:uid="{00000000-0005-0000-0000-000059270000}"/>
    <cellStyle name="Normal 4 3 2 2 2 2 2 8" xfId="8965" xr:uid="{00000000-0005-0000-0000-00005A270000}"/>
    <cellStyle name="Normal 4 3 2 2 2 2 3" xfId="845" xr:uid="{00000000-0005-0000-0000-00005B270000}"/>
    <cellStyle name="Normal 4 3 2 2 2 2 3 2" xfId="3081" xr:uid="{00000000-0005-0000-0000-00005C270000}"/>
    <cellStyle name="Normal 4 3 2 2 2 2 3 2 2" xfId="7304" xr:uid="{00000000-0005-0000-0000-00005D270000}"/>
    <cellStyle name="Normal 4 3 2 2 2 2 3 2 2 2" xfId="15740" xr:uid="{00000000-0005-0000-0000-00005E270000}"/>
    <cellStyle name="Normal 4 3 2 2 2 2 3 2 3" xfId="11522" xr:uid="{00000000-0005-0000-0000-00005F270000}"/>
    <cellStyle name="Normal 4 3 2 2 2 2 3 3" xfId="5159" xr:uid="{00000000-0005-0000-0000-000060270000}"/>
    <cellStyle name="Normal 4 3 2 2 2 2 3 3 2" xfId="13595" xr:uid="{00000000-0005-0000-0000-000061270000}"/>
    <cellStyle name="Normal 4 3 2 2 2 2 3 4" xfId="9377" xr:uid="{00000000-0005-0000-0000-000062270000}"/>
    <cellStyle name="Normal 4 3 2 2 2 2 4" xfId="1264" xr:uid="{00000000-0005-0000-0000-000063270000}"/>
    <cellStyle name="Normal 4 3 2 2 2 2 4 2" xfId="3494" xr:uid="{00000000-0005-0000-0000-000064270000}"/>
    <cellStyle name="Normal 4 3 2 2 2 2 4 2 2" xfId="7717" xr:uid="{00000000-0005-0000-0000-000065270000}"/>
    <cellStyle name="Normal 4 3 2 2 2 2 4 2 2 2" xfId="16153" xr:uid="{00000000-0005-0000-0000-000066270000}"/>
    <cellStyle name="Normal 4 3 2 2 2 2 4 2 3" xfId="11935" xr:uid="{00000000-0005-0000-0000-000067270000}"/>
    <cellStyle name="Normal 4 3 2 2 2 2 4 3" xfId="5572" xr:uid="{00000000-0005-0000-0000-000068270000}"/>
    <cellStyle name="Normal 4 3 2 2 2 2 4 3 2" xfId="14008" xr:uid="{00000000-0005-0000-0000-000069270000}"/>
    <cellStyle name="Normal 4 3 2 2 2 2 4 4" xfId="9790" xr:uid="{00000000-0005-0000-0000-00006A270000}"/>
    <cellStyle name="Normal 4 3 2 2 2 2 5" xfId="1677" xr:uid="{00000000-0005-0000-0000-00006B270000}"/>
    <cellStyle name="Normal 4 3 2 2 2 2 5 2" xfId="3907" xr:uid="{00000000-0005-0000-0000-00006C270000}"/>
    <cellStyle name="Normal 4 3 2 2 2 2 5 2 2" xfId="8130" xr:uid="{00000000-0005-0000-0000-00006D270000}"/>
    <cellStyle name="Normal 4 3 2 2 2 2 5 2 2 2" xfId="16566" xr:uid="{00000000-0005-0000-0000-00006E270000}"/>
    <cellStyle name="Normal 4 3 2 2 2 2 5 2 3" xfId="12348" xr:uid="{00000000-0005-0000-0000-00006F270000}"/>
    <cellStyle name="Normal 4 3 2 2 2 2 5 3" xfId="5985" xr:uid="{00000000-0005-0000-0000-000070270000}"/>
    <cellStyle name="Normal 4 3 2 2 2 2 5 3 2" xfId="14421" xr:uid="{00000000-0005-0000-0000-000071270000}"/>
    <cellStyle name="Normal 4 3 2 2 2 2 5 4" xfId="10203" xr:uid="{00000000-0005-0000-0000-000072270000}"/>
    <cellStyle name="Normal 4 3 2 2 2 2 6" xfId="2091" xr:uid="{00000000-0005-0000-0000-000073270000}"/>
    <cellStyle name="Normal 4 3 2 2 2 2 6 2" xfId="4320" xr:uid="{00000000-0005-0000-0000-000074270000}"/>
    <cellStyle name="Normal 4 3 2 2 2 2 6 2 2" xfId="8543" xr:uid="{00000000-0005-0000-0000-000075270000}"/>
    <cellStyle name="Normal 4 3 2 2 2 2 6 2 2 2" xfId="16979" xr:uid="{00000000-0005-0000-0000-000076270000}"/>
    <cellStyle name="Normal 4 3 2 2 2 2 6 2 3" xfId="12761" xr:uid="{00000000-0005-0000-0000-000077270000}"/>
    <cellStyle name="Normal 4 3 2 2 2 2 6 3" xfId="6398" xr:uid="{00000000-0005-0000-0000-000078270000}"/>
    <cellStyle name="Normal 4 3 2 2 2 2 6 3 2" xfId="14834" xr:uid="{00000000-0005-0000-0000-000079270000}"/>
    <cellStyle name="Normal 4 3 2 2 2 2 6 4" xfId="10616" xr:uid="{00000000-0005-0000-0000-00007A270000}"/>
    <cellStyle name="Normal 4 3 2 2 2 2 7" xfId="2527" xr:uid="{00000000-0005-0000-0000-00007B270000}"/>
    <cellStyle name="Normal 4 3 2 2 2 2 7 2" xfId="6811" xr:uid="{00000000-0005-0000-0000-00007C270000}"/>
    <cellStyle name="Normal 4 3 2 2 2 2 7 2 2" xfId="15247" xr:uid="{00000000-0005-0000-0000-00007D270000}"/>
    <cellStyle name="Normal 4 3 2 2 2 2 7 3" xfId="11029" xr:uid="{00000000-0005-0000-0000-00007E270000}"/>
    <cellStyle name="Normal 4 3 2 2 2 2 8" xfId="4746" xr:uid="{00000000-0005-0000-0000-00007F270000}"/>
    <cellStyle name="Normal 4 3 2 2 2 2 8 2" xfId="13182" xr:uid="{00000000-0005-0000-0000-000080270000}"/>
    <cellStyle name="Normal 4 3 2 2 2 2 9" xfId="8964" xr:uid="{00000000-0005-0000-0000-000081270000}"/>
    <cellStyle name="Normal 4 3 2 2 2 3" xfId="372" xr:uid="{00000000-0005-0000-0000-000082270000}"/>
    <cellStyle name="Normal 4 3 2 2 2 3 2" xfId="847" xr:uid="{00000000-0005-0000-0000-000083270000}"/>
    <cellStyle name="Normal 4 3 2 2 2 3 2 2" xfId="3083" xr:uid="{00000000-0005-0000-0000-000084270000}"/>
    <cellStyle name="Normal 4 3 2 2 2 3 2 2 2" xfId="7306" xr:uid="{00000000-0005-0000-0000-000085270000}"/>
    <cellStyle name="Normal 4 3 2 2 2 3 2 2 2 2" xfId="15742" xr:uid="{00000000-0005-0000-0000-000086270000}"/>
    <cellStyle name="Normal 4 3 2 2 2 3 2 2 3" xfId="11524" xr:uid="{00000000-0005-0000-0000-000087270000}"/>
    <cellStyle name="Normal 4 3 2 2 2 3 2 3" xfId="5161" xr:uid="{00000000-0005-0000-0000-000088270000}"/>
    <cellStyle name="Normal 4 3 2 2 2 3 2 3 2" xfId="13597" xr:uid="{00000000-0005-0000-0000-000089270000}"/>
    <cellStyle name="Normal 4 3 2 2 2 3 2 4" xfId="9379" xr:uid="{00000000-0005-0000-0000-00008A270000}"/>
    <cellStyle name="Normal 4 3 2 2 2 3 3" xfId="1266" xr:uid="{00000000-0005-0000-0000-00008B270000}"/>
    <cellStyle name="Normal 4 3 2 2 2 3 3 2" xfId="3496" xr:uid="{00000000-0005-0000-0000-00008C270000}"/>
    <cellStyle name="Normal 4 3 2 2 2 3 3 2 2" xfId="7719" xr:uid="{00000000-0005-0000-0000-00008D270000}"/>
    <cellStyle name="Normal 4 3 2 2 2 3 3 2 2 2" xfId="16155" xr:uid="{00000000-0005-0000-0000-00008E270000}"/>
    <cellStyle name="Normal 4 3 2 2 2 3 3 2 3" xfId="11937" xr:uid="{00000000-0005-0000-0000-00008F270000}"/>
    <cellStyle name="Normal 4 3 2 2 2 3 3 3" xfId="5574" xr:uid="{00000000-0005-0000-0000-000090270000}"/>
    <cellStyle name="Normal 4 3 2 2 2 3 3 3 2" xfId="14010" xr:uid="{00000000-0005-0000-0000-000091270000}"/>
    <cellStyle name="Normal 4 3 2 2 2 3 3 4" xfId="9792" xr:uid="{00000000-0005-0000-0000-000092270000}"/>
    <cellStyle name="Normal 4 3 2 2 2 3 4" xfId="1679" xr:uid="{00000000-0005-0000-0000-000093270000}"/>
    <cellStyle name="Normal 4 3 2 2 2 3 4 2" xfId="3909" xr:uid="{00000000-0005-0000-0000-000094270000}"/>
    <cellStyle name="Normal 4 3 2 2 2 3 4 2 2" xfId="8132" xr:uid="{00000000-0005-0000-0000-000095270000}"/>
    <cellStyle name="Normal 4 3 2 2 2 3 4 2 2 2" xfId="16568" xr:uid="{00000000-0005-0000-0000-000096270000}"/>
    <cellStyle name="Normal 4 3 2 2 2 3 4 2 3" xfId="12350" xr:uid="{00000000-0005-0000-0000-000097270000}"/>
    <cellStyle name="Normal 4 3 2 2 2 3 4 3" xfId="5987" xr:uid="{00000000-0005-0000-0000-000098270000}"/>
    <cellStyle name="Normal 4 3 2 2 2 3 4 3 2" xfId="14423" xr:uid="{00000000-0005-0000-0000-000099270000}"/>
    <cellStyle name="Normal 4 3 2 2 2 3 4 4" xfId="10205" xr:uid="{00000000-0005-0000-0000-00009A270000}"/>
    <cellStyle name="Normal 4 3 2 2 2 3 5" xfId="2093" xr:uid="{00000000-0005-0000-0000-00009B270000}"/>
    <cellStyle name="Normal 4 3 2 2 2 3 5 2" xfId="4322" xr:uid="{00000000-0005-0000-0000-00009C270000}"/>
    <cellStyle name="Normal 4 3 2 2 2 3 5 2 2" xfId="8545" xr:uid="{00000000-0005-0000-0000-00009D270000}"/>
    <cellStyle name="Normal 4 3 2 2 2 3 5 2 2 2" xfId="16981" xr:uid="{00000000-0005-0000-0000-00009E270000}"/>
    <cellStyle name="Normal 4 3 2 2 2 3 5 2 3" xfId="12763" xr:uid="{00000000-0005-0000-0000-00009F270000}"/>
    <cellStyle name="Normal 4 3 2 2 2 3 5 3" xfId="6400" xr:uid="{00000000-0005-0000-0000-0000A0270000}"/>
    <cellStyle name="Normal 4 3 2 2 2 3 5 3 2" xfId="14836" xr:uid="{00000000-0005-0000-0000-0000A1270000}"/>
    <cellStyle name="Normal 4 3 2 2 2 3 5 4" xfId="10618" xr:uid="{00000000-0005-0000-0000-0000A2270000}"/>
    <cellStyle name="Normal 4 3 2 2 2 3 6" xfId="2529" xr:uid="{00000000-0005-0000-0000-0000A3270000}"/>
    <cellStyle name="Normal 4 3 2 2 2 3 6 2" xfId="6813" xr:uid="{00000000-0005-0000-0000-0000A4270000}"/>
    <cellStyle name="Normal 4 3 2 2 2 3 6 2 2" xfId="15249" xr:uid="{00000000-0005-0000-0000-0000A5270000}"/>
    <cellStyle name="Normal 4 3 2 2 2 3 6 3" xfId="11031" xr:uid="{00000000-0005-0000-0000-0000A6270000}"/>
    <cellStyle name="Normal 4 3 2 2 2 3 7" xfId="4748" xr:uid="{00000000-0005-0000-0000-0000A7270000}"/>
    <cellStyle name="Normal 4 3 2 2 2 3 7 2" xfId="13184" xr:uid="{00000000-0005-0000-0000-0000A8270000}"/>
    <cellStyle name="Normal 4 3 2 2 2 3 8" xfId="8966" xr:uid="{00000000-0005-0000-0000-0000A9270000}"/>
    <cellStyle name="Normal 4 3 2 2 2 4" xfId="844" xr:uid="{00000000-0005-0000-0000-0000AA270000}"/>
    <cellStyle name="Normal 4 3 2 2 2 4 2" xfId="3080" xr:uid="{00000000-0005-0000-0000-0000AB270000}"/>
    <cellStyle name="Normal 4 3 2 2 2 4 2 2" xfId="7303" xr:uid="{00000000-0005-0000-0000-0000AC270000}"/>
    <cellStyle name="Normal 4 3 2 2 2 4 2 2 2" xfId="15739" xr:uid="{00000000-0005-0000-0000-0000AD270000}"/>
    <cellStyle name="Normal 4 3 2 2 2 4 2 3" xfId="11521" xr:uid="{00000000-0005-0000-0000-0000AE270000}"/>
    <cellStyle name="Normal 4 3 2 2 2 4 3" xfId="5158" xr:uid="{00000000-0005-0000-0000-0000AF270000}"/>
    <cellStyle name="Normal 4 3 2 2 2 4 3 2" xfId="13594" xr:uid="{00000000-0005-0000-0000-0000B0270000}"/>
    <cellStyle name="Normal 4 3 2 2 2 4 4" xfId="9376" xr:uid="{00000000-0005-0000-0000-0000B1270000}"/>
    <cellStyle name="Normal 4 3 2 2 2 5" xfId="1263" xr:uid="{00000000-0005-0000-0000-0000B2270000}"/>
    <cellStyle name="Normal 4 3 2 2 2 5 2" xfId="3493" xr:uid="{00000000-0005-0000-0000-0000B3270000}"/>
    <cellStyle name="Normal 4 3 2 2 2 5 2 2" xfId="7716" xr:uid="{00000000-0005-0000-0000-0000B4270000}"/>
    <cellStyle name="Normal 4 3 2 2 2 5 2 2 2" xfId="16152" xr:uid="{00000000-0005-0000-0000-0000B5270000}"/>
    <cellStyle name="Normal 4 3 2 2 2 5 2 3" xfId="11934" xr:uid="{00000000-0005-0000-0000-0000B6270000}"/>
    <cellStyle name="Normal 4 3 2 2 2 5 3" xfId="5571" xr:uid="{00000000-0005-0000-0000-0000B7270000}"/>
    <cellStyle name="Normal 4 3 2 2 2 5 3 2" xfId="14007" xr:uid="{00000000-0005-0000-0000-0000B8270000}"/>
    <cellStyle name="Normal 4 3 2 2 2 5 4" xfId="9789" xr:uid="{00000000-0005-0000-0000-0000B9270000}"/>
    <cellStyle name="Normal 4 3 2 2 2 6" xfId="1676" xr:uid="{00000000-0005-0000-0000-0000BA270000}"/>
    <cellStyle name="Normal 4 3 2 2 2 6 2" xfId="3906" xr:uid="{00000000-0005-0000-0000-0000BB270000}"/>
    <cellStyle name="Normal 4 3 2 2 2 6 2 2" xfId="8129" xr:uid="{00000000-0005-0000-0000-0000BC270000}"/>
    <cellStyle name="Normal 4 3 2 2 2 6 2 2 2" xfId="16565" xr:uid="{00000000-0005-0000-0000-0000BD270000}"/>
    <cellStyle name="Normal 4 3 2 2 2 6 2 3" xfId="12347" xr:uid="{00000000-0005-0000-0000-0000BE270000}"/>
    <cellStyle name="Normal 4 3 2 2 2 6 3" xfId="5984" xr:uid="{00000000-0005-0000-0000-0000BF270000}"/>
    <cellStyle name="Normal 4 3 2 2 2 6 3 2" xfId="14420" xr:uid="{00000000-0005-0000-0000-0000C0270000}"/>
    <cellStyle name="Normal 4 3 2 2 2 6 4" xfId="10202" xr:uid="{00000000-0005-0000-0000-0000C1270000}"/>
    <cellStyle name="Normal 4 3 2 2 2 7" xfId="2090" xr:uid="{00000000-0005-0000-0000-0000C2270000}"/>
    <cellStyle name="Normal 4 3 2 2 2 7 2" xfId="4319" xr:uid="{00000000-0005-0000-0000-0000C3270000}"/>
    <cellStyle name="Normal 4 3 2 2 2 7 2 2" xfId="8542" xr:uid="{00000000-0005-0000-0000-0000C4270000}"/>
    <cellStyle name="Normal 4 3 2 2 2 7 2 2 2" xfId="16978" xr:uid="{00000000-0005-0000-0000-0000C5270000}"/>
    <cellStyle name="Normal 4 3 2 2 2 7 2 3" xfId="12760" xr:uid="{00000000-0005-0000-0000-0000C6270000}"/>
    <cellStyle name="Normal 4 3 2 2 2 7 3" xfId="6397" xr:uid="{00000000-0005-0000-0000-0000C7270000}"/>
    <cellStyle name="Normal 4 3 2 2 2 7 3 2" xfId="14833" xr:uid="{00000000-0005-0000-0000-0000C8270000}"/>
    <cellStyle name="Normal 4 3 2 2 2 7 4" xfId="10615" xr:uid="{00000000-0005-0000-0000-0000C9270000}"/>
    <cellStyle name="Normal 4 3 2 2 2 8" xfId="2526" xr:uid="{00000000-0005-0000-0000-0000CA270000}"/>
    <cellStyle name="Normal 4 3 2 2 2 8 2" xfId="6810" xr:uid="{00000000-0005-0000-0000-0000CB270000}"/>
    <cellStyle name="Normal 4 3 2 2 2 8 2 2" xfId="15246" xr:uid="{00000000-0005-0000-0000-0000CC270000}"/>
    <cellStyle name="Normal 4 3 2 2 2 8 3" xfId="11028" xr:uid="{00000000-0005-0000-0000-0000CD270000}"/>
    <cellStyle name="Normal 4 3 2 2 2 9" xfId="4745" xr:uid="{00000000-0005-0000-0000-0000CE270000}"/>
    <cellStyle name="Normal 4 3 2 2 2 9 2" xfId="13181" xr:uid="{00000000-0005-0000-0000-0000CF270000}"/>
    <cellStyle name="Normal 4 3 2 3" xfId="373" xr:uid="{00000000-0005-0000-0000-0000D0270000}"/>
    <cellStyle name="Normal 4 3 2 3 2" xfId="848" xr:uid="{00000000-0005-0000-0000-0000D1270000}"/>
    <cellStyle name="Normal 4 3 2 4" xfId="843" xr:uid="{00000000-0005-0000-0000-0000D2270000}"/>
    <cellStyle name="Normal 4 3 3" xfId="374" xr:uid="{00000000-0005-0000-0000-0000D3270000}"/>
    <cellStyle name="Normal 4 3 3 10" xfId="8967" xr:uid="{00000000-0005-0000-0000-0000D4270000}"/>
    <cellStyle name="Normal 4 3 3 2" xfId="375" xr:uid="{00000000-0005-0000-0000-0000D5270000}"/>
    <cellStyle name="Normal 4 3 3 2 2" xfId="376" xr:uid="{00000000-0005-0000-0000-0000D6270000}"/>
    <cellStyle name="Normal 4 3 3 2 2 2" xfId="851" xr:uid="{00000000-0005-0000-0000-0000D7270000}"/>
    <cellStyle name="Normal 4 3 3 2 2 2 2" xfId="3086" xr:uid="{00000000-0005-0000-0000-0000D8270000}"/>
    <cellStyle name="Normal 4 3 3 2 2 2 2 2" xfId="7309" xr:uid="{00000000-0005-0000-0000-0000D9270000}"/>
    <cellStyle name="Normal 4 3 3 2 2 2 2 2 2" xfId="15745" xr:uid="{00000000-0005-0000-0000-0000DA270000}"/>
    <cellStyle name="Normal 4 3 3 2 2 2 2 3" xfId="11527" xr:uid="{00000000-0005-0000-0000-0000DB270000}"/>
    <cellStyle name="Normal 4 3 3 2 2 2 3" xfId="5164" xr:uid="{00000000-0005-0000-0000-0000DC270000}"/>
    <cellStyle name="Normal 4 3 3 2 2 2 3 2" xfId="13600" xr:uid="{00000000-0005-0000-0000-0000DD270000}"/>
    <cellStyle name="Normal 4 3 3 2 2 2 4" xfId="9382" xr:uid="{00000000-0005-0000-0000-0000DE270000}"/>
    <cellStyle name="Normal 4 3 3 2 2 3" xfId="1269" xr:uid="{00000000-0005-0000-0000-0000DF270000}"/>
    <cellStyle name="Normal 4 3 3 2 2 3 2" xfId="3499" xr:uid="{00000000-0005-0000-0000-0000E0270000}"/>
    <cellStyle name="Normal 4 3 3 2 2 3 2 2" xfId="7722" xr:uid="{00000000-0005-0000-0000-0000E1270000}"/>
    <cellStyle name="Normal 4 3 3 2 2 3 2 2 2" xfId="16158" xr:uid="{00000000-0005-0000-0000-0000E2270000}"/>
    <cellStyle name="Normal 4 3 3 2 2 3 2 3" xfId="11940" xr:uid="{00000000-0005-0000-0000-0000E3270000}"/>
    <cellStyle name="Normal 4 3 3 2 2 3 3" xfId="5577" xr:uid="{00000000-0005-0000-0000-0000E4270000}"/>
    <cellStyle name="Normal 4 3 3 2 2 3 3 2" xfId="14013" xr:uid="{00000000-0005-0000-0000-0000E5270000}"/>
    <cellStyle name="Normal 4 3 3 2 2 3 4" xfId="9795" xr:uid="{00000000-0005-0000-0000-0000E6270000}"/>
    <cellStyle name="Normal 4 3 3 2 2 4" xfId="1682" xr:uid="{00000000-0005-0000-0000-0000E7270000}"/>
    <cellStyle name="Normal 4 3 3 2 2 4 2" xfId="3912" xr:uid="{00000000-0005-0000-0000-0000E8270000}"/>
    <cellStyle name="Normal 4 3 3 2 2 4 2 2" xfId="8135" xr:uid="{00000000-0005-0000-0000-0000E9270000}"/>
    <cellStyle name="Normal 4 3 3 2 2 4 2 2 2" xfId="16571" xr:uid="{00000000-0005-0000-0000-0000EA270000}"/>
    <cellStyle name="Normal 4 3 3 2 2 4 2 3" xfId="12353" xr:uid="{00000000-0005-0000-0000-0000EB270000}"/>
    <cellStyle name="Normal 4 3 3 2 2 4 3" xfId="5990" xr:uid="{00000000-0005-0000-0000-0000EC270000}"/>
    <cellStyle name="Normal 4 3 3 2 2 4 3 2" xfId="14426" xr:uid="{00000000-0005-0000-0000-0000ED270000}"/>
    <cellStyle name="Normal 4 3 3 2 2 4 4" xfId="10208" xr:uid="{00000000-0005-0000-0000-0000EE270000}"/>
    <cellStyle name="Normal 4 3 3 2 2 5" xfId="2096" xr:uid="{00000000-0005-0000-0000-0000EF270000}"/>
    <cellStyle name="Normal 4 3 3 2 2 5 2" xfId="4325" xr:uid="{00000000-0005-0000-0000-0000F0270000}"/>
    <cellStyle name="Normal 4 3 3 2 2 5 2 2" xfId="8548" xr:uid="{00000000-0005-0000-0000-0000F1270000}"/>
    <cellStyle name="Normal 4 3 3 2 2 5 2 2 2" xfId="16984" xr:uid="{00000000-0005-0000-0000-0000F2270000}"/>
    <cellStyle name="Normal 4 3 3 2 2 5 2 3" xfId="12766" xr:uid="{00000000-0005-0000-0000-0000F3270000}"/>
    <cellStyle name="Normal 4 3 3 2 2 5 3" xfId="6403" xr:uid="{00000000-0005-0000-0000-0000F4270000}"/>
    <cellStyle name="Normal 4 3 3 2 2 5 3 2" xfId="14839" xr:uid="{00000000-0005-0000-0000-0000F5270000}"/>
    <cellStyle name="Normal 4 3 3 2 2 5 4" xfId="10621" xr:uid="{00000000-0005-0000-0000-0000F6270000}"/>
    <cellStyle name="Normal 4 3 3 2 2 6" xfId="2532" xr:uid="{00000000-0005-0000-0000-0000F7270000}"/>
    <cellStyle name="Normal 4 3 3 2 2 6 2" xfId="6816" xr:uid="{00000000-0005-0000-0000-0000F8270000}"/>
    <cellStyle name="Normal 4 3 3 2 2 6 2 2" xfId="15252" xr:uid="{00000000-0005-0000-0000-0000F9270000}"/>
    <cellStyle name="Normal 4 3 3 2 2 6 3" xfId="11034" xr:uid="{00000000-0005-0000-0000-0000FA270000}"/>
    <cellStyle name="Normal 4 3 3 2 2 7" xfId="4751" xr:uid="{00000000-0005-0000-0000-0000FB270000}"/>
    <cellStyle name="Normal 4 3 3 2 2 7 2" xfId="13187" xr:uid="{00000000-0005-0000-0000-0000FC270000}"/>
    <cellStyle name="Normal 4 3 3 2 2 8" xfId="8969" xr:uid="{00000000-0005-0000-0000-0000FD270000}"/>
    <cellStyle name="Normal 4 3 3 2 3" xfId="850" xr:uid="{00000000-0005-0000-0000-0000FE270000}"/>
    <cellStyle name="Normal 4 3 3 2 3 2" xfId="3085" xr:uid="{00000000-0005-0000-0000-0000FF270000}"/>
    <cellStyle name="Normal 4 3 3 2 3 2 2" xfId="7308" xr:uid="{00000000-0005-0000-0000-000000280000}"/>
    <cellStyle name="Normal 4 3 3 2 3 2 2 2" xfId="15744" xr:uid="{00000000-0005-0000-0000-000001280000}"/>
    <cellStyle name="Normal 4 3 3 2 3 2 3" xfId="11526" xr:uid="{00000000-0005-0000-0000-000002280000}"/>
    <cellStyle name="Normal 4 3 3 2 3 3" xfId="5163" xr:uid="{00000000-0005-0000-0000-000003280000}"/>
    <cellStyle name="Normal 4 3 3 2 3 3 2" xfId="13599" xr:uid="{00000000-0005-0000-0000-000004280000}"/>
    <cellStyle name="Normal 4 3 3 2 3 4" xfId="9381" xr:uid="{00000000-0005-0000-0000-000005280000}"/>
    <cellStyle name="Normal 4 3 3 2 4" xfId="1268" xr:uid="{00000000-0005-0000-0000-000006280000}"/>
    <cellStyle name="Normal 4 3 3 2 4 2" xfId="3498" xr:uid="{00000000-0005-0000-0000-000007280000}"/>
    <cellStyle name="Normal 4 3 3 2 4 2 2" xfId="7721" xr:uid="{00000000-0005-0000-0000-000008280000}"/>
    <cellStyle name="Normal 4 3 3 2 4 2 2 2" xfId="16157" xr:uid="{00000000-0005-0000-0000-000009280000}"/>
    <cellStyle name="Normal 4 3 3 2 4 2 3" xfId="11939" xr:uid="{00000000-0005-0000-0000-00000A280000}"/>
    <cellStyle name="Normal 4 3 3 2 4 3" xfId="5576" xr:uid="{00000000-0005-0000-0000-00000B280000}"/>
    <cellStyle name="Normal 4 3 3 2 4 3 2" xfId="14012" xr:uid="{00000000-0005-0000-0000-00000C280000}"/>
    <cellStyle name="Normal 4 3 3 2 4 4" xfId="9794" xr:uid="{00000000-0005-0000-0000-00000D280000}"/>
    <cellStyle name="Normal 4 3 3 2 5" xfId="1681" xr:uid="{00000000-0005-0000-0000-00000E280000}"/>
    <cellStyle name="Normal 4 3 3 2 5 2" xfId="3911" xr:uid="{00000000-0005-0000-0000-00000F280000}"/>
    <cellStyle name="Normal 4 3 3 2 5 2 2" xfId="8134" xr:uid="{00000000-0005-0000-0000-000010280000}"/>
    <cellStyle name="Normal 4 3 3 2 5 2 2 2" xfId="16570" xr:uid="{00000000-0005-0000-0000-000011280000}"/>
    <cellStyle name="Normal 4 3 3 2 5 2 3" xfId="12352" xr:uid="{00000000-0005-0000-0000-000012280000}"/>
    <cellStyle name="Normal 4 3 3 2 5 3" xfId="5989" xr:uid="{00000000-0005-0000-0000-000013280000}"/>
    <cellStyle name="Normal 4 3 3 2 5 3 2" xfId="14425" xr:uid="{00000000-0005-0000-0000-000014280000}"/>
    <cellStyle name="Normal 4 3 3 2 5 4" xfId="10207" xr:uid="{00000000-0005-0000-0000-000015280000}"/>
    <cellStyle name="Normal 4 3 3 2 6" xfId="2095" xr:uid="{00000000-0005-0000-0000-000016280000}"/>
    <cellStyle name="Normal 4 3 3 2 6 2" xfId="4324" xr:uid="{00000000-0005-0000-0000-000017280000}"/>
    <cellStyle name="Normal 4 3 3 2 6 2 2" xfId="8547" xr:uid="{00000000-0005-0000-0000-000018280000}"/>
    <cellStyle name="Normal 4 3 3 2 6 2 2 2" xfId="16983" xr:uid="{00000000-0005-0000-0000-000019280000}"/>
    <cellStyle name="Normal 4 3 3 2 6 2 3" xfId="12765" xr:uid="{00000000-0005-0000-0000-00001A280000}"/>
    <cellStyle name="Normal 4 3 3 2 6 3" xfId="6402" xr:uid="{00000000-0005-0000-0000-00001B280000}"/>
    <cellStyle name="Normal 4 3 3 2 6 3 2" xfId="14838" xr:uid="{00000000-0005-0000-0000-00001C280000}"/>
    <cellStyle name="Normal 4 3 3 2 6 4" xfId="10620" xr:uid="{00000000-0005-0000-0000-00001D280000}"/>
    <cellStyle name="Normal 4 3 3 2 7" xfId="2531" xr:uid="{00000000-0005-0000-0000-00001E280000}"/>
    <cellStyle name="Normal 4 3 3 2 7 2" xfId="6815" xr:uid="{00000000-0005-0000-0000-00001F280000}"/>
    <cellStyle name="Normal 4 3 3 2 7 2 2" xfId="15251" xr:uid="{00000000-0005-0000-0000-000020280000}"/>
    <cellStyle name="Normal 4 3 3 2 7 3" xfId="11033" xr:uid="{00000000-0005-0000-0000-000021280000}"/>
    <cellStyle name="Normal 4 3 3 2 8" xfId="4750" xr:uid="{00000000-0005-0000-0000-000022280000}"/>
    <cellStyle name="Normal 4 3 3 2 8 2" xfId="13186" xr:uid="{00000000-0005-0000-0000-000023280000}"/>
    <cellStyle name="Normal 4 3 3 2 9" xfId="8968" xr:uid="{00000000-0005-0000-0000-000024280000}"/>
    <cellStyle name="Normal 4 3 3 3" xfId="377" xr:uid="{00000000-0005-0000-0000-000025280000}"/>
    <cellStyle name="Normal 4 3 3 3 2" xfId="852" xr:uid="{00000000-0005-0000-0000-000026280000}"/>
    <cellStyle name="Normal 4 3 3 3 2 2" xfId="3087" xr:uid="{00000000-0005-0000-0000-000027280000}"/>
    <cellStyle name="Normal 4 3 3 3 2 2 2" xfId="7310" xr:uid="{00000000-0005-0000-0000-000028280000}"/>
    <cellStyle name="Normal 4 3 3 3 2 2 2 2" xfId="15746" xr:uid="{00000000-0005-0000-0000-000029280000}"/>
    <cellStyle name="Normal 4 3 3 3 2 2 3" xfId="11528" xr:uid="{00000000-0005-0000-0000-00002A280000}"/>
    <cellStyle name="Normal 4 3 3 3 2 3" xfId="5165" xr:uid="{00000000-0005-0000-0000-00002B280000}"/>
    <cellStyle name="Normal 4 3 3 3 2 3 2" xfId="13601" xr:uid="{00000000-0005-0000-0000-00002C280000}"/>
    <cellStyle name="Normal 4 3 3 3 2 4" xfId="9383" xr:uid="{00000000-0005-0000-0000-00002D280000}"/>
    <cellStyle name="Normal 4 3 3 3 3" xfId="1270" xr:uid="{00000000-0005-0000-0000-00002E280000}"/>
    <cellStyle name="Normal 4 3 3 3 3 2" xfId="3500" xr:uid="{00000000-0005-0000-0000-00002F280000}"/>
    <cellStyle name="Normal 4 3 3 3 3 2 2" xfId="7723" xr:uid="{00000000-0005-0000-0000-000030280000}"/>
    <cellStyle name="Normal 4 3 3 3 3 2 2 2" xfId="16159" xr:uid="{00000000-0005-0000-0000-000031280000}"/>
    <cellStyle name="Normal 4 3 3 3 3 2 3" xfId="11941" xr:uid="{00000000-0005-0000-0000-000032280000}"/>
    <cellStyle name="Normal 4 3 3 3 3 3" xfId="5578" xr:uid="{00000000-0005-0000-0000-000033280000}"/>
    <cellStyle name="Normal 4 3 3 3 3 3 2" xfId="14014" xr:uid="{00000000-0005-0000-0000-000034280000}"/>
    <cellStyle name="Normal 4 3 3 3 3 4" xfId="9796" xr:uid="{00000000-0005-0000-0000-000035280000}"/>
    <cellStyle name="Normal 4 3 3 3 4" xfId="1683" xr:uid="{00000000-0005-0000-0000-000036280000}"/>
    <cellStyle name="Normal 4 3 3 3 4 2" xfId="3913" xr:uid="{00000000-0005-0000-0000-000037280000}"/>
    <cellStyle name="Normal 4 3 3 3 4 2 2" xfId="8136" xr:uid="{00000000-0005-0000-0000-000038280000}"/>
    <cellStyle name="Normal 4 3 3 3 4 2 2 2" xfId="16572" xr:uid="{00000000-0005-0000-0000-000039280000}"/>
    <cellStyle name="Normal 4 3 3 3 4 2 3" xfId="12354" xr:uid="{00000000-0005-0000-0000-00003A280000}"/>
    <cellStyle name="Normal 4 3 3 3 4 3" xfId="5991" xr:uid="{00000000-0005-0000-0000-00003B280000}"/>
    <cellStyle name="Normal 4 3 3 3 4 3 2" xfId="14427" xr:uid="{00000000-0005-0000-0000-00003C280000}"/>
    <cellStyle name="Normal 4 3 3 3 4 4" xfId="10209" xr:uid="{00000000-0005-0000-0000-00003D280000}"/>
    <cellStyle name="Normal 4 3 3 3 5" xfId="2097" xr:uid="{00000000-0005-0000-0000-00003E280000}"/>
    <cellStyle name="Normal 4 3 3 3 5 2" xfId="4326" xr:uid="{00000000-0005-0000-0000-00003F280000}"/>
    <cellStyle name="Normal 4 3 3 3 5 2 2" xfId="8549" xr:uid="{00000000-0005-0000-0000-000040280000}"/>
    <cellStyle name="Normal 4 3 3 3 5 2 2 2" xfId="16985" xr:uid="{00000000-0005-0000-0000-000041280000}"/>
    <cellStyle name="Normal 4 3 3 3 5 2 3" xfId="12767" xr:uid="{00000000-0005-0000-0000-000042280000}"/>
    <cellStyle name="Normal 4 3 3 3 5 3" xfId="6404" xr:uid="{00000000-0005-0000-0000-000043280000}"/>
    <cellStyle name="Normal 4 3 3 3 5 3 2" xfId="14840" xr:uid="{00000000-0005-0000-0000-000044280000}"/>
    <cellStyle name="Normal 4 3 3 3 5 4" xfId="10622" xr:uid="{00000000-0005-0000-0000-000045280000}"/>
    <cellStyle name="Normal 4 3 3 3 6" xfId="2533" xr:uid="{00000000-0005-0000-0000-000046280000}"/>
    <cellStyle name="Normal 4 3 3 3 6 2" xfId="6817" xr:uid="{00000000-0005-0000-0000-000047280000}"/>
    <cellStyle name="Normal 4 3 3 3 6 2 2" xfId="15253" xr:uid="{00000000-0005-0000-0000-000048280000}"/>
    <cellStyle name="Normal 4 3 3 3 6 3" xfId="11035" xr:uid="{00000000-0005-0000-0000-000049280000}"/>
    <cellStyle name="Normal 4 3 3 3 7" xfId="4752" xr:uid="{00000000-0005-0000-0000-00004A280000}"/>
    <cellStyle name="Normal 4 3 3 3 7 2" xfId="13188" xr:uid="{00000000-0005-0000-0000-00004B280000}"/>
    <cellStyle name="Normal 4 3 3 3 8" xfId="8970" xr:uid="{00000000-0005-0000-0000-00004C280000}"/>
    <cellStyle name="Normal 4 3 3 4" xfId="849" xr:uid="{00000000-0005-0000-0000-00004D280000}"/>
    <cellStyle name="Normal 4 3 3 4 2" xfId="3084" xr:uid="{00000000-0005-0000-0000-00004E280000}"/>
    <cellStyle name="Normal 4 3 3 4 2 2" xfId="7307" xr:uid="{00000000-0005-0000-0000-00004F280000}"/>
    <cellStyle name="Normal 4 3 3 4 2 2 2" xfId="15743" xr:uid="{00000000-0005-0000-0000-000050280000}"/>
    <cellStyle name="Normal 4 3 3 4 2 3" xfId="11525" xr:uid="{00000000-0005-0000-0000-000051280000}"/>
    <cellStyle name="Normal 4 3 3 4 3" xfId="5162" xr:uid="{00000000-0005-0000-0000-000052280000}"/>
    <cellStyle name="Normal 4 3 3 4 3 2" xfId="13598" xr:uid="{00000000-0005-0000-0000-000053280000}"/>
    <cellStyle name="Normal 4 3 3 4 4" xfId="9380" xr:uid="{00000000-0005-0000-0000-000054280000}"/>
    <cellStyle name="Normal 4 3 3 5" xfId="1267" xr:uid="{00000000-0005-0000-0000-000055280000}"/>
    <cellStyle name="Normal 4 3 3 5 2" xfId="3497" xr:uid="{00000000-0005-0000-0000-000056280000}"/>
    <cellStyle name="Normal 4 3 3 5 2 2" xfId="7720" xr:uid="{00000000-0005-0000-0000-000057280000}"/>
    <cellStyle name="Normal 4 3 3 5 2 2 2" xfId="16156" xr:uid="{00000000-0005-0000-0000-000058280000}"/>
    <cellStyle name="Normal 4 3 3 5 2 3" xfId="11938" xr:uid="{00000000-0005-0000-0000-000059280000}"/>
    <cellStyle name="Normal 4 3 3 5 3" xfId="5575" xr:uid="{00000000-0005-0000-0000-00005A280000}"/>
    <cellStyle name="Normal 4 3 3 5 3 2" xfId="14011" xr:uid="{00000000-0005-0000-0000-00005B280000}"/>
    <cellStyle name="Normal 4 3 3 5 4" xfId="9793" xr:uid="{00000000-0005-0000-0000-00005C280000}"/>
    <cellStyle name="Normal 4 3 3 6" xfId="1680" xr:uid="{00000000-0005-0000-0000-00005D280000}"/>
    <cellStyle name="Normal 4 3 3 6 2" xfId="3910" xr:uid="{00000000-0005-0000-0000-00005E280000}"/>
    <cellStyle name="Normal 4 3 3 6 2 2" xfId="8133" xr:uid="{00000000-0005-0000-0000-00005F280000}"/>
    <cellStyle name="Normal 4 3 3 6 2 2 2" xfId="16569" xr:uid="{00000000-0005-0000-0000-000060280000}"/>
    <cellStyle name="Normal 4 3 3 6 2 3" xfId="12351" xr:uid="{00000000-0005-0000-0000-000061280000}"/>
    <cellStyle name="Normal 4 3 3 6 3" xfId="5988" xr:uid="{00000000-0005-0000-0000-000062280000}"/>
    <cellStyle name="Normal 4 3 3 6 3 2" xfId="14424" xr:uid="{00000000-0005-0000-0000-000063280000}"/>
    <cellStyle name="Normal 4 3 3 6 4" xfId="10206" xr:uid="{00000000-0005-0000-0000-000064280000}"/>
    <cellStyle name="Normal 4 3 3 7" xfId="2094" xr:uid="{00000000-0005-0000-0000-000065280000}"/>
    <cellStyle name="Normal 4 3 3 7 2" xfId="4323" xr:uid="{00000000-0005-0000-0000-000066280000}"/>
    <cellStyle name="Normal 4 3 3 7 2 2" xfId="8546" xr:uid="{00000000-0005-0000-0000-000067280000}"/>
    <cellStyle name="Normal 4 3 3 7 2 2 2" xfId="16982" xr:uid="{00000000-0005-0000-0000-000068280000}"/>
    <cellStyle name="Normal 4 3 3 7 2 3" xfId="12764" xr:uid="{00000000-0005-0000-0000-000069280000}"/>
    <cellStyle name="Normal 4 3 3 7 3" xfId="6401" xr:uid="{00000000-0005-0000-0000-00006A280000}"/>
    <cellStyle name="Normal 4 3 3 7 3 2" xfId="14837" xr:uid="{00000000-0005-0000-0000-00006B280000}"/>
    <cellStyle name="Normal 4 3 3 7 4" xfId="10619" xr:uid="{00000000-0005-0000-0000-00006C280000}"/>
    <cellStyle name="Normal 4 3 3 8" xfId="2530" xr:uid="{00000000-0005-0000-0000-00006D280000}"/>
    <cellStyle name="Normal 4 3 3 8 2" xfId="6814" xr:uid="{00000000-0005-0000-0000-00006E280000}"/>
    <cellStyle name="Normal 4 3 3 8 2 2" xfId="15250" xr:uid="{00000000-0005-0000-0000-00006F280000}"/>
    <cellStyle name="Normal 4 3 3 8 3" xfId="11032" xr:uid="{00000000-0005-0000-0000-000070280000}"/>
    <cellStyle name="Normal 4 3 3 9" xfId="4749" xr:uid="{00000000-0005-0000-0000-000071280000}"/>
    <cellStyle name="Normal 4 3 3 9 2" xfId="13185" xr:uid="{00000000-0005-0000-0000-000072280000}"/>
    <cellStyle name="Normal 4 3 4" xfId="842" xr:uid="{00000000-0005-0000-0000-000073280000}"/>
    <cellStyle name="Normal 4 3 4 2" xfId="3079" xr:uid="{00000000-0005-0000-0000-000074280000}"/>
    <cellStyle name="Normal 4 3 4 2 2" xfId="7302" xr:uid="{00000000-0005-0000-0000-000075280000}"/>
    <cellStyle name="Normal 4 3 4 2 2 2" xfId="15738" xr:uid="{00000000-0005-0000-0000-000076280000}"/>
    <cellStyle name="Normal 4 3 4 2 3" xfId="11520" xr:uid="{00000000-0005-0000-0000-000077280000}"/>
    <cellStyle name="Normal 4 3 4 3" xfId="5157" xr:uid="{00000000-0005-0000-0000-000078280000}"/>
    <cellStyle name="Normal 4 3 4 3 2" xfId="13593" xr:uid="{00000000-0005-0000-0000-000079280000}"/>
    <cellStyle name="Normal 4 3 4 4" xfId="9375" xr:uid="{00000000-0005-0000-0000-00007A280000}"/>
    <cellStyle name="Normal 4 3 5" xfId="1262" xr:uid="{00000000-0005-0000-0000-00007B280000}"/>
    <cellStyle name="Normal 4 3 5 2" xfId="3492" xr:uid="{00000000-0005-0000-0000-00007C280000}"/>
    <cellStyle name="Normal 4 3 5 2 2" xfId="7715" xr:uid="{00000000-0005-0000-0000-00007D280000}"/>
    <cellStyle name="Normal 4 3 5 2 2 2" xfId="16151" xr:uid="{00000000-0005-0000-0000-00007E280000}"/>
    <cellStyle name="Normal 4 3 5 2 3" xfId="11933" xr:uid="{00000000-0005-0000-0000-00007F280000}"/>
    <cellStyle name="Normal 4 3 5 3" xfId="5570" xr:uid="{00000000-0005-0000-0000-000080280000}"/>
    <cellStyle name="Normal 4 3 5 3 2" xfId="14006" xr:uid="{00000000-0005-0000-0000-000081280000}"/>
    <cellStyle name="Normal 4 3 5 4" xfId="9788" xr:uid="{00000000-0005-0000-0000-000082280000}"/>
    <cellStyle name="Normal 4 3 6" xfId="1675" xr:uid="{00000000-0005-0000-0000-000083280000}"/>
    <cellStyle name="Normal 4 3 6 2" xfId="3905" xr:uid="{00000000-0005-0000-0000-000084280000}"/>
    <cellStyle name="Normal 4 3 6 2 2" xfId="8128" xr:uid="{00000000-0005-0000-0000-000085280000}"/>
    <cellStyle name="Normal 4 3 6 2 2 2" xfId="16564" xr:uid="{00000000-0005-0000-0000-000086280000}"/>
    <cellStyle name="Normal 4 3 6 2 3" xfId="12346" xr:uid="{00000000-0005-0000-0000-000087280000}"/>
    <cellStyle name="Normal 4 3 6 3" xfId="5983" xr:uid="{00000000-0005-0000-0000-000088280000}"/>
    <cellStyle name="Normal 4 3 6 3 2" xfId="14419" xr:uid="{00000000-0005-0000-0000-000089280000}"/>
    <cellStyle name="Normal 4 3 6 4" xfId="10201" xr:uid="{00000000-0005-0000-0000-00008A280000}"/>
    <cellStyle name="Normal 4 3 7" xfId="2089" xr:uid="{00000000-0005-0000-0000-00008B280000}"/>
    <cellStyle name="Normal 4 3 7 2" xfId="4318" xr:uid="{00000000-0005-0000-0000-00008C280000}"/>
    <cellStyle name="Normal 4 3 7 2 2" xfId="8541" xr:uid="{00000000-0005-0000-0000-00008D280000}"/>
    <cellStyle name="Normal 4 3 7 2 2 2" xfId="16977" xr:uid="{00000000-0005-0000-0000-00008E280000}"/>
    <cellStyle name="Normal 4 3 7 2 3" xfId="12759" xr:uid="{00000000-0005-0000-0000-00008F280000}"/>
    <cellStyle name="Normal 4 3 7 3" xfId="6396" xr:uid="{00000000-0005-0000-0000-000090280000}"/>
    <cellStyle name="Normal 4 3 7 3 2" xfId="14832" xr:uid="{00000000-0005-0000-0000-000091280000}"/>
    <cellStyle name="Normal 4 3 7 4" xfId="10614" xr:uid="{00000000-0005-0000-0000-000092280000}"/>
    <cellStyle name="Normal 4 3 8" xfId="2525" xr:uid="{00000000-0005-0000-0000-000093280000}"/>
    <cellStyle name="Normal 4 3 8 2" xfId="6809" xr:uid="{00000000-0005-0000-0000-000094280000}"/>
    <cellStyle name="Normal 4 3 8 2 2" xfId="15245" xr:uid="{00000000-0005-0000-0000-000095280000}"/>
    <cellStyle name="Normal 4 3 8 3" xfId="11027" xr:uid="{00000000-0005-0000-0000-000096280000}"/>
    <cellStyle name="Normal 4 3 9" xfId="4744" xr:uid="{00000000-0005-0000-0000-000097280000}"/>
    <cellStyle name="Normal 4 3 9 2" xfId="13180" xr:uid="{00000000-0005-0000-0000-000098280000}"/>
    <cellStyle name="Normal 4 4" xfId="378" xr:uid="{00000000-0005-0000-0000-000099280000}"/>
    <cellStyle name="Normal 4 4 10" xfId="2534" xr:uid="{00000000-0005-0000-0000-00009A280000}"/>
    <cellStyle name="Normal 4 4 10 2" xfId="6818" xr:uid="{00000000-0005-0000-0000-00009B280000}"/>
    <cellStyle name="Normal 4 4 10 2 2" xfId="15254" xr:uid="{00000000-0005-0000-0000-00009C280000}"/>
    <cellStyle name="Normal 4 4 10 3" xfId="11036" xr:uid="{00000000-0005-0000-0000-00009D280000}"/>
    <cellStyle name="Normal 4 4 11" xfId="4753" xr:uid="{00000000-0005-0000-0000-00009E280000}"/>
    <cellStyle name="Normal 4 4 11 2" xfId="13189" xr:uid="{00000000-0005-0000-0000-00009F280000}"/>
    <cellStyle name="Normal 4 4 12" xfId="8971" xr:uid="{00000000-0005-0000-0000-0000A0280000}"/>
    <cellStyle name="Normal 4 4 2" xfId="379" xr:uid="{00000000-0005-0000-0000-0000A1280000}"/>
    <cellStyle name="Normal 4 4 2 10" xfId="4754" xr:uid="{00000000-0005-0000-0000-0000A2280000}"/>
    <cellStyle name="Normal 4 4 2 10 2" xfId="13190" xr:uid="{00000000-0005-0000-0000-0000A3280000}"/>
    <cellStyle name="Normal 4 4 2 11" xfId="8972" xr:uid="{00000000-0005-0000-0000-0000A4280000}"/>
    <cellStyle name="Normal 4 4 2 2" xfId="380" xr:uid="{00000000-0005-0000-0000-0000A5280000}"/>
    <cellStyle name="Normal 4 4 2 2 10" xfId="8973" xr:uid="{00000000-0005-0000-0000-0000A6280000}"/>
    <cellStyle name="Normal 4 4 2 2 2" xfId="381" xr:uid="{00000000-0005-0000-0000-0000A7280000}"/>
    <cellStyle name="Normal 4 4 2 2 2 2" xfId="382" xr:uid="{00000000-0005-0000-0000-0000A8280000}"/>
    <cellStyle name="Normal 4 4 2 2 2 2 2" xfId="857" xr:uid="{00000000-0005-0000-0000-0000A9280000}"/>
    <cellStyle name="Normal 4 4 2 2 2 2 2 2" xfId="3092" xr:uid="{00000000-0005-0000-0000-0000AA280000}"/>
    <cellStyle name="Normal 4 4 2 2 2 2 2 2 2" xfId="7315" xr:uid="{00000000-0005-0000-0000-0000AB280000}"/>
    <cellStyle name="Normal 4 4 2 2 2 2 2 2 2 2" xfId="15751" xr:uid="{00000000-0005-0000-0000-0000AC280000}"/>
    <cellStyle name="Normal 4 4 2 2 2 2 2 2 3" xfId="11533" xr:uid="{00000000-0005-0000-0000-0000AD280000}"/>
    <cellStyle name="Normal 4 4 2 2 2 2 2 3" xfId="5170" xr:uid="{00000000-0005-0000-0000-0000AE280000}"/>
    <cellStyle name="Normal 4 4 2 2 2 2 2 3 2" xfId="13606" xr:uid="{00000000-0005-0000-0000-0000AF280000}"/>
    <cellStyle name="Normal 4 4 2 2 2 2 2 4" xfId="9388" xr:uid="{00000000-0005-0000-0000-0000B0280000}"/>
    <cellStyle name="Normal 4 4 2 2 2 2 3" xfId="1275" xr:uid="{00000000-0005-0000-0000-0000B1280000}"/>
    <cellStyle name="Normal 4 4 2 2 2 2 3 2" xfId="3505" xr:uid="{00000000-0005-0000-0000-0000B2280000}"/>
    <cellStyle name="Normal 4 4 2 2 2 2 3 2 2" xfId="7728" xr:uid="{00000000-0005-0000-0000-0000B3280000}"/>
    <cellStyle name="Normal 4 4 2 2 2 2 3 2 2 2" xfId="16164" xr:uid="{00000000-0005-0000-0000-0000B4280000}"/>
    <cellStyle name="Normal 4 4 2 2 2 2 3 2 3" xfId="11946" xr:uid="{00000000-0005-0000-0000-0000B5280000}"/>
    <cellStyle name="Normal 4 4 2 2 2 2 3 3" xfId="5583" xr:uid="{00000000-0005-0000-0000-0000B6280000}"/>
    <cellStyle name="Normal 4 4 2 2 2 2 3 3 2" xfId="14019" xr:uid="{00000000-0005-0000-0000-0000B7280000}"/>
    <cellStyle name="Normal 4 4 2 2 2 2 3 4" xfId="9801" xr:uid="{00000000-0005-0000-0000-0000B8280000}"/>
    <cellStyle name="Normal 4 4 2 2 2 2 4" xfId="1688" xr:uid="{00000000-0005-0000-0000-0000B9280000}"/>
    <cellStyle name="Normal 4 4 2 2 2 2 4 2" xfId="3918" xr:uid="{00000000-0005-0000-0000-0000BA280000}"/>
    <cellStyle name="Normal 4 4 2 2 2 2 4 2 2" xfId="8141" xr:uid="{00000000-0005-0000-0000-0000BB280000}"/>
    <cellStyle name="Normal 4 4 2 2 2 2 4 2 2 2" xfId="16577" xr:uid="{00000000-0005-0000-0000-0000BC280000}"/>
    <cellStyle name="Normal 4 4 2 2 2 2 4 2 3" xfId="12359" xr:uid="{00000000-0005-0000-0000-0000BD280000}"/>
    <cellStyle name="Normal 4 4 2 2 2 2 4 3" xfId="5996" xr:uid="{00000000-0005-0000-0000-0000BE280000}"/>
    <cellStyle name="Normal 4 4 2 2 2 2 4 3 2" xfId="14432" xr:uid="{00000000-0005-0000-0000-0000BF280000}"/>
    <cellStyle name="Normal 4 4 2 2 2 2 4 4" xfId="10214" xr:uid="{00000000-0005-0000-0000-0000C0280000}"/>
    <cellStyle name="Normal 4 4 2 2 2 2 5" xfId="2102" xr:uid="{00000000-0005-0000-0000-0000C1280000}"/>
    <cellStyle name="Normal 4 4 2 2 2 2 5 2" xfId="4331" xr:uid="{00000000-0005-0000-0000-0000C2280000}"/>
    <cellStyle name="Normal 4 4 2 2 2 2 5 2 2" xfId="8554" xr:uid="{00000000-0005-0000-0000-0000C3280000}"/>
    <cellStyle name="Normal 4 4 2 2 2 2 5 2 2 2" xfId="16990" xr:uid="{00000000-0005-0000-0000-0000C4280000}"/>
    <cellStyle name="Normal 4 4 2 2 2 2 5 2 3" xfId="12772" xr:uid="{00000000-0005-0000-0000-0000C5280000}"/>
    <cellStyle name="Normal 4 4 2 2 2 2 5 3" xfId="6409" xr:uid="{00000000-0005-0000-0000-0000C6280000}"/>
    <cellStyle name="Normal 4 4 2 2 2 2 5 3 2" xfId="14845" xr:uid="{00000000-0005-0000-0000-0000C7280000}"/>
    <cellStyle name="Normal 4 4 2 2 2 2 5 4" xfId="10627" xr:uid="{00000000-0005-0000-0000-0000C8280000}"/>
    <cellStyle name="Normal 4 4 2 2 2 2 6" xfId="2538" xr:uid="{00000000-0005-0000-0000-0000C9280000}"/>
    <cellStyle name="Normal 4 4 2 2 2 2 6 2" xfId="6822" xr:uid="{00000000-0005-0000-0000-0000CA280000}"/>
    <cellStyle name="Normal 4 4 2 2 2 2 6 2 2" xfId="15258" xr:uid="{00000000-0005-0000-0000-0000CB280000}"/>
    <cellStyle name="Normal 4 4 2 2 2 2 6 3" xfId="11040" xr:uid="{00000000-0005-0000-0000-0000CC280000}"/>
    <cellStyle name="Normal 4 4 2 2 2 2 7" xfId="4757" xr:uid="{00000000-0005-0000-0000-0000CD280000}"/>
    <cellStyle name="Normal 4 4 2 2 2 2 7 2" xfId="13193" xr:uid="{00000000-0005-0000-0000-0000CE280000}"/>
    <cellStyle name="Normal 4 4 2 2 2 2 8" xfId="8975" xr:uid="{00000000-0005-0000-0000-0000CF280000}"/>
    <cellStyle name="Normal 4 4 2 2 2 3" xfId="856" xr:uid="{00000000-0005-0000-0000-0000D0280000}"/>
    <cellStyle name="Normal 4 4 2 2 2 3 2" xfId="3091" xr:uid="{00000000-0005-0000-0000-0000D1280000}"/>
    <cellStyle name="Normal 4 4 2 2 2 3 2 2" xfId="7314" xr:uid="{00000000-0005-0000-0000-0000D2280000}"/>
    <cellStyle name="Normal 4 4 2 2 2 3 2 2 2" xfId="15750" xr:uid="{00000000-0005-0000-0000-0000D3280000}"/>
    <cellStyle name="Normal 4 4 2 2 2 3 2 3" xfId="11532" xr:uid="{00000000-0005-0000-0000-0000D4280000}"/>
    <cellStyle name="Normal 4 4 2 2 2 3 3" xfId="5169" xr:uid="{00000000-0005-0000-0000-0000D5280000}"/>
    <cellStyle name="Normal 4 4 2 2 2 3 3 2" xfId="13605" xr:uid="{00000000-0005-0000-0000-0000D6280000}"/>
    <cellStyle name="Normal 4 4 2 2 2 3 4" xfId="9387" xr:uid="{00000000-0005-0000-0000-0000D7280000}"/>
    <cellStyle name="Normal 4 4 2 2 2 4" xfId="1274" xr:uid="{00000000-0005-0000-0000-0000D8280000}"/>
    <cellStyle name="Normal 4 4 2 2 2 4 2" xfId="3504" xr:uid="{00000000-0005-0000-0000-0000D9280000}"/>
    <cellStyle name="Normal 4 4 2 2 2 4 2 2" xfId="7727" xr:uid="{00000000-0005-0000-0000-0000DA280000}"/>
    <cellStyle name="Normal 4 4 2 2 2 4 2 2 2" xfId="16163" xr:uid="{00000000-0005-0000-0000-0000DB280000}"/>
    <cellStyle name="Normal 4 4 2 2 2 4 2 3" xfId="11945" xr:uid="{00000000-0005-0000-0000-0000DC280000}"/>
    <cellStyle name="Normal 4 4 2 2 2 4 3" xfId="5582" xr:uid="{00000000-0005-0000-0000-0000DD280000}"/>
    <cellStyle name="Normal 4 4 2 2 2 4 3 2" xfId="14018" xr:uid="{00000000-0005-0000-0000-0000DE280000}"/>
    <cellStyle name="Normal 4 4 2 2 2 4 4" xfId="9800" xr:uid="{00000000-0005-0000-0000-0000DF280000}"/>
    <cellStyle name="Normal 4 4 2 2 2 5" xfId="1687" xr:uid="{00000000-0005-0000-0000-0000E0280000}"/>
    <cellStyle name="Normal 4 4 2 2 2 5 2" xfId="3917" xr:uid="{00000000-0005-0000-0000-0000E1280000}"/>
    <cellStyle name="Normal 4 4 2 2 2 5 2 2" xfId="8140" xr:uid="{00000000-0005-0000-0000-0000E2280000}"/>
    <cellStyle name="Normal 4 4 2 2 2 5 2 2 2" xfId="16576" xr:uid="{00000000-0005-0000-0000-0000E3280000}"/>
    <cellStyle name="Normal 4 4 2 2 2 5 2 3" xfId="12358" xr:uid="{00000000-0005-0000-0000-0000E4280000}"/>
    <cellStyle name="Normal 4 4 2 2 2 5 3" xfId="5995" xr:uid="{00000000-0005-0000-0000-0000E5280000}"/>
    <cellStyle name="Normal 4 4 2 2 2 5 3 2" xfId="14431" xr:uid="{00000000-0005-0000-0000-0000E6280000}"/>
    <cellStyle name="Normal 4 4 2 2 2 5 4" xfId="10213" xr:uid="{00000000-0005-0000-0000-0000E7280000}"/>
    <cellStyle name="Normal 4 4 2 2 2 6" xfId="2101" xr:uid="{00000000-0005-0000-0000-0000E8280000}"/>
    <cellStyle name="Normal 4 4 2 2 2 6 2" xfId="4330" xr:uid="{00000000-0005-0000-0000-0000E9280000}"/>
    <cellStyle name="Normal 4 4 2 2 2 6 2 2" xfId="8553" xr:uid="{00000000-0005-0000-0000-0000EA280000}"/>
    <cellStyle name="Normal 4 4 2 2 2 6 2 2 2" xfId="16989" xr:uid="{00000000-0005-0000-0000-0000EB280000}"/>
    <cellStyle name="Normal 4 4 2 2 2 6 2 3" xfId="12771" xr:uid="{00000000-0005-0000-0000-0000EC280000}"/>
    <cellStyle name="Normal 4 4 2 2 2 6 3" xfId="6408" xr:uid="{00000000-0005-0000-0000-0000ED280000}"/>
    <cellStyle name="Normal 4 4 2 2 2 6 3 2" xfId="14844" xr:uid="{00000000-0005-0000-0000-0000EE280000}"/>
    <cellStyle name="Normal 4 4 2 2 2 6 4" xfId="10626" xr:uid="{00000000-0005-0000-0000-0000EF280000}"/>
    <cellStyle name="Normal 4 4 2 2 2 7" xfId="2537" xr:uid="{00000000-0005-0000-0000-0000F0280000}"/>
    <cellStyle name="Normal 4 4 2 2 2 7 2" xfId="6821" xr:uid="{00000000-0005-0000-0000-0000F1280000}"/>
    <cellStyle name="Normal 4 4 2 2 2 7 2 2" xfId="15257" xr:uid="{00000000-0005-0000-0000-0000F2280000}"/>
    <cellStyle name="Normal 4 4 2 2 2 7 3" xfId="11039" xr:uid="{00000000-0005-0000-0000-0000F3280000}"/>
    <cellStyle name="Normal 4 4 2 2 2 8" xfId="4756" xr:uid="{00000000-0005-0000-0000-0000F4280000}"/>
    <cellStyle name="Normal 4 4 2 2 2 8 2" xfId="13192" xr:uid="{00000000-0005-0000-0000-0000F5280000}"/>
    <cellStyle name="Normal 4 4 2 2 2 9" xfId="8974" xr:uid="{00000000-0005-0000-0000-0000F6280000}"/>
    <cellStyle name="Normal 4 4 2 2 3" xfId="383" xr:uid="{00000000-0005-0000-0000-0000F7280000}"/>
    <cellStyle name="Normal 4 4 2 2 3 2" xfId="858" xr:uid="{00000000-0005-0000-0000-0000F8280000}"/>
    <cellStyle name="Normal 4 4 2 2 3 2 2" xfId="3093" xr:uid="{00000000-0005-0000-0000-0000F9280000}"/>
    <cellStyle name="Normal 4 4 2 2 3 2 2 2" xfId="7316" xr:uid="{00000000-0005-0000-0000-0000FA280000}"/>
    <cellStyle name="Normal 4 4 2 2 3 2 2 2 2" xfId="15752" xr:uid="{00000000-0005-0000-0000-0000FB280000}"/>
    <cellStyle name="Normal 4 4 2 2 3 2 2 3" xfId="11534" xr:uid="{00000000-0005-0000-0000-0000FC280000}"/>
    <cellStyle name="Normal 4 4 2 2 3 2 3" xfId="5171" xr:uid="{00000000-0005-0000-0000-0000FD280000}"/>
    <cellStyle name="Normal 4 4 2 2 3 2 3 2" xfId="13607" xr:uid="{00000000-0005-0000-0000-0000FE280000}"/>
    <cellStyle name="Normal 4 4 2 2 3 2 4" xfId="9389" xr:uid="{00000000-0005-0000-0000-0000FF280000}"/>
    <cellStyle name="Normal 4 4 2 2 3 3" xfId="1276" xr:uid="{00000000-0005-0000-0000-000000290000}"/>
    <cellStyle name="Normal 4 4 2 2 3 3 2" xfId="3506" xr:uid="{00000000-0005-0000-0000-000001290000}"/>
    <cellStyle name="Normal 4 4 2 2 3 3 2 2" xfId="7729" xr:uid="{00000000-0005-0000-0000-000002290000}"/>
    <cellStyle name="Normal 4 4 2 2 3 3 2 2 2" xfId="16165" xr:uid="{00000000-0005-0000-0000-000003290000}"/>
    <cellStyle name="Normal 4 4 2 2 3 3 2 3" xfId="11947" xr:uid="{00000000-0005-0000-0000-000004290000}"/>
    <cellStyle name="Normal 4 4 2 2 3 3 3" xfId="5584" xr:uid="{00000000-0005-0000-0000-000005290000}"/>
    <cellStyle name="Normal 4 4 2 2 3 3 3 2" xfId="14020" xr:uid="{00000000-0005-0000-0000-000006290000}"/>
    <cellStyle name="Normal 4 4 2 2 3 3 4" xfId="9802" xr:uid="{00000000-0005-0000-0000-000007290000}"/>
    <cellStyle name="Normal 4 4 2 2 3 4" xfId="1689" xr:uid="{00000000-0005-0000-0000-000008290000}"/>
    <cellStyle name="Normal 4 4 2 2 3 4 2" xfId="3919" xr:uid="{00000000-0005-0000-0000-000009290000}"/>
    <cellStyle name="Normal 4 4 2 2 3 4 2 2" xfId="8142" xr:uid="{00000000-0005-0000-0000-00000A290000}"/>
    <cellStyle name="Normal 4 4 2 2 3 4 2 2 2" xfId="16578" xr:uid="{00000000-0005-0000-0000-00000B290000}"/>
    <cellStyle name="Normal 4 4 2 2 3 4 2 3" xfId="12360" xr:uid="{00000000-0005-0000-0000-00000C290000}"/>
    <cellStyle name="Normal 4 4 2 2 3 4 3" xfId="5997" xr:uid="{00000000-0005-0000-0000-00000D290000}"/>
    <cellStyle name="Normal 4 4 2 2 3 4 3 2" xfId="14433" xr:uid="{00000000-0005-0000-0000-00000E290000}"/>
    <cellStyle name="Normal 4 4 2 2 3 4 4" xfId="10215" xr:uid="{00000000-0005-0000-0000-00000F290000}"/>
    <cellStyle name="Normal 4 4 2 2 3 5" xfId="2103" xr:uid="{00000000-0005-0000-0000-000010290000}"/>
    <cellStyle name="Normal 4 4 2 2 3 5 2" xfId="4332" xr:uid="{00000000-0005-0000-0000-000011290000}"/>
    <cellStyle name="Normal 4 4 2 2 3 5 2 2" xfId="8555" xr:uid="{00000000-0005-0000-0000-000012290000}"/>
    <cellStyle name="Normal 4 4 2 2 3 5 2 2 2" xfId="16991" xr:uid="{00000000-0005-0000-0000-000013290000}"/>
    <cellStyle name="Normal 4 4 2 2 3 5 2 3" xfId="12773" xr:uid="{00000000-0005-0000-0000-000014290000}"/>
    <cellStyle name="Normal 4 4 2 2 3 5 3" xfId="6410" xr:uid="{00000000-0005-0000-0000-000015290000}"/>
    <cellStyle name="Normal 4 4 2 2 3 5 3 2" xfId="14846" xr:uid="{00000000-0005-0000-0000-000016290000}"/>
    <cellStyle name="Normal 4 4 2 2 3 5 4" xfId="10628" xr:uid="{00000000-0005-0000-0000-000017290000}"/>
    <cellStyle name="Normal 4 4 2 2 3 6" xfId="2539" xr:uid="{00000000-0005-0000-0000-000018290000}"/>
    <cellStyle name="Normal 4 4 2 2 3 6 2" xfId="6823" xr:uid="{00000000-0005-0000-0000-000019290000}"/>
    <cellStyle name="Normal 4 4 2 2 3 6 2 2" xfId="15259" xr:uid="{00000000-0005-0000-0000-00001A290000}"/>
    <cellStyle name="Normal 4 4 2 2 3 6 3" xfId="11041" xr:uid="{00000000-0005-0000-0000-00001B290000}"/>
    <cellStyle name="Normal 4 4 2 2 3 7" xfId="4758" xr:uid="{00000000-0005-0000-0000-00001C290000}"/>
    <cellStyle name="Normal 4 4 2 2 3 7 2" xfId="13194" xr:uid="{00000000-0005-0000-0000-00001D290000}"/>
    <cellStyle name="Normal 4 4 2 2 3 8" xfId="8976" xr:uid="{00000000-0005-0000-0000-00001E290000}"/>
    <cellStyle name="Normal 4 4 2 2 4" xfId="855" xr:uid="{00000000-0005-0000-0000-00001F290000}"/>
    <cellStyle name="Normal 4 4 2 2 4 2" xfId="3090" xr:uid="{00000000-0005-0000-0000-000020290000}"/>
    <cellStyle name="Normal 4 4 2 2 4 2 2" xfId="7313" xr:uid="{00000000-0005-0000-0000-000021290000}"/>
    <cellStyle name="Normal 4 4 2 2 4 2 2 2" xfId="15749" xr:uid="{00000000-0005-0000-0000-000022290000}"/>
    <cellStyle name="Normal 4 4 2 2 4 2 3" xfId="11531" xr:uid="{00000000-0005-0000-0000-000023290000}"/>
    <cellStyle name="Normal 4 4 2 2 4 3" xfId="5168" xr:uid="{00000000-0005-0000-0000-000024290000}"/>
    <cellStyle name="Normal 4 4 2 2 4 3 2" xfId="13604" xr:uid="{00000000-0005-0000-0000-000025290000}"/>
    <cellStyle name="Normal 4 4 2 2 4 4" xfId="9386" xr:uid="{00000000-0005-0000-0000-000026290000}"/>
    <cellStyle name="Normal 4 4 2 2 5" xfId="1273" xr:uid="{00000000-0005-0000-0000-000027290000}"/>
    <cellStyle name="Normal 4 4 2 2 5 2" xfId="3503" xr:uid="{00000000-0005-0000-0000-000028290000}"/>
    <cellStyle name="Normal 4 4 2 2 5 2 2" xfId="7726" xr:uid="{00000000-0005-0000-0000-000029290000}"/>
    <cellStyle name="Normal 4 4 2 2 5 2 2 2" xfId="16162" xr:uid="{00000000-0005-0000-0000-00002A290000}"/>
    <cellStyle name="Normal 4 4 2 2 5 2 3" xfId="11944" xr:uid="{00000000-0005-0000-0000-00002B290000}"/>
    <cellStyle name="Normal 4 4 2 2 5 3" xfId="5581" xr:uid="{00000000-0005-0000-0000-00002C290000}"/>
    <cellStyle name="Normal 4 4 2 2 5 3 2" xfId="14017" xr:uid="{00000000-0005-0000-0000-00002D290000}"/>
    <cellStyle name="Normal 4 4 2 2 5 4" xfId="9799" xr:uid="{00000000-0005-0000-0000-00002E290000}"/>
    <cellStyle name="Normal 4 4 2 2 6" xfId="1686" xr:uid="{00000000-0005-0000-0000-00002F290000}"/>
    <cellStyle name="Normal 4 4 2 2 6 2" xfId="3916" xr:uid="{00000000-0005-0000-0000-000030290000}"/>
    <cellStyle name="Normal 4 4 2 2 6 2 2" xfId="8139" xr:uid="{00000000-0005-0000-0000-000031290000}"/>
    <cellStyle name="Normal 4 4 2 2 6 2 2 2" xfId="16575" xr:uid="{00000000-0005-0000-0000-000032290000}"/>
    <cellStyle name="Normal 4 4 2 2 6 2 3" xfId="12357" xr:uid="{00000000-0005-0000-0000-000033290000}"/>
    <cellStyle name="Normal 4 4 2 2 6 3" xfId="5994" xr:uid="{00000000-0005-0000-0000-000034290000}"/>
    <cellStyle name="Normal 4 4 2 2 6 3 2" xfId="14430" xr:uid="{00000000-0005-0000-0000-000035290000}"/>
    <cellStyle name="Normal 4 4 2 2 6 4" xfId="10212" xr:uid="{00000000-0005-0000-0000-000036290000}"/>
    <cellStyle name="Normal 4 4 2 2 7" xfId="2100" xr:uid="{00000000-0005-0000-0000-000037290000}"/>
    <cellStyle name="Normal 4 4 2 2 7 2" xfId="4329" xr:uid="{00000000-0005-0000-0000-000038290000}"/>
    <cellStyle name="Normal 4 4 2 2 7 2 2" xfId="8552" xr:uid="{00000000-0005-0000-0000-000039290000}"/>
    <cellStyle name="Normal 4 4 2 2 7 2 2 2" xfId="16988" xr:uid="{00000000-0005-0000-0000-00003A290000}"/>
    <cellStyle name="Normal 4 4 2 2 7 2 3" xfId="12770" xr:uid="{00000000-0005-0000-0000-00003B290000}"/>
    <cellStyle name="Normal 4 4 2 2 7 3" xfId="6407" xr:uid="{00000000-0005-0000-0000-00003C290000}"/>
    <cellStyle name="Normal 4 4 2 2 7 3 2" xfId="14843" xr:uid="{00000000-0005-0000-0000-00003D290000}"/>
    <cellStyle name="Normal 4 4 2 2 7 4" xfId="10625" xr:uid="{00000000-0005-0000-0000-00003E290000}"/>
    <cellStyle name="Normal 4 4 2 2 8" xfId="2536" xr:uid="{00000000-0005-0000-0000-00003F290000}"/>
    <cellStyle name="Normal 4 4 2 2 8 2" xfId="6820" xr:uid="{00000000-0005-0000-0000-000040290000}"/>
    <cellStyle name="Normal 4 4 2 2 8 2 2" xfId="15256" xr:uid="{00000000-0005-0000-0000-000041290000}"/>
    <cellStyle name="Normal 4 4 2 2 8 3" xfId="11038" xr:uid="{00000000-0005-0000-0000-000042290000}"/>
    <cellStyle name="Normal 4 4 2 2 9" xfId="4755" xr:uid="{00000000-0005-0000-0000-000043290000}"/>
    <cellStyle name="Normal 4 4 2 2 9 2" xfId="13191" xr:uid="{00000000-0005-0000-0000-000044290000}"/>
    <cellStyle name="Normal 4 4 2 3" xfId="384" xr:uid="{00000000-0005-0000-0000-000045290000}"/>
    <cellStyle name="Normal 4 4 2 3 2" xfId="385" xr:uid="{00000000-0005-0000-0000-000046290000}"/>
    <cellStyle name="Normal 4 4 2 3 2 2" xfId="860" xr:uid="{00000000-0005-0000-0000-000047290000}"/>
    <cellStyle name="Normal 4 4 2 3 2 2 2" xfId="3095" xr:uid="{00000000-0005-0000-0000-000048290000}"/>
    <cellStyle name="Normal 4 4 2 3 2 2 2 2" xfId="7318" xr:uid="{00000000-0005-0000-0000-000049290000}"/>
    <cellStyle name="Normal 4 4 2 3 2 2 2 2 2" xfId="15754" xr:uid="{00000000-0005-0000-0000-00004A290000}"/>
    <cellStyle name="Normal 4 4 2 3 2 2 2 3" xfId="11536" xr:uid="{00000000-0005-0000-0000-00004B290000}"/>
    <cellStyle name="Normal 4 4 2 3 2 2 3" xfId="5173" xr:uid="{00000000-0005-0000-0000-00004C290000}"/>
    <cellStyle name="Normal 4 4 2 3 2 2 3 2" xfId="13609" xr:uid="{00000000-0005-0000-0000-00004D290000}"/>
    <cellStyle name="Normal 4 4 2 3 2 2 4" xfId="9391" xr:uid="{00000000-0005-0000-0000-00004E290000}"/>
    <cellStyle name="Normal 4 4 2 3 2 3" xfId="1278" xr:uid="{00000000-0005-0000-0000-00004F290000}"/>
    <cellStyle name="Normal 4 4 2 3 2 3 2" xfId="3508" xr:uid="{00000000-0005-0000-0000-000050290000}"/>
    <cellStyle name="Normal 4 4 2 3 2 3 2 2" xfId="7731" xr:uid="{00000000-0005-0000-0000-000051290000}"/>
    <cellStyle name="Normal 4 4 2 3 2 3 2 2 2" xfId="16167" xr:uid="{00000000-0005-0000-0000-000052290000}"/>
    <cellStyle name="Normal 4 4 2 3 2 3 2 3" xfId="11949" xr:uid="{00000000-0005-0000-0000-000053290000}"/>
    <cellStyle name="Normal 4 4 2 3 2 3 3" xfId="5586" xr:uid="{00000000-0005-0000-0000-000054290000}"/>
    <cellStyle name="Normal 4 4 2 3 2 3 3 2" xfId="14022" xr:uid="{00000000-0005-0000-0000-000055290000}"/>
    <cellStyle name="Normal 4 4 2 3 2 3 4" xfId="9804" xr:uid="{00000000-0005-0000-0000-000056290000}"/>
    <cellStyle name="Normal 4 4 2 3 2 4" xfId="1691" xr:uid="{00000000-0005-0000-0000-000057290000}"/>
    <cellStyle name="Normal 4 4 2 3 2 4 2" xfId="3921" xr:uid="{00000000-0005-0000-0000-000058290000}"/>
    <cellStyle name="Normal 4 4 2 3 2 4 2 2" xfId="8144" xr:uid="{00000000-0005-0000-0000-000059290000}"/>
    <cellStyle name="Normal 4 4 2 3 2 4 2 2 2" xfId="16580" xr:uid="{00000000-0005-0000-0000-00005A290000}"/>
    <cellStyle name="Normal 4 4 2 3 2 4 2 3" xfId="12362" xr:uid="{00000000-0005-0000-0000-00005B290000}"/>
    <cellStyle name="Normal 4 4 2 3 2 4 3" xfId="5999" xr:uid="{00000000-0005-0000-0000-00005C290000}"/>
    <cellStyle name="Normal 4 4 2 3 2 4 3 2" xfId="14435" xr:uid="{00000000-0005-0000-0000-00005D290000}"/>
    <cellStyle name="Normal 4 4 2 3 2 4 4" xfId="10217" xr:uid="{00000000-0005-0000-0000-00005E290000}"/>
    <cellStyle name="Normal 4 4 2 3 2 5" xfId="2105" xr:uid="{00000000-0005-0000-0000-00005F290000}"/>
    <cellStyle name="Normal 4 4 2 3 2 5 2" xfId="4334" xr:uid="{00000000-0005-0000-0000-000060290000}"/>
    <cellStyle name="Normal 4 4 2 3 2 5 2 2" xfId="8557" xr:uid="{00000000-0005-0000-0000-000061290000}"/>
    <cellStyle name="Normal 4 4 2 3 2 5 2 2 2" xfId="16993" xr:uid="{00000000-0005-0000-0000-000062290000}"/>
    <cellStyle name="Normal 4 4 2 3 2 5 2 3" xfId="12775" xr:uid="{00000000-0005-0000-0000-000063290000}"/>
    <cellStyle name="Normal 4 4 2 3 2 5 3" xfId="6412" xr:uid="{00000000-0005-0000-0000-000064290000}"/>
    <cellStyle name="Normal 4 4 2 3 2 5 3 2" xfId="14848" xr:uid="{00000000-0005-0000-0000-000065290000}"/>
    <cellStyle name="Normal 4 4 2 3 2 5 4" xfId="10630" xr:uid="{00000000-0005-0000-0000-000066290000}"/>
    <cellStyle name="Normal 4 4 2 3 2 6" xfId="2541" xr:uid="{00000000-0005-0000-0000-000067290000}"/>
    <cellStyle name="Normal 4 4 2 3 2 6 2" xfId="6825" xr:uid="{00000000-0005-0000-0000-000068290000}"/>
    <cellStyle name="Normal 4 4 2 3 2 6 2 2" xfId="15261" xr:uid="{00000000-0005-0000-0000-000069290000}"/>
    <cellStyle name="Normal 4 4 2 3 2 6 3" xfId="11043" xr:uid="{00000000-0005-0000-0000-00006A290000}"/>
    <cellStyle name="Normal 4 4 2 3 2 7" xfId="4760" xr:uid="{00000000-0005-0000-0000-00006B290000}"/>
    <cellStyle name="Normal 4 4 2 3 2 7 2" xfId="13196" xr:uid="{00000000-0005-0000-0000-00006C290000}"/>
    <cellStyle name="Normal 4 4 2 3 2 8" xfId="8978" xr:uid="{00000000-0005-0000-0000-00006D290000}"/>
    <cellStyle name="Normal 4 4 2 3 3" xfId="859" xr:uid="{00000000-0005-0000-0000-00006E290000}"/>
    <cellStyle name="Normal 4 4 2 3 3 2" xfId="3094" xr:uid="{00000000-0005-0000-0000-00006F290000}"/>
    <cellStyle name="Normal 4 4 2 3 3 2 2" xfId="7317" xr:uid="{00000000-0005-0000-0000-000070290000}"/>
    <cellStyle name="Normal 4 4 2 3 3 2 2 2" xfId="15753" xr:uid="{00000000-0005-0000-0000-000071290000}"/>
    <cellStyle name="Normal 4 4 2 3 3 2 3" xfId="11535" xr:uid="{00000000-0005-0000-0000-000072290000}"/>
    <cellStyle name="Normal 4 4 2 3 3 3" xfId="5172" xr:uid="{00000000-0005-0000-0000-000073290000}"/>
    <cellStyle name="Normal 4 4 2 3 3 3 2" xfId="13608" xr:uid="{00000000-0005-0000-0000-000074290000}"/>
    <cellStyle name="Normal 4 4 2 3 3 4" xfId="9390" xr:uid="{00000000-0005-0000-0000-000075290000}"/>
    <cellStyle name="Normal 4 4 2 3 4" xfId="1277" xr:uid="{00000000-0005-0000-0000-000076290000}"/>
    <cellStyle name="Normal 4 4 2 3 4 2" xfId="3507" xr:uid="{00000000-0005-0000-0000-000077290000}"/>
    <cellStyle name="Normal 4 4 2 3 4 2 2" xfId="7730" xr:uid="{00000000-0005-0000-0000-000078290000}"/>
    <cellStyle name="Normal 4 4 2 3 4 2 2 2" xfId="16166" xr:uid="{00000000-0005-0000-0000-000079290000}"/>
    <cellStyle name="Normal 4 4 2 3 4 2 3" xfId="11948" xr:uid="{00000000-0005-0000-0000-00007A290000}"/>
    <cellStyle name="Normal 4 4 2 3 4 3" xfId="5585" xr:uid="{00000000-0005-0000-0000-00007B290000}"/>
    <cellStyle name="Normal 4 4 2 3 4 3 2" xfId="14021" xr:uid="{00000000-0005-0000-0000-00007C290000}"/>
    <cellStyle name="Normal 4 4 2 3 4 4" xfId="9803" xr:uid="{00000000-0005-0000-0000-00007D290000}"/>
    <cellStyle name="Normal 4 4 2 3 5" xfId="1690" xr:uid="{00000000-0005-0000-0000-00007E290000}"/>
    <cellStyle name="Normal 4 4 2 3 5 2" xfId="3920" xr:uid="{00000000-0005-0000-0000-00007F290000}"/>
    <cellStyle name="Normal 4 4 2 3 5 2 2" xfId="8143" xr:uid="{00000000-0005-0000-0000-000080290000}"/>
    <cellStyle name="Normal 4 4 2 3 5 2 2 2" xfId="16579" xr:uid="{00000000-0005-0000-0000-000081290000}"/>
    <cellStyle name="Normal 4 4 2 3 5 2 3" xfId="12361" xr:uid="{00000000-0005-0000-0000-000082290000}"/>
    <cellStyle name="Normal 4 4 2 3 5 3" xfId="5998" xr:uid="{00000000-0005-0000-0000-000083290000}"/>
    <cellStyle name="Normal 4 4 2 3 5 3 2" xfId="14434" xr:uid="{00000000-0005-0000-0000-000084290000}"/>
    <cellStyle name="Normal 4 4 2 3 5 4" xfId="10216" xr:uid="{00000000-0005-0000-0000-000085290000}"/>
    <cellStyle name="Normal 4 4 2 3 6" xfId="2104" xr:uid="{00000000-0005-0000-0000-000086290000}"/>
    <cellStyle name="Normal 4 4 2 3 6 2" xfId="4333" xr:uid="{00000000-0005-0000-0000-000087290000}"/>
    <cellStyle name="Normal 4 4 2 3 6 2 2" xfId="8556" xr:uid="{00000000-0005-0000-0000-000088290000}"/>
    <cellStyle name="Normal 4 4 2 3 6 2 2 2" xfId="16992" xr:uid="{00000000-0005-0000-0000-000089290000}"/>
    <cellStyle name="Normal 4 4 2 3 6 2 3" xfId="12774" xr:uid="{00000000-0005-0000-0000-00008A290000}"/>
    <cellStyle name="Normal 4 4 2 3 6 3" xfId="6411" xr:uid="{00000000-0005-0000-0000-00008B290000}"/>
    <cellStyle name="Normal 4 4 2 3 6 3 2" xfId="14847" xr:uid="{00000000-0005-0000-0000-00008C290000}"/>
    <cellStyle name="Normal 4 4 2 3 6 4" xfId="10629" xr:uid="{00000000-0005-0000-0000-00008D290000}"/>
    <cellStyle name="Normal 4 4 2 3 7" xfId="2540" xr:uid="{00000000-0005-0000-0000-00008E290000}"/>
    <cellStyle name="Normal 4 4 2 3 7 2" xfId="6824" xr:uid="{00000000-0005-0000-0000-00008F290000}"/>
    <cellStyle name="Normal 4 4 2 3 7 2 2" xfId="15260" xr:uid="{00000000-0005-0000-0000-000090290000}"/>
    <cellStyle name="Normal 4 4 2 3 7 3" xfId="11042" xr:uid="{00000000-0005-0000-0000-000091290000}"/>
    <cellStyle name="Normal 4 4 2 3 8" xfId="4759" xr:uid="{00000000-0005-0000-0000-000092290000}"/>
    <cellStyle name="Normal 4 4 2 3 8 2" xfId="13195" xr:uid="{00000000-0005-0000-0000-000093290000}"/>
    <cellStyle name="Normal 4 4 2 3 9" xfId="8977" xr:uid="{00000000-0005-0000-0000-000094290000}"/>
    <cellStyle name="Normal 4 4 2 4" xfId="386" xr:uid="{00000000-0005-0000-0000-000095290000}"/>
    <cellStyle name="Normal 4 4 2 4 2" xfId="861" xr:uid="{00000000-0005-0000-0000-000096290000}"/>
    <cellStyle name="Normal 4 4 2 4 2 2" xfId="3096" xr:uid="{00000000-0005-0000-0000-000097290000}"/>
    <cellStyle name="Normal 4 4 2 4 2 2 2" xfId="7319" xr:uid="{00000000-0005-0000-0000-000098290000}"/>
    <cellStyle name="Normal 4 4 2 4 2 2 2 2" xfId="15755" xr:uid="{00000000-0005-0000-0000-000099290000}"/>
    <cellStyle name="Normal 4 4 2 4 2 2 3" xfId="11537" xr:uid="{00000000-0005-0000-0000-00009A290000}"/>
    <cellStyle name="Normal 4 4 2 4 2 3" xfId="5174" xr:uid="{00000000-0005-0000-0000-00009B290000}"/>
    <cellStyle name="Normal 4 4 2 4 2 3 2" xfId="13610" xr:uid="{00000000-0005-0000-0000-00009C290000}"/>
    <cellStyle name="Normal 4 4 2 4 2 4" xfId="9392" xr:uid="{00000000-0005-0000-0000-00009D290000}"/>
    <cellStyle name="Normal 4 4 2 4 3" xfId="1279" xr:uid="{00000000-0005-0000-0000-00009E290000}"/>
    <cellStyle name="Normal 4 4 2 4 3 2" xfId="3509" xr:uid="{00000000-0005-0000-0000-00009F290000}"/>
    <cellStyle name="Normal 4 4 2 4 3 2 2" xfId="7732" xr:uid="{00000000-0005-0000-0000-0000A0290000}"/>
    <cellStyle name="Normal 4 4 2 4 3 2 2 2" xfId="16168" xr:uid="{00000000-0005-0000-0000-0000A1290000}"/>
    <cellStyle name="Normal 4 4 2 4 3 2 3" xfId="11950" xr:uid="{00000000-0005-0000-0000-0000A2290000}"/>
    <cellStyle name="Normal 4 4 2 4 3 3" xfId="5587" xr:uid="{00000000-0005-0000-0000-0000A3290000}"/>
    <cellStyle name="Normal 4 4 2 4 3 3 2" xfId="14023" xr:uid="{00000000-0005-0000-0000-0000A4290000}"/>
    <cellStyle name="Normal 4 4 2 4 3 4" xfId="9805" xr:uid="{00000000-0005-0000-0000-0000A5290000}"/>
    <cellStyle name="Normal 4 4 2 4 4" xfId="1692" xr:uid="{00000000-0005-0000-0000-0000A6290000}"/>
    <cellStyle name="Normal 4 4 2 4 4 2" xfId="3922" xr:uid="{00000000-0005-0000-0000-0000A7290000}"/>
    <cellStyle name="Normal 4 4 2 4 4 2 2" xfId="8145" xr:uid="{00000000-0005-0000-0000-0000A8290000}"/>
    <cellStyle name="Normal 4 4 2 4 4 2 2 2" xfId="16581" xr:uid="{00000000-0005-0000-0000-0000A9290000}"/>
    <cellStyle name="Normal 4 4 2 4 4 2 3" xfId="12363" xr:uid="{00000000-0005-0000-0000-0000AA290000}"/>
    <cellStyle name="Normal 4 4 2 4 4 3" xfId="6000" xr:uid="{00000000-0005-0000-0000-0000AB290000}"/>
    <cellStyle name="Normal 4 4 2 4 4 3 2" xfId="14436" xr:uid="{00000000-0005-0000-0000-0000AC290000}"/>
    <cellStyle name="Normal 4 4 2 4 4 4" xfId="10218" xr:uid="{00000000-0005-0000-0000-0000AD290000}"/>
    <cellStyle name="Normal 4 4 2 4 5" xfId="2106" xr:uid="{00000000-0005-0000-0000-0000AE290000}"/>
    <cellStyle name="Normal 4 4 2 4 5 2" xfId="4335" xr:uid="{00000000-0005-0000-0000-0000AF290000}"/>
    <cellStyle name="Normal 4 4 2 4 5 2 2" xfId="8558" xr:uid="{00000000-0005-0000-0000-0000B0290000}"/>
    <cellStyle name="Normal 4 4 2 4 5 2 2 2" xfId="16994" xr:uid="{00000000-0005-0000-0000-0000B1290000}"/>
    <cellStyle name="Normal 4 4 2 4 5 2 3" xfId="12776" xr:uid="{00000000-0005-0000-0000-0000B2290000}"/>
    <cellStyle name="Normal 4 4 2 4 5 3" xfId="6413" xr:uid="{00000000-0005-0000-0000-0000B3290000}"/>
    <cellStyle name="Normal 4 4 2 4 5 3 2" xfId="14849" xr:uid="{00000000-0005-0000-0000-0000B4290000}"/>
    <cellStyle name="Normal 4 4 2 4 5 4" xfId="10631" xr:uid="{00000000-0005-0000-0000-0000B5290000}"/>
    <cellStyle name="Normal 4 4 2 4 6" xfId="2542" xr:uid="{00000000-0005-0000-0000-0000B6290000}"/>
    <cellStyle name="Normal 4 4 2 4 6 2" xfId="6826" xr:uid="{00000000-0005-0000-0000-0000B7290000}"/>
    <cellStyle name="Normal 4 4 2 4 6 2 2" xfId="15262" xr:uid="{00000000-0005-0000-0000-0000B8290000}"/>
    <cellStyle name="Normal 4 4 2 4 6 3" xfId="11044" xr:uid="{00000000-0005-0000-0000-0000B9290000}"/>
    <cellStyle name="Normal 4 4 2 4 7" xfId="4761" xr:uid="{00000000-0005-0000-0000-0000BA290000}"/>
    <cellStyle name="Normal 4 4 2 4 7 2" xfId="13197" xr:uid="{00000000-0005-0000-0000-0000BB290000}"/>
    <cellStyle name="Normal 4 4 2 4 8" xfId="8979" xr:uid="{00000000-0005-0000-0000-0000BC290000}"/>
    <cellStyle name="Normal 4 4 2 5" xfId="854" xr:uid="{00000000-0005-0000-0000-0000BD290000}"/>
    <cellStyle name="Normal 4 4 2 5 2" xfId="3089" xr:uid="{00000000-0005-0000-0000-0000BE290000}"/>
    <cellStyle name="Normal 4 4 2 5 2 2" xfId="7312" xr:uid="{00000000-0005-0000-0000-0000BF290000}"/>
    <cellStyle name="Normal 4 4 2 5 2 2 2" xfId="15748" xr:uid="{00000000-0005-0000-0000-0000C0290000}"/>
    <cellStyle name="Normal 4 4 2 5 2 3" xfId="11530" xr:uid="{00000000-0005-0000-0000-0000C1290000}"/>
    <cellStyle name="Normal 4 4 2 5 3" xfId="5167" xr:uid="{00000000-0005-0000-0000-0000C2290000}"/>
    <cellStyle name="Normal 4 4 2 5 3 2" xfId="13603" xr:uid="{00000000-0005-0000-0000-0000C3290000}"/>
    <cellStyle name="Normal 4 4 2 5 4" xfId="9385" xr:uid="{00000000-0005-0000-0000-0000C4290000}"/>
    <cellStyle name="Normal 4 4 2 6" xfId="1272" xr:uid="{00000000-0005-0000-0000-0000C5290000}"/>
    <cellStyle name="Normal 4 4 2 6 2" xfId="3502" xr:uid="{00000000-0005-0000-0000-0000C6290000}"/>
    <cellStyle name="Normal 4 4 2 6 2 2" xfId="7725" xr:uid="{00000000-0005-0000-0000-0000C7290000}"/>
    <cellStyle name="Normal 4 4 2 6 2 2 2" xfId="16161" xr:uid="{00000000-0005-0000-0000-0000C8290000}"/>
    <cellStyle name="Normal 4 4 2 6 2 3" xfId="11943" xr:uid="{00000000-0005-0000-0000-0000C9290000}"/>
    <cellStyle name="Normal 4 4 2 6 3" xfId="5580" xr:uid="{00000000-0005-0000-0000-0000CA290000}"/>
    <cellStyle name="Normal 4 4 2 6 3 2" xfId="14016" xr:uid="{00000000-0005-0000-0000-0000CB290000}"/>
    <cellStyle name="Normal 4 4 2 6 4" xfId="9798" xr:uid="{00000000-0005-0000-0000-0000CC290000}"/>
    <cellStyle name="Normal 4 4 2 7" xfId="1685" xr:uid="{00000000-0005-0000-0000-0000CD290000}"/>
    <cellStyle name="Normal 4 4 2 7 2" xfId="3915" xr:uid="{00000000-0005-0000-0000-0000CE290000}"/>
    <cellStyle name="Normal 4 4 2 7 2 2" xfId="8138" xr:uid="{00000000-0005-0000-0000-0000CF290000}"/>
    <cellStyle name="Normal 4 4 2 7 2 2 2" xfId="16574" xr:uid="{00000000-0005-0000-0000-0000D0290000}"/>
    <cellStyle name="Normal 4 4 2 7 2 3" xfId="12356" xr:uid="{00000000-0005-0000-0000-0000D1290000}"/>
    <cellStyle name="Normal 4 4 2 7 3" xfId="5993" xr:uid="{00000000-0005-0000-0000-0000D2290000}"/>
    <cellStyle name="Normal 4 4 2 7 3 2" xfId="14429" xr:uid="{00000000-0005-0000-0000-0000D3290000}"/>
    <cellStyle name="Normal 4 4 2 7 4" xfId="10211" xr:uid="{00000000-0005-0000-0000-0000D4290000}"/>
    <cellStyle name="Normal 4 4 2 8" xfId="2099" xr:uid="{00000000-0005-0000-0000-0000D5290000}"/>
    <cellStyle name="Normal 4 4 2 8 2" xfId="4328" xr:uid="{00000000-0005-0000-0000-0000D6290000}"/>
    <cellStyle name="Normal 4 4 2 8 2 2" xfId="8551" xr:uid="{00000000-0005-0000-0000-0000D7290000}"/>
    <cellStyle name="Normal 4 4 2 8 2 2 2" xfId="16987" xr:uid="{00000000-0005-0000-0000-0000D8290000}"/>
    <cellStyle name="Normal 4 4 2 8 2 3" xfId="12769" xr:uid="{00000000-0005-0000-0000-0000D9290000}"/>
    <cellStyle name="Normal 4 4 2 8 3" xfId="6406" xr:uid="{00000000-0005-0000-0000-0000DA290000}"/>
    <cellStyle name="Normal 4 4 2 8 3 2" xfId="14842" xr:uid="{00000000-0005-0000-0000-0000DB290000}"/>
    <cellStyle name="Normal 4 4 2 8 4" xfId="10624" xr:uid="{00000000-0005-0000-0000-0000DC290000}"/>
    <cellStyle name="Normal 4 4 2 9" xfId="2535" xr:uid="{00000000-0005-0000-0000-0000DD290000}"/>
    <cellStyle name="Normal 4 4 2 9 2" xfId="6819" xr:uid="{00000000-0005-0000-0000-0000DE290000}"/>
    <cellStyle name="Normal 4 4 2 9 2 2" xfId="15255" xr:uid="{00000000-0005-0000-0000-0000DF290000}"/>
    <cellStyle name="Normal 4 4 2 9 3" xfId="11037" xr:uid="{00000000-0005-0000-0000-0000E0290000}"/>
    <cellStyle name="Normal 4 4 3" xfId="387" xr:uid="{00000000-0005-0000-0000-0000E1290000}"/>
    <cellStyle name="Normal 4 4 3 10" xfId="8980" xr:uid="{00000000-0005-0000-0000-0000E2290000}"/>
    <cellStyle name="Normal 4 4 3 2" xfId="388" xr:uid="{00000000-0005-0000-0000-0000E3290000}"/>
    <cellStyle name="Normal 4 4 3 2 2" xfId="389" xr:uid="{00000000-0005-0000-0000-0000E4290000}"/>
    <cellStyle name="Normal 4 4 3 2 2 2" xfId="864" xr:uid="{00000000-0005-0000-0000-0000E5290000}"/>
    <cellStyle name="Normal 4 4 3 2 2 2 2" xfId="3099" xr:uid="{00000000-0005-0000-0000-0000E6290000}"/>
    <cellStyle name="Normal 4 4 3 2 2 2 2 2" xfId="7322" xr:uid="{00000000-0005-0000-0000-0000E7290000}"/>
    <cellStyle name="Normal 4 4 3 2 2 2 2 2 2" xfId="15758" xr:uid="{00000000-0005-0000-0000-0000E8290000}"/>
    <cellStyle name="Normal 4 4 3 2 2 2 2 3" xfId="11540" xr:uid="{00000000-0005-0000-0000-0000E9290000}"/>
    <cellStyle name="Normal 4 4 3 2 2 2 3" xfId="5177" xr:uid="{00000000-0005-0000-0000-0000EA290000}"/>
    <cellStyle name="Normal 4 4 3 2 2 2 3 2" xfId="13613" xr:uid="{00000000-0005-0000-0000-0000EB290000}"/>
    <cellStyle name="Normal 4 4 3 2 2 2 4" xfId="9395" xr:uid="{00000000-0005-0000-0000-0000EC290000}"/>
    <cellStyle name="Normal 4 4 3 2 2 3" xfId="1282" xr:uid="{00000000-0005-0000-0000-0000ED290000}"/>
    <cellStyle name="Normal 4 4 3 2 2 3 2" xfId="3512" xr:uid="{00000000-0005-0000-0000-0000EE290000}"/>
    <cellStyle name="Normal 4 4 3 2 2 3 2 2" xfId="7735" xr:uid="{00000000-0005-0000-0000-0000EF290000}"/>
    <cellStyle name="Normal 4 4 3 2 2 3 2 2 2" xfId="16171" xr:uid="{00000000-0005-0000-0000-0000F0290000}"/>
    <cellStyle name="Normal 4 4 3 2 2 3 2 3" xfId="11953" xr:uid="{00000000-0005-0000-0000-0000F1290000}"/>
    <cellStyle name="Normal 4 4 3 2 2 3 3" xfId="5590" xr:uid="{00000000-0005-0000-0000-0000F2290000}"/>
    <cellStyle name="Normal 4 4 3 2 2 3 3 2" xfId="14026" xr:uid="{00000000-0005-0000-0000-0000F3290000}"/>
    <cellStyle name="Normal 4 4 3 2 2 3 4" xfId="9808" xr:uid="{00000000-0005-0000-0000-0000F4290000}"/>
    <cellStyle name="Normal 4 4 3 2 2 4" xfId="1695" xr:uid="{00000000-0005-0000-0000-0000F5290000}"/>
    <cellStyle name="Normal 4 4 3 2 2 4 2" xfId="3925" xr:uid="{00000000-0005-0000-0000-0000F6290000}"/>
    <cellStyle name="Normal 4 4 3 2 2 4 2 2" xfId="8148" xr:uid="{00000000-0005-0000-0000-0000F7290000}"/>
    <cellStyle name="Normal 4 4 3 2 2 4 2 2 2" xfId="16584" xr:uid="{00000000-0005-0000-0000-0000F8290000}"/>
    <cellStyle name="Normal 4 4 3 2 2 4 2 3" xfId="12366" xr:uid="{00000000-0005-0000-0000-0000F9290000}"/>
    <cellStyle name="Normal 4 4 3 2 2 4 3" xfId="6003" xr:uid="{00000000-0005-0000-0000-0000FA290000}"/>
    <cellStyle name="Normal 4 4 3 2 2 4 3 2" xfId="14439" xr:uid="{00000000-0005-0000-0000-0000FB290000}"/>
    <cellStyle name="Normal 4 4 3 2 2 4 4" xfId="10221" xr:uid="{00000000-0005-0000-0000-0000FC290000}"/>
    <cellStyle name="Normal 4 4 3 2 2 5" xfId="2109" xr:uid="{00000000-0005-0000-0000-0000FD290000}"/>
    <cellStyle name="Normal 4 4 3 2 2 5 2" xfId="4338" xr:uid="{00000000-0005-0000-0000-0000FE290000}"/>
    <cellStyle name="Normal 4 4 3 2 2 5 2 2" xfId="8561" xr:uid="{00000000-0005-0000-0000-0000FF290000}"/>
    <cellStyle name="Normal 4 4 3 2 2 5 2 2 2" xfId="16997" xr:uid="{00000000-0005-0000-0000-0000002A0000}"/>
    <cellStyle name="Normal 4 4 3 2 2 5 2 3" xfId="12779" xr:uid="{00000000-0005-0000-0000-0000012A0000}"/>
    <cellStyle name="Normal 4 4 3 2 2 5 3" xfId="6416" xr:uid="{00000000-0005-0000-0000-0000022A0000}"/>
    <cellStyle name="Normal 4 4 3 2 2 5 3 2" xfId="14852" xr:uid="{00000000-0005-0000-0000-0000032A0000}"/>
    <cellStyle name="Normal 4 4 3 2 2 5 4" xfId="10634" xr:uid="{00000000-0005-0000-0000-0000042A0000}"/>
    <cellStyle name="Normal 4 4 3 2 2 6" xfId="2545" xr:uid="{00000000-0005-0000-0000-0000052A0000}"/>
    <cellStyle name="Normal 4 4 3 2 2 6 2" xfId="6829" xr:uid="{00000000-0005-0000-0000-0000062A0000}"/>
    <cellStyle name="Normal 4 4 3 2 2 6 2 2" xfId="15265" xr:uid="{00000000-0005-0000-0000-0000072A0000}"/>
    <cellStyle name="Normal 4 4 3 2 2 6 3" xfId="11047" xr:uid="{00000000-0005-0000-0000-0000082A0000}"/>
    <cellStyle name="Normal 4 4 3 2 2 7" xfId="4764" xr:uid="{00000000-0005-0000-0000-0000092A0000}"/>
    <cellStyle name="Normal 4 4 3 2 2 7 2" xfId="13200" xr:uid="{00000000-0005-0000-0000-00000A2A0000}"/>
    <cellStyle name="Normal 4 4 3 2 2 8" xfId="8982" xr:uid="{00000000-0005-0000-0000-00000B2A0000}"/>
    <cellStyle name="Normal 4 4 3 2 3" xfId="863" xr:uid="{00000000-0005-0000-0000-00000C2A0000}"/>
    <cellStyle name="Normal 4 4 3 2 3 2" xfId="3098" xr:uid="{00000000-0005-0000-0000-00000D2A0000}"/>
    <cellStyle name="Normal 4 4 3 2 3 2 2" xfId="7321" xr:uid="{00000000-0005-0000-0000-00000E2A0000}"/>
    <cellStyle name="Normal 4 4 3 2 3 2 2 2" xfId="15757" xr:uid="{00000000-0005-0000-0000-00000F2A0000}"/>
    <cellStyle name="Normal 4 4 3 2 3 2 3" xfId="11539" xr:uid="{00000000-0005-0000-0000-0000102A0000}"/>
    <cellStyle name="Normal 4 4 3 2 3 3" xfId="5176" xr:uid="{00000000-0005-0000-0000-0000112A0000}"/>
    <cellStyle name="Normal 4 4 3 2 3 3 2" xfId="13612" xr:uid="{00000000-0005-0000-0000-0000122A0000}"/>
    <cellStyle name="Normal 4 4 3 2 3 4" xfId="9394" xr:uid="{00000000-0005-0000-0000-0000132A0000}"/>
    <cellStyle name="Normal 4 4 3 2 4" xfId="1281" xr:uid="{00000000-0005-0000-0000-0000142A0000}"/>
    <cellStyle name="Normal 4 4 3 2 4 2" xfId="3511" xr:uid="{00000000-0005-0000-0000-0000152A0000}"/>
    <cellStyle name="Normal 4 4 3 2 4 2 2" xfId="7734" xr:uid="{00000000-0005-0000-0000-0000162A0000}"/>
    <cellStyle name="Normal 4 4 3 2 4 2 2 2" xfId="16170" xr:uid="{00000000-0005-0000-0000-0000172A0000}"/>
    <cellStyle name="Normal 4 4 3 2 4 2 3" xfId="11952" xr:uid="{00000000-0005-0000-0000-0000182A0000}"/>
    <cellStyle name="Normal 4 4 3 2 4 3" xfId="5589" xr:uid="{00000000-0005-0000-0000-0000192A0000}"/>
    <cellStyle name="Normal 4 4 3 2 4 3 2" xfId="14025" xr:uid="{00000000-0005-0000-0000-00001A2A0000}"/>
    <cellStyle name="Normal 4 4 3 2 4 4" xfId="9807" xr:uid="{00000000-0005-0000-0000-00001B2A0000}"/>
    <cellStyle name="Normal 4 4 3 2 5" xfId="1694" xr:uid="{00000000-0005-0000-0000-00001C2A0000}"/>
    <cellStyle name="Normal 4 4 3 2 5 2" xfId="3924" xr:uid="{00000000-0005-0000-0000-00001D2A0000}"/>
    <cellStyle name="Normal 4 4 3 2 5 2 2" xfId="8147" xr:uid="{00000000-0005-0000-0000-00001E2A0000}"/>
    <cellStyle name="Normal 4 4 3 2 5 2 2 2" xfId="16583" xr:uid="{00000000-0005-0000-0000-00001F2A0000}"/>
    <cellStyle name="Normal 4 4 3 2 5 2 3" xfId="12365" xr:uid="{00000000-0005-0000-0000-0000202A0000}"/>
    <cellStyle name="Normal 4 4 3 2 5 3" xfId="6002" xr:uid="{00000000-0005-0000-0000-0000212A0000}"/>
    <cellStyle name="Normal 4 4 3 2 5 3 2" xfId="14438" xr:uid="{00000000-0005-0000-0000-0000222A0000}"/>
    <cellStyle name="Normal 4 4 3 2 5 4" xfId="10220" xr:uid="{00000000-0005-0000-0000-0000232A0000}"/>
    <cellStyle name="Normal 4 4 3 2 6" xfId="2108" xr:uid="{00000000-0005-0000-0000-0000242A0000}"/>
    <cellStyle name="Normal 4 4 3 2 6 2" xfId="4337" xr:uid="{00000000-0005-0000-0000-0000252A0000}"/>
    <cellStyle name="Normal 4 4 3 2 6 2 2" xfId="8560" xr:uid="{00000000-0005-0000-0000-0000262A0000}"/>
    <cellStyle name="Normal 4 4 3 2 6 2 2 2" xfId="16996" xr:uid="{00000000-0005-0000-0000-0000272A0000}"/>
    <cellStyle name="Normal 4 4 3 2 6 2 3" xfId="12778" xr:uid="{00000000-0005-0000-0000-0000282A0000}"/>
    <cellStyle name="Normal 4 4 3 2 6 3" xfId="6415" xr:uid="{00000000-0005-0000-0000-0000292A0000}"/>
    <cellStyle name="Normal 4 4 3 2 6 3 2" xfId="14851" xr:uid="{00000000-0005-0000-0000-00002A2A0000}"/>
    <cellStyle name="Normal 4 4 3 2 6 4" xfId="10633" xr:uid="{00000000-0005-0000-0000-00002B2A0000}"/>
    <cellStyle name="Normal 4 4 3 2 7" xfId="2544" xr:uid="{00000000-0005-0000-0000-00002C2A0000}"/>
    <cellStyle name="Normal 4 4 3 2 7 2" xfId="6828" xr:uid="{00000000-0005-0000-0000-00002D2A0000}"/>
    <cellStyle name="Normal 4 4 3 2 7 2 2" xfId="15264" xr:uid="{00000000-0005-0000-0000-00002E2A0000}"/>
    <cellStyle name="Normal 4 4 3 2 7 3" xfId="11046" xr:uid="{00000000-0005-0000-0000-00002F2A0000}"/>
    <cellStyle name="Normal 4 4 3 2 8" xfId="4763" xr:uid="{00000000-0005-0000-0000-0000302A0000}"/>
    <cellStyle name="Normal 4 4 3 2 8 2" xfId="13199" xr:uid="{00000000-0005-0000-0000-0000312A0000}"/>
    <cellStyle name="Normal 4 4 3 2 9" xfId="8981" xr:uid="{00000000-0005-0000-0000-0000322A0000}"/>
    <cellStyle name="Normal 4 4 3 3" xfId="390" xr:uid="{00000000-0005-0000-0000-0000332A0000}"/>
    <cellStyle name="Normal 4 4 3 3 2" xfId="865" xr:uid="{00000000-0005-0000-0000-0000342A0000}"/>
    <cellStyle name="Normal 4 4 3 3 2 2" xfId="3100" xr:uid="{00000000-0005-0000-0000-0000352A0000}"/>
    <cellStyle name="Normal 4 4 3 3 2 2 2" xfId="7323" xr:uid="{00000000-0005-0000-0000-0000362A0000}"/>
    <cellStyle name="Normal 4 4 3 3 2 2 2 2" xfId="15759" xr:uid="{00000000-0005-0000-0000-0000372A0000}"/>
    <cellStyle name="Normal 4 4 3 3 2 2 3" xfId="11541" xr:uid="{00000000-0005-0000-0000-0000382A0000}"/>
    <cellStyle name="Normal 4 4 3 3 2 3" xfId="5178" xr:uid="{00000000-0005-0000-0000-0000392A0000}"/>
    <cellStyle name="Normal 4 4 3 3 2 3 2" xfId="13614" xr:uid="{00000000-0005-0000-0000-00003A2A0000}"/>
    <cellStyle name="Normal 4 4 3 3 2 4" xfId="9396" xr:uid="{00000000-0005-0000-0000-00003B2A0000}"/>
    <cellStyle name="Normal 4 4 3 3 3" xfId="1283" xr:uid="{00000000-0005-0000-0000-00003C2A0000}"/>
    <cellStyle name="Normal 4 4 3 3 3 2" xfId="3513" xr:uid="{00000000-0005-0000-0000-00003D2A0000}"/>
    <cellStyle name="Normal 4 4 3 3 3 2 2" xfId="7736" xr:uid="{00000000-0005-0000-0000-00003E2A0000}"/>
    <cellStyle name="Normal 4 4 3 3 3 2 2 2" xfId="16172" xr:uid="{00000000-0005-0000-0000-00003F2A0000}"/>
    <cellStyle name="Normal 4 4 3 3 3 2 3" xfId="11954" xr:uid="{00000000-0005-0000-0000-0000402A0000}"/>
    <cellStyle name="Normal 4 4 3 3 3 3" xfId="5591" xr:uid="{00000000-0005-0000-0000-0000412A0000}"/>
    <cellStyle name="Normal 4 4 3 3 3 3 2" xfId="14027" xr:uid="{00000000-0005-0000-0000-0000422A0000}"/>
    <cellStyle name="Normal 4 4 3 3 3 4" xfId="9809" xr:uid="{00000000-0005-0000-0000-0000432A0000}"/>
    <cellStyle name="Normal 4 4 3 3 4" xfId="1696" xr:uid="{00000000-0005-0000-0000-0000442A0000}"/>
    <cellStyle name="Normal 4 4 3 3 4 2" xfId="3926" xr:uid="{00000000-0005-0000-0000-0000452A0000}"/>
    <cellStyle name="Normal 4 4 3 3 4 2 2" xfId="8149" xr:uid="{00000000-0005-0000-0000-0000462A0000}"/>
    <cellStyle name="Normal 4 4 3 3 4 2 2 2" xfId="16585" xr:uid="{00000000-0005-0000-0000-0000472A0000}"/>
    <cellStyle name="Normal 4 4 3 3 4 2 3" xfId="12367" xr:uid="{00000000-0005-0000-0000-0000482A0000}"/>
    <cellStyle name="Normal 4 4 3 3 4 3" xfId="6004" xr:uid="{00000000-0005-0000-0000-0000492A0000}"/>
    <cellStyle name="Normal 4 4 3 3 4 3 2" xfId="14440" xr:uid="{00000000-0005-0000-0000-00004A2A0000}"/>
    <cellStyle name="Normal 4 4 3 3 4 4" xfId="10222" xr:uid="{00000000-0005-0000-0000-00004B2A0000}"/>
    <cellStyle name="Normal 4 4 3 3 5" xfId="2110" xr:uid="{00000000-0005-0000-0000-00004C2A0000}"/>
    <cellStyle name="Normal 4 4 3 3 5 2" xfId="4339" xr:uid="{00000000-0005-0000-0000-00004D2A0000}"/>
    <cellStyle name="Normal 4 4 3 3 5 2 2" xfId="8562" xr:uid="{00000000-0005-0000-0000-00004E2A0000}"/>
    <cellStyle name="Normal 4 4 3 3 5 2 2 2" xfId="16998" xr:uid="{00000000-0005-0000-0000-00004F2A0000}"/>
    <cellStyle name="Normal 4 4 3 3 5 2 3" xfId="12780" xr:uid="{00000000-0005-0000-0000-0000502A0000}"/>
    <cellStyle name="Normal 4 4 3 3 5 3" xfId="6417" xr:uid="{00000000-0005-0000-0000-0000512A0000}"/>
    <cellStyle name="Normal 4 4 3 3 5 3 2" xfId="14853" xr:uid="{00000000-0005-0000-0000-0000522A0000}"/>
    <cellStyle name="Normal 4 4 3 3 5 4" xfId="10635" xr:uid="{00000000-0005-0000-0000-0000532A0000}"/>
    <cellStyle name="Normal 4 4 3 3 6" xfId="2546" xr:uid="{00000000-0005-0000-0000-0000542A0000}"/>
    <cellStyle name="Normal 4 4 3 3 6 2" xfId="6830" xr:uid="{00000000-0005-0000-0000-0000552A0000}"/>
    <cellStyle name="Normal 4 4 3 3 6 2 2" xfId="15266" xr:uid="{00000000-0005-0000-0000-0000562A0000}"/>
    <cellStyle name="Normal 4 4 3 3 6 3" xfId="11048" xr:uid="{00000000-0005-0000-0000-0000572A0000}"/>
    <cellStyle name="Normal 4 4 3 3 7" xfId="4765" xr:uid="{00000000-0005-0000-0000-0000582A0000}"/>
    <cellStyle name="Normal 4 4 3 3 7 2" xfId="13201" xr:uid="{00000000-0005-0000-0000-0000592A0000}"/>
    <cellStyle name="Normal 4 4 3 3 8" xfId="8983" xr:uid="{00000000-0005-0000-0000-00005A2A0000}"/>
    <cellStyle name="Normal 4 4 3 4" xfId="862" xr:uid="{00000000-0005-0000-0000-00005B2A0000}"/>
    <cellStyle name="Normal 4 4 3 4 2" xfId="3097" xr:uid="{00000000-0005-0000-0000-00005C2A0000}"/>
    <cellStyle name="Normal 4 4 3 4 2 2" xfId="7320" xr:uid="{00000000-0005-0000-0000-00005D2A0000}"/>
    <cellStyle name="Normal 4 4 3 4 2 2 2" xfId="15756" xr:uid="{00000000-0005-0000-0000-00005E2A0000}"/>
    <cellStyle name="Normal 4 4 3 4 2 3" xfId="11538" xr:uid="{00000000-0005-0000-0000-00005F2A0000}"/>
    <cellStyle name="Normal 4 4 3 4 3" xfId="5175" xr:uid="{00000000-0005-0000-0000-0000602A0000}"/>
    <cellStyle name="Normal 4 4 3 4 3 2" xfId="13611" xr:uid="{00000000-0005-0000-0000-0000612A0000}"/>
    <cellStyle name="Normal 4 4 3 4 4" xfId="9393" xr:uid="{00000000-0005-0000-0000-0000622A0000}"/>
    <cellStyle name="Normal 4 4 3 5" xfId="1280" xr:uid="{00000000-0005-0000-0000-0000632A0000}"/>
    <cellStyle name="Normal 4 4 3 5 2" xfId="3510" xr:uid="{00000000-0005-0000-0000-0000642A0000}"/>
    <cellStyle name="Normal 4 4 3 5 2 2" xfId="7733" xr:uid="{00000000-0005-0000-0000-0000652A0000}"/>
    <cellStyle name="Normal 4 4 3 5 2 2 2" xfId="16169" xr:uid="{00000000-0005-0000-0000-0000662A0000}"/>
    <cellStyle name="Normal 4 4 3 5 2 3" xfId="11951" xr:uid="{00000000-0005-0000-0000-0000672A0000}"/>
    <cellStyle name="Normal 4 4 3 5 3" xfId="5588" xr:uid="{00000000-0005-0000-0000-0000682A0000}"/>
    <cellStyle name="Normal 4 4 3 5 3 2" xfId="14024" xr:uid="{00000000-0005-0000-0000-0000692A0000}"/>
    <cellStyle name="Normal 4 4 3 5 4" xfId="9806" xr:uid="{00000000-0005-0000-0000-00006A2A0000}"/>
    <cellStyle name="Normal 4 4 3 6" xfId="1693" xr:uid="{00000000-0005-0000-0000-00006B2A0000}"/>
    <cellStyle name="Normal 4 4 3 6 2" xfId="3923" xr:uid="{00000000-0005-0000-0000-00006C2A0000}"/>
    <cellStyle name="Normal 4 4 3 6 2 2" xfId="8146" xr:uid="{00000000-0005-0000-0000-00006D2A0000}"/>
    <cellStyle name="Normal 4 4 3 6 2 2 2" xfId="16582" xr:uid="{00000000-0005-0000-0000-00006E2A0000}"/>
    <cellStyle name="Normal 4 4 3 6 2 3" xfId="12364" xr:uid="{00000000-0005-0000-0000-00006F2A0000}"/>
    <cellStyle name="Normal 4 4 3 6 3" xfId="6001" xr:uid="{00000000-0005-0000-0000-0000702A0000}"/>
    <cellStyle name="Normal 4 4 3 6 3 2" xfId="14437" xr:uid="{00000000-0005-0000-0000-0000712A0000}"/>
    <cellStyle name="Normal 4 4 3 6 4" xfId="10219" xr:uid="{00000000-0005-0000-0000-0000722A0000}"/>
    <cellStyle name="Normal 4 4 3 7" xfId="2107" xr:uid="{00000000-0005-0000-0000-0000732A0000}"/>
    <cellStyle name="Normal 4 4 3 7 2" xfId="4336" xr:uid="{00000000-0005-0000-0000-0000742A0000}"/>
    <cellStyle name="Normal 4 4 3 7 2 2" xfId="8559" xr:uid="{00000000-0005-0000-0000-0000752A0000}"/>
    <cellStyle name="Normal 4 4 3 7 2 2 2" xfId="16995" xr:uid="{00000000-0005-0000-0000-0000762A0000}"/>
    <cellStyle name="Normal 4 4 3 7 2 3" xfId="12777" xr:uid="{00000000-0005-0000-0000-0000772A0000}"/>
    <cellStyle name="Normal 4 4 3 7 3" xfId="6414" xr:uid="{00000000-0005-0000-0000-0000782A0000}"/>
    <cellStyle name="Normal 4 4 3 7 3 2" xfId="14850" xr:uid="{00000000-0005-0000-0000-0000792A0000}"/>
    <cellStyle name="Normal 4 4 3 7 4" xfId="10632" xr:uid="{00000000-0005-0000-0000-00007A2A0000}"/>
    <cellStyle name="Normal 4 4 3 8" xfId="2543" xr:uid="{00000000-0005-0000-0000-00007B2A0000}"/>
    <cellStyle name="Normal 4 4 3 8 2" xfId="6827" xr:uid="{00000000-0005-0000-0000-00007C2A0000}"/>
    <cellStyle name="Normal 4 4 3 8 2 2" xfId="15263" xr:uid="{00000000-0005-0000-0000-00007D2A0000}"/>
    <cellStyle name="Normal 4 4 3 8 3" xfId="11045" xr:uid="{00000000-0005-0000-0000-00007E2A0000}"/>
    <cellStyle name="Normal 4 4 3 9" xfId="4762" xr:uid="{00000000-0005-0000-0000-00007F2A0000}"/>
    <cellStyle name="Normal 4 4 3 9 2" xfId="13198" xr:uid="{00000000-0005-0000-0000-0000802A0000}"/>
    <cellStyle name="Normal 4 4 4" xfId="391" xr:uid="{00000000-0005-0000-0000-0000812A0000}"/>
    <cellStyle name="Normal 4 4 4 2" xfId="392" xr:uid="{00000000-0005-0000-0000-0000822A0000}"/>
    <cellStyle name="Normal 4 4 4 2 2" xfId="867" xr:uid="{00000000-0005-0000-0000-0000832A0000}"/>
    <cellStyle name="Normal 4 4 4 2 2 2" xfId="3102" xr:uid="{00000000-0005-0000-0000-0000842A0000}"/>
    <cellStyle name="Normal 4 4 4 2 2 2 2" xfId="7325" xr:uid="{00000000-0005-0000-0000-0000852A0000}"/>
    <cellStyle name="Normal 4 4 4 2 2 2 2 2" xfId="15761" xr:uid="{00000000-0005-0000-0000-0000862A0000}"/>
    <cellStyle name="Normal 4 4 4 2 2 2 3" xfId="11543" xr:uid="{00000000-0005-0000-0000-0000872A0000}"/>
    <cellStyle name="Normal 4 4 4 2 2 3" xfId="5180" xr:uid="{00000000-0005-0000-0000-0000882A0000}"/>
    <cellStyle name="Normal 4 4 4 2 2 3 2" xfId="13616" xr:uid="{00000000-0005-0000-0000-0000892A0000}"/>
    <cellStyle name="Normal 4 4 4 2 2 4" xfId="9398" xr:uid="{00000000-0005-0000-0000-00008A2A0000}"/>
    <cellStyle name="Normal 4 4 4 2 3" xfId="1285" xr:uid="{00000000-0005-0000-0000-00008B2A0000}"/>
    <cellStyle name="Normal 4 4 4 2 3 2" xfId="3515" xr:uid="{00000000-0005-0000-0000-00008C2A0000}"/>
    <cellStyle name="Normal 4 4 4 2 3 2 2" xfId="7738" xr:uid="{00000000-0005-0000-0000-00008D2A0000}"/>
    <cellStyle name="Normal 4 4 4 2 3 2 2 2" xfId="16174" xr:uid="{00000000-0005-0000-0000-00008E2A0000}"/>
    <cellStyle name="Normal 4 4 4 2 3 2 3" xfId="11956" xr:uid="{00000000-0005-0000-0000-00008F2A0000}"/>
    <cellStyle name="Normal 4 4 4 2 3 3" xfId="5593" xr:uid="{00000000-0005-0000-0000-0000902A0000}"/>
    <cellStyle name="Normal 4 4 4 2 3 3 2" xfId="14029" xr:uid="{00000000-0005-0000-0000-0000912A0000}"/>
    <cellStyle name="Normal 4 4 4 2 3 4" xfId="9811" xr:uid="{00000000-0005-0000-0000-0000922A0000}"/>
    <cellStyle name="Normal 4 4 4 2 4" xfId="1698" xr:uid="{00000000-0005-0000-0000-0000932A0000}"/>
    <cellStyle name="Normal 4 4 4 2 4 2" xfId="3928" xr:uid="{00000000-0005-0000-0000-0000942A0000}"/>
    <cellStyle name="Normal 4 4 4 2 4 2 2" xfId="8151" xr:uid="{00000000-0005-0000-0000-0000952A0000}"/>
    <cellStyle name="Normal 4 4 4 2 4 2 2 2" xfId="16587" xr:uid="{00000000-0005-0000-0000-0000962A0000}"/>
    <cellStyle name="Normal 4 4 4 2 4 2 3" xfId="12369" xr:uid="{00000000-0005-0000-0000-0000972A0000}"/>
    <cellStyle name="Normal 4 4 4 2 4 3" xfId="6006" xr:uid="{00000000-0005-0000-0000-0000982A0000}"/>
    <cellStyle name="Normal 4 4 4 2 4 3 2" xfId="14442" xr:uid="{00000000-0005-0000-0000-0000992A0000}"/>
    <cellStyle name="Normal 4 4 4 2 4 4" xfId="10224" xr:uid="{00000000-0005-0000-0000-00009A2A0000}"/>
    <cellStyle name="Normal 4 4 4 2 5" xfId="2112" xr:uid="{00000000-0005-0000-0000-00009B2A0000}"/>
    <cellStyle name="Normal 4 4 4 2 5 2" xfId="4341" xr:uid="{00000000-0005-0000-0000-00009C2A0000}"/>
    <cellStyle name="Normal 4 4 4 2 5 2 2" xfId="8564" xr:uid="{00000000-0005-0000-0000-00009D2A0000}"/>
    <cellStyle name="Normal 4 4 4 2 5 2 2 2" xfId="17000" xr:uid="{00000000-0005-0000-0000-00009E2A0000}"/>
    <cellStyle name="Normal 4 4 4 2 5 2 3" xfId="12782" xr:uid="{00000000-0005-0000-0000-00009F2A0000}"/>
    <cellStyle name="Normal 4 4 4 2 5 3" xfId="6419" xr:uid="{00000000-0005-0000-0000-0000A02A0000}"/>
    <cellStyle name="Normal 4 4 4 2 5 3 2" xfId="14855" xr:uid="{00000000-0005-0000-0000-0000A12A0000}"/>
    <cellStyle name="Normal 4 4 4 2 5 4" xfId="10637" xr:uid="{00000000-0005-0000-0000-0000A22A0000}"/>
    <cellStyle name="Normal 4 4 4 2 6" xfId="2548" xr:uid="{00000000-0005-0000-0000-0000A32A0000}"/>
    <cellStyle name="Normal 4 4 4 2 6 2" xfId="6832" xr:uid="{00000000-0005-0000-0000-0000A42A0000}"/>
    <cellStyle name="Normal 4 4 4 2 6 2 2" xfId="15268" xr:uid="{00000000-0005-0000-0000-0000A52A0000}"/>
    <cellStyle name="Normal 4 4 4 2 6 3" xfId="11050" xr:uid="{00000000-0005-0000-0000-0000A62A0000}"/>
    <cellStyle name="Normal 4 4 4 2 7" xfId="4767" xr:uid="{00000000-0005-0000-0000-0000A72A0000}"/>
    <cellStyle name="Normal 4 4 4 2 7 2" xfId="13203" xr:uid="{00000000-0005-0000-0000-0000A82A0000}"/>
    <cellStyle name="Normal 4 4 4 2 8" xfId="8985" xr:uid="{00000000-0005-0000-0000-0000A92A0000}"/>
    <cellStyle name="Normal 4 4 4 3" xfId="866" xr:uid="{00000000-0005-0000-0000-0000AA2A0000}"/>
    <cellStyle name="Normal 4 4 4 3 2" xfId="3101" xr:uid="{00000000-0005-0000-0000-0000AB2A0000}"/>
    <cellStyle name="Normal 4 4 4 3 2 2" xfId="7324" xr:uid="{00000000-0005-0000-0000-0000AC2A0000}"/>
    <cellStyle name="Normal 4 4 4 3 2 2 2" xfId="15760" xr:uid="{00000000-0005-0000-0000-0000AD2A0000}"/>
    <cellStyle name="Normal 4 4 4 3 2 3" xfId="11542" xr:uid="{00000000-0005-0000-0000-0000AE2A0000}"/>
    <cellStyle name="Normal 4 4 4 3 3" xfId="5179" xr:uid="{00000000-0005-0000-0000-0000AF2A0000}"/>
    <cellStyle name="Normal 4 4 4 3 3 2" xfId="13615" xr:uid="{00000000-0005-0000-0000-0000B02A0000}"/>
    <cellStyle name="Normal 4 4 4 3 4" xfId="9397" xr:uid="{00000000-0005-0000-0000-0000B12A0000}"/>
    <cellStyle name="Normal 4 4 4 4" xfId="1284" xr:uid="{00000000-0005-0000-0000-0000B22A0000}"/>
    <cellStyle name="Normal 4 4 4 4 2" xfId="3514" xr:uid="{00000000-0005-0000-0000-0000B32A0000}"/>
    <cellStyle name="Normal 4 4 4 4 2 2" xfId="7737" xr:uid="{00000000-0005-0000-0000-0000B42A0000}"/>
    <cellStyle name="Normal 4 4 4 4 2 2 2" xfId="16173" xr:uid="{00000000-0005-0000-0000-0000B52A0000}"/>
    <cellStyle name="Normal 4 4 4 4 2 3" xfId="11955" xr:uid="{00000000-0005-0000-0000-0000B62A0000}"/>
    <cellStyle name="Normal 4 4 4 4 3" xfId="5592" xr:uid="{00000000-0005-0000-0000-0000B72A0000}"/>
    <cellStyle name="Normal 4 4 4 4 3 2" xfId="14028" xr:uid="{00000000-0005-0000-0000-0000B82A0000}"/>
    <cellStyle name="Normal 4 4 4 4 4" xfId="9810" xr:uid="{00000000-0005-0000-0000-0000B92A0000}"/>
    <cellStyle name="Normal 4 4 4 5" xfId="1697" xr:uid="{00000000-0005-0000-0000-0000BA2A0000}"/>
    <cellStyle name="Normal 4 4 4 5 2" xfId="3927" xr:uid="{00000000-0005-0000-0000-0000BB2A0000}"/>
    <cellStyle name="Normal 4 4 4 5 2 2" xfId="8150" xr:uid="{00000000-0005-0000-0000-0000BC2A0000}"/>
    <cellStyle name="Normal 4 4 4 5 2 2 2" xfId="16586" xr:uid="{00000000-0005-0000-0000-0000BD2A0000}"/>
    <cellStyle name="Normal 4 4 4 5 2 3" xfId="12368" xr:uid="{00000000-0005-0000-0000-0000BE2A0000}"/>
    <cellStyle name="Normal 4 4 4 5 3" xfId="6005" xr:uid="{00000000-0005-0000-0000-0000BF2A0000}"/>
    <cellStyle name="Normal 4 4 4 5 3 2" xfId="14441" xr:uid="{00000000-0005-0000-0000-0000C02A0000}"/>
    <cellStyle name="Normal 4 4 4 5 4" xfId="10223" xr:uid="{00000000-0005-0000-0000-0000C12A0000}"/>
    <cellStyle name="Normal 4 4 4 6" xfId="2111" xr:uid="{00000000-0005-0000-0000-0000C22A0000}"/>
    <cellStyle name="Normal 4 4 4 6 2" xfId="4340" xr:uid="{00000000-0005-0000-0000-0000C32A0000}"/>
    <cellStyle name="Normal 4 4 4 6 2 2" xfId="8563" xr:uid="{00000000-0005-0000-0000-0000C42A0000}"/>
    <cellStyle name="Normal 4 4 4 6 2 2 2" xfId="16999" xr:uid="{00000000-0005-0000-0000-0000C52A0000}"/>
    <cellStyle name="Normal 4 4 4 6 2 3" xfId="12781" xr:uid="{00000000-0005-0000-0000-0000C62A0000}"/>
    <cellStyle name="Normal 4 4 4 6 3" xfId="6418" xr:uid="{00000000-0005-0000-0000-0000C72A0000}"/>
    <cellStyle name="Normal 4 4 4 6 3 2" xfId="14854" xr:uid="{00000000-0005-0000-0000-0000C82A0000}"/>
    <cellStyle name="Normal 4 4 4 6 4" xfId="10636" xr:uid="{00000000-0005-0000-0000-0000C92A0000}"/>
    <cellStyle name="Normal 4 4 4 7" xfId="2547" xr:uid="{00000000-0005-0000-0000-0000CA2A0000}"/>
    <cellStyle name="Normal 4 4 4 7 2" xfId="6831" xr:uid="{00000000-0005-0000-0000-0000CB2A0000}"/>
    <cellStyle name="Normal 4 4 4 7 2 2" xfId="15267" xr:uid="{00000000-0005-0000-0000-0000CC2A0000}"/>
    <cellStyle name="Normal 4 4 4 7 3" xfId="11049" xr:uid="{00000000-0005-0000-0000-0000CD2A0000}"/>
    <cellStyle name="Normal 4 4 4 8" xfId="4766" xr:uid="{00000000-0005-0000-0000-0000CE2A0000}"/>
    <cellStyle name="Normal 4 4 4 8 2" xfId="13202" xr:uid="{00000000-0005-0000-0000-0000CF2A0000}"/>
    <cellStyle name="Normal 4 4 4 9" xfId="8984" xr:uid="{00000000-0005-0000-0000-0000D02A0000}"/>
    <cellStyle name="Normal 4 4 5" xfId="393" xr:uid="{00000000-0005-0000-0000-0000D12A0000}"/>
    <cellStyle name="Normal 4 4 5 2" xfId="868" xr:uid="{00000000-0005-0000-0000-0000D22A0000}"/>
    <cellStyle name="Normal 4 4 5 2 2" xfId="3103" xr:uid="{00000000-0005-0000-0000-0000D32A0000}"/>
    <cellStyle name="Normal 4 4 5 2 2 2" xfId="7326" xr:uid="{00000000-0005-0000-0000-0000D42A0000}"/>
    <cellStyle name="Normal 4 4 5 2 2 2 2" xfId="15762" xr:uid="{00000000-0005-0000-0000-0000D52A0000}"/>
    <cellStyle name="Normal 4 4 5 2 2 3" xfId="11544" xr:uid="{00000000-0005-0000-0000-0000D62A0000}"/>
    <cellStyle name="Normal 4 4 5 2 3" xfId="5181" xr:uid="{00000000-0005-0000-0000-0000D72A0000}"/>
    <cellStyle name="Normal 4 4 5 2 3 2" xfId="13617" xr:uid="{00000000-0005-0000-0000-0000D82A0000}"/>
    <cellStyle name="Normal 4 4 5 2 4" xfId="9399" xr:uid="{00000000-0005-0000-0000-0000D92A0000}"/>
    <cellStyle name="Normal 4 4 5 3" xfId="1286" xr:uid="{00000000-0005-0000-0000-0000DA2A0000}"/>
    <cellStyle name="Normal 4 4 5 3 2" xfId="3516" xr:uid="{00000000-0005-0000-0000-0000DB2A0000}"/>
    <cellStyle name="Normal 4 4 5 3 2 2" xfId="7739" xr:uid="{00000000-0005-0000-0000-0000DC2A0000}"/>
    <cellStyle name="Normal 4 4 5 3 2 2 2" xfId="16175" xr:uid="{00000000-0005-0000-0000-0000DD2A0000}"/>
    <cellStyle name="Normal 4 4 5 3 2 3" xfId="11957" xr:uid="{00000000-0005-0000-0000-0000DE2A0000}"/>
    <cellStyle name="Normal 4 4 5 3 3" xfId="5594" xr:uid="{00000000-0005-0000-0000-0000DF2A0000}"/>
    <cellStyle name="Normal 4 4 5 3 3 2" xfId="14030" xr:uid="{00000000-0005-0000-0000-0000E02A0000}"/>
    <cellStyle name="Normal 4 4 5 3 4" xfId="9812" xr:uid="{00000000-0005-0000-0000-0000E12A0000}"/>
    <cellStyle name="Normal 4 4 5 4" xfId="1699" xr:uid="{00000000-0005-0000-0000-0000E22A0000}"/>
    <cellStyle name="Normal 4 4 5 4 2" xfId="3929" xr:uid="{00000000-0005-0000-0000-0000E32A0000}"/>
    <cellStyle name="Normal 4 4 5 4 2 2" xfId="8152" xr:uid="{00000000-0005-0000-0000-0000E42A0000}"/>
    <cellStyle name="Normal 4 4 5 4 2 2 2" xfId="16588" xr:uid="{00000000-0005-0000-0000-0000E52A0000}"/>
    <cellStyle name="Normal 4 4 5 4 2 3" xfId="12370" xr:uid="{00000000-0005-0000-0000-0000E62A0000}"/>
    <cellStyle name="Normal 4 4 5 4 3" xfId="6007" xr:uid="{00000000-0005-0000-0000-0000E72A0000}"/>
    <cellStyle name="Normal 4 4 5 4 3 2" xfId="14443" xr:uid="{00000000-0005-0000-0000-0000E82A0000}"/>
    <cellStyle name="Normal 4 4 5 4 4" xfId="10225" xr:uid="{00000000-0005-0000-0000-0000E92A0000}"/>
    <cellStyle name="Normal 4 4 5 5" xfId="2113" xr:uid="{00000000-0005-0000-0000-0000EA2A0000}"/>
    <cellStyle name="Normal 4 4 5 5 2" xfId="4342" xr:uid="{00000000-0005-0000-0000-0000EB2A0000}"/>
    <cellStyle name="Normal 4 4 5 5 2 2" xfId="8565" xr:uid="{00000000-0005-0000-0000-0000EC2A0000}"/>
    <cellStyle name="Normal 4 4 5 5 2 2 2" xfId="17001" xr:uid="{00000000-0005-0000-0000-0000ED2A0000}"/>
    <cellStyle name="Normal 4 4 5 5 2 3" xfId="12783" xr:uid="{00000000-0005-0000-0000-0000EE2A0000}"/>
    <cellStyle name="Normal 4 4 5 5 3" xfId="6420" xr:uid="{00000000-0005-0000-0000-0000EF2A0000}"/>
    <cellStyle name="Normal 4 4 5 5 3 2" xfId="14856" xr:uid="{00000000-0005-0000-0000-0000F02A0000}"/>
    <cellStyle name="Normal 4 4 5 5 4" xfId="10638" xr:uid="{00000000-0005-0000-0000-0000F12A0000}"/>
    <cellStyle name="Normal 4 4 5 6" xfId="2549" xr:uid="{00000000-0005-0000-0000-0000F22A0000}"/>
    <cellStyle name="Normal 4 4 5 6 2" xfId="6833" xr:uid="{00000000-0005-0000-0000-0000F32A0000}"/>
    <cellStyle name="Normal 4 4 5 6 2 2" xfId="15269" xr:uid="{00000000-0005-0000-0000-0000F42A0000}"/>
    <cellStyle name="Normal 4 4 5 6 3" xfId="11051" xr:uid="{00000000-0005-0000-0000-0000F52A0000}"/>
    <cellStyle name="Normal 4 4 5 7" xfId="4768" xr:uid="{00000000-0005-0000-0000-0000F62A0000}"/>
    <cellStyle name="Normal 4 4 5 7 2" xfId="13204" xr:uid="{00000000-0005-0000-0000-0000F72A0000}"/>
    <cellStyle name="Normal 4 4 5 8" xfId="8986" xr:uid="{00000000-0005-0000-0000-0000F82A0000}"/>
    <cellStyle name="Normal 4 4 6" xfId="853" xr:uid="{00000000-0005-0000-0000-0000F92A0000}"/>
    <cellStyle name="Normal 4 4 6 2" xfId="3088" xr:uid="{00000000-0005-0000-0000-0000FA2A0000}"/>
    <cellStyle name="Normal 4 4 6 2 2" xfId="7311" xr:uid="{00000000-0005-0000-0000-0000FB2A0000}"/>
    <cellStyle name="Normal 4 4 6 2 2 2" xfId="15747" xr:uid="{00000000-0005-0000-0000-0000FC2A0000}"/>
    <cellStyle name="Normal 4 4 6 2 3" xfId="11529" xr:uid="{00000000-0005-0000-0000-0000FD2A0000}"/>
    <cellStyle name="Normal 4 4 6 3" xfId="5166" xr:uid="{00000000-0005-0000-0000-0000FE2A0000}"/>
    <cellStyle name="Normal 4 4 6 3 2" xfId="13602" xr:uid="{00000000-0005-0000-0000-0000FF2A0000}"/>
    <cellStyle name="Normal 4 4 6 4" xfId="9384" xr:uid="{00000000-0005-0000-0000-0000002B0000}"/>
    <cellStyle name="Normal 4 4 7" xfId="1271" xr:uid="{00000000-0005-0000-0000-0000012B0000}"/>
    <cellStyle name="Normal 4 4 7 2" xfId="3501" xr:uid="{00000000-0005-0000-0000-0000022B0000}"/>
    <cellStyle name="Normal 4 4 7 2 2" xfId="7724" xr:uid="{00000000-0005-0000-0000-0000032B0000}"/>
    <cellStyle name="Normal 4 4 7 2 2 2" xfId="16160" xr:uid="{00000000-0005-0000-0000-0000042B0000}"/>
    <cellStyle name="Normal 4 4 7 2 3" xfId="11942" xr:uid="{00000000-0005-0000-0000-0000052B0000}"/>
    <cellStyle name="Normal 4 4 7 3" xfId="5579" xr:uid="{00000000-0005-0000-0000-0000062B0000}"/>
    <cellStyle name="Normal 4 4 7 3 2" xfId="14015" xr:uid="{00000000-0005-0000-0000-0000072B0000}"/>
    <cellStyle name="Normal 4 4 7 4" xfId="9797" xr:uid="{00000000-0005-0000-0000-0000082B0000}"/>
    <cellStyle name="Normal 4 4 8" xfId="1684" xr:uid="{00000000-0005-0000-0000-0000092B0000}"/>
    <cellStyle name="Normal 4 4 8 2" xfId="3914" xr:uid="{00000000-0005-0000-0000-00000A2B0000}"/>
    <cellStyle name="Normal 4 4 8 2 2" xfId="8137" xr:uid="{00000000-0005-0000-0000-00000B2B0000}"/>
    <cellStyle name="Normal 4 4 8 2 2 2" xfId="16573" xr:uid="{00000000-0005-0000-0000-00000C2B0000}"/>
    <cellStyle name="Normal 4 4 8 2 3" xfId="12355" xr:uid="{00000000-0005-0000-0000-00000D2B0000}"/>
    <cellStyle name="Normal 4 4 8 3" xfId="5992" xr:uid="{00000000-0005-0000-0000-00000E2B0000}"/>
    <cellStyle name="Normal 4 4 8 3 2" xfId="14428" xr:uid="{00000000-0005-0000-0000-00000F2B0000}"/>
    <cellStyle name="Normal 4 4 8 4" xfId="10210" xr:uid="{00000000-0005-0000-0000-0000102B0000}"/>
    <cellStyle name="Normal 4 4 9" xfId="2098" xr:uid="{00000000-0005-0000-0000-0000112B0000}"/>
    <cellStyle name="Normal 4 4 9 2" xfId="4327" xr:uid="{00000000-0005-0000-0000-0000122B0000}"/>
    <cellStyle name="Normal 4 4 9 2 2" xfId="8550" xr:uid="{00000000-0005-0000-0000-0000132B0000}"/>
    <cellStyle name="Normal 4 4 9 2 2 2" xfId="16986" xr:uid="{00000000-0005-0000-0000-0000142B0000}"/>
    <cellStyle name="Normal 4 4 9 2 3" xfId="12768" xr:uid="{00000000-0005-0000-0000-0000152B0000}"/>
    <cellStyle name="Normal 4 4 9 3" xfId="6405" xr:uid="{00000000-0005-0000-0000-0000162B0000}"/>
    <cellStyle name="Normal 4 4 9 3 2" xfId="14841" xr:uid="{00000000-0005-0000-0000-0000172B0000}"/>
    <cellStyle name="Normal 4 4 9 4" xfId="10623" xr:uid="{00000000-0005-0000-0000-0000182B0000}"/>
    <cellStyle name="Normal 4 5" xfId="394" xr:uid="{00000000-0005-0000-0000-0000192B0000}"/>
    <cellStyle name="Normal 4 6" xfId="395" xr:uid="{00000000-0005-0000-0000-00001A2B0000}"/>
    <cellStyle name="Normal 4 6 10" xfId="4769" xr:uid="{00000000-0005-0000-0000-00001B2B0000}"/>
    <cellStyle name="Normal 4 6 10 2" xfId="13205" xr:uid="{00000000-0005-0000-0000-00001C2B0000}"/>
    <cellStyle name="Normal 4 6 11" xfId="8987" xr:uid="{00000000-0005-0000-0000-00001D2B0000}"/>
    <cellStyle name="Normal 4 6 2" xfId="396" xr:uid="{00000000-0005-0000-0000-00001E2B0000}"/>
    <cellStyle name="Normal 4 6 2 10" xfId="8988" xr:uid="{00000000-0005-0000-0000-00001F2B0000}"/>
    <cellStyle name="Normal 4 6 2 2" xfId="397" xr:uid="{00000000-0005-0000-0000-0000202B0000}"/>
    <cellStyle name="Normal 4 6 2 2 2" xfId="398" xr:uid="{00000000-0005-0000-0000-0000212B0000}"/>
    <cellStyle name="Normal 4 6 2 2 2 2" xfId="872" xr:uid="{00000000-0005-0000-0000-0000222B0000}"/>
    <cellStyle name="Normal 4 6 2 2 2 2 2" xfId="3107" xr:uid="{00000000-0005-0000-0000-0000232B0000}"/>
    <cellStyle name="Normal 4 6 2 2 2 2 2 2" xfId="7330" xr:uid="{00000000-0005-0000-0000-0000242B0000}"/>
    <cellStyle name="Normal 4 6 2 2 2 2 2 2 2" xfId="15766" xr:uid="{00000000-0005-0000-0000-0000252B0000}"/>
    <cellStyle name="Normal 4 6 2 2 2 2 2 3" xfId="11548" xr:uid="{00000000-0005-0000-0000-0000262B0000}"/>
    <cellStyle name="Normal 4 6 2 2 2 2 3" xfId="5185" xr:uid="{00000000-0005-0000-0000-0000272B0000}"/>
    <cellStyle name="Normal 4 6 2 2 2 2 3 2" xfId="13621" xr:uid="{00000000-0005-0000-0000-0000282B0000}"/>
    <cellStyle name="Normal 4 6 2 2 2 2 4" xfId="9403" xr:uid="{00000000-0005-0000-0000-0000292B0000}"/>
    <cellStyle name="Normal 4 6 2 2 2 3" xfId="1290" xr:uid="{00000000-0005-0000-0000-00002A2B0000}"/>
    <cellStyle name="Normal 4 6 2 2 2 3 2" xfId="3520" xr:uid="{00000000-0005-0000-0000-00002B2B0000}"/>
    <cellStyle name="Normal 4 6 2 2 2 3 2 2" xfId="7743" xr:uid="{00000000-0005-0000-0000-00002C2B0000}"/>
    <cellStyle name="Normal 4 6 2 2 2 3 2 2 2" xfId="16179" xr:uid="{00000000-0005-0000-0000-00002D2B0000}"/>
    <cellStyle name="Normal 4 6 2 2 2 3 2 3" xfId="11961" xr:uid="{00000000-0005-0000-0000-00002E2B0000}"/>
    <cellStyle name="Normal 4 6 2 2 2 3 3" xfId="5598" xr:uid="{00000000-0005-0000-0000-00002F2B0000}"/>
    <cellStyle name="Normal 4 6 2 2 2 3 3 2" xfId="14034" xr:uid="{00000000-0005-0000-0000-0000302B0000}"/>
    <cellStyle name="Normal 4 6 2 2 2 3 4" xfId="9816" xr:uid="{00000000-0005-0000-0000-0000312B0000}"/>
    <cellStyle name="Normal 4 6 2 2 2 4" xfId="1703" xr:uid="{00000000-0005-0000-0000-0000322B0000}"/>
    <cellStyle name="Normal 4 6 2 2 2 4 2" xfId="3933" xr:uid="{00000000-0005-0000-0000-0000332B0000}"/>
    <cellStyle name="Normal 4 6 2 2 2 4 2 2" xfId="8156" xr:uid="{00000000-0005-0000-0000-0000342B0000}"/>
    <cellStyle name="Normal 4 6 2 2 2 4 2 2 2" xfId="16592" xr:uid="{00000000-0005-0000-0000-0000352B0000}"/>
    <cellStyle name="Normal 4 6 2 2 2 4 2 3" xfId="12374" xr:uid="{00000000-0005-0000-0000-0000362B0000}"/>
    <cellStyle name="Normal 4 6 2 2 2 4 3" xfId="6011" xr:uid="{00000000-0005-0000-0000-0000372B0000}"/>
    <cellStyle name="Normal 4 6 2 2 2 4 3 2" xfId="14447" xr:uid="{00000000-0005-0000-0000-0000382B0000}"/>
    <cellStyle name="Normal 4 6 2 2 2 4 4" xfId="10229" xr:uid="{00000000-0005-0000-0000-0000392B0000}"/>
    <cellStyle name="Normal 4 6 2 2 2 5" xfId="2117" xr:uid="{00000000-0005-0000-0000-00003A2B0000}"/>
    <cellStyle name="Normal 4 6 2 2 2 5 2" xfId="4346" xr:uid="{00000000-0005-0000-0000-00003B2B0000}"/>
    <cellStyle name="Normal 4 6 2 2 2 5 2 2" xfId="8569" xr:uid="{00000000-0005-0000-0000-00003C2B0000}"/>
    <cellStyle name="Normal 4 6 2 2 2 5 2 2 2" xfId="17005" xr:uid="{00000000-0005-0000-0000-00003D2B0000}"/>
    <cellStyle name="Normal 4 6 2 2 2 5 2 3" xfId="12787" xr:uid="{00000000-0005-0000-0000-00003E2B0000}"/>
    <cellStyle name="Normal 4 6 2 2 2 5 3" xfId="6424" xr:uid="{00000000-0005-0000-0000-00003F2B0000}"/>
    <cellStyle name="Normal 4 6 2 2 2 5 3 2" xfId="14860" xr:uid="{00000000-0005-0000-0000-0000402B0000}"/>
    <cellStyle name="Normal 4 6 2 2 2 5 4" xfId="10642" xr:uid="{00000000-0005-0000-0000-0000412B0000}"/>
    <cellStyle name="Normal 4 6 2 2 2 6" xfId="2553" xr:uid="{00000000-0005-0000-0000-0000422B0000}"/>
    <cellStyle name="Normal 4 6 2 2 2 6 2" xfId="6837" xr:uid="{00000000-0005-0000-0000-0000432B0000}"/>
    <cellStyle name="Normal 4 6 2 2 2 6 2 2" xfId="15273" xr:uid="{00000000-0005-0000-0000-0000442B0000}"/>
    <cellStyle name="Normal 4 6 2 2 2 6 3" xfId="11055" xr:uid="{00000000-0005-0000-0000-0000452B0000}"/>
    <cellStyle name="Normal 4 6 2 2 2 7" xfId="4772" xr:uid="{00000000-0005-0000-0000-0000462B0000}"/>
    <cellStyle name="Normal 4 6 2 2 2 7 2" xfId="13208" xr:uid="{00000000-0005-0000-0000-0000472B0000}"/>
    <cellStyle name="Normal 4 6 2 2 2 8" xfId="8990" xr:uid="{00000000-0005-0000-0000-0000482B0000}"/>
    <cellStyle name="Normal 4 6 2 2 3" xfId="871" xr:uid="{00000000-0005-0000-0000-0000492B0000}"/>
    <cellStyle name="Normal 4 6 2 2 3 2" xfId="3106" xr:uid="{00000000-0005-0000-0000-00004A2B0000}"/>
    <cellStyle name="Normal 4 6 2 2 3 2 2" xfId="7329" xr:uid="{00000000-0005-0000-0000-00004B2B0000}"/>
    <cellStyle name="Normal 4 6 2 2 3 2 2 2" xfId="15765" xr:uid="{00000000-0005-0000-0000-00004C2B0000}"/>
    <cellStyle name="Normal 4 6 2 2 3 2 3" xfId="11547" xr:uid="{00000000-0005-0000-0000-00004D2B0000}"/>
    <cellStyle name="Normal 4 6 2 2 3 3" xfId="5184" xr:uid="{00000000-0005-0000-0000-00004E2B0000}"/>
    <cellStyle name="Normal 4 6 2 2 3 3 2" xfId="13620" xr:uid="{00000000-0005-0000-0000-00004F2B0000}"/>
    <cellStyle name="Normal 4 6 2 2 3 4" xfId="9402" xr:uid="{00000000-0005-0000-0000-0000502B0000}"/>
    <cellStyle name="Normal 4 6 2 2 4" xfId="1289" xr:uid="{00000000-0005-0000-0000-0000512B0000}"/>
    <cellStyle name="Normal 4 6 2 2 4 2" xfId="3519" xr:uid="{00000000-0005-0000-0000-0000522B0000}"/>
    <cellStyle name="Normal 4 6 2 2 4 2 2" xfId="7742" xr:uid="{00000000-0005-0000-0000-0000532B0000}"/>
    <cellStyle name="Normal 4 6 2 2 4 2 2 2" xfId="16178" xr:uid="{00000000-0005-0000-0000-0000542B0000}"/>
    <cellStyle name="Normal 4 6 2 2 4 2 3" xfId="11960" xr:uid="{00000000-0005-0000-0000-0000552B0000}"/>
    <cellStyle name="Normal 4 6 2 2 4 3" xfId="5597" xr:uid="{00000000-0005-0000-0000-0000562B0000}"/>
    <cellStyle name="Normal 4 6 2 2 4 3 2" xfId="14033" xr:uid="{00000000-0005-0000-0000-0000572B0000}"/>
    <cellStyle name="Normal 4 6 2 2 4 4" xfId="9815" xr:uid="{00000000-0005-0000-0000-0000582B0000}"/>
    <cellStyle name="Normal 4 6 2 2 5" xfId="1702" xr:uid="{00000000-0005-0000-0000-0000592B0000}"/>
    <cellStyle name="Normal 4 6 2 2 5 2" xfId="3932" xr:uid="{00000000-0005-0000-0000-00005A2B0000}"/>
    <cellStyle name="Normal 4 6 2 2 5 2 2" xfId="8155" xr:uid="{00000000-0005-0000-0000-00005B2B0000}"/>
    <cellStyle name="Normal 4 6 2 2 5 2 2 2" xfId="16591" xr:uid="{00000000-0005-0000-0000-00005C2B0000}"/>
    <cellStyle name="Normal 4 6 2 2 5 2 3" xfId="12373" xr:uid="{00000000-0005-0000-0000-00005D2B0000}"/>
    <cellStyle name="Normal 4 6 2 2 5 3" xfId="6010" xr:uid="{00000000-0005-0000-0000-00005E2B0000}"/>
    <cellStyle name="Normal 4 6 2 2 5 3 2" xfId="14446" xr:uid="{00000000-0005-0000-0000-00005F2B0000}"/>
    <cellStyle name="Normal 4 6 2 2 5 4" xfId="10228" xr:uid="{00000000-0005-0000-0000-0000602B0000}"/>
    <cellStyle name="Normal 4 6 2 2 6" xfId="2116" xr:uid="{00000000-0005-0000-0000-0000612B0000}"/>
    <cellStyle name="Normal 4 6 2 2 6 2" xfId="4345" xr:uid="{00000000-0005-0000-0000-0000622B0000}"/>
    <cellStyle name="Normal 4 6 2 2 6 2 2" xfId="8568" xr:uid="{00000000-0005-0000-0000-0000632B0000}"/>
    <cellStyle name="Normal 4 6 2 2 6 2 2 2" xfId="17004" xr:uid="{00000000-0005-0000-0000-0000642B0000}"/>
    <cellStyle name="Normal 4 6 2 2 6 2 3" xfId="12786" xr:uid="{00000000-0005-0000-0000-0000652B0000}"/>
    <cellStyle name="Normal 4 6 2 2 6 3" xfId="6423" xr:uid="{00000000-0005-0000-0000-0000662B0000}"/>
    <cellStyle name="Normal 4 6 2 2 6 3 2" xfId="14859" xr:uid="{00000000-0005-0000-0000-0000672B0000}"/>
    <cellStyle name="Normal 4 6 2 2 6 4" xfId="10641" xr:uid="{00000000-0005-0000-0000-0000682B0000}"/>
    <cellStyle name="Normal 4 6 2 2 7" xfId="2552" xr:uid="{00000000-0005-0000-0000-0000692B0000}"/>
    <cellStyle name="Normal 4 6 2 2 7 2" xfId="6836" xr:uid="{00000000-0005-0000-0000-00006A2B0000}"/>
    <cellStyle name="Normal 4 6 2 2 7 2 2" xfId="15272" xr:uid="{00000000-0005-0000-0000-00006B2B0000}"/>
    <cellStyle name="Normal 4 6 2 2 7 3" xfId="11054" xr:uid="{00000000-0005-0000-0000-00006C2B0000}"/>
    <cellStyle name="Normal 4 6 2 2 8" xfId="4771" xr:uid="{00000000-0005-0000-0000-00006D2B0000}"/>
    <cellStyle name="Normal 4 6 2 2 8 2" xfId="13207" xr:uid="{00000000-0005-0000-0000-00006E2B0000}"/>
    <cellStyle name="Normal 4 6 2 2 9" xfId="8989" xr:uid="{00000000-0005-0000-0000-00006F2B0000}"/>
    <cellStyle name="Normal 4 6 2 3" xfId="399" xr:uid="{00000000-0005-0000-0000-0000702B0000}"/>
    <cellStyle name="Normal 4 6 2 3 2" xfId="873" xr:uid="{00000000-0005-0000-0000-0000712B0000}"/>
    <cellStyle name="Normal 4 6 2 3 2 2" xfId="3108" xr:uid="{00000000-0005-0000-0000-0000722B0000}"/>
    <cellStyle name="Normal 4 6 2 3 2 2 2" xfId="7331" xr:uid="{00000000-0005-0000-0000-0000732B0000}"/>
    <cellStyle name="Normal 4 6 2 3 2 2 2 2" xfId="15767" xr:uid="{00000000-0005-0000-0000-0000742B0000}"/>
    <cellStyle name="Normal 4 6 2 3 2 2 3" xfId="11549" xr:uid="{00000000-0005-0000-0000-0000752B0000}"/>
    <cellStyle name="Normal 4 6 2 3 2 3" xfId="5186" xr:uid="{00000000-0005-0000-0000-0000762B0000}"/>
    <cellStyle name="Normal 4 6 2 3 2 3 2" xfId="13622" xr:uid="{00000000-0005-0000-0000-0000772B0000}"/>
    <cellStyle name="Normal 4 6 2 3 2 4" xfId="9404" xr:uid="{00000000-0005-0000-0000-0000782B0000}"/>
    <cellStyle name="Normal 4 6 2 3 3" xfId="1291" xr:uid="{00000000-0005-0000-0000-0000792B0000}"/>
    <cellStyle name="Normal 4 6 2 3 3 2" xfId="3521" xr:uid="{00000000-0005-0000-0000-00007A2B0000}"/>
    <cellStyle name="Normal 4 6 2 3 3 2 2" xfId="7744" xr:uid="{00000000-0005-0000-0000-00007B2B0000}"/>
    <cellStyle name="Normal 4 6 2 3 3 2 2 2" xfId="16180" xr:uid="{00000000-0005-0000-0000-00007C2B0000}"/>
    <cellStyle name="Normal 4 6 2 3 3 2 3" xfId="11962" xr:uid="{00000000-0005-0000-0000-00007D2B0000}"/>
    <cellStyle name="Normal 4 6 2 3 3 3" xfId="5599" xr:uid="{00000000-0005-0000-0000-00007E2B0000}"/>
    <cellStyle name="Normal 4 6 2 3 3 3 2" xfId="14035" xr:uid="{00000000-0005-0000-0000-00007F2B0000}"/>
    <cellStyle name="Normal 4 6 2 3 3 4" xfId="9817" xr:uid="{00000000-0005-0000-0000-0000802B0000}"/>
    <cellStyle name="Normal 4 6 2 3 4" xfId="1704" xr:uid="{00000000-0005-0000-0000-0000812B0000}"/>
    <cellStyle name="Normal 4 6 2 3 4 2" xfId="3934" xr:uid="{00000000-0005-0000-0000-0000822B0000}"/>
    <cellStyle name="Normal 4 6 2 3 4 2 2" xfId="8157" xr:uid="{00000000-0005-0000-0000-0000832B0000}"/>
    <cellStyle name="Normal 4 6 2 3 4 2 2 2" xfId="16593" xr:uid="{00000000-0005-0000-0000-0000842B0000}"/>
    <cellStyle name="Normal 4 6 2 3 4 2 3" xfId="12375" xr:uid="{00000000-0005-0000-0000-0000852B0000}"/>
    <cellStyle name="Normal 4 6 2 3 4 3" xfId="6012" xr:uid="{00000000-0005-0000-0000-0000862B0000}"/>
    <cellStyle name="Normal 4 6 2 3 4 3 2" xfId="14448" xr:uid="{00000000-0005-0000-0000-0000872B0000}"/>
    <cellStyle name="Normal 4 6 2 3 4 4" xfId="10230" xr:uid="{00000000-0005-0000-0000-0000882B0000}"/>
    <cellStyle name="Normal 4 6 2 3 5" xfId="2118" xr:uid="{00000000-0005-0000-0000-0000892B0000}"/>
    <cellStyle name="Normal 4 6 2 3 5 2" xfId="4347" xr:uid="{00000000-0005-0000-0000-00008A2B0000}"/>
    <cellStyle name="Normal 4 6 2 3 5 2 2" xfId="8570" xr:uid="{00000000-0005-0000-0000-00008B2B0000}"/>
    <cellStyle name="Normal 4 6 2 3 5 2 2 2" xfId="17006" xr:uid="{00000000-0005-0000-0000-00008C2B0000}"/>
    <cellStyle name="Normal 4 6 2 3 5 2 3" xfId="12788" xr:uid="{00000000-0005-0000-0000-00008D2B0000}"/>
    <cellStyle name="Normal 4 6 2 3 5 3" xfId="6425" xr:uid="{00000000-0005-0000-0000-00008E2B0000}"/>
    <cellStyle name="Normal 4 6 2 3 5 3 2" xfId="14861" xr:uid="{00000000-0005-0000-0000-00008F2B0000}"/>
    <cellStyle name="Normal 4 6 2 3 5 4" xfId="10643" xr:uid="{00000000-0005-0000-0000-0000902B0000}"/>
    <cellStyle name="Normal 4 6 2 3 6" xfId="2554" xr:uid="{00000000-0005-0000-0000-0000912B0000}"/>
    <cellStyle name="Normal 4 6 2 3 6 2" xfId="6838" xr:uid="{00000000-0005-0000-0000-0000922B0000}"/>
    <cellStyle name="Normal 4 6 2 3 6 2 2" xfId="15274" xr:uid="{00000000-0005-0000-0000-0000932B0000}"/>
    <cellStyle name="Normal 4 6 2 3 6 3" xfId="11056" xr:uid="{00000000-0005-0000-0000-0000942B0000}"/>
    <cellStyle name="Normal 4 6 2 3 7" xfId="4773" xr:uid="{00000000-0005-0000-0000-0000952B0000}"/>
    <cellStyle name="Normal 4 6 2 3 7 2" xfId="13209" xr:uid="{00000000-0005-0000-0000-0000962B0000}"/>
    <cellStyle name="Normal 4 6 2 3 8" xfId="8991" xr:uid="{00000000-0005-0000-0000-0000972B0000}"/>
    <cellStyle name="Normal 4 6 2 4" xfId="870" xr:uid="{00000000-0005-0000-0000-0000982B0000}"/>
    <cellStyle name="Normal 4 6 2 4 2" xfId="3105" xr:uid="{00000000-0005-0000-0000-0000992B0000}"/>
    <cellStyle name="Normal 4 6 2 4 2 2" xfId="7328" xr:uid="{00000000-0005-0000-0000-00009A2B0000}"/>
    <cellStyle name="Normal 4 6 2 4 2 2 2" xfId="15764" xr:uid="{00000000-0005-0000-0000-00009B2B0000}"/>
    <cellStyle name="Normal 4 6 2 4 2 3" xfId="11546" xr:uid="{00000000-0005-0000-0000-00009C2B0000}"/>
    <cellStyle name="Normal 4 6 2 4 3" xfId="5183" xr:uid="{00000000-0005-0000-0000-00009D2B0000}"/>
    <cellStyle name="Normal 4 6 2 4 3 2" xfId="13619" xr:uid="{00000000-0005-0000-0000-00009E2B0000}"/>
    <cellStyle name="Normal 4 6 2 4 4" xfId="9401" xr:uid="{00000000-0005-0000-0000-00009F2B0000}"/>
    <cellStyle name="Normal 4 6 2 5" xfId="1288" xr:uid="{00000000-0005-0000-0000-0000A02B0000}"/>
    <cellStyle name="Normal 4 6 2 5 2" xfId="3518" xr:uid="{00000000-0005-0000-0000-0000A12B0000}"/>
    <cellStyle name="Normal 4 6 2 5 2 2" xfId="7741" xr:uid="{00000000-0005-0000-0000-0000A22B0000}"/>
    <cellStyle name="Normal 4 6 2 5 2 2 2" xfId="16177" xr:uid="{00000000-0005-0000-0000-0000A32B0000}"/>
    <cellStyle name="Normal 4 6 2 5 2 3" xfId="11959" xr:uid="{00000000-0005-0000-0000-0000A42B0000}"/>
    <cellStyle name="Normal 4 6 2 5 3" xfId="5596" xr:uid="{00000000-0005-0000-0000-0000A52B0000}"/>
    <cellStyle name="Normal 4 6 2 5 3 2" xfId="14032" xr:uid="{00000000-0005-0000-0000-0000A62B0000}"/>
    <cellStyle name="Normal 4 6 2 5 4" xfId="9814" xr:uid="{00000000-0005-0000-0000-0000A72B0000}"/>
    <cellStyle name="Normal 4 6 2 6" xfId="1701" xr:uid="{00000000-0005-0000-0000-0000A82B0000}"/>
    <cellStyle name="Normal 4 6 2 6 2" xfId="3931" xr:uid="{00000000-0005-0000-0000-0000A92B0000}"/>
    <cellStyle name="Normal 4 6 2 6 2 2" xfId="8154" xr:uid="{00000000-0005-0000-0000-0000AA2B0000}"/>
    <cellStyle name="Normal 4 6 2 6 2 2 2" xfId="16590" xr:uid="{00000000-0005-0000-0000-0000AB2B0000}"/>
    <cellStyle name="Normal 4 6 2 6 2 3" xfId="12372" xr:uid="{00000000-0005-0000-0000-0000AC2B0000}"/>
    <cellStyle name="Normal 4 6 2 6 3" xfId="6009" xr:uid="{00000000-0005-0000-0000-0000AD2B0000}"/>
    <cellStyle name="Normal 4 6 2 6 3 2" xfId="14445" xr:uid="{00000000-0005-0000-0000-0000AE2B0000}"/>
    <cellStyle name="Normal 4 6 2 6 4" xfId="10227" xr:uid="{00000000-0005-0000-0000-0000AF2B0000}"/>
    <cellStyle name="Normal 4 6 2 7" xfId="2115" xr:uid="{00000000-0005-0000-0000-0000B02B0000}"/>
    <cellStyle name="Normal 4 6 2 7 2" xfId="4344" xr:uid="{00000000-0005-0000-0000-0000B12B0000}"/>
    <cellStyle name="Normal 4 6 2 7 2 2" xfId="8567" xr:uid="{00000000-0005-0000-0000-0000B22B0000}"/>
    <cellStyle name="Normal 4 6 2 7 2 2 2" xfId="17003" xr:uid="{00000000-0005-0000-0000-0000B32B0000}"/>
    <cellStyle name="Normal 4 6 2 7 2 3" xfId="12785" xr:uid="{00000000-0005-0000-0000-0000B42B0000}"/>
    <cellStyle name="Normal 4 6 2 7 3" xfId="6422" xr:uid="{00000000-0005-0000-0000-0000B52B0000}"/>
    <cellStyle name="Normal 4 6 2 7 3 2" xfId="14858" xr:uid="{00000000-0005-0000-0000-0000B62B0000}"/>
    <cellStyle name="Normal 4 6 2 7 4" xfId="10640" xr:uid="{00000000-0005-0000-0000-0000B72B0000}"/>
    <cellStyle name="Normal 4 6 2 8" xfId="2551" xr:uid="{00000000-0005-0000-0000-0000B82B0000}"/>
    <cellStyle name="Normal 4 6 2 8 2" xfId="6835" xr:uid="{00000000-0005-0000-0000-0000B92B0000}"/>
    <cellStyle name="Normal 4 6 2 8 2 2" xfId="15271" xr:uid="{00000000-0005-0000-0000-0000BA2B0000}"/>
    <cellStyle name="Normal 4 6 2 8 3" xfId="11053" xr:uid="{00000000-0005-0000-0000-0000BB2B0000}"/>
    <cellStyle name="Normal 4 6 2 9" xfId="4770" xr:uid="{00000000-0005-0000-0000-0000BC2B0000}"/>
    <cellStyle name="Normal 4 6 2 9 2" xfId="13206" xr:uid="{00000000-0005-0000-0000-0000BD2B0000}"/>
    <cellStyle name="Normal 4 6 3" xfId="400" xr:uid="{00000000-0005-0000-0000-0000BE2B0000}"/>
    <cellStyle name="Normal 4 6 3 2" xfId="401" xr:uid="{00000000-0005-0000-0000-0000BF2B0000}"/>
    <cellStyle name="Normal 4 6 3 2 2" xfId="875" xr:uid="{00000000-0005-0000-0000-0000C02B0000}"/>
    <cellStyle name="Normal 4 6 3 2 2 2" xfId="3110" xr:uid="{00000000-0005-0000-0000-0000C12B0000}"/>
    <cellStyle name="Normal 4 6 3 2 2 2 2" xfId="7333" xr:uid="{00000000-0005-0000-0000-0000C22B0000}"/>
    <cellStyle name="Normal 4 6 3 2 2 2 2 2" xfId="15769" xr:uid="{00000000-0005-0000-0000-0000C32B0000}"/>
    <cellStyle name="Normal 4 6 3 2 2 2 3" xfId="11551" xr:uid="{00000000-0005-0000-0000-0000C42B0000}"/>
    <cellStyle name="Normal 4 6 3 2 2 3" xfId="5188" xr:uid="{00000000-0005-0000-0000-0000C52B0000}"/>
    <cellStyle name="Normal 4 6 3 2 2 3 2" xfId="13624" xr:uid="{00000000-0005-0000-0000-0000C62B0000}"/>
    <cellStyle name="Normal 4 6 3 2 2 4" xfId="9406" xr:uid="{00000000-0005-0000-0000-0000C72B0000}"/>
    <cellStyle name="Normal 4 6 3 2 3" xfId="1293" xr:uid="{00000000-0005-0000-0000-0000C82B0000}"/>
    <cellStyle name="Normal 4 6 3 2 3 2" xfId="3523" xr:uid="{00000000-0005-0000-0000-0000C92B0000}"/>
    <cellStyle name="Normal 4 6 3 2 3 2 2" xfId="7746" xr:uid="{00000000-0005-0000-0000-0000CA2B0000}"/>
    <cellStyle name="Normal 4 6 3 2 3 2 2 2" xfId="16182" xr:uid="{00000000-0005-0000-0000-0000CB2B0000}"/>
    <cellStyle name="Normal 4 6 3 2 3 2 3" xfId="11964" xr:uid="{00000000-0005-0000-0000-0000CC2B0000}"/>
    <cellStyle name="Normal 4 6 3 2 3 3" xfId="5601" xr:uid="{00000000-0005-0000-0000-0000CD2B0000}"/>
    <cellStyle name="Normal 4 6 3 2 3 3 2" xfId="14037" xr:uid="{00000000-0005-0000-0000-0000CE2B0000}"/>
    <cellStyle name="Normal 4 6 3 2 3 4" xfId="9819" xr:uid="{00000000-0005-0000-0000-0000CF2B0000}"/>
    <cellStyle name="Normal 4 6 3 2 4" xfId="1706" xr:uid="{00000000-0005-0000-0000-0000D02B0000}"/>
    <cellStyle name="Normal 4 6 3 2 4 2" xfId="3936" xr:uid="{00000000-0005-0000-0000-0000D12B0000}"/>
    <cellStyle name="Normal 4 6 3 2 4 2 2" xfId="8159" xr:uid="{00000000-0005-0000-0000-0000D22B0000}"/>
    <cellStyle name="Normal 4 6 3 2 4 2 2 2" xfId="16595" xr:uid="{00000000-0005-0000-0000-0000D32B0000}"/>
    <cellStyle name="Normal 4 6 3 2 4 2 3" xfId="12377" xr:uid="{00000000-0005-0000-0000-0000D42B0000}"/>
    <cellStyle name="Normal 4 6 3 2 4 3" xfId="6014" xr:uid="{00000000-0005-0000-0000-0000D52B0000}"/>
    <cellStyle name="Normal 4 6 3 2 4 3 2" xfId="14450" xr:uid="{00000000-0005-0000-0000-0000D62B0000}"/>
    <cellStyle name="Normal 4 6 3 2 4 4" xfId="10232" xr:uid="{00000000-0005-0000-0000-0000D72B0000}"/>
    <cellStyle name="Normal 4 6 3 2 5" xfId="2120" xr:uid="{00000000-0005-0000-0000-0000D82B0000}"/>
    <cellStyle name="Normal 4 6 3 2 5 2" xfId="4349" xr:uid="{00000000-0005-0000-0000-0000D92B0000}"/>
    <cellStyle name="Normal 4 6 3 2 5 2 2" xfId="8572" xr:uid="{00000000-0005-0000-0000-0000DA2B0000}"/>
    <cellStyle name="Normal 4 6 3 2 5 2 2 2" xfId="17008" xr:uid="{00000000-0005-0000-0000-0000DB2B0000}"/>
    <cellStyle name="Normal 4 6 3 2 5 2 3" xfId="12790" xr:uid="{00000000-0005-0000-0000-0000DC2B0000}"/>
    <cellStyle name="Normal 4 6 3 2 5 3" xfId="6427" xr:uid="{00000000-0005-0000-0000-0000DD2B0000}"/>
    <cellStyle name="Normal 4 6 3 2 5 3 2" xfId="14863" xr:uid="{00000000-0005-0000-0000-0000DE2B0000}"/>
    <cellStyle name="Normal 4 6 3 2 5 4" xfId="10645" xr:uid="{00000000-0005-0000-0000-0000DF2B0000}"/>
    <cellStyle name="Normal 4 6 3 2 6" xfId="2556" xr:uid="{00000000-0005-0000-0000-0000E02B0000}"/>
    <cellStyle name="Normal 4 6 3 2 6 2" xfId="6840" xr:uid="{00000000-0005-0000-0000-0000E12B0000}"/>
    <cellStyle name="Normal 4 6 3 2 6 2 2" xfId="15276" xr:uid="{00000000-0005-0000-0000-0000E22B0000}"/>
    <cellStyle name="Normal 4 6 3 2 6 3" xfId="11058" xr:uid="{00000000-0005-0000-0000-0000E32B0000}"/>
    <cellStyle name="Normal 4 6 3 2 7" xfId="4775" xr:uid="{00000000-0005-0000-0000-0000E42B0000}"/>
    <cellStyle name="Normal 4 6 3 2 7 2" xfId="13211" xr:uid="{00000000-0005-0000-0000-0000E52B0000}"/>
    <cellStyle name="Normal 4 6 3 2 8" xfId="8993" xr:uid="{00000000-0005-0000-0000-0000E62B0000}"/>
    <cellStyle name="Normal 4 6 3 3" xfId="874" xr:uid="{00000000-0005-0000-0000-0000E72B0000}"/>
    <cellStyle name="Normal 4 6 3 3 2" xfId="3109" xr:uid="{00000000-0005-0000-0000-0000E82B0000}"/>
    <cellStyle name="Normal 4 6 3 3 2 2" xfId="7332" xr:uid="{00000000-0005-0000-0000-0000E92B0000}"/>
    <cellStyle name="Normal 4 6 3 3 2 2 2" xfId="15768" xr:uid="{00000000-0005-0000-0000-0000EA2B0000}"/>
    <cellStyle name="Normal 4 6 3 3 2 3" xfId="11550" xr:uid="{00000000-0005-0000-0000-0000EB2B0000}"/>
    <cellStyle name="Normal 4 6 3 3 3" xfId="5187" xr:uid="{00000000-0005-0000-0000-0000EC2B0000}"/>
    <cellStyle name="Normal 4 6 3 3 3 2" xfId="13623" xr:uid="{00000000-0005-0000-0000-0000ED2B0000}"/>
    <cellStyle name="Normal 4 6 3 3 4" xfId="9405" xr:uid="{00000000-0005-0000-0000-0000EE2B0000}"/>
    <cellStyle name="Normal 4 6 3 4" xfId="1292" xr:uid="{00000000-0005-0000-0000-0000EF2B0000}"/>
    <cellStyle name="Normal 4 6 3 4 2" xfId="3522" xr:uid="{00000000-0005-0000-0000-0000F02B0000}"/>
    <cellStyle name="Normal 4 6 3 4 2 2" xfId="7745" xr:uid="{00000000-0005-0000-0000-0000F12B0000}"/>
    <cellStyle name="Normal 4 6 3 4 2 2 2" xfId="16181" xr:uid="{00000000-0005-0000-0000-0000F22B0000}"/>
    <cellStyle name="Normal 4 6 3 4 2 3" xfId="11963" xr:uid="{00000000-0005-0000-0000-0000F32B0000}"/>
    <cellStyle name="Normal 4 6 3 4 3" xfId="5600" xr:uid="{00000000-0005-0000-0000-0000F42B0000}"/>
    <cellStyle name="Normal 4 6 3 4 3 2" xfId="14036" xr:uid="{00000000-0005-0000-0000-0000F52B0000}"/>
    <cellStyle name="Normal 4 6 3 4 4" xfId="9818" xr:uid="{00000000-0005-0000-0000-0000F62B0000}"/>
    <cellStyle name="Normal 4 6 3 5" xfId="1705" xr:uid="{00000000-0005-0000-0000-0000F72B0000}"/>
    <cellStyle name="Normal 4 6 3 5 2" xfId="3935" xr:uid="{00000000-0005-0000-0000-0000F82B0000}"/>
    <cellStyle name="Normal 4 6 3 5 2 2" xfId="8158" xr:uid="{00000000-0005-0000-0000-0000F92B0000}"/>
    <cellStyle name="Normal 4 6 3 5 2 2 2" xfId="16594" xr:uid="{00000000-0005-0000-0000-0000FA2B0000}"/>
    <cellStyle name="Normal 4 6 3 5 2 3" xfId="12376" xr:uid="{00000000-0005-0000-0000-0000FB2B0000}"/>
    <cellStyle name="Normal 4 6 3 5 3" xfId="6013" xr:uid="{00000000-0005-0000-0000-0000FC2B0000}"/>
    <cellStyle name="Normal 4 6 3 5 3 2" xfId="14449" xr:uid="{00000000-0005-0000-0000-0000FD2B0000}"/>
    <cellStyle name="Normal 4 6 3 5 4" xfId="10231" xr:uid="{00000000-0005-0000-0000-0000FE2B0000}"/>
    <cellStyle name="Normal 4 6 3 6" xfId="2119" xr:uid="{00000000-0005-0000-0000-0000FF2B0000}"/>
    <cellStyle name="Normal 4 6 3 6 2" xfId="4348" xr:uid="{00000000-0005-0000-0000-0000002C0000}"/>
    <cellStyle name="Normal 4 6 3 6 2 2" xfId="8571" xr:uid="{00000000-0005-0000-0000-0000012C0000}"/>
    <cellStyle name="Normal 4 6 3 6 2 2 2" xfId="17007" xr:uid="{00000000-0005-0000-0000-0000022C0000}"/>
    <cellStyle name="Normal 4 6 3 6 2 3" xfId="12789" xr:uid="{00000000-0005-0000-0000-0000032C0000}"/>
    <cellStyle name="Normal 4 6 3 6 3" xfId="6426" xr:uid="{00000000-0005-0000-0000-0000042C0000}"/>
    <cellStyle name="Normal 4 6 3 6 3 2" xfId="14862" xr:uid="{00000000-0005-0000-0000-0000052C0000}"/>
    <cellStyle name="Normal 4 6 3 6 4" xfId="10644" xr:uid="{00000000-0005-0000-0000-0000062C0000}"/>
    <cellStyle name="Normal 4 6 3 7" xfId="2555" xr:uid="{00000000-0005-0000-0000-0000072C0000}"/>
    <cellStyle name="Normal 4 6 3 7 2" xfId="6839" xr:uid="{00000000-0005-0000-0000-0000082C0000}"/>
    <cellStyle name="Normal 4 6 3 7 2 2" xfId="15275" xr:uid="{00000000-0005-0000-0000-0000092C0000}"/>
    <cellStyle name="Normal 4 6 3 7 3" xfId="11057" xr:uid="{00000000-0005-0000-0000-00000A2C0000}"/>
    <cellStyle name="Normal 4 6 3 8" xfId="4774" xr:uid="{00000000-0005-0000-0000-00000B2C0000}"/>
    <cellStyle name="Normal 4 6 3 8 2" xfId="13210" xr:uid="{00000000-0005-0000-0000-00000C2C0000}"/>
    <cellStyle name="Normal 4 6 3 9" xfId="8992" xr:uid="{00000000-0005-0000-0000-00000D2C0000}"/>
    <cellStyle name="Normal 4 6 4" xfId="402" xr:uid="{00000000-0005-0000-0000-00000E2C0000}"/>
    <cellStyle name="Normal 4 6 4 2" xfId="876" xr:uid="{00000000-0005-0000-0000-00000F2C0000}"/>
    <cellStyle name="Normal 4 6 4 2 2" xfId="3111" xr:uid="{00000000-0005-0000-0000-0000102C0000}"/>
    <cellStyle name="Normal 4 6 4 2 2 2" xfId="7334" xr:uid="{00000000-0005-0000-0000-0000112C0000}"/>
    <cellStyle name="Normal 4 6 4 2 2 2 2" xfId="15770" xr:uid="{00000000-0005-0000-0000-0000122C0000}"/>
    <cellStyle name="Normal 4 6 4 2 2 3" xfId="11552" xr:uid="{00000000-0005-0000-0000-0000132C0000}"/>
    <cellStyle name="Normal 4 6 4 2 3" xfId="5189" xr:uid="{00000000-0005-0000-0000-0000142C0000}"/>
    <cellStyle name="Normal 4 6 4 2 3 2" xfId="13625" xr:uid="{00000000-0005-0000-0000-0000152C0000}"/>
    <cellStyle name="Normal 4 6 4 2 4" xfId="9407" xr:uid="{00000000-0005-0000-0000-0000162C0000}"/>
    <cellStyle name="Normal 4 6 4 3" xfId="1294" xr:uid="{00000000-0005-0000-0000-0000172C0000}"/>
    <cellStyle name="Normal 4 6 4 3 2" xfId="3524" xr:uid="{00000000-0005-0000-0000-0000182C0000}"/>
    <cellStyle name="Normal 4 6 4 3 2 2" xfId="7747" xr:uid="{00000000-0005-0000-0000-0000192C0000}"/>
    <cellStyle name="Normal 4 6 4 3 2 2 2" xfId="16183" xr:uid="{00000000-0005-0000-0000-00001A2C0000}"/>
    <cellStyle name="Normal 4 6 4 3 2 3" xfId="11965" xr:uid="{00000000-0005-0000-0000-00001B2C0000}"/>
    <cellStyle name="Normal 4 6 4 3 3" xfId="5602" xr:uid="{00000000-0005-0000-0000-00001C2C0000}"/>
    <cellStyle name="Normal 4 6 4 3 3 2" xfId="14038" xr:uid="{00000000-0005-0000-0000-00001D2C0000}"/>
    <cellStyle name="Normal 4 6 4 3 4" xfId="9820" xr:uid="{00000000-0005-0000-0000-00001E2C0000}"/>
    <cellStyle name="Normal 4 6 4 4" xfId="1707" xr:uid="{00000000-0005-0000-0000-00001F2C0000}"/>
    <cellStyle name="Normal 4 6 4 4 2" xfId="3937" xr:uid="{00000000-0005-0000-0000-0000202C0000}"/>
    <cellStyle name="Normal 4 6 4 4 2 2" xfId="8160" xr:uid="{00000000-0005-0000-0000-0000212C0000}"/>
    <cellStyle name="Normal 4 6 4 4 2 2 2" xfId="16596" xr:uid="{00000000-0005-0000-0000-0000222C0000}"/>
    <cellStyle name="Normal 4 6 4 4 2 3" xfId="12378" xr:uid="{00000000-0005-0000-0000-0000232C0000}"/>
    <cellStyle name="Normal 4 6 4 4 3" xfId="6015" xr:uid="{00000000-0005-0000-0000-0000242C0000}"/>
    <cellStyle name="Normal 4 6 4 4 3 2" xfId="14451" xr:uid="{00000000-0005-0000-0000-0000252C0000}"/>
    <cellStyle name="Normal 4 6 4 4 4" xfId="10233" xr:uid="{00000000-0005-0000-0000-0000262C0000}"/>
    <cellStyle name="Normal 4 6 4 5" xfId="2121" xr:uid="{00000000-0005-0000-0000-0000272C0000}"/>
    <cellStyle name="Normal 4 6 4 5 2" xfId="4350" xr:uid="{00000000-0005-0000-0000-0000282C0000}"/>
    <cellStyle name="Normal 4 6 4 5 2 2" xfId="8573" xr:uid="{00000000-0005-0000-0000-0000292C0000}"/>
    <cellStyle name="Normal 4 6 4 5 2 2 2" xfId="17009" xr:uid="{00000000-0005-0000-0000-00002A2C0000}"/>
    <cellStyle name="Normal 4 6 4 5 2 3" xfId="12791" xr:uid="{00000000-0005-0000-0000-00002B2C0000}"/>
    <cellStyle name="Normal 4 6 4 5 3" xfId="6428" xr:uid="{00000000-0005-0000-0000-00002C2C0000}"/>
    <cellStyle name="Normal 4 6 4 5 3 2" xfId="14864" xr:uid="{00000000-0005-0000-0000-00002D2C0000}"/>
    <cellStyle name="Normal 4 6 4 5 4" xfId="10646" xr:uid="{00000000-0005-0000-0000-00002E2C0000}"/>
    <cellStyle name="Normal 4 6 4 6" xfId="2557" xr:uid="{00000000-0005-0000-0000-00002F2C0000}"/>
    <cellStyle name="Normal 4 6 4 6 2" xfId="6841" xr:uid="{00000000-0005-0000-0000-0000302C0000}"/>
    <cellStyle name="Normal 4 6 4 6 2 2" xfId="15277" xr:uid="{00000000-0005-0000-0000-0000312C0000}"/>
    <cellStyle name="Normal 4 6 4 6 3" xfId="11059" xr:uid="{00000000-0005-0000-0000-0000322C0000}"/>
    <cellStyle name="Normal 4 6 4 7" xfId="4776" xr:uid="{00000000-0005-0000-0000-0000332C0000}"/>
    <cellStyle name="Normal 4 6 4 7 2" xfId="13212" xr:uid="{00000000-0005-0000-0000-0000342C0000}"/>
    <cellStyle name="Normal 4 6 4 8" xfId="8994" xr:uid="{00000000-0005-0000-0000-0000352C0000}"/>
    <cellStyle name="Normal 4 6 5" xfId="869" xr:uid="{00000000-0005-0000-0000-0000362C0000}"/>
    <cellStyle name="Normal 4 6 5 2" xfId="3104" xr:uid="{00000000-0005-0000-0000-0000372C0000}"/>
    <cellStyle name="Normal 4 6 5 2 2" xfId="7327" xr:uid="{00000000-0005-0000-0000-0000382C0000}"/>
    <cellStyle name="Normal 4 6 5 2 2 2" xfId="15763" xr:uid="{00000000-0005-0000-0000-0000392C0000}"/>
    <cellStyle name="Normal 4 6 5 2 3" xfId="11545" xr:uid="{00000000-0005-0000-0000-00003A2C0000}"/>
    <cellStyle name="Normal 4 6 5 3" xfId="5182" xr:uid="{00000000-0005-0000-0000-00003B2C0000}"/>
    <cellStyle name="Normal 4 6 5 3 2" xfId="13618" xr:uid="{00000000-0005-0000-0000-00003C2C0000}"/>
    <cellStyle name="Normal 4 6 5 4" xfId="9400" xr:uid="{00000000-0005-0000-0000-00003D2C0000}"/>
    <cellStyle name="Normal 4 6 6" xfId="1287" xr:uid="{00000000-0005-0000-0000-00003E2C0000}"/>
    <cellStyle name="Normal 4 6 6 2" xfId="3517" xr:uid="{00000000-0005-0000-0000-00003F2C0000}"/>
    <cellStyle name="Normal 4 6 6 2 2" xfId="7740" xr:uid="{00000000-0005-0000-0000-0000402C0000}"/>
    <cellStyle name="Normal 4 6 6 2 2 2" xfId="16176" xr:uid="{00000000-0005-0000-0000-0000412C0000}"/>
    <cellStyle name="Normal 4 6 6 2 3" xfId="11958" xr:uid="{00000000-0005-0000-0000-0000422C0000}"/>
    <cellStyle name="Normal 4 6 6 3" xfId="5595" xr:uid="{00000000-0005-0000-0000-0000432C0000}"/>
    <cellStyle name="Normal 4 6 6 3 2" xfId="14031" xr:uid="{00000000-0005-0000-0000-0000442C0000}"/>
    <cellStyle name="Normal 4 6 6 4" xfId="9813" xr:uid="{00000000-0005-0000-0000-0000452C0000}"/>
    <cellStyle name="Normal 4 6 7" xfId="1700" xr:uid="{00000000-0005-0000-0000-0000462C0000}"/>
    <cellStyle name="Normal 4 6 7 2" xfId="3930" xr:uid="{00000000-0005-0000-0000-0000472C0000}"/>
    <cellStyle name="Normal 4 6 7 2 2" xfId="8153" xr:uid="{00000000-0005-0000-0000-0000482C0000}"/>
    <cellStyle name="Normal 4 6 7 2 2 2" xfId="16589" xr:uid="{00000000-0005-0000-0000-0000492C0000}"/>
    <cellStyle name="Normal 4 6 7 2 3" xfId="12371" xr:uid="{00000000-0005-0000-0000-00004A2C0000}"/>
    <cellStyle name="Normal 4 6 7 3" xfId="6008" xr:uid="{00000000-0005-0000-0000-00004B2C0000}"/>
    <cellStyle name="Normal 4 6 7 3 2" xfId="14444" xr:uid="{00000000-0005-0000-0000-00004C2C0000}"/>
    <cellStyle name="Normal 4 6 7 4" xfId="10226" xr:uid="{00000000-0005-0000-0000-00004D2C0000}"/>
    <cellStyle name="Normal 4 6 8" xfId="2114" xr:uid="{00000000-0005-0000-0000-00004E2C0000}"/>
    <cellStyle name="Normal 4 6 8 2" xfId="4343" xr:uid="{00000000-0005-0000-0000-00004F2C0000}"/>
    <cellStyle name="Normal 4 6 8 2 2" xfId="8566" xr:uid="{00000000-0005-0000-0000-0000502C0000}"/>
    <cellStyle name="Normal 4 6 8 2 2 2" xfId="17002" xr:uid="{00000000-0005-0000-0000-0000512C0000}"/>
    <cellStyle name="Normal 4 6 8 2 3" xfId="12784" xr:uid="{00000000-0005-0000-0000-0000522C0000}"/>
    <cellStyle name="Normal 4 6 8 3" xfId="6421" xr:uid="{00000000-0005-0000-0000-0000532C0000}"/>
    <cellStyle name="Normal 4 6 8 3 2" xfId="14857" xr:uid="{00000000-0005-0000-0000-0000542C0000}"/>
    <cellStyle name="Normal 4 6 8 4" xfId="10639" xr:uid="{00000000-0005-0000-0000-0000552C0000}"/>
    <cellStyle name="Normal 4 6 9" xfId="2550" xr:uid="{00000000-0005-0000-0000-0000562C0000}"/>
    <cellStyle name="Normal 4 6 9 2" xfId="6834" xr:uid="{00000000-0005-0000-0000-0000572C0000}"/>
    <cellStyle name="Normal 4 6 9 2 2" xfId="15270" xr:uid="{00000000-0005-0000-0000-0000582C0000}"/>
    <cellStyle name="Normal 4 6 9 3" xfId="11052" xr:uid="{00000000-0005-0000-0000-0000592C0000}"/>
    <cellStyle name="Normal 4 7" xfId="403" xr:uid="{00000000-0005-0000-0000-00005A2C0000}"/>
    <cellStyle name="Normal 4 7 2" xfId="404" xr:uid="{00000000-0005-0000-0000-00005B2C0000}"/>
    <cellStyle name="Normal 4 7 2 2" xfId="878" xr:uid="{00000000-0005-0000-0000-00005C2C0000}"/>
    <cellStyle name="Normal 4 7 2 2 2" xfId="3113" xr:uid="{00000000-0005-0000-0000-00005D2C0000}"/>
    <cellStyle name="Normal 4 7 2 2 2 2" xfId="7336" xr:uid="{00000000-0005-0000-0000-00005E2C0000}"/>
    <cellStyle name="Normal 4 7 2 2 2 2 2" xfId="15772" xr:uid="{00000000-0005-0000-0000-00005F2C0000}"/>
    <cellStyle name="Normal 4 7 2 2 2 3" xfId="11554" xr:uid="{00000000-0005-0000-0000-0000602C0000}"/>
    <cellStyle name="Normal 4 7 2 2 3" xfId="5191" xr:uid="{00000000-0005-0000-0000-0000612C0000}"/>
    <cellStyle name="Normal 4 7 2 2 3 2" xfId="13627" xr:uid="{00000000-0005-0000-0000-0000622C0000}"/>
    <cellStyle name="Normal 4 7 2 2 4" xfId="9409" xr:uid="{00000000-0005-0000-0000-0000632C0000}"/>
    <cellStyle name="Normal 4 7 2 3" xfId="1296" xr:uid="{00000000-0005-0000-0000-0000642C0000}"/>
    <cellStyle name="Normal 4 7 2 3 2" xfId="3526" xr:uid="{00000000-0005-0000-0000-0000652C0000}"/>
    <cellStyle name="Normal 4 7 2 3 2 2" xfId="7749" xr:uid="{00000000-0005-0000-0000-0000662C0000}"/>
    <cellStyle name="Normal 4 7 2 3 2 2 2" xfId="16185" xr:uid="{00000000-0005-0000-0000-0000672C0000}"/>
    <cellStyle name="Normal 4 7 2 3 2 3" xfId="11967" xr:uid="{00000000-0005-0000-0000-0000682C0000}"/>
    <cellStyle name="Normal 4 7 2 3 3" xfId="5604" xr:uid="{00000000-0005-0000-0000-0000692C0000}"/>
    <cellStyle name="Normal 4 7 2 3 3 2" xfId="14040" xr:uid="{00000000-0005-0000-0000-00006A2C0000}"/>
    <cellStyle name="Normal 4 7 2 3 4" xfId="9822" xr:uid="{00000000-0005-0000-0000-00006B2C0000}"/>
    <cellStyle name="Normal 4 7 2 4" xfId="1709" xr:uid="{00000000-0005-0000-0000-00006C2C0000}"/>
    <cellStyle name="Normal 4 7 2 4 2" xfId="3939" xr:uid="{00000000-0005-0000-0000-00006D2C0000}"/>
    <cellStyle name="Normal 4 7 2 4 2 2" xfId="8162" xr:uid="{00000000-0005-0000-0000-00006E2C0000}"/>
    <cellStyle name="Normal 4 7 2 4 2 2 2" xfId="16598" xr:uid="{00000000-0005-0000-0000-00006F2C0000}"/>
    <cellStyle name="Normal 4 7 2 4 2 3" xfId="12380" xr:uid="{00000000-0005-0000-0000-0000702C0000}"/>
    <cellStyle name="Normal 4 7 2 4 3" xfId="6017" xr:uid="{00000000-0005-0000-0000-0000712C0000}"/>
    <cellStyle name="Normal 4 7 2 4 3 2" xfId="14453" xr:uid="{00000000-0005-0000-0000-0000722C0000}"/>
    <cellStyle name="Normal 4 7 2 4 4" xfId="10235" xr:uid="{00000000-0005-0000-0000-0000732C0000}"/>
    <cellStyle name="Normal 4 7 2 5" xfId="2123" xr:uid="{00000000-0005-0000-0000-0000742C0000}"/>
    <cellStyle name="Normal 4 7 2 5 2" xfId="4352" xr:uid="{00000000-0005-0000-0000-0000752C0000}"/>
    <cellStyle name="Normal 4 7 2 5 2 2" xfId="8575" xr:uid="{00000000-0005-0000-0000-0000762C0000}"/>
    <cellStyle name="Normal 4 7 2 5 2 2 2" xfId="17011" xr:uid="{00000000-0005-0000-0000-0000772C0000}"/>
    <cellStyle name="Normal 4 7 2 5 2 3" xfId="12793" xr:uid="{00000000-0005-0000-0000-0000782C0000}"/>
    <cellStyle name="Normal 4 7 2 5 3" xfId="6430" xr:uid="{00000000-0005-0000-0000-0000792C0000}"/>
    <cellStyle name="Normal 4 7 2 5 3 2" xfId="14866" xr:uid="{00000000-0005-0000-0000-00007A2C0000}"/>
    <cellStyle name="Normal 4 7 2 5 4" xfId="10648" xr:uid="{00000000-0005-0000-0000-00007B2C0000}"/>
    <cellStyle name="Normal 4 7 2 6" xfId="2559" xr:uid="{00000000-0005-0000-0000-00007C2C0000}"/>
    <cellStyle name="Normal 4 7 2 6 2" xfId="6843" xr:uid="{00000000-0005-0000-0000-00007D2C0000}"/>
    <cellStyle name="Normal 4 7 2 6 2 2" xfId="15279" xr:uid="{00000000-0005-0000-0000-00007E2C0000}"/>
    <cellStyle name="Normal 4 7 2 6 3" xfId="11061" xr:uid="{00000000-0005-0000-0000-00007F2C0000}"/>
    <cellStyle name="Normal 4 7 2 7" xfId="4778" xr:uid="{00000000-0005-0000-0000-0000802C0000}"/>
    <cellStyle name="Normal 4 7 2 7 2" xfId="13214" xr:uid="{00000000-0005-0000-0000-0000812C0000}"/>
    <cellStyle name="Normal 4 7 2 8" xfId="8996" xr:uid="{00000000-0005-0000-0000-0000822C0000}"/>
    <cellStyle name="Normal 4 7 3" xfId="877" xr:uid="{00000000-0005-0000-0000-0000832C0000}"/>
    <cellStyle name="Normal 4 7 3 2" xfId="3112" xr:uid="{00000000-0005-0000-0000-0000842C0000}"/>
    <cellStyle name="Normal 4 7 3 2 2" xfId="7335" xr:uid="{00000000-0005-0000-0000-0000852C0000}"/>
    <cellStyle name="Normal 4 7 3 2 2 2" xfId="15771" xr:uid="{00000000-0005-0000-0000-0000862C0000}"/>
    <cellStyle name="Normal 4 7 3 2 3" xfId="11553" xr:uid="{00000000-0005-0000-0000-0000872C0000}"/>
    <cellStyle name="Normal 4 7 3 3" xfId="5190" xr:uid="{00000000-0005-0000-0000-0000882C0000}"/>
    <cellStyle name="Normal 4 7 3 3 2" xfId="13626" xr:uid="{00000000-0005-0000-0000-0000892C0000}"/>
    <cellStyle name="Normal 4 7 3 4" xfId="9408" xr:uid="{00000000-0005-0000-0000-00008A2C0000}"/>
    <cellStyle name="Normal 4 7 4" xfId="1295" xr:uid="{00000000-0005-0000-0000-00008B2C0000}"/>
    <cellStyle name="Normal 4 7 4 2" xfId="3525" xr:uid="{00000000-0005-0000-0000-00008C2C0000}"/>
    <cellStyle name="Normal 4 7 4 2 2" xfId="7748" xr:uid="{00000000-0005-0000-0000-00008D2C0000}"/>
    <cellStyle name="Normal 4 7 4 2 2 2" xfId="16184" xr:uid="{00000000-0005-0000-0000-00008E2C0000}"/>
    <cellStyle name="Normal 4 7 4 2 3" xfId="11966" xr:uid="{00000000-0005-0000-0000-00008F2C0000}"/>
    <cellStyle name="Normal 4 7 4 3" xfId="5603" xr:uid="{00000000-0005-0000-0000-0000902C0000}"/>
    <cellStyle name="Normal 4 7 4 3 2" xfId="14039" xr:uid="{00000000-0005-0000-0000-0000912C0000}"/>
    <cellStyle name="Normal 4 7 4 4" xfId="9821" xr:uid="{00000000-0005-0000-0000-0000922C0000}"/>
    <cellStyle name="Normal 4 7 5" xfId="1708" xr:uid="{00000000-0005-0000-0000-0000932C0000}"/>
    <cellStyle name="Normal 4 7 5 2" xfId="3938" xr:uid="{00000000-0005-0000-0000-0000942C0000}"/>
    <cellStyle name="Normal 4 7 5 2 2" xfId="8161" xr:uid="{00000000-0005-0000-0000-0000952C0000}"/>
    <cellStyle name="Normal 4 7 5 2 2 2" xfId="16597" xr:uid="{00000000-0005-0000-0000-0000962C0000}"/>
    <cellStyle name="Normal 4 7 5 2 3" xfId="12379" xr:uid="{00000000-0005-0000-0000-0000972C0000}"/>
    <cellStyle name="Normal 4 7 5 3" xfId="6016" xr:uid="{00000000-0005-0000-0000-0000982C0000}"/>
    <cellStyle name="Normal 4 7 5 3 2" xfId="14452" xr:uid="{00000000-0005-0000-0000-0000992C0000}"/>
    <cellStyle name="Normal 4 7 5 4" xfId="10234" xr:uid="{00000000-0005-0000-0000-00009A2C0000}"/>
    <cellStyle name="Normal 4 7 6" xfId="2122" xr:uid="{00000000-0005-0000-0000-00009B2C0000}"/>
    <cellStyle name="Normal 4 7 6 2" xfId="4351" xr:uid="{00000000-0005-0000-0000-00009C2C0000}"/>
    <cellStyle name="Normal 4 7 6 2 2" xfId="8574" xr:uid="{00000000-0005-0000-0000-00009D2C0000}"/>
    <cellStyle name="Normal 4 7 6 2 2 2" xfId="17010" xr:uid="{00000000-0005-0000-0000-00009E2C0000}"/>
    <cellStyle name="Normal 4 7 6 2 3" xfId="12792" xr:uid="{00000000-0005-0000-0000-00009F2C0000}"/>
    <cellStyle name="Normal 4 7 6 3" xfId="6429" xr:uid="{00000000-0005-0000-0000-0000A02C0000}"/>
    <cellStyle name="Normal 4 7 6 3 2" xfId="14865" xr:uid="{00000000-0005-0000-0000-0000A12C0000}"/>
    <cellStyle name="Normal 4 7 6 4" xfId="10647" xr:uid="{00000000-0005-0000-0000-0000A22C0000}"/>
    <cellStyle name="Normal 4 7 7" xfId="2558" xr:uid="{00000000-0005-0000-0000-0000A32C0000}"/>
    <cellStyle name="Normal 4 7 7 2" xfId="6842" xr:uid="{00000000-0005-0000-0000-0000A42C0000}"/>
    <cellStyle name="Normal 4 7 7 2 2" xfId="15278" xr:uid="{00000000-0005-0000-0000-0000A52C0000}"/>
    <cellStyle name="Normal 4 7 7 3" xfId="11060" xr:uid="{00000000-0005-0000-0000-0000A62C0000}"/>
    <cellStyle name="Normal 4 7 8" xfId="4777" xr:uid="{00000000-0005-0000-0000-0000A72C0000}"/>
    <cellStyle name="Normal 4 7 8 2" xfId="13213" xr:uid="{00000000-0005-0000-0000-0000A82C0000}"/>
    <cellStyle name="Normal 4 7 9" xfId="8995" xr:uid="{00000000-0005-0000-0000-0000A92C0000}"/>
    <cellStyle name="Normal 4 8" xfId="405" xr:uid="{00000000-0005-0000-0000-0000AA2C0000}"/>
    <cellStyle name="Normal 4 8 2" xfId="879" xr:uid="{00000000-0005-0000-0000-0000AB2C0000}"/>
    <cellStyle name="Normal 4 8 2 2" xfId="3114" xr:uid="{00000000-0005-0000-0000-0000AC2C0000}"/>
    <cellStyle name="Normal 4 8 2 2 2" xfId="7337" xr:uid="{00000000-0005-0000-0000-0000AD2C0000}"/>
    <cellStyle name="Normal 4 8 2 2 2 2" xfId="15773" xr:uid="{00000000-0005-0000-0000-0000AE2C0000}"/>
    <cellStyle name="Normal 4 8 2 2 3" xfId="11555" xr:uid="{00000000-0005-0000-0000-0000AF2C0000}"/>
    <cellStyle name="Normal 4 8 2 3" xfId="5192" xr:uid="{00000000-0005-0000-0000-0000B02C0000}"/>
    <cellStyle name="Normal 4 8 2 3 2" xfId="13628" xr:uid="{00000000-0005-0000-0000-0000B12C0000}"/>
    <cellStyle name="Normal 4 8 2 4" xfId="9410" xr:uid="{00000000-0005-0000-0000-0000B22C0000}"/>
    <cellStyle name="Normal 4 8 3" xfId="1297" xr:uid="{00000000-0005-0000-0000-0000B32C0000}"/>
    <cellStyle name="Normal 4 8 3 2" xfId="3527" xr:uid="{00000000-0005-0000-0000-0000B42C0000}"/>
    <cellStyle name="Normal 4 8 3 2 2" xfId="7750" xr:uid="{00000000-0005-0000-0000-0000B52C0000}"/>
    <cellStyle name="Normal 4 8 3 2 2 2" xfId="16186" xr:uid="{00000000-0005-0000-0000-0000B62C0000}"/>
    <cellStyle name="Normal 4 8 3 2 3" xfId="11968" xr:uid="{00000000-0005-0000-0000-0000B72C0000}"/>
    <cellStyle name="Normal 4 8 3 3" xfId="5605" xr:uid="{00000000-0005-0000-0000-0000B82C0000}"/>
    <cellStyle name="Normal 4 8 3 3 2" xfId="14041" xr:uid="{00000000-0005-0000-0000-0000B92C0000}"/>
    <cellStyle name="Normal 4 8 3 4" xfId="9823" xr:uid="{00000000-0005-0000-0000-0000BA2C0000}"/>
    <cellStyle name="Normal 4 8 4" xfId="1710" xr:uid="{00000000-0005-0000-0000-0000BB2C0000}"/>
    <cellStyle name="Normal 4 8 4 2" xfId="3940" xr:uid="{00000000-0005-0000-0000-0000BC2C0000}"/>
    <cellStyle name="Normal 4 8 4 2 2" xfId="8163" xr:uid="{00000000-0005-0000-0000-0000BD2C0000}"/>
    <cellStyle name="Normal 4 8 4 2 2 2" xfId="16599" xr:uid="{00000000-0005-0000-0000-0000BE2C0000}"/>
    <cellStyle name="Normal 4 8 4 2 3" xfId="12381" xr:uid="{00000000-0005-0000-0000-0000BF2C0000}"/>
    <cellStyle name="Normal 4 8 4 3" xfId="6018" xr:uid="{00000000-0005-0000-0000-0000C02C0000}"/>
    <cellStyle name="Normal 4 8 4 3 2" xfId="14454" xr:uid="{00000000-0005-0000-0000-0000C12C0000}"/>
    <cellStyle name="Normal 4 8 4 4" xfId="10236" xr:uid="{00000000-0005-0000-0000-0000C22C0000}"/>
    <cellStyle name="Normal 4 8 5" xfId="2124" xr:uid="{00000000-0005-0000-0000-0000C32C0000}"/>
    <cellStyle name="Normal 4 8 5 2" xfId="4353" xr:uid="{00000000-0005-0000-0000-0000C42C0000}"/>
    <cellStyle name="Normal 4 8 5 2 2" xfId="8576" xr:uid="{00000000-0005-0000-0000-0000C52C0000}"/>
    <cellStyle name="Normal 4 8 5 2 2 2" xfId="17012" xr:uid="{00000000-0005-0000-0000-0000C62C0000}"/>
    <cellStyle name="Normal 4 8 5 2 3" xfId="12794" xr:uid="{00000000-0005-0000-0000-0000C72C0000}"/>
    <cellStyle name="Normal 4 8 5 3" xfId="6431" xr:uid="{00000000-0005-0000-0000-0000C82C0000}"/>
    <cellStyle name="Normal 4 8 5 3 2" xfId="14867" xr:uid="{00000000-0005-0000-0000-0000C92C0000}"/>
    <cellStyle name="Normal 4 8 5 4" xfId="10649" xr:uid="{00000000-0005-0000-0000-0000CA2C0000}"/>
    <cellStyle name="Normal 4 8 6" xfId="2560" xr:uid="{00000000-0005-0000-0000-0000CB2C0000}"/>
    <cellStyle name="Normal 4 8 6 2" xfId="6844" xr:uid="{00000000-0005-0000-0000-0000CC2C0000}"/>
    <cellStyle name="Normal 4 8 6 2 2" xfId="15280" xr:uid="{00000000-0005-0000-0000-0000CD2C0000}"/>
    <cellStyle name="Normal 4 8 6 3" xfId="11062" xr:uid="{00000000-0005-0000-0000-0000CE2C0000}"/>
    <cellStyle name="Normal 4 8 7" xfId="4779" xr:uid="{00000000-0005-0000-0000-0000CF2C0000}"/>
    <cellStyle name="Normal 4 8 7 2" xfId="13215" xr:uid="{00000000-0005-0000-0000-0000D02C0000}"/>
    <cellStyle name="Normal 4 8 8" xfId="8997" xr:uid="{00000000-0005-0000-0000-0000D12C0000}"/>
    <cellStyle name="Normal 4 9" xfId="4716" xr:uid="{00000000-0005-0000-0000-0000D22C0000}"/>
    <cellStyle name="Normal 4 9 2" xfId="13152" xr:uid="{00000000-0005-0000-0000-0000D32C0000}"/>
    <cellStyle name="Normal 5" xfId="406" xr:uid="{00000000-0005-0000-0000-0000D42C0000}"/>
    <cellStyle name="Normal 5 10" xfId="1711" xr:uid="{00000000-0005-0000-0000-0000D52C0000}"/>
    <cellStyle name="Normal 5 10 2" xfId="3941" xr:uid="{00000000-0005-0000-0000-0000D62C0000}"/>
    <cellStyle name="Normal 5 10 2 2" xfId="8164" xr:uid="{00000000-0005-0000-0000-0000D72C0000}"/>
    <cellStyle name="Normal 5 10 2 2 2" xfId="16600" xr:uid="{00000000-0005-0000-0000-0000D82C0000}"/>
    <cellStyle name="Normal 5 10 2 3" xfId="12382" xr:uid="{00000000-0005-0000-0000-0000D92C0000}"/>
    <cellStyle name="Normal 5 10 3" xfId="6019" xr:uid="{00000000-0005-0000-0000-0000DA2C0000}"/>
    <cellStyle name="Normal 5 10 3 2" xfId="14455" xr:uid="{00000000-0005-0000-0000-0000DB2C0000}"/>
    <cellStyle name="Normal 5 10 4" xfId="10237" xr:uid="{00000000-0005-0000-0000-0000DC2C0000}"/>
    <cellStyle name="Normal 5 11" xfId="2125" xr:uid="{00000000-0005-0000-0000-0000DD2C0000}"/>
    <cellStyle name="Normal 5 11 2" xfId="4354" xr:uid="{00000000-0005-0000-0000-0000DE2C0000}"/>
    <cellStyle name="Normal 5 11 2 2" xfId="8577" xr:uid="{00000000-0005-0000-0000-0000DF2C0000}"/>
    <cellStyle name="Normal 5 11 2 2 2" xfId="17013" xr:uid="{00000000-0005-0000-0000-0000E02C0000}"/>
    <cellStyle name="Normal 5 11 2 3" xfId="12795" xr:uid="{00000000-0005-0000-0000-0000E12C0000}"/>
    <cellStyle name="Normal 5 11 3" xfId="6432" xr:uid="{00000000-0005-0000-0000-0000E22C0000}"/>
    <cellStyle name="Normal 5 11 3 2" xfId="14868" xr:uid="{00000000-0005-0000-0000-0000E32C0000}"/>
    <cellStyle name="Normal 5 11 4" xfId="10650" xr:uid="{00000000-0005-0000-0000-0000E42C0000}"/>
    <cellStyle name="Normal 5 12" xfId="2561" xr:uid="{00000000-0005-0000-0000-0000E52C0000}"/>
    <cellStyle name="Normal 5 12 2" xfId="6845" xr:uid="{00000000-0005-0000-0000-0000E62C0000}"/>
    <cellStyle name="Normal 5 12 2 2" xfId="15281" xr:uid="{00000000-0005-0000-0000-0000E72C0000}"/>
    <cellStyle name="Normal 5 12 3" xfId="11063" xr:uid="{00000000-0005-0000-0000-0000E82C0000}"/>
    <cellStyle name="Normal 5 13" xfId="4780" xr:uid="{00000000-0005-0000-0000-0000E92C0000}"/>
    <cellStyle name="Normal 5 13 2" xfId="13216" xr:uid="{00000000-0005-0000-0000-0000EA2C0000}"/>
    <cellStyle name="Normal 5 14" xfId="8998" xr:uid="{00000000-0005-0000-0000-0000EB2C0000}"/>
    <cellStyle name="Normal 5 2" xfId="407" xr:uid="{00000000-0005-0000-0000-0000EC2C0000}"/>
    <cellStyle name="Normal 5 2 10" xfId="2126" xr:uid="{00000000-0005-0000-0000-0000ED2C0000}"/>
    <cellStyle name="Normal 5 2 10 2" xfId="4355" xr:uid="{00000000-0005-0000-0000-0000EE2C0000}"/>
    <cellStyle name="Normal 5 2 10 2 2" xfId="8578" xr:uid="{00000000-0005-0000-0000-0000EF2C0000}"/>
    <cellStyle name="Normal 5 2 10 2 2 2" xfId="17014" xr:uid="{00000000-0005-0000-0000-0000F02C0000}"/>
    <cellStyle name="Normal 5 2 10 2 3" xfId="12796" xr:uid="{00000000-0005-0000-0000-0000F12C0000}"/>
    <cellStyle name="Normal 5 2 10 3" xfId="6433" xr:uid="{00000000-0005-0000-0000-0000F22C0000}"/>
    <cellStyle name="Normal 5 2 10 3 2" xfId="14869" xr:uid="{00000000-0005-0000-0000-0000F32C0000}"/>
    <cellStyle name="Normal 5 2 10 4" xfId="10651" xr:uid="{00000000-0005-0000-0000-0000F42C0000}"/>
    <cellStyle name="Normal 5 2 11" xfId="2562" xr:uid="{00000000-0005-0000-0000-0000F52C0000}"/>
    <cellStyle name="Normal 5 2 11 2" xfId="6846" xr:uid="{00000000-0005-0000-0000-0000F62C0000}"/>
    <cellStyle name="Normal 5 2 11 2 2" xfId="15282" xr:uid="{00000000-0005-0000-0000-0000F72C0000}"/>
    <cellStyle name="Normal 5 2 11 3" xfId="11064" xr:uid="{00000000-0005-0000-0000-0000F82C0000}"/>
    <cellStyle name="Normal 5 2 12" xfId="4781" xr:uid="{00000000-0005-0000-0000-0000F92C0000}"/>
    <cellStyle name="Normal 5 2 12 2" xfId="13217" xr:uid="{00000000-0005-0000-0000-0000FA2C0000}"/>
    <cellStyle name="Normal 5 2 13" xfId="8999" xr:uid="{00000000-0005-0000-0000-0000FB2C0000}"/>
    <cellStyle name="Normal 5 2 2" xfId="408" xr:uid="{00000000-0005-0000-0000-0000FC2C0000}"/>
    <cellStyle name="Normal 5 2 2 10" xfId="2563" xr:uid="{00000000-0005-0000-0000-0000FD2C0000}"/>
    <cellStyle name="Normal 5 2 2 10 2" xfId="6847" xr:uid="{00000000-0005-0000-0000-0000FE2C0000}"/>
    <cellStyle name="Normal 5 2 2 10 2 2" xfId="15283" xr:uid="{00000000-0005-0000-0000-0000FF2C0000}"/>
    <cellStyle name="Normal 5 2 2 10 3" xfId="11065" xr:uid="{00000000-0005-0000-0000-0000002D0000}"/>
    <cellStyle name="Normal 5 2 2 11" xfId="4782" xr:uid="{00000000-0005-0000-0000-0000012D0000}"/>
    <cellStyle name="Normal 5 2 2 11 2" xfId="13218" xr:uid="{00000000-0005-0000-0000-0000022D0000}"/>
    <cellStyle name="Normal 5 2 2 12" xfId="9000" xr:uid="{00000000-0005-0000-0000-0000032D0000}"/>
    <cellStyle name="Normal 5 2 2 2" xfId="409" xr:uid="{00000000-0005-0000-0000-0000042D0000}"/>
    <cellStyle name="Normal 5 2 2 2 10" xfId="4783" xr:uid="{00000000-0005-0000-0000-0000052D0000}"/>
    <cellStyle name="Normal 5 2 2 2 10 2" xfId="13219" xr:uid="{00000000-0005-0000-0000-0000062D0000}"/>
    <cellStyle name="Normal 5 2 2 2 11" xfId="9001" xr:uid="{00000000-0005-0000-0000-0000072D0000}"/>
    <cellStyle name="Normal 5 2 2 2 2" xfId="410" xr:uid="{00000000-0005-0000-0000-0000082D0000}"/>
    <cellStyle name="Normal 5 2 2 2 2 10" xfId="9002" xr:uid="{00000000-0005-0000-0000-0000092D0000}"/>
    <cellStyle name="Normal 5 2 2 2 2 2" xfId="411" xr:uid="{00000000-0005-0000-0000-00000A2D0000}"/>
    <cellStyle name="Normal 5 2 2 2 2 2 2" xfId="412" xr:uid="{00000000-0005-0000-0000-00000B2D0000}"/>
    <cellStyle name="Normal 5 2 2 2 2 2 2 2" xfId="886" xr:uid="{00000000-0005-0000-0000-00000C2D0000}"/>
    <cellStyle name="Normal 5 2 2 2 2 2 2 2 2" xfId="3121" xr:uid="{00000000-0005-0000-0000-00000D2D0000}"/>
    <cellStyle name="Normal 5 2 2 2 2 2 2 2 2 2" xfId="7344" xr:uid="{00000000-0005-0000-0000-00000E2D0000}"/>
    <cellStyle name="Normal 5 2 2 2 2 2 2 2 2 2 2" xfId="15780" xr:uid="{00000000-0005-0000-0000-00000F2D0000}"/>
    <cellStyle name="Normal 5 2 2 2 2 2 2 2 2 3" xfId="11562" xr:uid="{00000000-0005-0000-0000-0000102D0000}"/>
    <cellStyle name="Normal 5 2 2 2 2 2 2 2 3" xfId="5199" xr:uid="{00000000-0005-0000-0000-0000112D0000}"/>
    <cellStyle name="Normal 5 2 2 2 2 2 2 2 3 2" xfId="13635" xr:uid="{00000000-0005-0000-0000-0000122D0000}"/>
    <cellStyle name="Normal 5 2 2 2 2 2 2 2 4" xfId="9417" xr:uid="{00000000-0005-0000-0000-0000132D0000}"/>
    <cellStyle name="Normal 5 2 2 2 2 2 2 3" xfId="1304" xr:uid="{00000000-0005-0000-0000-0000142D0000}"/>
    <cellStyle name="Normal 5 2 2 2 2 2 2 3 2" xfId="3534" xr:uid="{00000000-0005-0000-0000-0000152D0000}"/>
    <cellStyle name="Normal 5 2 2 2 2 2 2 3 2 2" xfId="7757" xr:uid="{00000000-0005-0000-0000-0000162D0000}"/>
    <cellStyle name="Normal 5 2 2 2 2 2 2 3 2 2 2" xfId="16193" xr:uid="{00000000-0005-0000-0000-0000172D0000}"/>
    <cellStyle name="Normal 5 2 2 2 2 2 2 3 2 3" xfId="11975" xr:uid="{00000000-0005-0000-0000-0000182D0000}"/>
    <cellStyle name="Normal 5 2 2 2 2 2 2 3 3" xfId="5612" xr:uid="{00000000-0005-0000-0000-0000192D0000}"/>
    <cellStyle name="Normal 5 2 2 2 2 2 2 3 3 2" xfId="14048" xr:uid="{00000000-0005-0000-0000-00001A2D0000}"/>
    <cellStyle name="Normal 5 2 2 2 2 2 2 3 4" xfId="9830" xr:uid="{00000000-0005-0000-0000-00001B2D0000}"/>
    <cellStyle name="Normal 5 2 2 2 2 2 2 4" xfId="1717" xr:uid="{00000000-0005-0000-0000-00001C2D0000}"/>
    <cellStyle name="Normal 5 2 2 2 2 2 2 4 2" xfId="3947" xr:uid="{00000000-0005-0000-0000-00001D2D0000}"/>
    <cellStyle name="Normal 5 2 2 2 2 2 2 4 2 2" xfId="8170" xr:uid="{00000000-0005-0000-0000-00001E2D0000}"/>
    <cellStyle name="Normal 5 2 2 2 2 2 2 4 2 2 2" xfId="16606" xr:uid="{00000000-0005-0000-0000-00001F2D0000}"/>
    <cellStyle name="Normal 5 2 2 2 2 2 2 4 2 3" xfId="12388" xr:uid="{00000000-0005-0000-0000-0000202D0000}"/>
    <cellStyle name="Normal 5 2 2 2 2 2 2 4 3" xfId="6025" xr:uid="{00000000-0005-0000-0000-0000212D0000}"/>
    <cellStyle name="Normal 5 2 2 2 2 2 2 4 3 2" xfId="14461" xr:uid="{00000000-0005-0000-0000-0000222D0000}"/>
    <cellStyle name="Normal 5 2 2 2 2 2 2 4 4" xfId="10243" xr:uid="{00000000-0005-0000-0000-0000232D0000}"/>
    <cellStyle name="Normal 5 2 2 2 2 2 2 5" xfId="2131" xr:uid="{00000000-0005-0000-0000-0000242D0000}"/>
    <cellStyle name="Normal 5 2 2 2 2 2 2 5 2" xfId="4360" xr:uid="{00000000-0005-0000-0000-0000252D0000}"/>
    <cellStyle name="Normal 5 2 2 2 2 2 2 5 2 2" xfId="8583" xr:uid="{00000000-0005-0000-0000-0000262D0000}"/>
    <cellStyle name="Normal 5 2 2 2 2 2 2 5 2 2 2" xfId="17019" xr:uid="{00000000-0005-0000-0000-0000272D0000}"/>
    <cellStyle name="Normal 5 2 2 2 2 2 2 5 2 3" xfId="12801" xr:uid="{00000000-0005-0000-0000-0000282D0000}"/>
    <cellStyle name="Normal 5 2 2 2 2 2 2 5 3" xfId="6438" xr:uid="{00000000-0005-0000-0000-0000292D0000}"/>
    <cellStyle name="Normal 5 2 2 2 2 2 2 5 3 2" xfId="14874" xr:uid="{00000000-0005-0000-0000-00002A2D0000}"/>
    <cellStyle name="Normal 5 2 2 2 2 2 2 5 4" xfId="10656" xr:uid="{00000000-0005-0000-0000-00002B2D0000}"/>
    <cellStyle name="Normal 5 2 2 2 2 2 2 6" xfId="2567" xr:uid="{00000000-0005-0000-0000-00002C2D0000}"/>
    <cellStyle name="Normal 5 2 2 2 2 2 2 6 2" xfId="6851" xr:uid="{00000000-0005-0000-0000-00002D2D0000}"/>
    <cellStyle name="Normal 5 2 2 2 2 2 2 6 2 2" xfId="15287" xr:uid="{00000000-0005-0000-0000-00002E2D0000}"/>
    <cellStyle name="Normal 5 2 2 2 2 2 2 6 3" xfId="11069" xr:uid="{00000000-0005-0000-0000-00002F2D0000}"/>
    <cellStyle name="Normal 5 2 2 2 2 2 2 7" xfId="4786" xr:uid="{00000000-0005-0000-0000-0000302D0000}"/>
    <cellStyle name="Normal 5 2 2 2 2 2 2 7 2" xfId="13222" xr:uid="{00000000-0005-0000-0000-0000312D0000}"/>
    <cellStyle name="Normal 5 2 2 2 2 2 2 8" xfId="9004" xr:uid="{00000000-0005-0000-0000-0000322D0000}"/>
    <cellStyle name="Normal 5 2 2 2 2 2 3" xfId="885" xr:uid="{00000000-0005-0000-0000-0000332D0000}"/>
    <cellStyle name="Normal 5 2 2 2 2 2 3 2" xfId="3120" xr:uid="{00000000-0005-0000-0000-0000342D0000}"/>
    <cellStyle name="Normal 5 2 2 2 2 2 3 2 2" xfId="7343" xr:uid="{00000000-0005-0000-0000-0000352D0000}"/>
    <cellStyle name="Normal 5 2 2 2 2 2 3 2 2 2" xfId="15779" xr:uid="{00000000-0005-0000-0000-0000362D0000}"/>
    <cellStyle name="Normal 5 2 2 2 2 2 3 2 3" xfId="11561" xr:uid="{00000000-0005-0000-0000-0000372D0000}"/>
    <cellStyle name="Normal 5 2 2 2 2 2 3 3" xfId="5198" xr:uid="{00000000-0005-0000-0000-0000382D0000}"/>
    <cellStyle name="Normal 5 2 2 2 2 2 3 3 2" xfId="13634" xr:uid="{00000000-0005-0000-0000-0000392D0000}"/>
    <cellStyle name="Normal 5 2 2 2 2 2 3 4" xfId="9416" xr:uid="{00000000-0005-0000-0000-00003A2D0000}"/>
    <cellStyle name="Normal 5 2 2 2 2 2 4" xfId="1303" xr:uid="{00000000-0005-0000-0000-00003B2D0000}"/>
    <cellStyle name="Normal 5 2 2 2 2 2 4 2" xfId="3533" xr:uid="{00000000-0005-0000-0000-00003C2D0000}"/>
    <cellStyle name="Normal 5 2 2 2 2 2 4 2 2" xfId="7756" xr:uid="{00000000-0005-0000-0000-00003D2D0000}"/>
    <cellStyle name="Normal 5 2 2 2 2 2 4 2 2 2" xfId="16192" xr:uid="{00000000-0005-0000-0000-00003E2D0000}"/>
    <cellStyle name="Normal 5 2 2 2 2 2 4 2 3" xfId="11974" xr:uid="{00000000-0005-0000-0000-00003F2D0000}"/>
    <cellStyle name="Normal 5 2 2 2 2 2 4 3" xfId="5611" xr:uid="{00000000-0005-0000-0000-0000402D0000}"/>
    <cellStyle name="Normal 5 2 2 2 2 2 4 3 2" xfId="14047" xr:uid="{00000000-0005-0000-0000-0000412D0000}"/>
    <cellStyle name="Normal 5 2 2 2 2 2 4 4" xfId="9829" xr:uid="{00000000-0005-0000-0000-0000422D0000}"/>
    <cellStyle name="Normal 5 2 2 2 2 2 5" xfId="1716" xr:uid="{00000000-0005-0000-0000-0000432D0000}"/>
    <cellStyle name="Normal 5 2 2 2 2 2 5 2" xfId="3946" xr:uid="{00000000-0005-0000-0000-0000442D0000}"/>
    <cellStyle name="Normal 5 2 2 2 2 2 5 2 2" xfId="8169" xr:uid="{00000000-0005-0000-0000-0000452D0000}"/>
    <cellStyle name="Normal 5 2 2 2 2 2 5 2 2 2" xfId="16605" xr:uid="{00000000-0005-0000-0000-0000462D0000}"/>
    <cellStyle name="Normal 5 2 2 2 2 2 5 2 3" xfId="12387" xr:uid="{00000000-0005-0000-0000-0000472D0000}"/>
    <cellStyle name="Normal 5 2 2 2 2 2 5 3" xfId="6024" xr:uid="{00000000-0005-0000-0000-0000482D0000}"/>
    <cellStyle name="Normal 5 2 2 2 2 2 5 3 2" xfId="14460" xr:uid="{00000000-0005-0000-0000-0000492D0000}"/>
    <cellStyle name="Normal 5 2 2 2 2 2 5 4" xfId="10242" xr:uid="{00000000-0005-0000-0000-00004A2D0000}"/>
    <cellStyle name="Normal 5 2 2 2 2 2 6" xfId="2130" xr:uid="{00000000-0005-0000-0000-00004B2D0000}"/>
    <cellStyle name="Normal 5 2 2 2 2 2 6 2" xfId="4359" xr:uid="{00000000-0005-0000-0000-00004C2D0000}"/>
    <cellStyle name="Normal 5 2 2 2 2 2 6 2 2" xfId="8582" xr:uid="{00000000-0005-0000-0000-00004D2D0000}"/>
    <cellStyle name="Normal 5 2 2 2 2 2 6 2 2 2" xfId="17018" xr:uid="{00000000-0005-0000-0000-00004E2D0000}"/>
    <cellStyle name="Normal 5 2 2 2 2 2 6 2 3" xfId="12800" xr:uid="{00000000-0005-0000-0000-00004F2D0000}"/>
    <cellStyle name="Normal 5 2 2 2 2 2 6 3" xfId="6437" xr:uid="{00000000-0005-0000-0000-0000502D0000}"/>
    <cellStyle name="Normal 5 2 2 2 2 2 6 3 2" xfId="14873" xr:uid="{00000000-0005-0000-0000-0000512D0000}"/>
    <cellStyle name="Normal 5 2 2 2 2 2 6 4" xfId="10655" xr:uid="{00000000-0005-0000-0000-0000522D0000}"/>
    <cellStyle name="Normal 5 2 2 2 2 2 7" xfId="2566" xr:uid="{00000000-0005-0000-0000-0000532D0000}"/>
    <cellStyle name="Normal 5 2 2 2 2 2 7 2" xfId="6850" xr:uid="{00000000-0005-0000-0000-0000542D0000}"/>
    <cellStyle name="Normal 5 2 2 2 2 2 7 2 2" xfId="15286" xr:uid="{00000000-0005-0000-0000-0000552D0000}"/>
    <cellStyle name="Normal 5 2 2 2 2 2 7 3" xfId="11068" xr:uid="{00000000-0005-0000-0000-0000562D0000}"/>
    <cellStyle name="Normal 5 2 2 2 2 2 8" xfId="4785" xr:uid="{00000000-0005-0000-0000-0000572D0000}"/>
    <cellStyle name="Normal 5 2 2 2 2 2 8 2" xfId="13221" xr:uid="{00000000-0005-0000-0000-0000582D0000}"/>
    <cellStyle name="Normal 5 2 2 2 2 2 9" xfId="9003" xr:uid="{00000000-0005-0000-0000-0000592D0000}"/>
    <cellStyle name="Normal 5 2 2 2 2 3" xfId="413" xr:uid="{00000000-0005-0000-0000-00005A2D0000}"/>
    <cellStyle name="Normal 5 2 2 2 2 3 2" xfId="887" xr:uid="{00000000-0005-0000-0000-00005B2D0000}"/>
    <cellStyle name="Normal 5 2 2 2 2 3 2 2" xfId="3122" xr:uid="{00000000-0005-0000-0000-00005C2D0000}"/>
    <cellStyle name="Normal 5 2 2 2 2 3 2 2 2" xfId="7345" xr:uid="{00000000-0005-0000-0000-00005D2D0000}"/>
    <cellStyle name="Normal 5 2 2 2 2 3 2 2 2 2" xfId="15781" xr:uid="{00000000-0005-0000-0000-00005E2D0000}"/>
    <cellStyle name="Normal 5 2 2 2 2 3 2 2 3" xfId="11563" xr:uid="{00000000-0005-0000-0000-00005F2D0000}"/>
    <cellStyle name="Normal 5 2 2 2 2 3 2 3" xfId="5200" xr:uid="{00000000-0005-0000-0000-0000602D0000}"/>
    <cellStyle name="Normal 5 2 2 2 2 3 2 3 2" xfId="13636" xr:uid="{00000000-0005-0000-0000-0000612D0000}"/>
    <cellStyle name="Normal 5 2 2 2 2 3 2 4" xfId="9418" xr:uid="{00000000-0005-0000-0000-0000622D0000}"/>
    <cellStyle name="Normal 5 2 2 2 2 3 3" xfId="1305" xr:uid="{00000000-0005-0000-0000-0000632D0000}"/>
    <cellStyle name="Normal 5 2 2 2 2 3 3 2" xfId="3535" xr:uid="{00000000-0005-0000-0000-0000642D0000}"/>
    <cellStyle name="Normal 5 2 2 2 2 3 3 2 2" xfId="7758" xr:uid="{00000000-0005-0000-0000-0000652D0000}"/>
    <cellStyle name="Normal 5 2 2 2 2 3 3 2 2 2" xfId="16194" xr:uid="{00000000-0005-0000-0000-0000662D0000}"/>
    <cellStyle name="Normal 5 2 2 2 2 3 3 2 3" xfId="11976" xr:uid="{00000000-0005-0000-0000-0000672D0000}"/>
    <cellStyle name="Normal 5 2 2 2 2 3 3 3" xfId="5613" xr:uid="{00000000-0005-0000-0000-0000682D0000}"/>
    <cellStyle name="Normal 5 2 2 2 2 3 3 3 2" xfId="14049" xr:uid="{00000000-0005-0000-0000-0000692D0000}"/>
    <cellStyle name="Normal 5 2 2 2 2 3 3 4" xfId="9831" xr:uid="{00000000-0005-0000-0000-00006A2D0000}"/>
    <cellStyle name="Normal 5 2 2 2 2 3 4" xfId="1718" xr:uid="{00000000-0005-0000-0000-00006B2D0000}"/>
    <cellStyle name="Normal 5 2 2 2 2 3 4 2" xfId="3948" xr:uid="{00000000-0005-0000-0000-00006C2D0000}"/>
    <cellStyle name="Normal 5 2 2 2 2 3 4 2 2" xfId="8171" xr:uid="{00000000-0005-0000-0000-00006D2D0000}"/>
    <cellStyle name="Normal 5 2 2 2 2 3 4 2 2 2" xfId="16607" xr:uid="{00000000-0005-0000-0000-00006E2D0000}"/>
    <cellStyle name="Normal 5 2 2 2 2 3 4 2 3" xfId="12389" xr:uid="{00000000-0005-0000-0000-00006F2D0000}"/>
    <cellStyle name="Normal 5 2 2 2 2 3 4 3" xfId="6026" xr:uid="{00000000-0005-0000-0000-0000702D0000}"/>
    <cellStyle name="Normal 5 2 2 2 2 3 4 3 2" xfId="14462" xr:uid="{00000000-0005-0000-0000-0000712D0000}"/>
    <cellStyle name="Normal 5 2 2 2 2 3 4 4" xfId="10244" xr:uid="{00000000-0005-0000-0000-0000722D0000}"/>
    <cellStyle name="Normal 5 2 2 2 2 3 5" xfId="2132" xr:uid="{00000000-0005-0000-0000-0000732D0000}"/>
    <cellStyle name="Normal 5 2 2 2 2 3 5 2" xfId="4361" xr:uid="{00000000-0005-0000-0000-0000742D0000}"/>
    <cellStyle name="Normal 5 2 2 2 2 3 5 2 2" xfId="8584" xr:uid="{00000000-0005-0000-0000-0000752D0000}"/>
    <cellStyle name="Normal 5 2 2 2 2 3 5 2 2 2" xfId="17020" xr:uid="{00000000-0005-0000-0000-0000762D0000}"/>
    <cellStyle name="Normal 5 2 2 2 2 3 5 2 3" xfId="12802" xr:uid="{00000000-0005-0000-0000-0000772D0000}"/>
    <cellStyle name="Normal 5 2 2 2 2 3 5 3" xfId="6439" xr:uid="{00000000-0005-0000-0000-0000782D0000}"/>
    <cellStyle name="Normal 5 2 2 2 2 3 5 3 2" xfId="14875" xr:uid="{00000000-0005-0000-0000-0000792D0000}"/>
    <cellStyle name="Normal 5 2 2 2 2 3 5 4" xfId="10657" xr:uid="{00000000-0005-0000-0000-00007A2D0000}"/>
    <cellStyle name="Normal 5 2 2 2 2 3 6" xfId="2568" xr:uid="{00000000-0005-0000-0000-00007B2D0000}"/>
    <cellStyle name="Normal 5 2 2 2 2 3 6 2" xfId="6852" xr:uid="{00000000-0005-0000-0000-00007C2D0000}"/>
    <cellStyle name="Normal 5 2 2 2 2 3 6 2 2" xfId="15288" xr:uid="{00000000-0005-0000-0000-00007D2D0000}"/>
    <cellStyle name="Normal 5 2 2 2 2 3 6 3" xfId="11070" xr:uid="{00000000-0005-0000-0000-00007E2D0000}"/>
    <cellStyle name="Normal 5 2 2 2 2 3 7" xfId="4787" xr:uid="{00000000-0005-0000-0000-00007F2D0000}"/>
    <cellStyle name="Normal 5 2 2 2 2 3 7 2" xfId="13223" xr:uid="{00000000-0005-0000-0000-0000802D0000}"/>
    <cellStyle name="Normal 5 2 2 2 2 3 8" xfId="9005" xr:uid="{00000000-0005-0000-0000-0000812D0000}"/>
    <cellStyle name="Normal 5 2 2 2 2 4" xfId="884" xr:uid="{00000000-0005-0000-0000-0000822D0000}"/>
    <cellStyle name="Normal 5 2 2 2 2 4 2" xfId="3119" xr:uid="{00000000-0005-0000-0000-0000832D0000}"/>
    <cellStyle name="Normal 5 2 2 2 2 4 2 2" xfId="7342" xr:uid="{00000000-0005-0000-0000-0000842D0000}"/>
    <cellStyle name="Normal 5 2 2 2 2 4 2 2 2" xfId="15778" xr:uid="{00000000-0005-0000-0000-0000852D0000}"/>
    <cellStyle name="Normal 5 2 2 2 2 4 2 3" xfId="11560" xr:uid="{00000000-0005-0000-0000-0000862D0000}"/>
    <cellStyle name="Normal 5 2 2 2 2 4 3" xfId="5197" xr:uid="{00000000-0005-0000-0000-0000872D0000}"/>
    <cellStyle name="Normal 5 2 2 2 2 4 3 2" xfId="13633" xr:uid="{00000000-0005-0000-0000-0000882D0000}"/>
    <cellStyle name="Normal 5 2 2 2 2 4 4" xfId="9415" xr:uid="{00000000-0005-0000-0000-0000892D0000}"/>
    <cellStyle name="Normal 5 2 2 2 2 5" xfId="1302" xr:uid="{00000000-0005-0000-0000-00008A2D0000}"/>
    <cellStyle name="Normal 5 2 2 2 2 5 2" xfId="3532" xr:uid="{00000000-0005-0000-0000-00008B2D0000}"/>
    <cellStyle name="Normal 5 2 2 2 2 5 2 2" xfId="7755" xr:uid="{00000000-0005-0000-0000-00008C2D0000}"/>
    <cellStyle name="Normal 5 2 2 2 2 5 2 2 2" xfId="16191" xr:uid="{00000000-0005-0000-0000-00008D2D0000}"/>
    <cellStyle name="Normal 5 2 2 2 2 5 2 3" xfId="11973" xr:uid="{00000000-0005-0000-0000-00008E2D0000}"/>
    <cellStyle name="Normal 5 2 2 2 2 5 3" xfId="5610" xr:uid="{00000000-0005-0000-0000-00008F2D0000}"/>
    <cellStyle name="Normal 5 2 2 2 2 5 3 2" xfId="14046" xr:uid="{00000000-0005-0000-0000-0000902D0000}"/>
    <cellStyle name="Normal 5 2 2 2 2 5 4" xfId="9828" xr:uid="{00000000-0005-0000-0000-0000912D0000}"/>
    <cellStyle name="Normal 5 2 2 2 2 6" xfId="1715" xr:uid="{00000000-0005-0000-0000-0000922D0000}"/>
    <cellStyle name="Normal 5 2 2 2 2 6 2" xfId="3945" xr:uid="{00000000-0005-0000-0000-0000932D0000}"/>
    <cellStyle name="Normal 5 2 2 2 2 6 2 2" xfId="8168" xr:uid="{00000000-0005-0000-0000-0000942D0000}"/>
    <cellStyle name="Normal 5 2 2 2 2 6 2 2 2" xfId="16604" xr:uid="{00000000-0005-0000-0000-0000952D0000}"/>
    <cellStyle name="Normal 5 2 2 2 2 6 2 3" xfId="12386" xr:uid="{00000000-0005-0000-0000-0000962D0000}"/>
    <cellStyle name="Normal 5 2 2 2 2 6 3" xfId="6023" xr:uid="{00000000-0005-0000-0000-0000972D0000}"/>
    <cellStyle name="Normal 5 2 2 2 2 6 3 2" xfId="14459" xr:uid="{00000000-0005-0000-0000-0000982D0000}"/>
    <cellStyle name="Normal 5 2 2 2 2 6 4" xfId="10241" xr:uid="{00000000-0005-0000-0000-0000992D0000}"/>
    <cellStyle name="Normal 5 2 2 2 2 7" xfId="2129" xr:uid="{00000000-0005-0000-0000-00009A2D0000}"/>
    <cellStyle name="Normal 5 2 2 2 2 7 2" xfId="4358" xr:uid="{00000000-0005-0000-0000-00009B2D0000}"/>
    <cellStyle name="Normal 5 2 2 2 2 7 2 2" xfId="8581" xr:uid="{00000000-0005-0000-0000-00009C2D0000}"/>
    <cellStyle name="Normal 5 2 2 2 2 7 2 2 2" xfId="17017" xr:uid="{00000000-0005-0000-0000-00009D2D0000}"/>
    <cellStyle name="Normal 5 2 2 2 2 7 2 3" xfId="12799" xr:uid="{00000000-0005-0000-0000-00009E2D0000}"/>
    <cellStyle name="Normal 5 2 2 2 2 7 3" xfId="6436" xr:uid="{00000000-0005-0000-0000-00009F2D0000}"/>
    <cellStyle name="Normal 5 2 2 2 2 7 3 2" xfId="14872" xr:uid="{00000000-0005-0000-0000-0000A02D0000}"/>
    <cellStyle name="Normal 5 2 2 2 2 7 4" xfId="10654" xr:uid="{00000000-0005-0000-0000-0000A12D0000}"/>
    <cellStyle name="Normal 5 2 2 2 2 8" xfId="2565" xr:uid="{00000000-0005-0000-0000-0000A22D0000}"/>
    <cellStyle name="Normal 5 2 2 2 2 8 2" xfId="6849" xr:uid="{00000000-0005-0000-0000-0000A32D0000}"/>
    <cellStyle name="Normal 5 2 2 2 2 8 2 2" xfId="15285" xr:uid="{00000000-0005-0000-0000-0000A42D0000}"/>
    <cellStyle name="Normal 5 2 2 2 2 8 3" xfId="11067" xr:uid="{00000000-0005-0000-0000-0000A52D0000}"/>
    <cellStyle name="Normal 5 2 2 2 2 9" xfId="4784" xr:uid="{00000000-0005-0000-0000-0000A62D0000}"/>
    <cellStyle name="Normal 5 2 2 2 2 9 2" xfId="13220" xr:uid="{00000000-0005-0000-0000-0000A72D0000}"/>
    <cellStyle name="Normal 5 2 2 2 3" xfId="414" xr:uid="{00000000-0005-0000-0000-0000A82D0000}"/>
    <cellStyle name="Normal 5 2 2 2 3 2" xfId="415" xr:uid="{00000000-0005-0000-0000-0000A92D0000}"/>
    <cellStyle name="Normal 5 2 2 2 3 2 2" xfId="889" xr:uid="{00000000-0005-0000-0000-0000AA2D0000}"/>
    <cellStyle name="Normal 5 2 2 2 3 2 2 2" xfId="3124" xr:uid="{00000000-0005-0000-0000-0000AB2D0000}"/>
    <cellStyle name="Normal 5 2 2 2 3 2 2 2 2" xfId="7347" xr:uid="{00000000-0005-0000-0000-0000AC2D0000}"/>
    <cellStyle name="Normal 5 2 2 2 3 2 2 2 2 2" xfId="15783" xr:uid="{00000000-0005-0000-0000-0000AD2D0000}"/>
    <cellStyle name="Normal 5 2 2 2 3 2 2 2 3" xfId="11565" xr:uid="{00000000-0005-0000-0000-0000AE2D0000}"/>
    <cellStyle name="Normal 5 2 2 2 3 2 2 3" xfId="5202" xr:uid="{00000000-0005-0000-0000-0000AF2D0000}"/>
    <cellStyle name="Normal 5 2 2 2 3 2 2 3 2" xfId="13638" xr:uid="{00000000-0005-0000-0000-0000B02D0000}"/>
    <cellStyle name="Normal 5 2 2 2 3 2 2 4" xfId="9420" xr:uid="{00000000-0005-0000-0000-0000B12D0000}"/>
    <cellStyle name="Normal 5 2 2 2 3 2 3" xfId="1307" xr:uid="{00000000-0005-0000-0000-0000B22D0000}"/>
    <cellStyle name="Normal 5 2 2 2 3 2 3 2" xfId="3537" xr:uid="{00000000-0005-0000-0000-0000B32D0000}"/>
    <cellStyle name="Normal 5 2 2 2 3 2 3 2 2" xfId="7760" xr:uid="{00000000-0005-0000-0000-0000B42D0000}"/>
    <cellStyle name="Normal 5 2 2 2 3 2 3 2 2 2" xfId="16196" xr:uid="{00000000-0005-0000-0000-0000B52D0000}"/>
    <cellStyle name="Normal 5 2 2 2 3 2 3 2 3" xfId="11978" xr:uid="{00000000-0005-0000-0000-0000B62D0000}"/>
    <cellStyle name="Normal 5 2 2 2 3 2 3 3" xfId="5615" xr:uid="{00000000-0005-0000-0000-0000B72D0000}"/>
    <cellStyle name="Normal 5 2 2 2 3 2 3 3 2" xfId="14051" xr:uid="{00000000-0005-0000-0000-0000B82D0000}"/>
    <cellStyle name="Normal 5 2 2 2 3 2 3 4" xfId="9833" xr:uid="{00000000-0005-0000-0000-0000B92D0000}"/>
    <cellStyle name="Normal 5 2 2 2 3 2 4" xfId="1720" xr:uid="{00000000-0005-0000-0000-0000BA2D0000}"/>
    <cellStyle name="Normal 5 2 2 2 3 2 4 2" xfId="3950" xr:uid="{00000000-0005-0000-0000-0000BB2D0000}"/>
    <cellStyle name="Normal 5 2 2 2 3 2 4 2 2" xfId="8173" xr:uid="{00000000-0005-0000-0000-0000BC2D0000}"/>
    <cellStyle name="Normal 5 2 2 2 3 2 4 2 2 2" xfId="16609" xr:uid="{00000000-0005-0000-0000-0000BD2D0000}"/>
    <cellStyle name="Normal 5 2 2 2 3 2 4 2 3" xfId="12391" xr:uid="{00000000-0005-0000-0000-0000BE2D0000}"/>
    <cellStyle name="Normal 5 2 2 2 3 2 4 3" xfId="6028" xr:uid="{00000000-0005-0000-0000-0000BF2D0000}"/>
    <cellStyle name="Normal 5 2 2 2 3 2 4 3 2" xfId="14464" xr:uid="{00000000-0005-0000-0000-0000C02D0000}"/>
    <cellStyle name="Normal 5 2 2 2 3 2 4 4" xfId="10246" xr:uid="{00000000-0005-0000-0000-0000C12D0000}"/>
    <cellStyle name="Normal 5 2 2 2 3 2 5" xfId="2134" xr:uid="{00000000-0005-0000-0000-0000C22D0000}"/>
    <cellStyle name="Normal 5 2 2 2 3 2 5 2" xfId="4363" xr:uid="{00000000-0005-0000-0000-0000C32D0000}"/>
    <cellStyle name="Normal 5 2 2 2 3 2 5 2 2" xfId="8586" xr:uid="{00000000-0005-0000-0000-0000C42D0000}"/>
    <cellStyle name="Normal 5 2 2 2 3 2 5 2 2 2" xfId="17022" xr:uid="{00000000-0005-0000-0000-0000C52D0000}"/>
    <cellStyle name="Normal 5 2 2 2 3 2 5 2 3" xfId="12804" xr:uid="{00000000-0005-0000-0000-0000C62D0000}"/>
    <cellStyle name="Normal 5 2 2 2 3 2 5 3" xfId="6441" xr:uid="{00000000-0005-0000-0000-0000C72D0000}"/>
    <cellStyle name="Normal 5 2 2 2 3 2 5 3 2" xfId="14877" xr:uid="{00000000-0005-0000-0000-0000C82D0000}"/>
    <cellStyle name="Normal 5 2 2 2 3 2 5 4" xfId="10659" xr:uid="{00000000-0005-0000-0000-0000C92D0000}"/>
    <cellStyle name="Normal 5 2 2 2 3 2 6" xfId="2570" xr:uid="{00000000-0005-0000-0000-0000CA2D0000}"/>
    <cellStyle name="Normal 5 2 2 2 3 2 6 2" xfId="6854" xr:uid="{00000000-0005-0000-0000-0000CB2D0000}"/>
    <cellStyle name="Normal 5 2 2 2 3 2 6 2 2" xfId="15290" xr:uid="{00000000-0005-0000-0000-0000CC2D0000}"/>
    <cellStyle name="Normal 5 2 2 2 3 2 6 3" xfId="11072" xr:uid="{00000000-0005-0000-0000-0000CD2D0000}"/>
    <cellStyle name="Normal 5 2 2 2 3 2 7" xfId="4789" xr:uid="{00000000-0005-0000-0000-0000CE2D0000}"/>
    <cellStyle name="Normal 5 2 2 2 3 2 7 2" xfId="13225" xr:uid="{00000000-0005-0000-0000-0000CF2D0000}"/>
    <cellStyle name="Normal 5 2 2 2 3 2 8" xfId="9007" xr:uid="{00000000-0005-0000-0000-0000D02D0000}"/>
    <cellStyle name="Normal 5 2 2 2 3 3" xfId="888" xr:uid="{00000000-0005-0000-0000-0000D12D0000}"/>
    <cellStyle name="Normal 5 2 2 2 3 3 2" xfId="3123" xr:uid="{00000000-0005-0000-0000-0000D22D0000}"/>
    <cellStyle name="Normal 5 2 2 2 3 3 2 2" xfId="7346" xr:uid="{00000000-0005-0000-0000-0000D32D0000}"/>
    <cellStyle name="Normal 5 2 2 2 3 3 2 2 2" xfId="15782" xr:uid="{00000000-0005-0000-0000-0000D42D0000}"/>
    <cellStyle name="Normal 5 2 2 2 3 3 2 3" xfId="11564" xr:uid="{00000000-0005-0000-0000-0000D52D0000}"/>
    <cellStyle name="Normal 5 2 2 2 3 3 3" xfId="5201" xr:uid="{00000000-0005-0000-0000-0000D62D0000}"/>
    <cellStyle name="Normal 5 2 2 2 3 3 3 2" xfId="13637" xr:uid="{00000000-0005-0000-0000-0000D72D0000}"/>
    <cellStyle name="Normal 5 2 2 2 3 3 4" xfId="9419" xr:uid="{00000000-0005-0000-0000-0000D82D0000}"/>
    <cellStyle name="Normal 5 2 2 2 3 4" xfId="1306" xr:uid="{00000000-0005-0000-0000-0000D92D0000}"/>
    <cellStyle name="Normal 5 2 2 2 3 4 2" xfId="3536" xr:uid="{00000000-0005-0000-0000-0000DA2D0000}"/>
    <cellStyle name="Normal 5 2 2 2 3 4 2 2" xfId="7759" xr:uid="{00000000-0005-0000-0000-0000DB2D0000}"/>
    <cellStyle name="Normal 5 2 2 2 3 4 2 2 2" xfId="16195" xr:uid="{00000000-0005-0000-0000-0000DC2D0000}"/>
    <cellStyle name="Normal 5 2 2 2 3 4 2 3" xfId="11977" xr:uid="{00000000-0005-0000-0000-0000DD2D0000}"/>
    <cellStyle name="Normal 5 2 2 2 3 4 3" xfId="5614" xr:uid="{00000000-0005-0000-0000-0000DE2D0000}"/>
    <cellStyle name="Normal 5 2 2 2 3 4 3 2" xfId="14050" xr:uid="{00000000-0005-0000-0000-0000DF2D0000}"/>
    <cellStyle name="Normal 5 2 2 2 3 4 4" xfId="9832" xr:uid="{00000000-0005-0000-0000-0000E02D0000}"/>
    <cellStyle name="Normal 5 2 2 2 3 5" xfId="1719" xr:uid="{00000000-0005-0000-0000-0000E12D0000}"/>
    <cellStyle name="Normal 5 2 2 2 3 5 2" xfId="3949" xr:uid="{00000000-0005-0000-0000-0000E22D0000}"/>
    <cellStyle name="Normal 5 2 2 2 3 5 2 2" xfId="8172" xr:uid="{00000000-0005-0000-0000-0000E32D0000}"/>
    <cellStyle name="Normal 5 2 2 2 3 5 2 2 2" xfId="16608" xr:uid="{00000000-0005-0000-0000-0000E42D0000}"/>
    <cellStyle name="Normal 5 2 2 2 3 5 2 3" xfId="12390" xr:uid="{00000000-0005-0000-0000-0000E52D0000}"/>
    <cellStyle name="Normal 5 2 2 2 3 5 3" xfId="6027" xr:uid="{00000000-0005-0000-0000-0000E62D0000}"/>
    <cellStyle name="Normal 5 2 2 2 3 5 3 2" xfId="14463" xr:uid="{00000000-0005-0000-0000-0000E72D0000}"/>
    <cellStyle name="Normal 5 2 2 2 3 5 4" xfId="10245" xr:uid="{00000000-0005-0000-0000-0000E82D0000}"/>
    <cellStyle name="Normal 5 2 2 2 3 6" xfId="2133" xr:uid="{00000000-0005-0000-0000-0000E92D0000}"/>
    <cellStyle name="Normal 5 2 2 2 3 6 2" xfId="4362" xr:uid="{00000000-0005-0000-0000-0000EA2D0000}"/>
    <cellStyle name="Normal 5 2 2 2 3 6 2 2" xfId="8585" xr:uid="{00000000-0005-0000-0000-0000EB2D0000}"/>
    <cellStyle name="Normal 5 2 2 2 3 6 2 2 2" xfId="17021" xr:uid="{00000000-0005-0000-0000-0000EC2D0000}"/>
    <cellStyle name="Normal 5 2 2 2 3 6 2 3" xfId="12803" xr:uid="{00000000-0005-0000-0000-0000ED2D0000}"/>
    <cellStyle name="Normal 5 2 2 2 3 6 3" xfId="6440" xr:uid="{00000000-0005-0000-0000-0000EE2D0000}"/>
    <cellStyle name="Normal 5 2 2 2 3 6 3 2" xfId="14876" xr:uid="{00000000-0005-0000-0000-0000EF2D0000}"/>
    <cellStyle name="Normal 5 2 2 2 3 6 4" xfId="10658" xr:uid="{00000000-0005-0000-0000-0000F02D0000}"/>
    <cellStyle name="Normal 5 2 2 2 3 7" xfId="2569" xr:uid="{00000000-0005-0000-0000-0000F12D0000}"/>
    <cellStyle name="Normal 5 2 2 2 3 7 2" xfId="6853" xr:uid="{00000000-0005-0000-0000-0000F22D0000}"/>
    <cellStyle name="Normal 5 2 2 2 3 7 2 2" xfId="15289" xr:uid="{00000000-0005-0000-0000-0000F32D0000}"/>
    <cellStyle name="Normal 5 2 2 2 3 7 3" xfId="11071" xr:uid="{00000000-0005-0000-0000-0000F42D0000}"/>
    <cellStyle name="Normal 5 2 2 2 3 8" xfId="4788" xr:uid="{00000000-0005-0000-0000-0000F52D0000}"/>
    <cellStyle name="Normal 5 2 2 2 3 8 2" xfId="13224" xr:uid="{00000000-0005-0000-0000-0000F62D0000}"/>
    <cellStyle name="Normal 5 2 2 2 3 9" xfId="9006" xr:uid="{00000000-0005-0000-0000-0000F72D0000}"/>
    <cellStyle name="Normal 5 2 2 2 4" xfId="416" xr:uid="{00000000-0005-0000-0000-0000F82D0000}"/>
    <cellStyle name="Normal 5 2 2 2 4 2" xfId="890" xr:uid="{00000000-0005-0000-0000-0000F92D0000}"/>
    <cellStyle name="Normal 5 2 2 2 4 2 2" xfId="3125" xr:uid="{00000000-0005-0000-0000-0000FA2D0000}"/>
    <cellStyle name="Normal 5 2 2 2 4 2 2 2" xfId="7348" xr:uid="{00000000-0005-0000-0000-0000FB2D0000}"/>
    <cellStyle name="Normal 5 2 2 2 4 2 2 2 2" xfId="15784" xr:uid="{00000000-0005-0000-0000-0000FC2D0000}"/>
    <cellStyle name="Normal 5 2 2 2 4 2 2 3" xfId="11566" xr:uid="{00000000-0005-0000-0000-0000FD2D0000}"/>
    <cellStyle name="Normal 5 2 2 2 4 2 3" xfId="5203" xr:uid="{00000000-0005-0000-0000-0000FE2D0000}"/>
    <cellStyle name="Normal 5 2 2 2 4 2 3 2" xfId="13639" xr:uid="{00000000-0005-0000-0000-0000FF2D0000}"/>
    <cellStyle name="Normal 5 2 2 2 4 2 4" xfId="9421" xr:uid="{00000000-0005-0000-0000-0000002E0000}"/>
    <cellStyle name="Normal 5 2 2 2 4 3" xfId="1308" xr:uid="{00000000-0005-0000-0000-0000012E0000}"/>
    <cellStyle name="Normal 5 2 2 2 4 3 2" xfId="3538" xr:uid="{00000000-0005-0000-0000-0000022E0000}"/>
    <cellStyle name="Normal 5 2 2 2 4 3 2 2" xfId="7761" xr:uid="{00000000-0005-0000-0000-0000032E0000}"/>
    <cellStyle name="Normal 5 2 2 2 4 3 2 2 2" xfId="16197" xr:uid="{00000000-0005-0000-0000-0000042E0000}"/>
    <cellStyle name="Normal 5 2 2 2 4 3 2 3" xfId="11979" xr:uid="{00000000-0005-0000-0000-0000052E0000}"/>
    <cellStyle name="Normal 5 2 2 2 4 3 3" xfId="5616" xr:uid="{00000000-0005-0000-0000-0000062E0000}"/>
    <cellStyle name="Normal 5 2 2 2 4 3 3 2" xfId="14052" xr:uid="{00000000-0005-0000-0000-0000072E0000}"/>
    <cellStyle name="Normal 5 2 2 2 4 3 4" xfId="9834" xr:uid="{00000000-0005-0000-0000-0000082E0000}"/>
    <cellStyle name="Normal 5 2 2 2 4 4" xfId="1721" xr:uid="{00000000-0005-0000-0000-0000092E0000}"/>
    <cellStyle name="Normal 5 2 2 2 4 4 2" xfId="3951" xr:uid="{00000000-0005-0000-0000-00000A2E0000}"/>
    <cellStyle name="Normal 5 2 2 2 4 4 2 2" xfId="8174" xr:uid="{00000000-0005-0000-0000-00000B2E0000}"/>
    <cellStyle name="Normal 5 2 2 2 4 4 2 2 2" xfId="16610" xr:uid="{00000000-0005-0000-0000-00000C2E0000}"/>
    <cellStyle name="Normal 5 2 2 2 4 4 2 3" xfId="12392" xr:uid="{00000000-0005-0000-0000-00000D2E0000}"/>
    <cellStyle name="Normal 5 2 2 2 4 4 3" xfId="6029" xr:uid="{00000000-0005-0000-0000-00000E2E0000}"/>
    <cellStyle name="Normal 5 2 2 2 4 4 3 2" xfId="14465" xr:uid="{00000000-0005-0000-0000-00000F2E0000}"/>
    <cellStyle name="Normal 5 2 2 2 4 4 4" xfId="10247" xr:uid="{00000000-0005-0000-0000-0000102E0000}"/>
    <cellStyle name="Normal 5 2 2 2 4 5" xfId="2135" xr:uid="{00000000-0005-0000-0000-0000112E0000}"/>
    <cellStyle name="Normal 5 2 2 2 4 5 2" xfId="4364" xr:uid="{00000000-0005-0000-0000-0000122E0000}"/>
    <cellStyle name="Normal 5 2 2 2 4 5 2 2" xfId="8587" xr:uid="{00000000-0005-0000-0000-0000132E0000}"/>
    <cellStyle name="Normal 5 2 2 2 4 5 2 2 2" xfId="17023" xr:uid="{00000000-0005-0000-0000-0000142E0000}"/>
    <cellStyle name="Normal 5 2 2 2 4 5 2 3" xfId="12805" xr:uid="{00000000-0005-0000-0000-0000152E0000}"/>
    <cellStyle name="Normal 5 2 2 2 4 5 3" xfId="6442" xr:uid="{00000000-0005-0000-0000-0000162E0000}"/>
    <cellStyle name="Normal 5 2 2 2 4 5 3 2" xfId="14878" xr:uid="{00000000-0005-0000-0000-0000172E0000}"/>
    <cellStyle name="Normal 5 2 2 2 4 5 4" xfId="10660" xr:uid="{00000000-0005-0000-0000-0000182E0000}"/>
    <cellStyle name="Normal 5 2 2 2 4 6" xfId="2571" xr:uid="{00000000-0005-0000-0000-0000192E0000}"/>
    <cellStyle name="Normal 5 2 2 2 4 6 2" xfId="6855" xr:uid="{00000000-0005-0000-0000-00001A2E0000}"/>
    <cellStyle name="Normal 5 2 2 2 4 6 2 2" xfId="15291" xr:uid="{00000000-0005-0000-0000-00001B2E0000}"/>
    <cellStyle name="Normal 5 2 2 2 4 6 3" xfId="11073" xr:uid="{00000000-0005-0000-0000-00001C2E0000}"/>
    <cellStyle name="Normal 5 2 2 2 4 7" xfId="4790" xr:uid="{00000000-0005-0000-0000-00001D2E0000}"/>
    <cellStyle name="Normal 5 2 2 2 4 7 2" xfId="13226" xr:uid="{00000000-0005-0000-0000-00001E2E0000}"/>
    <cellStyle name="Normal 5 2 2 2 4 8" xfId="9008" xr:uid="{00000000-0005-0000-0000-00001F2E0000}"/>
    <cellStyle name="Normal 5 2 2 2 5" xfId="883" xr:uid="{00000000-0005-0000-0000-0000202E0000}"/>
    <cellStyle name="Normal 5 2 2 2 5 2" xfId="3118" xr:uid="{00000000-0005-0000-0000-0000212E0000}"/>
    <cellStyle name="Normal 5 2 2 2 5 2 2" xfId="7341" xr:uid="{00000000-0005-0000-0000-0000222E0000}"/>
    <cellStyle name="Normal 5 2 2 2 5 2 2 2" xfId="15777" xr:uid="{00000000-0005-0000-0000-0000232E0000}"/>
    <cellStyle name="Normal 5 2 2 2 5 2 3" xfId="11559" xr:uid="{00000000-0005-0000-0000-0000242E0000}"/>
    <cellStyle name="Normal 5 2 2 2 5 3" xfId="5196" xr:uid="{00000000-0005-0000-0000-0000252E0000}"/>
    <cellStyle name="Normal 5 2 2 2 5 3 2" xfId="13632" xr:uid="{00000000-0005-0000-0000-0000262E0000}"/>
    <cellStyle name="Normal 5 2 2 2 5 4" xfId="9414" xr:uid="{00000000-0005-0000-0000-0000272E0000}"/>
    <cellStyle name="Normal 5 2 2 2 6" xfId="1301" xr:uid="{00000000-0005-0000-0000-0000282E0000}"/>
    <cellStyle name="Normal 5 2 2 2 6 2" xfId="3531" xr:uid="{00000000-0005-0000-0000-0000292E0000}"/>
    <cellStyle name="Normal 5 2 2 2 6 2 2" xfId="7754" xr:uid="{00000000-0005-0000-0000-00002A2E0000}"/>
    <cellStyle name="Normal 5 2 2 2 6 2 2 2" xfId="16190" xr:uid="{00000000-0005-0000-0000-00002B2E0000}"/>
    <cellStyle name="Normal 5 2 2 2 6 2 3" xfId="11972" xr:uid="{00000000-0005-0000-0000-00002C2E0000}"/>
    <cellStyle name="Normal 5 2 2 2 6 3" xfId="5609" xr:uid="{00000000-0005-0000-0000-00002D2E0000}"/>
    <cellStyle name="Normal 5 2 2 2 6 3 2" xfId="14045" xr:uid="{00000000-0005-0000-0000-00002E2E0000}"/>
    <cellStyle name="Normal 5 2 2 2 6 4" xfId="9827" xr:uid="{00000000-0005-0000-0000-00002F2E0000}"/>
    <cellStyle name="Normal 5 2 2 2 7" xfId="1714" xr:uid="{00000000-0005-0000-0000-0000302E0000}"/>
    <cellStyle name="Normal 5 2 2 2 7 2" xfId="3944" xr:uid="{00000000-0005-0000-0000-0000312E0000}"/>
    <cellStyle name="Normal 5 2 2 2 7 2 2" xfId="8167" xr:uid="{00000000-0005-0000-0000-0000322E0000}"/>
    <cellStyle name="Normal 5 2 2 2 7 2 2 2" xfId="16603" xr:uid="{00000000-0005-0000-0000-0000332E0000}"/>
    <cellStyle name="Normal 5 2 2 2 7 2 3" xfId="12385" xr:uid="{00000000-0005-0000-0000-0000342E0000}"/>
    <cellStyle name="Normal 5 2 2 2 7 3" xfId="6022" xr:uid="{00000000-0005-0000-0000-0000352E0000}"/>
    <cellStyle name="Normal 5 2 2 2 7 3 2" xfId="14458" xr:uid="{00000000-0005-0000-0000-0000362E0000}"/>
    <cellStyle name="Normal 5 2 2 2 7 4" xfId="10240" xr:uid="{00000000-0005-0000-0000-0000372E0000}"/>
    <cellStyle name="Normal 5 2 2 2 8" xfId="2128" xr:uid="{00000000-0005-0000-0000-0000382E0000}"/>
    <cellStyle name="Normal 5 2 2 2 8 2" xfId="4357" xr:uid="{00000000-0005-0000-0000-0000392E0000}"/>
    <cellStyle name="Normal 5 2 2 2 8 2 2" xfId="8580" xr:uid="{00000000-0005-0000-0000-00003A2E0000}"/>
    <cellStyle name="Normal 5 2 2 2 8 2 2 2" xfId="17016" xr:uid="{00000000-0005-0000-0000-00003B2E0000}"/>
    <cellStyle name="Normal 5 2 2 2 8 2 3" xfId="12798" xr:uid="{00000000-0005-0000-0000-00003C2E0000}"/>
    <cellStyle name="Normal 5 2 2 2 8 3" xfId="6435" xr:uid="{00000000-0005-0000-0000-00003D2E0000}"/>
    <cellStyle name="Normal 5 2 2 2 8 3 2" xfId="14871" xr:uid="{00000000-0005-0000-0000-00003E2E0000}"/>
    <cellStyle name="Normal 5 2 2 2 8 4" xfId="10653" xr:uid="{00000000-0005-0000-0000-00003F2E0000}"/>
    <cellStyle name="Normal 5 2 2 2 9" xfId="2564" xr:uid="{00000000-0005-0000-0000-0000402E0000}"/>
    <cellStyle name="Normal 5 2 2 2 9 2" xfId="6848" xr:uid="{00000000-0005-0000-0000-0000412E0000}"/>
    <cellStyle name="Normal 5 2 2 2 9 2 2" xfId="15284" xr:uid="{00000000-0005-0000-0000-0000422E0000}"/>
    <cellStyle name="Normal 5 2 2 2 9 3" xfId="11066" xr:uid="{00000000-0005-0000-0000-0000432E0000}"/>
    <cellStyle name="Normal 5 2 2 3" xfId="417" xr:uid="{00000000-0005-0000-0000-0000442E0000}"/>
    <cellStyle name="Normal 5 2 2 3 10" xfId="9009" xr:uid="{00000000-0005-0000-0000-0000452E0000}"/>
    <cellStyle name="Normal 5 2 2 3 2" xfId="418" xr:uid="{00000000-0005-0000-0000-0000462E0000}"/>
    <cellStyle name="Normal 5 2 2 3 2 2" xfId="419" xr:uid="{00000000-0005-0000-0000-0000472E0000}"/>
    <cellStyle name="Normal 5 2 2 3 2 2 2" xfId="893" xr:uid="{00000000-0005-0000-0000-0000482E0000}"/>
    <cellStyle name="Normal 5 2 2 3 2 2 2 2" xfId="3128" xr:uid="{00000000-0005-0000-0000-0000492E0000}"/>
    <cellStyle name="Normal 5 2 2 3 2 2 2 2 2" xfId="7351" xr:uid="{00000000-0005-0000-0000-00004A2E0000}"/>
    <cellStyle name="Normal 5 2 2 3 2 2 2 2 2 2" xfId="15787" xr:uid="{00000000-0005-0000-0000-00004B2E0000}"/>
    <cellStyle name="Normal 5 2 2 3 2 2 2 2 3" xfId="11569" xr:uid="{00000000-0005-0000-0000-00004C2E0000}"/>
    <cellStyle name="Normal 5 2 2 3 2 2 2 3" xfId="5206" xr:uid="{00000000-0005-0000-0000-00004D2E0000}"/>
    <cellStyle name="Normal 5 2 2 3 2 2 2 3 2" xfId="13642" xr:uid="{00000000-0005-0000-0000-00004E2E0000}"/>
    <cellStyle name="Normal 5 2 2 3 2 2 2 4" xfId="9424" xr:uid="{00000000-0005-0000-0000-00004F2E0000}"/>
    <cellStyle name="Normal 5 2 2 3 2 2 3" xfId="1311" xr:uid="{00000000-0005-0000-0000-0000502E0000}"/>
    <cellStyle name="Normal 5 2 2 3 2 2 3 2" xfId="3541" xr:uid="{00000000-0005-0000-0000-0000512E0000}"/>
    <cellStyle name="Normal 5 2 2 3 2 2 3 2 2" xfId="7764" xr:uid="{00000000-0005-0000-0000-0000522E0000}"/>
    <cellStyle name="Normal 5 2 2 3 2 2 3 2 2 2" xfId="16200" xr:uid="{00000000-0005-0000-0000-0000532E0000}"/>
    <cellStyle name="Normal 5 2 2 3 2 2 3 2 3" xfId="11982" xr:uid="{00000000-0005-0000-0000-0000542E0000}"/>
    <cellStyle name="Normal 5 2 2 3 2 2 3 3" xfId="5619" xr:uid="{00000000-0005-0000-0000-0000552E0000}"/>
    <cellStyle name="Normal 5 2 2 3 2 2 3 3 2" xfId="14055" xr:uid="{00000000-0005-0000-0000-0000562E0000}"/>
    <cellStyle name="Normal 5 2 2 3 2 2 3 4" xfId="9837" xr:uid="{00000000-0005-0000-0000-0000572E0000}"/>
    <cellStyle name="Normal 5 2 2 3 2 2 4" xfId="1724" xr:uid="{00000000-0005-0000-0000-0000582E0000}"/>
    <cellStyle name="Normal 5 2 2 3 2 2 4 2" xfId="3954" xr:uid="{00000000-0005-0000-0000-0000592E0000}"/>
    <cellStyle name="Normal 5 2 2 3 2 2 4 2 2" xfId="8177" xr:uid="{00000000-0005-0000-0000-00005A2E0000}"/>
    <cellStyle name="Normal 5 2 2 3 2 2 4 2 2 2" xfId="16613" xr:uid="{00000000-0005-0000-0000-00005B2E0000}"/>
    <cellStyle name="Normal 5 2 2 3 2 2 4 2 3" xfId="12395" xr:uid="{00000000-0005-0000-0000-00005C2E0000}"/>
    <cellStyle name="Normal 5 2 2 3 2 2 4 3" xfId="6032" xr:uid="{00000000-0005-0000-0000-00005D2E0000}"/>
    <cellStyle name="Normal 5 2 2 3 2 2 4 3 2" xfId="14468" xr:uid="{00000000-0005-0000-0000-00005E2E0000}"/>
    <cellStyle name="Normal 5 2 2 3 2 2 4 4" xfId="10250" xr:uid="{00000000-0005-0000-0000-00005F2E0000}"/>
    <cellStyle name="Normal 5 2 2 3 2 2 5" xfId="2138" xr:uid="{00000000-0005-0000-0000-0000602E0000}"/>
    <cellStyle name="Normal 5 2 2 3 2 2 5 2" xfId="4367" xr:uid="{00000000-0005-0000-0000-0000612E0000}"/>
    <cellStyle name="Normal 5 2 2 3 2 2 5 2 2" xfId="8590" xr:uid="{00000000-0005-0000-0000-0000622E0000}"/>
    <cellStyle name="Normal 5 2 2 3 2 2 5 2 2 2" xfId="17026" xr:uid="{00000000-0005-0000-0000-0000632E0000}"/>
    <cellStyle name="Normal 5 2 2 3 2 2 5 2 3" xfId="12808" xr:uid="{00000000-0005-0000-0000-0000642E0000}"/>
    <cellStyle name="Normal 5 2 2 3 2 2 5 3" xfId="6445" xr:uid="{00000000-0005-0000-0000-0000652E0000}"/>
    <cellStyle name="Normal 5 2 2 3 2 2 5 3 2" xfId="14881" xr:uid="{00000000-0005-0000-0000-0000662E0000}"/>
    <cellStyle name="Normal 5 2 2 3 2 2 5 4" xfId="10663" xr:uid="{00000000-0005-0000-0000-0000672E0000}"/>
    <cellStyle name="Normal 5 2 2 3 2 2 6" xfId="2574" xr:uid="{00000000-0005-0000-0000-0000682E0000}"/>
    <cellStyle name="Normal 5 2 2 3 2 2 6 2" xfId="6858" xr:uid="{00000000-0005-0000-0000-0000692E0000}"/>
    <cellStyle name="Normal 5 2 2 3 2 2 6 2 2" xfId="15294" xr:uid="{00000000-0005-0000-0000-00006A2E0000}"/>
    <cellStyle name="Normal 5 2 2 3 2 2 6 3" xfId="11076" xr:uid="{00000000-0005-0000-0000-00006B2E0000}"/>
    <cellStyle name="Normal 5 2 2 3 2 2 7" xfId="4793" xr:uid="{00000000-0005-0000-0000-00006C2E0000}"/>
    <cellStyle name="Normal 5 2 2 3 2 2 7 2" xfId="13229" xr:uid="{00000000-0005-0000-0000-00006D2E0000}"/>
    <cellStyle name="Normal 5 2 2 3 2 2 8" xfId="9011" xr:uid="{00000000-0005-0000-0000-00006E2E0000}"/>
    <cellStyle name="Normal 5 2 2 3 2 3" xfId="892" xr:uid="{00000000-0005-0000-0000-00006F2E0000}"/>
    <cellStyle name="Normal 5 2 2 3 2 3 2" xfId="3127" xr:uid="{00000000-0005-0000-0000-0000702E0000}"/>
    <cellStyle name="Normal 5 2 2 3 2 3 2 2" xfId="7350" xr:uid="{00000000-0005-0000-0000-0000712E0000}"/>
    <cellStyle name="Normal 5 2 2 3 2 3 2 2 2" xfId="15786" xr:uid="{00000000-0005-0000-0000-0000722E0000}"/>
    <cellStyle name="Normal 5 2 2 3 2 3 2 3" xfId="11568" xr:uid="{00000000-0005-0000-0000-0000732E0000}"/>
    <cellStyle name="Normal 5 2 2 3 2 3 3" xfId="5205" xr:uid="{00000000-0005-0000-0000-0000742E0000}"/>
    <cellStyle name="Normal 5 2 2 3 2 3 3 2" xfId="13641" xr:uid="{00000000-0005-0000-0000-0000752E0000}"/>
    <cellStyle name="Normal 5 2 2 3 2 3 4" xfId="9423" xr:uid="{00000000-0005-0000-0000-0000762E0000}"/>
    <cellStyle name="Normal 5 2 2 3 2 4" xfId="1310" xr:uid="{00000000-0005-0000-0000-0000772E0000}"/>
    <cellStyle name="Normal 5 2 2 3 2 4 2" xfId="3540" xr:uid="{00000000-0005-0000-0000-0000782E0000}"/>
    <cellStyle name="Normal 5 2 2 3 2 4 2 2" xfId="7763" xr:uid="{00000000-0005-0000-0000-0000792E0000}"/>
    <cellStyle name="Normal 5 2 2 3 2 4 2 2 2" xfId="16199" xr:uid="{00000000-0005-0000-0000-00007A2E0000}"/>
    <cellStyle name="Normal 5 2 2 3 2 4 2 3" xfId="11981" xr:uid="{00000000-0005-0000-0000-00007B2E0000}"/>
    <cellStyle name="Normal 5 2 2 3 2 4 3" xfId="5618" xr:uid="{00000000-0005-0000-0000-00007C2E0000}"/>
    <cellStyle name="Normal 5 2 2 3 2 4 3 2" xfId="14054" xr:uid="{00000000-0005-0000-0000-00007D2E0000}"/>
    <cellStyle name="Normal 5 2 2 3 2 4 4" xfId="9836" xr:uid="{00000000-0005-0000-0000-00007E2E0000}"/>
    <cellStyle name="Normal 5 2 2 3 2 5" xfId="1723" xr:uid="{00000000-0005-0000-0000-00007F2E0000}"/>
    <cellStyle name="Normal 5 2 2 3 2 5 2" xfId="3953" xr:uid="{00000000-0005-0000-0000-0000802E0000}"/>
    <cellStyle name="Normal 5 2 2 3 2 5 2 2" xfId="8176" xr:uid="{00000000-0005-0000-0000-0000812E0000}"/>
    <cellStyle name="Normal 5 2 2 3 2 5 2 2 2" xfId="16612" xr:uid="{00000000-0005-0000-0000-0000822E0000}"/>
    <cellStyle name="Normal 5 2 2 3 2 5 2 3" xfId="12394" xr:uid="{00000000-0005-0000-0000-0000832E0000}"/>
    <cellStyle name="Normal 5 2 2 3 2 5 3" xfId="6031" xr:uid="{00000000-0005-0000-0000-0000842E0000}"/>
    <cellStyle name="Normal 5 2 2 3 2 5 3 2" xfId="14467" xr:uid="{00000000-0005-0000-0000-0000852E0000}"/>
    <cellStyle name="Normal 5 2 2 3 2 5 4" xfId="10249" xr:uid="{00000000-0005-0000-0000-0000862E0000}"/>
    <cellStyle name="Normal 5 2 2 3 2 6" xfId="2137" xr:uid="{00000000-0005-0000-0000-0000872E0000}"/>
    <cellStyle name="Normal 5 2 2 3 2 6 2" xfId="4366" xr:uid="{00000000-0005-0000-0000-0000882E0000}"/>
    <cellStyle name="Normal 5 2 2 3 2 6 2 2" xfId="8589" xr:uid="{00000000-0005-0000-0000-0000892E0000}"/>
    <cellStyle name="Normal 5 2 2 3 2 6 2 2 2" xfId="17025" xr:uid="{00000000-0005-0000-0000-00008A2E0000}"/>
    <cellStyle name="Normal 5 2 2 3 2 6 2 3" xfId="12807" xr:uid="{00000000-0005-0000-0000-00008B2E0000}"/>
    <cellStyle name="Normal 5 2 2 3 2 6 3" xfId="6444" xr:uid="{00000000-0005-0000-0000-00008C2E0000}"/>
    <cellStyle name="Normal 5 2 2 3 2 6 3 2" xfId="14880" xr:uid="{00000000-0005-0000-0000-00008D2E0000}"/>
    <cellStyle name="Normal 5 2 2 3 2 6 4" xfId="10662" xr:uid="{00000000-0005-0000-0000-00008E2E0000}"/>
    <cellStyle name="Normal 5 2 2 3 2 7" xfId="2573" xr:uid="{00000000-0005-0000-0000-00008F2E0000}"/>
    <cellStyle name="Normal 5 2 2 3 2 7 2" xfId="6857" xr:uid="{00000000-0005-0000-0000-0000902E0000}"/>
    <cellStyle name="Normal 5 2 2 3 2 7 2 2" xfId="15293" xr:uid="{00000000-0005-0000-0000-0000912E0000}"/>
    <cellStyle name="Normal 5 2 2 3 2 7 3" xfId="11075" xr:uid="{00000000-0005-0000-0000-0000922E0000}"/>
    <cellStyle name="Normal 5 2 2 3 2 8" xfId="4792" xr:uid="{00000000-0005-0000-0000-0000932E0000}"/>
    <cellStyle name="Normal 5 2 2 3 2 8 2" xfId="13228" xr:uid="{00000000-0005-0000-0000-0000942E0000}"/>
    <cellStyle name="Normal 5 2 2 3 2 9" xfId="9010" xr:uid="{00000000-0005-0000-0000-0000952E0000}"/>
    <cellStyle name="Normal 5 2 2 3 3" xfId="420" xr:uid="{00000000-0005-0000-0000-0000962E0000}"/>
    <cellStyle name="Normal 5 2 2 3 3 2" xfId="894" xr:uid="{00000000-0005-0000-0000-0000972E0000}"/>
    <cellStyle name="Normal 5 2 2 3 3 2 2" xfId="3129" xr:uid="{00000000-0005-0000-0000-0000982E0000}"/>
    <cellStyle name="Normal 5 2 2 3 3 2 2 2" xfId="7352" xr:uid="{00000000-0005-0000-0000-0000992E0000}"/>
    <cellStyle name="Normal 5 2 2 3 3 2 2 2 2" xfId="15788" xr:uid="{00000000-0005-0000-0000-00009A2E0000}"/>
    <cellStyle name="Normal 5 2 2 3 3 2 2 3" xfId="11570" xr:uid="{00000000-0005-0000-0000-00009B2E0000}"/>
    <cellStyle name="Normal 5 2 2 3 3 2 3" xfId="5207" xr:uid="{00000000-0005-0000-0000-00009C2E0000}"/>
    <cellStyle name="Normal 5 2 2 3 3 2 3 2" xfId="13643" xr:uid="{00000000-0005-0000-0000-00009D2E0000}"/>
    <cellStyle name="Normal 5 2 2 3 3 2 4" xfId="9425" xr:uid="{00000000-0005-0000-0000-00009E2E0000}"/>
    <cellStyle name="Normal 5 2 2 3 3 3" xfId="1312" xr:uid="{00000000-0005-0000-0000-00009F2E0000}"/>
    <cellStyle name="Normal 5 2 2 3 3 3 2" xfId="3542" xr:uid="{00000000-0005-0000-0000-0000A02E0000}"/>
    <cellStyle name="Normal 5 2 2 3 3 3 2 2" xfId="7765" xr:uid="{00000000-0005-0000-0000-0000A12E0000}"/>
    <cellStyle name="Normal 5 2 2 3 3 3 2 2 2" xfId="16201" xr:uid="{00000000-0005-0000-0000-0000A22E0000}"/>
    <cellStyle name="Normal 5 2 2 3 3 3 2 3" xfId="11983" xr:uid="{00000000-0005-0000-0000-0000A32E0000}"/>
    <cellStyle name="Normal 5 2 2 3 3 3 3" xfId="5620" xr:uid="{00000000-0005-0000-0000-0000A42E0000}"/>
    <cellStyle name="Normal 5 2 2 3 3 3 3 2" xfId="14056" xr:uid="{00000000-0005-0000-0000-0000A52E0000}"/>
    <cellStyle name="Normal 5 2 2 3 3 3 4" xfId="9838" xr:uid="{00000000-0005-0000-0000-0000A62E0000}"/>
    <cellStyle name="Normal 5 2 2 3 3 4" xfId="1725" xr:uid="{00000000-0005-0000-0000-0000A72E0000}"/>
    <cellStyle name="Normal 5 2 2 3 3 4 2" xfId="3955" xr:uid="{00000000-0005-0000-0000-0000A82E0000}"/>
    <cellStyle name="Normal 5 2 2 3 3 4 2 2" xfId="8178" xr:uid="{00000000-0005-0000-0000-0000A92E0000}"/>
    <cellStyle name="Normal 5 2 2 3 3 4 2 2 2" xfId="16614" xr:uid="{00000000-0005-0000-0000-0000AA2E0000}"/>
    <cellStyle name="Normal 5 2 2 3 3 4 2 3" xfId="12396" xr:uid="{00000000-0005-0000-0000-0000AB2E0000}"/>
    <cellStyle name="Normal 5 2 2 3 3 4 3" xfId="6033" xr:uid="{00000000-0005-0000-0000-0000AC2E0000}"/>
    <cellStyle name="Normal 5 2 2 3 3 4 3 2" xfId="14469" xr:uid="{00000000-0005-0000-0000-0000AD2E0000}"/>
    <cellStyle name="Normal 5 2 2 3 3 4 4" xfId="10251" xr:uid="{00000000-0005-0000-0000-0000AE2E0000}"/>
    <cellStyle name="Normal 5 2 2 3 3 5" xfId="2139" xr:uid="{00000000-0005-0000-0000-0000AF2E0000}"/>
    <cellStyle name="Normal 5 2 2 3 3 5 2" xfId="4368" xr:uid="{00000000-0005-0000-0000-0000B02E0000}"/>
    <cellStyle name="Normal 5 2 2 3 3 5 2 2" xfId="8591" xr:uid="{00000000-0005-0000-0000-0000B12E0000}"/>
    <cellStyle name="Normal 5 2 2 3 3 5 2 2 2" xfId="17027" xr:uid="{00000000-0005-0000-0000-0000B22E0000}"/>
    <cellStyle name="Normal 5 2 2 3 3 5 2 3" xfId="12809" xr:uid="{00000000-0005-0000-0000-0000B32E0000}"/>
    <cellStyle name="Normal 5 2 2 3 3 5 3" xfId="6446" xr:uid="{00000000-0005-0000-0000-0000B42E0000}"/>
    <cellStyle name="Normal 5 2 2 3 3 5 3 2" xfId="14882" xr:uid="{00000000-0005-0000-0000-0000B52E0000}"/>
    <cellStyle name="Normal 5 2 2 3 3 5 4" xfId="10664" xr:uid="{00000000-0005-0000-0000-0000B62E0000}"/>
    <cellStyle name="Normal 5 2 2 3 3 6" xfId="2575" xr:uid="{00000000-0005-0000-0000-0000B72E0000}"/>
    <cellStyle name="Normal 5 2 2 3 3 6 2" xfId="6859" xr:uid="{00000000-0005-0000-0000-0000B82E0000}"/>
    <cellStyle name="Normal 5 2 2 3 3 6 2 2" xfId="15295" xr:uid="{00000000-0005-0000-0000-0000B92E0000}"/>
    <cellStyle name="Normal 5 2 2 3 3 6 3" xfId="11077" xr:uid="{00000000-0005-0000-0000-0000BA2E0000}"/>
    <cellStyle name="Normal 5 2 2 3 3 7" xfId="4794" xr:uid="{00000000-0005-0000-0000-0000BB2E0000}"/>
    <cellStyle name="Normal 5 2 2 3 3 7 2" xfId="13230" xr:uid="{00000000-0005-0000-0000-0000BC2E0000}"/>
    <cellStyle name="Normal 5 2 2 3 3 8" xfId="9012" xr:uid="{00000000-0005-0000-0000-0000BD2E0000}"/>
    <cellStyle name="Normal 5 2 2 3 4" xfId="891" xr:uid="{00000000-0005-0000-0000-0000BE2E0000}"/>
    <cellStyle name="Normal 5 2 2 3 4 2" xfId="3126" xr:uid="{00000000-0005-0000-0000-0000BF2E0000}"/>
    <cellStyle name="Normal 5 2 2 3 4 2 2" xfId="7349" xr:uid="{00000000-0005-0000-0000-0000C02E0000}"/>
    <cellStyle name="Normal 5 2 2 3 4 2 2 2" xfId="15785" xr:uid="{00000000-0005-0000-0000-0000C12E0000}"/>
    <cellStyle name="Normal 5 2 2 3 4 2 3" xfId="11567" xr:uid="{00000000-0005-0000-0000-0000C22E0000}"/>
    <cellStyle name="Normal 5 2 2 3 4 3" xfId="5204" xr:uid="{00000000-0005-0000-0000-0000C32E0000}"/>
    <cellStyle name="Normal 5 2 2 3 4 3 2" xfId="13640" xr:uid="{00000000-0005-0000-0000-0000C42E0000}"/>
    <cellStyle name="Normal 5 2 2 3 4 4" xfId="9422" xr:uid="{00000000-0005-0000-0000-0000C52E0000}"/>
    <cellStyle name="Normal 5 2 2 3 5" xfId="1309" xr:uid="{00000000-0005-0000-0000-0000C62E0000}"/>
    <cellStyle name="Normal 5 2 2 3 5 2" xfId="3539" xr:uid="{00000000-0005-0000-0000-0000C72E0000}"/>
    <cellStyle name="Normal 5 2 2 3 5 2 2" xfId="7762" xr:uid="{00000000-0005-0000-0000-0000C82E0000}"/>
    <cellStyle name="Normal 5 2 2 3 5 2 2 2" xfId="16198" xr:uid="{00000000-0005-0000-0000-0000C92E0000}"/>
    <cellStyle name="Normal 5 2 2 3 5 2 3" xfId="11980" xr:uid="{00000000-0005-0000-0000-0000CA2E0000}"/>
    <cellStyle name="Normal 5 2 2 3 5 3" xfId="5617" xr:uid="{00000000-0005-0000-0000-0000CB2E0000}"/>
    <cellStyle name="Normal 5 2 2 3 5 3 2" xfId="14053" xr:uid="{00000000-0005-0000-0000-0000CC2E0000}"/>
    <cellStyle name="Normal 5 2 2 3 5 4" xfId="9835" xr:uid="{00000000-0005-0000-0000-0000CD2E0000}"/>
    <cellStyle name="Normal 5 2 2 3 6" xfId="1722" xr:uid="{00000000-0005-0000-0000-0000CE2E0000}"/>
    <cellStyle name="Normal 5 2 2 3 6 2" xfId="3952" xr:uid="{00000000-0005-0000-0000-0000CF2E0000}"/>
    <cellStyle name="Normal 5 2 2 3 6 2 2" xfId="8175" xr:uid="{00000000-0005-0000-0000-0000D02E0000}"/>
    <cellStyle name="Normal 5 2 2 3 6 2 2 2" xfId="16611" xr:uid="{00000000-0005-0000-0000-0000D12E0000}"/>
    <cellStyle name="Normal 5 2 2 3 6 2 3" xfId="12393" xr:uid="{00000000-0005-0000-0000-0000D22E0000}"/>
    <cellStyle name="Normal 5 2 2 3 6 3" xfId="6030" xr:uid="{00000000-0005-0000-0000-0000D32E0000}"/>
    <cellStyle name="Normal 5 2 2 3 6 3 2" xfId="14466" xr:uid="{00000000-0005-0000-0000-0000D42E0000}"/>
    <cellStyle name="Normal 5 2 2 3 6 4" xfId="10248" xr:uid="{00000000-0005-0000-0000-0000D52E0000}"/>
    <cellStyle name="Normal 5 2 2 3 7" xfId="2136" xr:uid="{00000000-0005-0000-0000-0000D62E0000}"/>
    <cellStyle name="Normal 5 2 2 3 7 2" xfId="4365" xr:uid="{00000000-0005-0000-0000-0000D72E0000}"/>
    <cellStyle name="Normal 5 2 2 3 7 2 2" xfId="8588" xr:uid="{00000000-0005-0000-0000-0000D82E0000}"/>
    <cellStyle name="Normal 5 2 2 3 7 2 2 2" xfId="17024" xr:uid="{00000000-0005-0000-0000-0000D92E0000}"/>
    <cellStyle name="Normal 5 2 2 3 7 2 3" xfId="12806" xr:uid="{00000000-0005-0000-0000-0000DA2E0000}"/>
    <cellStyle name="Normal 5 2 2 3 7 3" xfId="6443" xr:uid="{00000000-0005-0000-0000-0000DB2E0000}"/>
    <cellStyle name="Normal 5 2 2 3 7 3 2" xfId="14879" xr:uid="{00000000-0005-0000-0000-0000DC2E0000}"/>
    <cellStyle name="Normal 5 2 2 3 7 4" xfId="10661" xr:uid="{00000000-0005-0000-0000-0000DD2E0000}"/>
    <cellStyle name="Normal 5 2 2 3 8" xfId="2572" xr:uid="{00000000-0005-0000-0000-0000DE2E0000}"/>
    <cellStyle name="Normal 5 2 2 3 8 2" xfId="6856" xr:uid="{00000000-0005-0000-0000-0000DF2E0000}"/>
    <cellStyle name="Normal 5 2 2 3 8 2 2" xfId="15292" xr:uid="{00000000-0005-0000-0000-0000E02E0000}"/>
    <cellStyle name="Normal 5 2 2 3 8 3" xfId="11074" xr:uid="{00000000-0005-0000-0000-0000E12E0000}"/>
    <cellStyle name="Normal 5 2 2 3 9" xfId="4791" xr:uid="{00000000-0005-0000-0000-0000E22E0000}"/>
    <cellStyle name="Normal 5 2 2 3 9 2" xfId="13227" xr:uid="{00000000-0005-0000-0000-0000E32E0000}"/>
    <cellStyle name="Normal 5 2 2 4" xfId="421" xr:uid="{00000000-0005-0000-0000-0000E42E0000}"/>
    <cellStyle name="Normal 5 2 2 4 2" xfId="422" xr:uid="{00000000-0005-0000-0000-0000E52E0000}"/>
    <cellStyle name="Normal 5 2 2 4 2 2" xfId="896" xr:uid="{00000000-0005-0000-0000-0000E62E0000}"/>
    <cellStyle name="Normal 5 2 2 4 2 2 2" xfId="3131" xr:uid="{00000000-0005-0000-0000-0000E72E0000}"/>
    <cellStyle name="Normal 5 2 2 4 2 2 2 2" xfId="7354" xr:uid="{00000000-0005-0000-0000-0000E82E0000}"/>
    <cellStyle name="Normal 5 2 2 4 2 2 2 2 2" xfId="15790" xr:uid="{00000000-0005-0000-0000-0000E92E0000}"/>
    <cellStyle name="Normal 5 2 2 4 2 2 2 3" xfId="11572" xr:uid="{00000000-0005-0000-0000-0000EA2E0000}"/>
    <cellStyle name="Normal 5 2 2 4 2 2 3" xfId="5209" xr:uid="{00000000-0005-0000-0000-0000EB2E0000}"/>
    <cellStyle name="Normal 5 2 2 4 2 2 3 2" xfId="13645" xr:uid="{00000000-0005-0000-0000-0000EC2E0000}"/>
    <cellStyle name="Normal 5 2 2 4 2 2 4" xfId="9427" xr:uid="{00000000-0005-0000-0000-0000ED2E0000}"/>
    <cellStyle name="Normal 5 2 2 4 2 3" xfId="1314" xr:uid="{00000000-0005-0000-0000-0000EE2E0000}"/>
    <cellStyle name="Normal 5 2 2 4 2 3 2" xfId="3544" xr:uid="{00000000-0005-0000-0000-0000EF2E0000}"/>
    <cellStyle name="Normal 5 2 2 4 2 3 2 2" xfId="7767" xr:uid="{00000000-0005-0000-0000-0000F02E0000}"/>
    <cellStyle name="Normal 5 2 2 4 2 3 2 2 2" xfId="16203" xr:uid="{00000000-0005-0000-0000-0000F12E0000}"/>
    <cellStyle name="Normal 5 2 2 4 2 3 2 3" xfId="11985" xr:uid="{00000000-0005-0000-0000-0000F22E0000}"/>
    <cellStyle name="Normal 5 2 2 4 2 3 3" xfId="5622" xr:uid="{00000000-0005-0000-0000-0000F32E0000}"/>
    <cellStyle name="Normal 5 2 2 4 2 3 3 2" xfId="14058" xr:uid="{00000000-0005-0000-0000-0000F42E0000}"/>
    <cellStyle name="Normal 5 2 2 4 2 3 4" xfId="9840" xr:uid="{00000000-0005-0000-0000-0000F52E0000}"/>
    <cellStyle name="Normal 5 2 2 4 2 4" xfId="1727" xr:uid="{00000000-0005-0000-0000-0000F62E0000}"/>
    <cellStyle name="Normal 5 2 2 4 2 4 2" xfId="3957" xr:uid="{00000000-0005-0000-0000-0000F72E0000}"/>
    <cellStyle name="Normal 5 2 2 4 2 4 2 2" xfId="8180" xr:uid="{00000000-0005-0000-0000-0000F82E0000}"/>
    <cellStyle name="Normal 5 2 2 4 2 4 2 2 2" xfId="16616" xr:uid="{00000000-0005-0000-0000-0000F92E0000}"/>
    <cellStyle name="Normal 5 2 2 4 2 4 2 3" xfId="12398" xr:uid="{00000000-0005-0000-0000-0000FA2E0000}"/>
    <cellStyle name="Normal 5 2 2 4 2 4 3" xfId="6035" xr:uid="{00000000-0005-0000-0000-0000FB2E0000}"/>
    <cellStyle name="Normal 5 2 2 4 2 4 3 2" xfId="14471" xr:uid="{00000000-0005-0000-0000-0000FC2E0000}"/>
    <cellStyle name="Normal 5 2 2 4 2 4 4" xfId="10253" xr:uid="{00000000-0005-0000-0000-0000FD2E0000}"/>
    <cellStyle name="Normal 5 2 2 4 2 5" xfId="2141" xr:uid="{00000000-0005-0000-0000-0000FE2E0000}"/>
    <cellStyle name="Normal 5 2 2 4 2 5 2" xfId="4370" xr:uid="{00000000-0005-0000-0000-0000FF2E0000}"/>
    <cellStyle name="Normal 5 2 2 4 2 5 2 2" xfId="8593" xr:uid="{00000000-0005-0000-0000-0000002F0000}"/>
    <cellStyle name="Normal 5 2 2 4 2 5 2 2 2" xfId="17029" xr:uid="{00000000-0005-0000-0000-0000012F0000}"/>
    <cellStyle name="Normal 5 2 2 4 2 5 2 3" xfId="12811" xr:uid="{00000000-0005-0000-0000-0000022F0000}"/>
    <cellStyle name="Normal 5 2 2 4 2 5 3" xfId="6448" xr:uid="{00000000-0005-0000-0000-0000032F0000}"/>
    <cellStyle name="Normal 5 2 2 4 2 5 3 2" xfId="14884" xr:uid="{00000000-0005-0000-0000-0000042F0000}"/>
    <cellStyle name="Normal 5 2 2 4 2 5 4" xfId="10666" xr:uid="{00000000-0005-0000-0000-0000052F0000}"/>
    <cellStyle name="Normal 5 2 2 4 2 6" xfId="2577" xr:uid="{00000000-0005-0000-0000-0000062F0000}"/>
    <cellStyle name="Normal 5 2 2 4 2 6 2" xfId="6861" xr:uid="{00000000-0005-0000-0000-0000072F0000}"/>
    <cellStyle name="Normal 5 2 2 4 2 6 2 2" xfId="15297" xr:uid="{00000000-0005-0000-0000-0000082F0000}"/>
    <cellStyle name="Normal 5 2 2 4 2 6 3" xfId="11079" xr:uid="{00000000-0005-0000-0000-0000092F0000}"/>
    <cellStyle name="Normal 5 2 2 4 2 7" xfId="4796" xr:uid="{00000000-0005-0000-0000-00000A2F0000}"/>
    <cellStyle name="Normal 5 2 2 4 2 7 2" xfId="13232" xr:uid="{00000000-0005-0000-0000-00000B2F0000}"/>
    <cellStyle name="Normal 5 2 2 4 2 8" xfId="9014" xr:uid="{00000000-0005-0000-0000-00000C2F0000}"/>
    <cellStyle name="Normal 5 2 2 4 3" xfId="895" xr:uid="{00000000-0005-0000-0000-00000D2F0000}"/>
    <cellStyle name="Normal 5 2 2 4 3 2" xfId="3130" xr:uid="{00000000-0005-0000-0000-00000E2F0000}"/>
    <cellStyle name="Normal 5 2 2 4 3 2 2" xfId="7353" xr:uid="{00000000-0005-0000-0000-00000F2F0000}"/>
    <cellStyle name="Normal 5 2 2 4 3 2 2 2" xfId="15789" xr:uid="{00000000-0005-0000-0000-0000102F0000}"/>
    <cellStyle name="Normal 5 2 2 4 3 2 3" xfId="11571" xr:uid="{00000000-0005-0000-0000-0000112F0000}"/>
    <cellStyle name="Normal 5 2 2 4 3 3" xfId="5208" xr:uid="{00000000-0005-0000-0000-0000122F0000}"/>
    <cellStyle name="Normal 5 2 2 4 3 3 2" xfId="13644" xr:uid="{00000000-0005-0000-0000-0000132F0000}"/>
    <cellStyle name="Normal 5 2 2 4 3 4" xfId="9426" xr:uid="{00000000-0005-0000-0000-0000142F0000}"/>
    <cellStyle name="Normal 5 2 2 4 4" xfId="1313" xr:uid="{00000000-0005-0000-0000-0000152F0000}"/>
    <cellStyle name="Normal 5 2 2 4 4 2" xfId="3543" xr:uid="{00000000-0005-0000-0000-0000162F0000}"/>
    <cellStyle name="Normal 5 2 2 4 4 2 2" xfId="7766" xr:uid="{00000000-0005-0000-0000-0000172F0000}"/>
    <cellStyle name="Normal 5 2 2 4 4 2 2 2" xfId="16202" xr:uid="{00000000-0005-0000-0000-0000182F0000}"/>
    <cellStyle name="Normal 5 2 2 4 4 2 3" xfId="11984" xr:uid="{00000000-0005-0000-0000-0000192F0000}"/>
    <cellStyle name="Normal 5 2 2 4 4 3" xfId="5621" xr:uid="{00000000-0005-0000-0000-00001A2F0000}"/>
    <cellStyle name="Normal 5 2 2 4 4 3 2" xfId="14057" xr:uid="{00000000-0005-0000-0000-00001B2F0000}"/>
    <cellStyle name="Normal 5 2 2 4 4 4" xfId="9839" xr:uid="{00000000-0005-0000-0000-00001C2F0000}"/>
    <cellStyle name="Normal 5 2 2 4 5" xfId="1726" xr:uid="{00000000-0005-0000-0000-00001D2F0000}"/>
    <cellStyle name="Normal 5 2 2 4 5 2" xfId="3956" xr:uid="{00000000-0005-0000-0000-00001E2F0000}"/>
    <cellStyle name="Normal 5 2 2 4 5 2 2" xfId="8179" xr:uid="{00000000-0005-0000-0000-00001F2F0000}"/>
    <cellStyle name="Normal 5 2 2 4 5 2 2 2" xfId="16615" xr:uid="{00000000-0005-0000-0000-0000202F0000}"/>
    <cellStyle name="Normal 5 2 2 4 5 2 3" xfId="12397" xr:uid="{00000000-0005-0000-0000-0000212F0000}"/>
    <cellStyle name="Normal 5 2 2 4 5 3" xfId="6034" xr:uid="{00000000-0005-0000-0000-0000222F0000}"/>
    <cellStyle name="Normal 5 2 2 4 5 3 2" xfId="14470" xr:uid="{00000000-0005-0000-0000-0000232F0000}"/>
    <cellStyle name="Normal 5 2 2 4 5 4" xfId="10252" xr:uid="{00000000-0005-0000-0000-0000242F0000}"/>
    <cellStyle name="Normal 5 2 2 4 6" xfId="2140" xr:uid="{00000000-0005-0000-0000-0000252F0000}"/>
    <cellStyle name="Normal 5 2 2 4 6 2" xfId="4369" xr:uid="{00000000-0005-0000-0000-0000262F0000}"/>
    <cellStyle name="Normal 5 2 2 4 6 2 2" xfId="8592" xr:uid="{00000000-0005-0000-0000-0000272F0000}"/>
    <cellStyle name="Normal 5 2 2 4 6 2 2 2" xfId="17028" xr:uid="{00000000-0005-0000-0000-0000282F0000}"/>
    <cellStyle name="Normal 5 2 2 4 6 2 3" xfId="12810" xr:uid="{00000000-0005-0000-0000-0000292F0000}"/>
    <cellStyle name="Normal 5 2 2 4 6 3" xfId="6447" xr:uid="{00000000-0005-0000-0000-00002A2F0000}"/>
    <cellStyle name="Normal 5 2 2 4 6 3 2" xfId="14883" xr:uid="{00000000-0005-0000-0000-00002B2F0000}"/>
    <cellStyle name="Normal 5 2 2 4 6 4" xfId="10665" xr:uid="{00000000-0005-0000-0000-00002C2F0000}"/>
    <cellStyle name="Normal 5 2 2 4 7" xfId="2576" xr:uid="{00000000-0005-0000-0000-00002D2F0000}"/>
    <cellStyle name="Normal 5 2 2 4 7 2" xfId="6860" xr:uid="{00000000-0005-0000-0000-00002E2F0000}"/>
    <cellStyle name="Normal 5 2 2 4 7 2 2" xfId="15296" xr:uid="{00000000-0005-0000-0000-00002F2F0000}"/>
    <cellStyle name="Normal 5 2 2 4 7 3" xfId="11078" xr:uid="{00000000-0005-0000-0000-0000302F0000}"/>
    <cellStyle name="Normal 5 2 2 4 8" xfId="4795" xr:uid="{00000000-0005-0000-0000-0000312F0000}"/>
    <cellStyle name="Normal 5 2 2 4 8 2" xfId="13231" xr:uid="{00000000-0005-0000-0000-0000322F0000}"/>
    <cellStyle name="Normal 5 2 2 4 9" xfId="9013" xr:uid="{00000000-0005-0000-0000-0000332F0000}"/>
    <cellStyle name="Normal 5 2 2 5" xfId="423" xr:uid="{00000000-0005-0000-0000-0000342F0000}"/>
    <cellStyle name="Normal 5 2 2 5 2" xfId="897" xr:uid="{00000000-0005-0000-0000-0000352F0000}"/>
    <cellStyle name="Normal 5 2 2 5 2 2" xfId="3132" xr:uid="{00000000-0005-0000-0000-0000362F0000}"/>
    <cellStyle name="Normal 5 2 2 5 2 2 2" xfId="7355" xr:uid="{00000000-0005-0000-0000-0000372F0000}"/>
    <cellStyle name="Normal 5 2 2 5 2 2 2 2" xfId="15791" xr:uid="{00000000-0005-0000-0000-0000382F0000}"/>
    <cellStyle name="Normal 5 2 2 5 2 2 3" xfId="11573" xr:uid="{00000000-0005-0000-0000-0000392F0000}"/>
    <cellStyle name="Normal 5 2 2 5 2 3" xfId="5210" xr:uid="{00000000-0005-0000-0000-00003A2F0000}"/>
    <cellStyle name="Normal 5 2 2 5 2 3 2" xfId="13646" xr:uid="{00000000-0005-0000-0000-00003B2F0000}"/>
    <cellStyle name="Normal 5 2 2 5 2 4" xfId="9428" xr:uid="{00000000-0005-0000-0000-00003C2F0000}"/>
    <cellStyle name="Normal 5 2 2 5 3" xfId="1315" xr:uid="{00000000-0005-0000-0000-00003D2F0000}"/>
    <cellStyle name="Normal 5 2 2 5 3 2" xfId="3545" xr:uid="{00000000-0005-0000-0000-00003E2F0000}"/>
    <cellStyle name="Normal 5 2 2 5 3 2 2" xfId="7768" xr:uid="{00000000-0005-0000-0000-00003F2F0000}"/>
    <cellStyle name="Normal 5 2 2 5 3 2 2 2" xfId="16204" xr:uid="{00000000-0005-0000-0000-0000402F0000}"/>
    <cellStyle name="Normal 5 2 2 5 3 2 3" xfId="11986" xr:uid="{00000000-0005-0000-0000-0000412F0000}"/>
    <cellStyle name="Normal 5 2 2 5 3 3" xfId="5623" xr:uid="{00000000-0005-0000-0000-0000422F0000}"/>
    <cellStyle name="Normal 5 2 2 5 3 3 2" xfId="14059" xr:uid="{00000000-0005-0000-0000-0000432F0000}"/>
    <cellStyle name="Normal 5 2 2 5 3 4" xfId="9841" xr:uid="{00000000-0005-0000-0000-0000442F0000}"/>
    <cellStyle name="Normal 5 2 2 5 4" xfId="1728" xr:uid="{00000000-0005-0000-0000-0000452F0000}"/>
    <cellStyle name="Normal 5 2 2 5 4 2" xfId="3958" xr:uid="{00000000-0005-0000-0000-0000462F0000}"/>
    <cellStyle name="Normal 5 2 2 5 4 2 2" xfId="8181" xr:uid="{00000000-0005-0000-0000-0000472F0000}"/>
    <cellStyle name="Normal 5 2 2 5 4 2 2 2" xfId="16617" xr:uid="{00000000-0005-0000-0000-0000482F0000}"/>
    <cellStyle name="Normal 5 2 2 5 4 2 3" xfId="12399" xr:uid="{00000000-0005-0000-0000-0000492F0000}"/>
    <cellStyle name="Normal 5 2 2 5 4 3" xfId="6036" xr:uid="{00000000-0005-0000-0000-00004A2F0000}"/>
    <cellStyle name="Normal 5 2 2 5 4 3 2" xfId="14472" xr:uid="{00000000-0005-0000-0000-00004B2F0000}"/>
    <cellStyle name="Normal 5 2 2 5 4 4" xfId="10254" xr:uid="{00000000-0005-0000-0000-00004C2F0000}"/>
    <cellStyle name="Normal 5 2 2 5 5" xfId="2142" xr:uid="{00000000-0005-0000-0000-00004D2F0000}"/>
    <cellStyle name="Normal 5 2 2 5 5 2" xfId="4371" xr:uid="{00000000-0005-0000-0000-00004E2F0000}"/>
    <cellStyle name="Normal 5 2 2 5 5 2 2" xfId="8594" xr:uid="{00000000-0005-0000-0000-00004F2F0000}"/>
    <cellStyle name="Normal 5 2 2 5 5 2 2 2" xfId="17030" xr:uid="{00000000-0005-0000-0000-0000502F0000}"/>
    <cellStyle name="Normal 5 2 2 5 5 2 3" xfId="12812" xr:uid="{00000000-0005-0000-0000-0000512F0000}"/>
    <cellStyle name="Normal 5 2 2 5 5 3" xfId="6449" xr:uid="{00000000-0005-0000-0000-0000522F0000}"/>
    <cellStyle name="Normal 5 2 2 5 5 3 2" xfId="14885" xr:uid="{00000000-0005-0000-0000-0000532F0000}"/>
    <cellStyle name="Normal 5 2 2 5 5 4" xfId="10667" xr:uid="{00000000-0005-0000-0000-0000542F0000}"/>
    <cellStyle name="Normal 5 2 2 5 6" xfId="2578" xr:uid="{00000000-0005-0000-0000-0000552F0000}"/>
    <cellStyle name="Normal 5 2 2 5 6 2" xfId="6862" xr:uid="{00000000-0005-0000-0000-0000562F0000}"/>
    <cellStyle name="Normal 5 2 2 5 6 2 2" xfId="15298" xr:uid="{00000000-0005-0000-0000-0000572F0000}"/>
    <cellStyle name="Normal 5 2 2 5 6 3" xfId="11080" xr:uid="{00000000-0005-0000-0000-0000582F0000}"/>
    <cellStyle name="Normal 5 2 2 5 7" xfId="4797" xr:uid="{00000000-0005-0000-0000-0000592F0000}"/>
    <cellStyle name="Normal 5 2 2 5 7 2" xfId="13233" xr:uid="{00000000-0005-0000-0000-00005A2F0000}"/>
    <cellStyle name="Normal 5 2 2 5 8" xfId="9015" xr:uid="{00000000-0005-0000-0000-00005B2F0000}"/>
    <cellStyle name="Normal 5 2 2 6" xfId="882" xr:uid="{00000000-0005-0000-0000-00005C2F0000}"/>
    <cellStyle name="Normal 5 2 2 6 2" xfId="3117" xr:uid="{00000000-0005-0000-0000-00005D2F0000}"/>
    <cellStyle name="Normal 5 2 2 6 2 2" xfId="7340" xr:uid="{00000000-0005-0000-0000-00005E2F0000}"/>
    <cellStyle name="Normal 5 2 2 6 2 2 2" xfId="15776" xr:uid="{00000000-0005-0000-0000-00005F2F0000}"/>
    <cellStyle name="Normal 5 2 2 6 2 3" xfId="11558" xr:uid="{00000000-0005-0000-0000-0000602F0000}"/>
    <cellStyle name="Normal 5 2 2 6 3" xfId="5195" xr:uid="{00000000-0005-0000-0000-0000612F0000}"/>
    <cellStyle name="Normal 5 2 2 6 3 2" xfId="13631" xr:uid="{00000000-0005-0000-0000-0000622F0000}"/>
    <cellStyle name="Normal 5 2 2 6 4" xfId="9413" xr:uid="{00000000-0005-0000-0000-0000632F0000}"/>
    <cellStyle name="Normal 5 2 2 7" xfId="1300" xr:uid="{00000000-0005-0000-0000-0000642F0000}"/>
    <cellStyle name="Normal 5 2 2 7 2" xfId="3530" xr:uid="{00000000-0005-0000-0000-0000652F0000}"/>
    <cellStyle name="Normal 5 2 2 7 2 2" xfId="7753" xr:uid="{00000000-0005-0000-0000-0000662F0000}"/>
    <cellStyle name="Normal 5 2 2 7 2 2 2" xfId="16189" xr:uid="{00000000-0005-0000-0000-0000672F0000}"/>
    <cellStyle name="Normal 5 2 2 7 2 3" xfId="11971" xr:uid="{00000000-0005-0000-0000-0000682F0000}"/>
    <cellStyle name="Normal 5 2 2 7 3" xfId="5608" xr:uid="{00000000-0005-0000-0000-0000692F0000}"/>
    <cellStyle name="Normal 5 2 2 7 3 2" xfId="14044" xr:uid="{00000000-0005-0000-0000-00006A2F0000}"/>
    <cellStyle name="Normal 5 2 2 7 4" xfId="9826" xr:uid="{00000000-0005-0000-0000-00006B2F0000}"/>
    <cellStyle name="Normal 5 2 2 8" xfId="1713" xr:uid="{00000000-0005-0000-0000-00006C2F0000}"/>
    <cellStyle name="Normal 5 2 2 8 2" xfId="3943" xr:uid="{00000000-0005-0000-0000-00006D2F0000}"/>
    <cellStyle name="Normal 5 2 2 8 2 2" xfId="8166" xr:uid="{00000000-0005-0000-0000-00006E2F0000}"/>
    <cellStyle name="Normal 5 2 2 8 2 2 2" xfId="16602" xr:uid="{00000000-0005-0000-0000-00006F2F0000}"/>
    <cellStyle name="Normal 5 2 2 8 2 3" xfId="12384" xr:uid="{00000000-0005-0000-0000-0000702F0000}"/>
    <cellStyle name="Normal 5 2 2 8 3" xfId="6021" xr:uid="{00000000-0005-0000-0000-0000712F0000}"/>
    <cellStyle name="Normal 5 2 2 8 3 2" xfId="14457" xr:uid="{00000000-0005-0000-0000-0000722F0000}"/>
    <cellStyle name="Normal 5 2 2 8 4" xfId="10239" xr:uid="{00000000-0005-0000-0000-0000732F0000}"/>
    <cellStyle name="Normal 5 2 2 9" xfId="2127" xr:uid="{00000000-0005-0000-0000-0000742F0000}"/>
    <cellStyle name="Normal 5 2 2 9 2" xfId="4356" xr:uid="{00000000-0005-0000-0000-0000752F0000}"/>
    <cellStyle name="Normal 5 2 2 9 2 2" xfId="8579" xr:uid="{00000000-0005-0000-0000-0000762F0000}"/>
    <cellStyle name="Normal 5 2 2 9 2 2 2" xfId="17015" xr:uid="{00000000-0005-0000-0000-0000772F0000}"/>
    <cellStyle name="Normal 5 2 2 9 2 3" xfId="12797" xr:uid="{00000000-0005-0000-0000-0000782F0000}"/>
    <cellStyle name="Normal 5 2 2 9 3" xfId="6434" xr:uid="{00000000-0005-0000-0000-0000792F0000}"/>
    <cellStyle name="Normal 5 2 2 9 3 2" xfId="14870" xr:uid="{00000000-0005-0000-0000-00007A2F0000}"/>
    <cellStyle name="Normal 5 2 2 9 4" xfId="10652" xr:uid="{00000000-0005-0000-0000-00007B2F0000}"/>
    <cellStyle name="Normal 5 2 3" xfId="424" xr:uid="{00000000-0005-0000-0000-00007C2F0000}"/>
    <cellStyle name="Normal 5 2 3 10" xfId="4798" xr:uid="{00000000-0005-0000-0000-00007D2F0000}"/>
    <cellStyle name="Normal 5 2 3 10 2" xfId="13234" xr:uid="{00000000-0005-0000-0000-00007E2F0000}"/>
    <cellStyle name="Normal 5 2 3 11" xfId="9016" xr:uid="{00000000-0005-0000-0000-00007F2F0000}"/>
    <cellStyle name="Normal 5 2 3 2" xfId="425" xr:uid="{00000000-0005-0000-0000-0000802F0000}"/>
    <cellStyle name="Normal 5 2 3 2 10" xfId="9017" xr:uid="{00000000-0005-0000-0000-0000812F0000}"/>
    <cellStyle name="Normal 5 2 3 2 2" xfId="426" xr:uid="{00000000-0005-0000-0000-0000822F0000}"/>
    <cellStyle name="Normal 5 2 3 2 2 2" xfId="427" xr:uid="{00000000-0005-0000-0000-0000832F0000}"/>
    <cellStyle name="Normal 5 2 3 2 2 2 2" xfId="901" xr:uid="{00000000-0005-0000-0000-0000842F0000}"/>
    <cellStyle name="Normal 5 2 3 2 2 2 2 2" xfId="3136" xr:uid="{00000000-0005-0000-0000-0000852F0000}"/>
    <cellStyle name="Normal 5 2 3 2 2 2 2 2 2" xfId="7359" xr:uid="{00000000-0005-0000-0000-0000862F0000}"/>
    <cellStyle name="Normal 5 2 3 2 2 2 2 2 2 2" xfId="15795" xr:uid="{00000000-0005-0000-0000-0000872F0000}"/>
    <cellStyle name="Normal 5 2 3 2 2 2 2 2 3" xfId="11577" xr:uid="{00000000-0005-0000-0000-0000882F0000}"/>
    <cellStyle name="Normal 5 2 3 2 2 2 2 3" xfId="5214" xr:uid="{00000000-0005-0000-0000-0000892F0000}"/>
    <cellStyle name="Normal 5 2 3 2 2 2 2 3 2" xfId="13650" xr:uid="{00000000-0005-0000-0000-00008A2F0000}"/>
    <cellStyle name="Normal 5 2 3 2 2 2 2 4" xfId="9432" xr:uid="{00000000-0005-0000-0000-00008B2F0000}"/>
    <cellStyle name="Normal 5 2 3 2 2 2 3" xfId="1319" xr:uid="{00000000-0005-0000-0000-00008C2F0000}"/>
    <cellStyle name="Normal 5 2 3 2 2 2 3 2" xfId="3549" xr:uid="{00000000-0005-0000-0000-00008D2F0000}"/>
    <cellStyle name="Normal 5 2 3 2 2 2 3 2 2" xfId="7772" xr:uid="{00000000-0005-0000-0000-00008E2F0000}"/>
    <cellStyle name="Normal 5 2 3 2 2 2 3 2 2 2" xfId="16208" xr:uid="{00000000-0005-0000-0000-00008F2F0000}"/>
    <cellStyle name="Normal 5 2 3 2 2 2 3 2 3" xfId="11990" xr:uid="{00000000-0005-0000-0000-0000902F0000}"/>
    <cellStyle name="Normal 5 2 3 2 2 2 3 3" xfId="5627" xr:uid="{00000000-0005-0000-0000-0000912F0000}"/>
    <cellStyle name="Normal 5 2 3 2 2 2 3 3 2" xfId="14063" xr:uid="{00000000-0005-0000-0000-0000922F0000}"/>
    <cellStyle name="Normal 5 2 3 2 2 2 3 4" xfId="9845" xr:uid="{00000000-0005-0000-0000-0000932F0000}"/>
    <cellStyle name="Normal 5 2 3 2 2 2 4" xfId="1732" xr:uid="{00000000-0005-0000-0000-0000942F0000}"/>
    <cellStyle name="Normal 5 2 3 2 2 2 4 2" xfId="3962" xr:uid="{00000000-0005-0000-0000-0000952F0000}"/>
    <cellStyle name="Normal 5 2 3 2 2 2 4 2 2" xfId="8185" xr:uid="{00000000-0005-0000-0000-0000962F0000}"/>
    <cellStyle name="Normal 5 2 3 2 2 2 4 2 2 2" xfId="16621" xr:uid="{00000000-0005-0000-0000-0000972F0000}"/>
    <cellStyle name="Normal 5 2 3 2 2 2 4 2 3" xfId="12403" xr:uid="{00000000-0005-0000-0000-0000982F0000}"/>
    <cellStyle name="Normal 5 2 3 2 2 2 4 3" xfId="6040" xr:uid="{00000000-0005-0000-0000-0000992F0000}"/>
    <cellStyle name="Normal 5 2 3 2 2 2 4 3 2" xfId="14476" xr:uid="{00000000-0005-0000-0000-00009A2F0000}"/>
    <cellStyle name="Normal 5 2 3 2 2 2 4 4" xfId="10258" xr:uid="{00000000-0005-0000-0000-00009B2F0000}"/>
    <cellStyle name="Normal 5 2 3 2 2 2 5" xfId="2146" xr:uid="{00000000-0005-0000-0000-00009C2F0000}"/>
    <cellStyle name="Normal 5 2 3 2 2 2 5 2" xfId="4375" xr:uid="{00000000-0005-0000-0000-00009D2F0000}"/>
    <cellStyle name="Normal 5 2 3 2 2 2 5 2 2" xfId="8598" xr:uid="{00000000-0005-0000-0000-00009E2F0000}"/>
    <cellStyle name="Normal 5 2 3 2 2 2 5 2 2 2" xfId="17034" xr:uid="{00000000-0005-0000-0000-00009F2F0000}"/>
    <cellStyle name="Normal 5 2 3 2 2 2 5 2 3" xfId="12816" xr:uid="{00000000-0005-0000-0000-0000A02F0000}"/>
    <cellStyle name="Normal 5 2 3 2 2 2 5 3" xfId="6453" xr:uid="{00000000-0005-0000-0000-0000A12F0000}"/>
    <cellStyle name="Normal 5 2 3 2 2 2 5 3 2" xfId="14889" xr:uid="{00000000-0005-0000-0000-0000A22F0000}"/>
    <cellStyle name="Normal 5 2 3 2 2 2 5 4" xfId="10671" xr:uid="{00000000-0005-0000-0000-0000A32F0000}"/>
    <cellStyle name="Normal 5 2 3 2 2 2 6" xfId="2582" xr:uid="{00000000-0005-0000-0000-0000A42F0000}"/>
    <cellStyle name="Normal 5 2 3 2 2 2 6 2" xfId="6866" xr:uid="{00000000-0005-0000-0000-0000A52F0000}"/>
    <cellStyle name="Normal 5 2 3 2 2 2 6 2 2" xfId="15302" xr:uid="{00000000-0005-0000-0000-0000A62F0000}"/>
    <cellStyle name="Normal 5 2 3 2 2 2 6 3" xfId="11084" xr:uid="{00000000-0005-0000-0000-0000A72F0000}"/>
    <cellStyle name="Normal 5 2 3 2 2 2 7" xfId="4801" xr:uid="{00000000-0005-0000-0000-0000A82F0000}"/>
    <cellStyle name="Normal 5 2 3 2 2 2 7 2" xfId="13237" xr:uid="{00000000-0005-0000-0000-0000A92F0000}"/>
    <cellStyle name="Normal 5 2 3 2 2 2 8" xfId="9019" xr:uid="{00000000-0005-0000-0000-0000AA2F0000}"/>
    <cellStyle name="Normal 5 2 3 2 2 3" xfId="900" xr:uid="{00000000-0005-0000-0000-0000AB2F0000}"/>
    <cellStyle name="Normal 5 2 3 2 2 3 2" xfId="3135" xr:uid="{00000000-0005-0000-0000-0000AC2F0000}"/>
    <cellStyle name="Normal 5 2 3 2 2 3 2 2" xfId="7358" xr:uid="{00000000-0005-0000-0000-0000AD2F0000}"/>
    <cellStyle name="Normal 5 2 3 2 2 3 2 2 2" xfId="15794" xr:uid="{00000000-0005-0000-0000-0000AE2F0000}"/>
    <cellStyle name="Normal 5 2 3 2 2 3 2 3" xfId="11576" xr:uid="{00000000-0005-0000-0000-0000AF2F0000}"/>
    <cellStyle name="Normal 5 2 3 2 2 3 3" xfId="5213" xr:uid="{00000000-0005-0000-0000-0000B02F0000}"/>
    <cellStyle name="Normal 5 2 3 2 2 3 3 2" xfId="13649" xr:uid="{00000000-0005-0000-0000-0000B12F0000}"/>
    <cellStyle name="Normal 5 2 3 2 2 3 4" xfId="9431" xr:uid="{00000000-0005-0000-0000-0000B22F0000}"/>
    <cellStyle name="Normal 5 2 3 2 2 4" xfId="1318" xr:uid="{00000000-0005-0000-0000-0000B32F0000}"/>
    <cellStyle name="Normal 5 2 3 2 2 4 2" xfId="3548" xr:uid="{00000000-0005-0000-0000-0000B42F0000}"/>
    <cellStyle name="Normal 5 2 3 2 2 4 2 2" xfId="7771" xr:uid="{00000000-0005-0000-0000-0000B52F0000}"/>
    <cellStyle name="Normal 5 2 3 2 2 4 2 2 2" xfId="16207" xr:uid="{00000000-0005-0000-0000-0000B62F0000}"/>
    <cellStyle name="Normal 5 2 3 2 2 4 2 3" xfId="11989" xr:uid="{00000000-0005-0000-0000-0000B72F0000}"/>
    <cellStyle name="Normal 5 2 3 2 2 4 3" xfId="5626" xr:uid="{00000000-0005-0000-0000-0000B82F0000}"/>
    <cellStyle name="Normal 5 2 3 2 2 4 3 2" xfId="14062" xr:uid="{00000000-0005-0000-0000-0000B92F0000}"/>
    <cellStyle name="Normal 5 2 3 2 2 4 4" xfId="9844" xr:uid="{00000000-0005-0000-0000-0000BA2F0000}"/>
    <cellStyle name="Normal 5 2 3 2 2 5" xfId="1731" xr:uid="{00000000-0005-0000-0000-0000BB2F0000}"/>
    <cellStyle name="Normal 5 2 3 2 2 5 2" xfId="3961" xr:uid="{00000000-0005-0000-0000-0000BC2F0000}"/>
    <cellStyle name="Normal 5 2 3 2 2 5 2 2" xfId="8184" xr:uid="{00000000-0005-0000-0000-0000BD2F0000}"/>
    <cellStyle name="Normal 5 2 3 2 2 5 2 2 2" xfId="16620" xr:uid="{00000000-0005-0000-0000-0000BE2F0000}"/>
    <cellStyle name="Normal 5 2 3 2 2 5 2 3" xfId="12402" xr:uid="{00000000-0005-0000-0000-0000BF2F0000}"/>
    <cellStyle name="Normal 5 2 3 2 2 5 3" xfId="6039" xr:uid="{00000000-0005-0000-0000-0000C02F0000}"/>
    <cellStyle name="Normal 5 2 3 2 2 5 3 2" xfId="14475" xr:uid="{00000000-0005-0000-0000-0000C12F0000}"/>
    <cellStyle name="Normal 5 2 3 2 2 5 4" xfId="10257" xr:uid="{00000000-0005-0000-0000-0000C22F0000}"/>
    <cellStyle name="Normal 5 2 3 2 2 6" xfId="2145" xr:uid="{00000000-0005-0000-0000-0000C32F0000}"/>
    <cellStyle name="Normal 5 2 3 2 2 6 2" xfId="4374" xr:uid="{00000000-0005-0000-0000-0000C42F0000}"/>
    <cellStyle name="Normal 5 2 3 2 2 6 2 2" xfId="8597" xr:uid="{00000000-0005-0000-0000-0000C52F0000}"/>
    <cellStyle name="Normal 5 2 3 2 2 6 2 2 2" xfId="17033" xr:uid="{00000000-0005-0000-0000-0000C62F0000}"/>
    <cellStyle name="Normal 5 2 3 2 2 6 2 3" xfId="12815" xr:uid="{00000000-0005-0000-0000-0000C72F0000}"/>
    <cellStyle name="Normal 5 2 3 2 2 6 3" xfId="6452" xr:uid="{00000000-0005-0000-0000-0000C82F0000}"/>
    <cellStyle name="Normal 5 2 3 2 2 6 3 2" xfId="14888" xr:uid="{00000000-0005-0000-0000-0000C92F0000}"/>
    <cellStyle name="Normal 5 2 3 2 2 6 4" xfId="10670" xr:uid="{00000000-0005-0000-0000-0000CA2F0000}"/>
    <cellStyle name="Normal 5 2 3 2 2 7" xfId="2581" xr:uid="{00000000-0005-0000-0000-0000CB2F0000}"/>
    <cellStyle name="Normal 5 2 3 2 2 7 2" xfId="6865" xr:uid="{00000000-0005-0000-0000-0000CC2F0000}"/>
    <cellStyle name="Normal 5 2 3 2 2 7 2 2" xfId="15301" xr:uid="{00000000-0005-0000-0000-0000CD2F0000}"/>
    <cellStyle name="Normal 5 2 3 2 2 7 3" xfId="11083" xr:uid="{00000000-0005-0000-0000-0000CE2F0000}"/>
    <cellStyle name="Normal 5 2 3 2 2 8" xfId="4800" xr:uid="{00000000-0005-0000-0000-0000CF2F0000}"/>
    <cellStyle name="Normal 5 2 3 2 2 8 2" xfId="13236" xr:uid="{00000000-0005-0000-0000-0000D02F0000}"/>
    <cellStyle name="Normal 5 2 3 2 2 9" xfId="9018" xr:uid="{00000000-0005-0000-0000-0000D12F0000}"/>
    <cellStyle name="Normal 5 2 3 2 3" xfId="428" xr:uid="{00000000-0005-0000-0000-0000D22F0000}"/>
    <cellStyle name="Normal 5 2 3 2 3 2" xfId="902" xr:uid="{00000000-0005-0000-0000-0000D32F0000}"/>
    <cellStyle name="Normal 5 2 3 2 3 2 2" xfId="3137" xr:uid="{00000000-0005-0000-0000-0000D42F0000}"/>
    <cellStyle name="Normal 5 2 3 2 3 2 2 2" xfId="7360" xr:uid="{00000000-0005-0000-0000-0000D52F0000}"/>
    <cellStyle name="Normal 5 2 3 2 3 2 2 2 2" xfId="15796" xr:uid="{00000000-0005-0000-0000-0000D62F0000}"/>
    <cellStyle name="Normal 5 2 3 2 3 2 2 3" xfId="11578" xr:uid="{00000000-0005-0000-0000-0000D72F0000}"/>
    <cellStyle name="Normal 5 2 3 2 3 2 3" xfId="5215" xr:uid="{00000000-0005-0000-0000-0000D82F0000}"/>
    <cellStyle name="Normal 5 2 3 2 3 2 3 2" xfId="13651" xr:uid="{00000000-0005-0000-0000-0000D92F0000}"/>
    <cellStyle name="Normal 5 2 3 2 3 2 4" xfId="9433" xr:uid="{00000000-0005-0000-0000-0000DA2F0000}"/>
    <cellStyle name="Normal 5 2 3 2 3 3" xfId="1320" xr:uid="{00000000-0005-0000-0000-0000DB2F0000}"/>
    <cellStyle name="Normal 5 2 3 2 3 3 2" xfId="3550" xr:uid="{00000000-0005-0000-0000-0000DC2F0000}"/>
    <cellStyle name="Normal 5 2 3 2 3 3 2 2" xfId="7773" xr:uid="{00000000-0005-0000-0000-0000DD2F0000}"/>
    <cellStyle name="Normal 5 2 3 2 3 3 2 2 2" xfId="16209" xr:uid="{00000000-0005-0000-0000-0000DE2F0000}"/>
    <cellStyle name="Normal 5 2 3 2 3 3 2 3" xfId="11991" xr:uid="{00000000-0005-0000-0000-0000DF2F0000}"/>
    <cellStyle name="Normal 5 2 3 2 3 3 3" xfId="5628" xr:uid="{00000000-0005-0000-0000-0000E02F0000}"/>
    <cellStyle name="Normal 5 2 3 2 3 3 3 2" xfId="14064" xr:uid="{00000000-0005-0000-0000-0000E12F0000}"/>
    <cellStyle name="Normal 5 2 3 2 3 3 4" xfId="9846" xr:uid="{00000000-0005-0000-0000-0000E22F0000}"/>
    <cellStyle name="Normal 5 2 3 2 3 4" xfId="1733" xr:uid="{00000000-0005-0000-0000-0000E32F0000}"/>
    <cellStyle name="Normal 5 2 3 2 3 4 2" xfId="3963" xr:uid="{00000000-0005-0000-0000-0000E42F0000}"/>
    <cellStyle name="Normal 5 2 3 2 3 4 2 2" xfId="8186" xr:uid="{00000000-0005-0000-0000-0000E52F0000}"/>
    <cellStyle name="Normal 5 2 3 2 3 4 2 2 2" xfId="16622" xr:uid="{00000000-0005-0000-0000-0000E62F0000}"/>
    <cellStyle name="Normal 5 2 3 2 3 4 2 3" xfId="12404" xr:uid="{00000000-0005-0000-0000-0000E72F0000}"/>
    <cellStyle name="Normal 5 2 3 2 3 4 3" xfId="6041" xr:uid="{00000000-0005-0000-0000-0000E82F0000}"/>
    <cellStyle name="Normal 5 2 3 2 3 4 3 2" xfId="14477" xr:uid="{00000000-0005-0000-0000-0000E92F0000}"/>
    <cellStyle name="Normal 5 2 3 2 3 4 4" xfId="10259" xr:uid="{00000000-0005-0000-0000-0000EA2F0000}"/>
    <cellStyle name="Normal 5 2 3 2 3 5" xfId="2147" xr:uid="{00000000-0005-0000-0000-0000EB2F0000}"/>
    <cellStyle name="Normal 5 2 3 2 3 5 2" xfId="4376" xr:uid="{00000000-0005-0000-0000-0000EC2F0000}"/>
    <cellStyle name="Normal 5 2 3 2 3 5 2 2" xfId="8599" xr:uid="{00000000-0005-0000-0000-0000ED2F0000}"/>
    <cellStyle name="Normal 5 2 3 2 3 5 2 2 2" xfId="17035" xr:uid="{00000000-0005-0000-0000-0000EE2F0000}"/>
    <cellStyle name="Normal 5 2 3 2 3 5 2 3" xfId="12817" xr:uid="{00000000-0005-0000-0000-0000EF2F0000}"/>
    <cellStyle name="Normal 5 2 3 2 3 5 3" xfId="6454" xr:uid="{00000000-0005-0000-0000-0000F02F0000}"/>
    <cellStyle name="Normal 5 2 3 2 3 5 3 2" xfId="14890" xr:uid="{00000000-0005-0000-0000-0000F12F0000}"/>
    <cellStyle name="Normal 5 2 3 2 3 5 4" xfId="10672" xr:uid="{00000000-0005-0000-0000-0000F22F0000}"/>
    <cellStyle name="Normal 5 2 3 2 3 6" xfId="2583" xr:uid="{00000000-0005-0000-0000-0000F32F0000}"/>
    <cellStyle name="Normal 5 2 3 2 3 6 2" xfId="6867" xr:uid="{00000000-0005-0000-0000-0000F42F0000}"/>
    <cellStyle name="Normal 5 2 3 2 3 6 2 2" xfId="15303" xr:uid="{00000000-0005-0000-0000-0000F52F0000}"/>
    <cellStyle name="Normal 5 2 3 2 3 6 3" xfId="11085" xr:uid="{00000000-0005-0000-0000-0000F62F0000}"/>
    <cellStyle name="Normal 5 2 3 2 3 7" xfId="4802" xr:uid="{00000000-0005-0000-0000-0000F72F0000}"/>
    <cellStyle name="Normal 5 2 3 2 3 7 2" xfId="13238" xr:uid="{00000000-0005-0000-0000-0000F82F0000}"/>
    <cellStyle name="Normal 5 2 3 2 3 8" xfId="9020" xr:uid="{00000000-0005-0000-0000-0000F92F0000}"/>
    <cellStyle name="Normal 5 2 3 2 4" xfId="899" xr:uid="{00000000-0005-0000-0000-0000FA2F0000}"/>
    <cellStyle name="Normal 5 2 3 2 4 2" xfId="3134" xr:uid="{00000000-0005-0000-0000-0000FB2F0000}"/>
    <cellStyle name="Normal 5 2 3 2 4 2 2" xfId="7357" xr:uid="{00000000-0005-0000-0000-0000FC2F0000}"/>
    <cellStyle name="Normal 5 2 3 2 4 2 2 2" xfId="15793" xr:uid="{00000000-0005-0000-0000-0000FD2F0000}"/>
    <cellStyle name="Normal 5 2 3 2 4 2 3" xfId="11575" xr:uid="{00000000-0005-0000-0000-0000FE2F0000}"/>
    <cellStyle name="Normal 5 2 3 2 4 3" xfId="5212" xr:uid="{00000000-0005-0000-0000-0000FF2F0000}"/>
    <cellStyle name="Normal 5 2 3 2 4 3 2" xfId="13648" xr:uid="{00000000-0005-0000-0000-000000300000}"/>
    <cellStyle name="Normal 5 2 3 2 4 4" xfId="9430" xr:uid="{00000000-0005-0000-0000-000001300000}"/>
    <cellStyle name="Normal 5 2 3 2 5" xfId="1317" xr:uid="{00000000-0005-0000-0000-000002300000}"/>
    <cellStyle name="Normal 5 2 3 2 5 2" xfId="3547" xr:uid="{00000000-0005-0000-0000-000003300000}"/>
    <cellStyle name="Normal 5 2 3 2 5 2 2" xfId="7770" xr:uid="{00000000-0005-0000-0000-000004300000}"/>
    <cellStyle name="Normal 5 2 3 2 5 2 2 2" xfId="16206" xr:uid="{00000000-0005-0000-0000-000005300000}"/>
    <cellStyle name="Normal 5 2 3 2 5 2 3" xfId="11988" xr:uid="{00000000-0005-0000-0000-000006300000}"/>
    <cellStyle name="Normal 5 2 3 2 5 3" xfId="5625" xr:uid="{00000000-0005-0000-0000-000007300000}"/>
    <cellStyle name="Normal 5 2 3 2 5 3 2" xfId="14061" xr:uid="{00000000-0005-0000-0000-000008300000}"/>
    <cellStyle name="Normal 5 2 3 2 5 4" xfId="9843" xr:uid="{00000000-0005-0000-0000-000009300000}"/>
    <cellStyle name="Normal 5 2 3 2 6" xfId="1730" xr:uid="{00000000-0005-0000-0000-00000A300000}"/>
    <cellStyle name="Normal 5 2 3 2 6 2" xfId="3960" xr:uid="{00000000-0005-0000-0000-00000B300000}"/>
    <cellStyle name="Normal 5 2 3 2 6 2 2" xfId="8183" xr:uid="{00000000-0005-0000-0000-00000C300000}"/>
    <cellStyle name="Normal 5 2 3 2 6 2 2 2" xfId="16619" xr:uid="{00000000-0005-0000-0000-00000D300000}"/>
    <cellStyle name="Normal 5 2 3 2 6 2 3" xfId="12401" xr:uid="{00000000-0005-0000-0000-00000E300000}"/>
    <cellStyle name="Normal 5 2 3 2 6 3" xfId="6038" xr:uid="{00000000-0005-0000-0000-00000F300000}"/>
    <cellStyle name="Normal 5 2 3 2 6 3 2" xfId="14474" xr:uid="{00000000-0005-0000-0000-000010300000}"/>
    <cellStyle name="Normal 5 2 3 2 6 4" xfId="10256" xr:uid="{00000000-0005-0000-0000-000011300000}"/>
    <cellStyle name="Normal 5 2 3 2 7" xfId="2144" xr:uid="{00000000-0005-0000-0000-000012300000}"/>
    <cellStyle name="Normal 5 2 3 2 7 2" xfId="4373" xr:uid="{00000000-0005-0000-0000-000013300000}"/>
    <cellStyle name="Normal 5 2 3 2 7 2 2" xfId="8596" xr:uid="{00000000-0005-0000-0000-000014300000}"/>
    <cellStyle name="Normal 5 2 3 2 7 2 2 2" xfId="17032" xr:uid="{00000000-0005-0000-0000-000015300000}"/>
    <cellStyle name="Normal 5 2 3 2 7 2 3" xfId="12814" xr:uid="{00000000-0005-0000-0000-000016300000}"/>
    <cellStyle name="Normal 5 2 3 2 7 3" xfId="6451" xr:uid="{00000000-0005-0000-0000-000017300000}"/>
    <cellStyle name="Normal 5 2 3 2 7 3 2" xfId="14887" xr:uid="{00000000-0005-0000-0000-000018300000}"/>
    <cellStyle name="Normal 5 2 3 2 7 4" xfId="10669" xr:uid="{00000000-0005-0000-0000-000019300000}"/>
    <cellStyle name="Normal 5 2 3 2 8" xfId="2580" xr:uid="{00000000-0005-0000-0000-00001A300000}"/>
    <cellStyle name="Normal 5 2 3 2 8 2" xfId="6864" xr:uid="{00000000-0005-0000-0000-00001B300000}"/>
    <cellStyle name="Normal 5 2 3 2 8 2 2" xfId="15300" xr:uid="{00000000-0005-0000-0000-00001C300000}"/>
    <cellStyle name="Normal 5 2 3 2 8 3" xfId="11082" xr:uid="{00000000-0005-0000-0000-00001D300000}"/>
    <cellStyle name="Normal 5 2 3 2 9" xfId="4799" xr:uid="{00000000-0005-0000-0000-00001E300000}"/>
    <cellStyle name="Normal 5 2 3 2 9 2" xfId="13235" xr:uid="{00000000-0005-0000-0000-00001F300000}"/>
    <cellStyle name="Normal 5 2 3 3" xfId="429" xr:uid="{00000000-0005-0000-0000-000020300000}"/>
    <cellStyle name="Normal 5 2 3 3 2" xfId="430" xr:uid="{00000000-0005-0000-0000-000021300000}"/>
    <cellStyle name="Normal 5 2 3 3 2 2" xfId="904" xr:uid="{00000000-0005-0000-0000-000022300000}"/>
    <cellStyle name="Normal 5 2 3 3 2 2 2" xfId="3139" xr:uid="{00000000-0005-0000-0000-000023300000}"/>
    <cellStyle name="Normal 5 2 3 3 2 2 2 2" xfId="7362" xr:uid="{00000000-0005-0000-0000-000024300000}"/>
    <cellStyle name="Normal 5 2 3 3 2 2 2 2 2" xfId="15798" xr:uid="{00000000-0005-0000-0000-000025300000}"/>
    <cellStyle name="Normal 5 2 3 3 2 2 2 3" xfId="11580" xr:uid="{00000000-0005-0000-0000-000026300000}"/>
    <cellStyle name="Normal 5 2 3 3 2 2 3" xfId="5217" xr:uid="{00000000-0005-0000-0000-000027300000}"/>
    <cellStyle name="Normal 5 2 3 3 2 2 3 2" xfId="13653" xr:uid="{00000000-0005-0000-0000-000028300000}"/>
    <cellStyle name="Normal 5 2 3 3 2 2 4" xfId="9435" xr:uid="{00000000-0005-0000-0000-000029300000}"/>
    <cellStyle name="Normal 5 2 3 3 2 3" xfId="1322" xr:uid="{00000000-0005-0000-0000-00002A300000}"/>
    <cellStyle name="Normal 5 2 3 3 2 3 2" xfId="3552" xr:uid="{00000000-0005-0000-0000-00002B300000}"/>
    <cellStyle name="Normal 5 2 3 3 2 3 2 2" xfId="7775" xr:uid="{00000000-0005-0000-0000-00002C300000}"/>
    <cellStyle name="Normal 5 2 3 3 2 3 2 2 2" xfId="16211" xr:uid="{00000000-0005-0000-0000-00002D300000}"/>
    <cellStyle name="Normal 5 2 3 3 2 3 2 3" xfId="11993" xr:uid="{00000000-0005-0000-0000-00002E300000}"/>
    <cellStyle name="Normal 5 2 3 3 2 3 3" xfId="5630" xr:uid="{00000000-0005-0000-0000-00002F300000}"/>
    <cellStyle name="Normal 5 2 3 3 2 3 3 2" xfId="14066" xr:uid="{00000000-0005-0000-0000-000030300000}"/>
    <cellStyle name="Normal 5 2 3 3 2 3 4" xfId="9848" xr:uid="{00000000-0005-0000-0000-000031300000}"/>
    <cellStyle name="Normal 5 2 3 3 2 4" xfId="1735" xr:uid="{00000000-0005-0000-0000-000032300000}"/>
    <cellStyle name="Normal 5 2 3 3 2 4 2" xfId="3965" xr:uid="{00000000-0005-0000-0000-000033300000}"/>
    <cellStyle name="Normal 5 2 3 3 2 4 2 2" xfId="8188" xr:uid="{00000000-0005-0000-0000-000034300000}"/>
    <cellStyle name="Normal 5 2 3 3 2 4 2 2 2" xfId="16624" xr:uid="{00000000-0005-0000-0000-000035300000}"/>
    <cellStyle name="Normal 5 2 3 3 2 4 2 3" xfId="12406" xr:uid="{00000000-0005-0000-0000-000036300000}"/>
    <cellStyle name="Normal 5 2 3 3 2 4 3" xfId="6043" xr:uid="{00000000-0005-0000-0000-000037300000}"/>
    <cellStyle name="Normal 5 2 3 3 2 4 3 2" xfId="14479" xr:uid="{00000000-0005-0000-0000-000038300000}"/>
    <cellStyle name="Normal 5 2 3 3 2 4 4" xfId="10261" xr:uid="{00000000-0005-0000-0000-000039300000}"/>
    <cellStyle name="Normal 5 2 3 3 2 5" xfId="2149" xr:uid="{00000000-0005-0000-0000-00003A300000}"/>
    <cellStyle name="Normal 5 2 3 3 2 5 2" xfId="4378" xr:uid="{00000000-0005-0000-0000-00003B300000}"/>
    <cellStyle name="Normal 5 2 3 3 2 5 2 2" xfId="8601" xr:uid="{00000000-0005-0000-0000-00003C300000}"/>
    <cellStyle name="Normal 5 2 3 3 2 5 2 2 2" xfId="17037" xr:uid="{00000000-0005-0000-0000-00003D300000}"/>
    <cellStyle name="Normal 5 2 3 3 2 5 2 3" xfId="12819" xr:uid="{00000000-0005-0000-0000-00003E300000}"/>
    <cellStyle name="Normal 5 2 3 3 2 5 3" xfId="6456" xr:uid="{00000000-0005-0000-0000-00003F300000}"/>
    <cellStyle name="Normal 5 2 3 3 2 5 3 2" xfId="14892" xr:uid="{00000000-0005-0000-0000-000040300000}"/>
    <cellStyle name="Normal 5 2 3 3 2 5 4" xfId="10674" xr:uid="{00000000-0005-0000-0000-000041300000}"/>
    <cellStyle name="Normal 5 2 3 3 2 6" xfId="2585" xr:uid="{00000000-0005-0000-0000-000042300000}"/>
    <cellStyle name="Normal 5 2 3 3 2 6 2" xfId="6869" xr:uid="{00000000-0005-0000-0000-000043300000}"/>
    <cellStyle name="Normal 5 2 3 3 2 6 2 2" xfId="15305" xr:uid="{00000000-0005-0000-0000-000044300000}"/>
    <cellStyle name="Normal 5 2 3 3 2 6 3" xfId="11087" xr:uid="{00000000-0005-0000-0000-000045300000}"/>
    <cellStyle name="Normal 5 2 3 3 2 7" xfId="4804" xr:uid="{00000000-0005-0000-0000-000046300000}"/>
    <cellStyle name="Normal 5 2 3 3 2 7 2" xfId="13240" xr:uid="{00000000-0005-0000-0000-000047300000}"/>
    <cellStyle name="Normal 5 2 3 3 2 8" xfId="9022" xr:uid="{00000000-0005-0000-0000-000048300000}"/>
    <cellStyle name="Normal 5 2 3 3 3" xfId="903" xr:uid="{00000000-0005-0000-0000-000049300000}"/>
    <cellStyle name="Normal 5 2 3 3 3 2" xfId="3138" xr:uid="{00000000-0005-0000-0000-00004A300000}"/>
    <cellStyle name="Normal 5 2 3 3 3 2 2" xfId="7361" xr:uid="{00000000-0005-0000-0000-00004B300000}"/>
    <cellStyle name="Normal 5 2 3 3 3 2 2 2" xfId="15797" xr:uid="{00000000-0005-0000-0000-00004C300000}"/>
    <cellStyle name="Normal 5 2 3 3 3 2 3" xfId="11579" xr:uid="{00000000-0005-0000-0000-00004D300000}"/>
    <cellStyle name="Normal 5 2 3 3 3 3" xfId="5216" xr:uid="{00000000-0005-0000-0000-00004E300000}"/>
    <cellStyle name="Normal 5 2 3 3 3 3 2" xfId="13652" xr:uid="{00000000-0005-0000-0000-00004F300000}"/>
    <cellStyle name="Normal 5 2 3 3 3 4" xfId="9434" xr:uid="{00000000-0005-0000-0000-000050300000}"/>
    <cellStyle name="Normal 5 2 3 3 4" xfId="1321" xr:uid="{00000000-0005-0000-0000-000051300000}"/>
    <cellStyle name="Normal 5 2 3 3 4 2" xfId="3551" xr:uid="{00000000-0005-0000-0000-000052300000}"/>
    <cellStyle name="Normal 5 2 3 3 4 2 2" xfId="7774" xr:uid="{00000000-0005-0000-0000-000053300000}"/>
    <cellStyle name="Normal 5 2 3 3 4 2 2 2" xfId="16210" xr:uid="{00000000-0005-0000-0000-000054300000}"/>
    <cellStyle name="Normal 5 2 3 3 4 2 3" xfId="11992" xr:uid="{00000000-0005-0000-0000-000055300000}"/>
    <cellStyle name="Normal 5 2 3 3 4 3" xfId="5629" xr:uid="{00000000-0005-0000-0000-000056300000}"/>
    <cellStyle name="Normal 5 2 3 3 4 3 2" xfId="14065" xr:uid="{00000000-0005-0000-0000-000057300000}"/>
    <cellStyle name="Normal 5 2 3 3 4 4" xfId="9847" xr:uid="{00000000-0005-0000-0000-000058300000}"/>
    <cellStyle name="Normal 5 2 3 3 5" xfId="1734" xr:uid="{00000000-0005-0000-0000-000059300000}"/>
    <cellStyle name="Normal 5 2 3 3 5 2" xfId="3964" xr:uid="{00000000-0005-0000-0000-00005A300000}"/>
    <cellStyle name="Normal 5 2 3 3 5 2 2" xfId="8187" xr:uid="{00000000-0005-0000-0000-00005B300000}"/>
    <cellStyle name="Normal 5 2 3 3 5 2 2 2" xfId="16623" xr:uid="{00000000-0005-0000-0000-00005C300000}"/>
    <cellStyle name="Normal 5 2 3 3 5 2 3" xfId="12405" xr:uid="{00000000-0005-0000-0000-00005D300000}"/>
    <cellStyle name="Normal 5 2 3 3 5 3" xfId="6042" xr:uid="{00000000-0005-0000-0000-00005E300000}"/>
    <cellStyle name="Normal 5 2 3 3 5 3 2" xfId="14478" xr:uid="{00000000-0005-0000-0000-00005F300000}"/>
    <cellStyle name="Normal 5 2 3 3 5 4" xfId="10260" xr:uid="{00000000-0005-0000-0000-000060300000}"/>
    <cellStyle name="Normal 5 2 3 3 6" xfId="2148" xr:uid="{00000000-0005-0000-0000-000061300000}"/>
    <cellStyle name="Normal 5 2 3 3 6 2" xfId="4377" xr:uid="{00000000-0005-0000-0000-000062300000}"/>
    <cellStyle name="Normal 5 2 3 3 6 2 2" xfId="8600" xr:uid="{00000000-0005-0000-0000-000063300000}"/>
    <cellStyle name="Normal 5 2 3 3 6 2 2 2" xfId="17036" xr:uid="{00000000-0005-0000-0000-000064300000}"/>
    <cellStyle name="Normal 5 2 3 3 6 2 3" xfId="12818" xr:uid="{00000000-0005-0000-0000-000065300000}"/>
    <cellStyle name="Normal 5 2 3 3 6 3" xfId="6455" xr:uid="{00000000-0005-0000-0000-000066300000}"/>
    <cellStyle name="Normal 5 2 3 3 6 3 2" xfId="14891" xr:uid="{00000000-0005-0000-0000-000067300000}"/>
    <cellStyle name="Normal 5 2 3 3 6 4" xfId="10673" xr:uid="{00000000-0005-0000-0000-000068300000}"/>
    <cellStyle name="Normal 5 2 3 3 7" xfId="2584" xr:uid="{00000000-0005-0000-0000-000069300000}"/>
    <cellStyle name="Normal 5 2 3 3 7 2" xfId="6868" xr:uid="{00000000-0005-0000-0000-00006A300000}"/>
    <cellStyle name="Normal 5 2 3 3 7 2 2" xfId="15304" xr:uid="{00000000-0005-0000-0000-00006B300000}"/>
    <cellStyle name="Normal 5 2 3 3 7 3" xfId="11086" xr:uid="{00000000-0005-0000-0000-00006C300000}"/>
    <cellStyle name="Normal 5 2 3 3 8" xfId="4803" xr:uid="{00000000-0005-0000-0000-00006D300000}"/>
    <cellStyle name="Normal 5 2 3 3 8 2" xfId="13239" xr:uid="{00000000-0005-0000-0000-00006E300000}"/>
    <cellStyle name="Normal 5 2 3 3 9" xfId="9021" xr:uid="{00000000-0005-0000-0000-00006F300000}"/>
    <cellStyle name="Normal 5 2 3 4" xfId="431" xr:uid="{00000000-0005-0000-0000-000070300000}"/>
    <cellStyle name="Normal 5 2 3 4 2" xfId="905" xr:uid="{00000000-0005-0000-0000-000071300000}"/>
    <cellStyle name="Normal 5 2 3 4 2 2" xfId="3140" xr:uid="{00000000-0005-0000-0000-000072300000}"/>
    <cellStyle name="Normal 5 2 3 4 2 2 2" xfId="7363" xr:uid="{00000000-0005-0000-0000-000073300000}"/>
    <cellStyle name="Normal 5 2 3 4 2 2 2 2" xfId="15799" xr:uid="{00000000-0005-0000-0000-000074300000}"/>
    <cellStyle name="Normal 5 2 3 4 2 2 3" xfId="11581" xr:uid="{00000000-0005-0000-0000-000075300000}"/>
    <cellStyle name="Normal 5 2 3 4 2 3" xfId="5218" xr:uid="{00000000-0005-0000-0000-000076300000}"/>
    <cellStyle name="Normal 5 2 3 4 2 3 2" xfId="13654" xr:uid="{00000000-0005-0000-0000-000077300000}"/>
    <cellStyle name="Normal 5 2 3 4 2 4" xfId="9436" xr:uid="{00000000-0005-0000-0000-000078300000}"/>
    <cellStyle name="Normal 5 2 3 4 3" xfId="1323" xr:uid="{00000000-0005-0000-0000-000079300000}"/>
    <cellStyle name="Normal 5 2 3 4 3 2" xfId="3553" xr:uid="{00000000-0005-0000-0000-00007A300000}"/>
    <cellStyle name="Normal 5 2 3 4 3 2 2" xfId="7776" xr:uid="{00000000-0005-0000-0000-00007B300000}"/>
    <cellStyle name="Normal 5 2 3 4 3 2 2 2" xfId="16212" xr:uid="{00000000-0005-0000-0000-00007C300000}"/>
    <cellStyle name="Normal 5 2 3 4 3 2 3" xfId="11994" xr:uid="{00000000-0005-0000-0000-00007D300000}"/>
    <cellStyle name="Normal 5 2 3 4 3 3" xfId="5631" xr:uid="{00000000-0005-0000-0000-00007E300000}"/>
    <cellStyle name="Normal 5 2 3 4 3 3 2" xfId="14067" xr:uid="{00000000-0005-0000-0000-00007F300000}"/>
    <cellStyle name="Normal 5 2 3 4 3 4" xfId="9849" xr:uid="{00000000-0005-0000-0000-000080300000}"/>
    <cellStyle name="Normal 5 2 3 4 4" xfId="1736" xr:uid="{00000000-0005-0000-0000-000081300000}"/>
    <cellStyle name="Normal 5 2 3 4 4 2" xfId="3966" xr:uid="{00000000-0005-0000-0000-000082300000}"/>
    <cellStyle name="Normal 5 2 3 4 4 2 2" xfId="8189" xr:uid="{00000000-0005-0000-0000-000083300000}"/>
    <cellStyle name="Normal 5 2 3 4 4 2 2 2" xfId="16625" xr:uid="{00000000-0005-0000-0000-000084300000}"/>
    <cellStyle name="Normal 5 2 3 4 4 2 3" xfId="12407" xr:uid="{00000000-0005-0000-0000-000085300000}"/>
    <cellStyle name="Normal 5 2 3 4 4 3" xfId="6044" xr:uid="{00000000-0005-0000-0000-000086300000}"/>
    <cellStyle name="Normal 5 2 3 4 4 3 2" xfId="14480" xr:uid="{00000000-0005-0000-0000-000087300000}"/>
    <cellStyle name="Normal 5 2 3 4 4 4" xfId="10262" xr:uid="{00000000-0005-0000-0000-000088300000}"/>
    <cellStyle name="Normal 5 2 3 4 5" xfId="2150" xr:uid="{00000000-0005-0000-0000-000089300000}"/>
    <cellStyle name="Normal 5 2 3 4 5 2" xfId="4379" xr:uid="{00000000-0005-0000-0000-00008A300000}"/>
    <cellStyle name="Normal 5 2 3 4 5 2 2" xfId="8602" xr:uid="{00000000-0005-0000-0000-00008B300000}"/>
    <cellStyle name="Normal 5 2 3 4 5 2 2 2" xfId="17038" xr:uid="{00000000-0005-0000-0000-00008C300000}"/>
    <cellStyle name="Normal 5 2 3 4 5 2 3" xfId="12820" xr:uid="{00000000-0005-0000-0000-00008D300000}"/>
    <cellStyle name="Normal 5 2 3 4 5 3" xfId="6457" xr:uid="{00000000-0005-0000-0000-00008E300000}"/>
    <cellStyle name="Normal 5 2 3 4 5 3 2" xfId="14893" xr:uid="{00000000-0005-0000-0000-00008F300000}"/>
    <cellStyle name="Normal 5 2 3 4 5 4" xfId="10675" xr:uid="{00000000-0005-0000-0000-000090300000}"/>
    <cellStyle name="Normal 5 2 3 4 6" xfId="2586" xr:uid="{00000000-0005-0000-0000-000091300000}"/>
    <cellStyle name="Normal 5 2 3 4 6 2" xfId="6870" xr:uid="{00000000-0005-0000-0000-000092300000}"/>
    <cellStyle name="Normal 5 2 3 4 6 2 2" xfId="15306" xr:uid="{00000000-0005-0000-0000-000093300000}"/>
    <cellStyle name="Normal 5 2 3 4 6 3" xfId="11088" xr:uid="{00000000-0005-0000-0000-000094300000}"/>
    <cellStyle name="Normal 5 2 3 4 7" xfId="4805" xr:uid="{00000000-0005-0000-0000-000095300000}"/>
    <cellStyle name="Normal 5 2 3 4 7 2" xfId="13241" xr:uid="{00000000-0005-0000-0000-000096300000}"/>
    <cellStyle name="Normal 5 2 3 4 8" xfId="9023" xr:uid="{00000000-0005-0000-0000-000097300000}"/>
    <cellStyle name="Normal 5 2 3 5" xfId="898" xr:uid="{00000000-0005-0000-0000-000098300000}"/>
    <cellStyle name="Normal 5 2 3 5 2" xfId="3133" xr:uid="{00000000-0005-0000-0000-000099300000}"/>
    <cellStyle name="Normal 5 2 3 5 2 2" xfId="7356" xr:uid="{00000000-0005-0000-0000-00009A300000}"/>
    <cellStyle name="Normal 5 2 3 5 2 2 2" xfId="15792" xr:uid="{00000000-0005-0000-0000-00009B300000}"/>
    <cellStyle name="Normal 5 2 3 5 2 3" xfId="11574" xr:uid="{00000000-0005-0000-0000-00009C300000}"/>
    <cellStyle name="Normal 5 2 3 5 3" xfId="5211" xr:uid="{00000000-0005-0000-0000-00009D300000}"/>
    <cellStyle name="Normal 5 2 3 5 3 2" xfId="13647" xr:uid="{00000000-0005-0000-0000-00009E300000}"/>
    <cellStyle name="Normal 5 2 3 5 4" xfId="9429" xr:uid="{00000000-0005-0000-0000-00009F300000}"/>
    <cellStyle name="Normal 5 2 3 6" xfId="1316" xr:uid="{00000000-0005-0000-0000-0000A0300000}"/>
    <cellStyle name="Normal 5 2 3 6 2" xfId="3546" xr:uid="{00000000-0005-0000-0000-0000A1300000}"/>
    <cellStyle name="Normal 5 2 3 6 2 2" xfId="7769" xr:uid="{00000000-0005-0000-0000-0000A2300000}"/>
    <cellStyle name="Normal 5 2 3 6 2 2 2" xfId="16205" xr:uid="{00000000-0005-0000-0000-0000A3300000}"/>
    <cellStyle name="Normal 5 2 3 6 2 3" xfId="11987" xr:uid="{00000000-0005-0000-0000-0000A4300000}"/>
    <cellStyle name="Normal 5 2 3 6 3" xfId="5624" xr:uid="{00000000-0005-0000-0000-0000A5300000}"/>
    <cellStyle name="Normal 5 2 3 6 3 2" xfId="14060" xr:uid="{00000000-0005-0000-0000-0000A6300000}"/>
    <cellStyle name="Normal 5 2 3 6 4" xfId="9842" xr:uid="{00000000-0005-0000-0000-0000A7300000}"/>
    <cellStyle name="Normal 5 2 3 7" xfId="1729" xr:uid="{00000000-0005-0000-0000-0000A8300000}"/>
    <cellStyle name="Normal 5 2 3 7 2" xfId="3959" xr:uid="{00000000-0005-0000-0000-0000A9300000}"/>
    <cellStyle name="Normal 5 2 3 7 2 2" xfId="8182" xr:uid="{00000000-0005-0000-0000-0000AA300000}"/>
    <cellStyle name="Normal 5 2 3 7 2 2 2" xfId="16618" xr:uid="{00000000-0005-0000-0000-0000AB300000}"/>
    <cellStyle name="Normal 5 2 3 7 2 3" xfId="12400" xr:uid="{00000000-0005-0000-0000-0000AC300000}"/>
    <cellStyle name="Normal 5 2 3 7 3" xfId="6037" xr:uid="{00000000-0005-0000-0000-0000AD300000}"/>
    <cellStyle name="Normal 5 2 3 7 3 2" xfId="14473" xr:uid="{00000000-0005-0000-0000-0000AE300000}"/>
    <cellStyle name="Normal 5 2 3 7 4" xfId="10255" xr:uid="{00000000-0005-0000-0000-0000AF300000}"/>
    <cellStyle name="Normal 5 2 3 8" xfId="2143" xr:uid="{00000000-0005-0000-0000-0000B0300000}"/>
    <cellStyle name="Normal 5 2 3 8 2" xfId="4372" xr:uid="{00000000-0005-0000-0000-0000B1300000}"/>
    <cellStyle name="Normal 5 2 3 8 2 2" xfId="8595" xr:uid="{00000000-0005-0000-0000-0000B2300000}"/>
    <cellStyle name="Normal 5 2 3 8 2 2 2" xfId="17031" xr:uid="{00000000-0005-0000-0000-0000B3300000}"/>
    <cellStyle name="Normal 5 2 3 8 2 3" xfId="12813" xr:uid="{00000000-0005-0000-0000-0000B4300000}"/>
    <cellStyle name="Normal 5 2 3 8 3" xfId="6450" xr:uid="{00000000-0005-0000-0000-0000B5300000}"/>
    <cellStyle name="Normal 5 2 3 8 3 2" xfId="14886" xr:uid="{00000000-0005-0000-0000-0000B6300000}"/>
    <cellStyle name="Normal 5 2 3 8 4" xfId="10668" xr:uid="{00000000-0005-0000-0000-0000B7300000}"/>
    <cellStyle name="Normal 5 2 3 9" xfId="2579" xr:uid="{00000000-0005-0000-0000-0000B8300000}"/>
    <cellStyle name="Normal 5 2 3 9 2" xfId="6863" xr:uid="{00000000-0005-0000-0000-0000B9300000}"/>
    <cellStyle name="Normal 5 2 3 9 2 2" xfId="15299" xr:uid="{00000000-0005-0000-0000-0000BA300000}"/>
    <cellStyle name="Normal 5 2 3 9 3" xfId="11081" xr:uid="{00000000-0005-0000-0000-0000BB300000}"/>
    <cellStyle name="Normal 5 2 4" xfId="432" xr:uid="{00000000-0005-0000-0000-0000BC300000}"/>
    <cellStyle name="Normal 5 2 4 10" xfId="9024" xr:uid="{00000000-0005-0000-0000-0000BD300000}"/>
    <cellStyle name="Normal 5 2 4 2" xfId="433" xr:uid="{00000000-0005-0000-0000-0000BE300000}"/>
    <cellStyle name="Normal 5 2 4 2 2" xfId="434" xr:uid="{00000000-0005-0000-0000-0000BF300000}"/>
    <cellStyle name="Normal 5 2 4 2 2 2" xfId="908" xr:uid="{00000000-0005-0000-0000-0000C0300000}"/>
    <cellStyle name="Normal 5 2 4 2 2 2 2" xfId="3143" xr:uid="{00000000-0005-0000-0000-0000C1300000}"/>
    <cellStyle name="Normal 5 2 4 2 2 2 2 2" xfId="7366" xr:uid="{00000000-0005-0000-0000-0000C2300000}"/>
    <cellStyle name="Normal 5 2 4 2 2 2 2 2 2" xfId="15802" xr:uid="{00000000-0005-0000-0000-0000C3300000}"/>
    <cellStyle name="Normal 5 2 4 2 2 2 2 3" xfId="11584" xr:uid="{00000000-0005-0000-0000-0000C4300000}"/>
    <cellStyle name="Normal 5 2 4 2 2 2 3" xfId="5221" xr:uid="{00000000-0005-0000-0000-0000C5300000}"/>
    <cellStyle name="Normal 5 2 4 2 2 2 3 2" xfId="13657" xr:uid="{00000000-0005-0000-0000-0000C6300000}"/>
    <cellStyle name="Normal 5 2 4 2 2 2 4" xfId="9439" xr:uid="{00000000-0005-0000-0000-0000C7300000}"/>
    <cellStyle name="Normal 5 2 4 2 2 3" xfId="1326" xr:uid="{00000000-0005-0000-0000-0000C8300000}"/>
    <cellStyle name="Normal 5 2 4 2 2 3 2" xfId="3556" xr:uid="{00000000-0005-0000-0000-0000C9300000}"/>
    <cellStyle name="Normal 5 2 4 2 2 3 2 2" xfId="7779" xr:uid="{00000000-0005-0000-0000-0000CA300000}"/>
    <cellStyle name="Normal 5 2 4 2 2 3 2 2 2" xfId="16215" xr:uid="{00000000-0005-0000-0000-0000CB300000}"/>
    <cellStyle name="Normal 5 2 4 2 2 3 2 3" xfId="11997" xr:uid="{00000000-0005-0000-0000-0000CC300000}"/>
    <cellStyle name="Normal 5 2 4 2 2 3 3" xfId="5634" xr:uid="{00000000-0005-0000-0000-0000CD300000}"/>
    <cellStyle name="Normal 5 2 4 2 2 3 3 2" xfId="14070" xr:uid="{00000000-0005-0000-0000-0000CE300000}"/>
    <cellStyle name="Normal 5 2 4 2 2 3 4" xfId="9852" xr:uid="{00000000-0005-0000-0000-0000CF300000}"/>
    <cellStyle name="Normal 5 2 4 2 2 4" xfId="1739" xr:uid="{00000000-0005-0000-0000-0000D0300000}"/>
    <cellStyle name="Normal 5 2 4 2 2 4 2" xfId="3969" xr:uid="{00000000-0005-0000-0000-0000D1300000}"/>
    <cellStyle name="Normal 5 2 4 2 2 4 2 2" xfId="8192" xr:uid="{00000000-0005-0000-0000-0000D2300000}"/>
    <cellStyle name="Normal 5 2 4 2 2 4 2 2 2" xfId="16628" xr:uid="{00000000-0005-0000-0000-0000D3300000}"/>
    <cellStyle name="Normal 5 2 4 2 2 4 2 3" xfId="12410" xr:uid="{00000000-0005-0000-0000-0000D4300000}"/>
    <cellStyle name="Normal 5 2 4 2 2 4 3" xfId="6047" xr:uid="{00000000-0005-0000-0000-0000D5300000}"/>
    <cellStyle name="Normal 5 2 4 2 2 4 3 2" xfId="14483" xr:uid="{00000000-0005-0000-0000-0000D6300000}"/>
    <cellStyle name="Normal 5 2 4 2 2 4 4" xfId="10265" xr:uid="{00000000-0005-0000-0000-0000D7300000}"/>
    <cellStyle name="Normal 5 2 4 2 2 5" xfId="2153" xr:uid="{00000000-0005-0000-0000-0000D8300000}"/>
    <cellStyle name="Normal 5 2 4 2 2 5 2" xfId="4382" xr:uid="{00000000-0005-0000-0000-0000D9300000}"/>
    <cellStyle name="Normal 5 2 4 2 2 5 2 2" xfId="8605" xr:uid="{00000000-0005-0000-0000-0000DA300000}"/>
    <cellStyle name="Normal 5 2 4 2 2 5 2 2 2" xfId="17041" xr:uid="{00000000-0005-0000-0000-0000DB300000}"/>
    <cellStyle name="Normal 5 2 4 2 2 5 2 3" xfId="12823" xr:uid="{00000000-0005-0000-0000-0000DC300000}"/>
    <cellStyle name="Normal 5 2 4 2 2 5 3" xfId="6460" xr:uid="{00000000-0005-0000-0000-0000DD300000}"/>
    <cellStyle name="Normal 5 2 4 2 2 5 3 2" xfId="14896" xr:uid="{00000000-0005-0000-0000-0000DE300000}"/>
    <cellStyle name="Normal 5 2 4 2 2 5 4" xfId="10678" xr:uid="{00000000-0005-0000-0000-0000DF300000}"/>
    <cellStyle name="Normal 5 2 4 2 2 6" xfId="2589" xr:uid="{00000000-0005-0000-0000-0000E0300000}"/>
    <cellStyle name="Normal 5 2 4 2 2 6 2" xfId="6873" xr:uid="{00000000-0005-0000-0000-0000E1300000}"/>
    <cellStyle name="Normal 5 2 4 2 2 6 2 2" xfId="15309" xr:uid="{00000000-0005-0000-0000-0000E2300000}"/>
    <cellStyle name="Normal 5 2 4 2 2 6 3" xfId="11091" xr:uid="{00000000-0005-0000-0000-0000E3300000}"/>
    <cellStyle name="Normal 5 2 4 2 2 7" xfId="4808" xr:uid="{00000000-0005-0000-0000-0000E4300000}"/>
    <cellStyle name="Normal 5 2 4 2 2 7 2" xfId="13244" xr:uid="{00000000-0005-0000-0000-0000E5300000}"/>
    <cellStyle name="Normal 5 2 4 2 2 8" xfId="9026" xr:uid="{00000000-0005-0000-0000-0000E6300000}"/>
    <cellStyle name="Normal 5 2 4 2 3" xfId="907" xr:uid="{00000000-0005-0000-0000-0000E7300000}"/>
    <cellStyle name="Normal 5 2 4 2 3 2" xfId="3142" xr:uid="{00000000-0005-0000-0000-0000E8300000}"/>
    <cellStyle name="Normal 5 2 4 2 3 2 2" xfId="7365" xr:uid="{00000000-0005-0000-0000-0000E9300000}"/>
    <cellStyle name="Normal 5 2 4 2 3 2 2 2" xfId="15801" xr:uid="{00000000-0005-0000-0000-0000EA300000}"/>
    <cellStyle name="Normal 5 2 4 2 3 2 3" xfId="11583" xr:uid="{00000000-0005-0000-0000-0000EB300000}"/>
    <cellStyle name="Normal 5 2 4 2 3 3" xfId="5220" xr:uid="{00000000-0005-0000-0000-0000EC300000}"/>
    <cellStyle name="Normal 5 2 4 2 3 3 2" xfId="13656" xr:uid="{00000000-0005-0000-0000-0000ED300000}"/>
    <cellStyle name="Normal 5 2 4 2 3 4" xfId="9438" xr:uid="{00000000-0005-0000-0000-0000EE300000}"/>
    <cellStyle name="Normal 5 2 4 2 4" xfId="1325" xr:uid="{00000000-0005-0000-0000-0000EF300000}"/>
    <cellStyle name="Normal 5 2 4 2 4 2" xfId="3555" xr:uid="{00000000-0005-0000-0000-0000F0300000}"/>
    <cellStyle name="Normal 5 2 4 2 4 2 2" xfId="7778" xr:uid="{00000000-0005-0000-0000-0000F1300000}"/>
    <cellStyle name="Normal 5 2 4 2 4 2 2 2" xfId="16214" xr:uid="{00000000-0005-0000-0000-0000F2300000}"/>
    <cellStyle name="Normal 5 2 4 2 4 2 3" xfId="11996" xr:uid="{00000000-0005-0000-0000-0000F3300000}"/>
    <cellStyle name="Normal 5 2 4 2 4 3" xfId="5633" xr:uid="{00000000-0005-0000-0000-0000F4300000}"/>
    <cellStyle name="Normal 5 2 4 2 4 3 2" xfId="14069" xr:uid="{00000000-0005-0000-0000-0000F5300000}"/>
    <cellStyle name="Normal 5 2 4 2 4 4" xfId="9851" xr:uid="{00000000-0005-0000-0000-0000F6300000}"/>
    <cellStyle name="Normal 5 2 4 2 5" xfId="1738" xr:uid="{00000000-0005-0000-0000-0000F7300000}"/>
    <cellStyle name="Normal 5 2 4 2 5 2" xfId="3968" xr:uid="{00000000-0005-0000-0000-0000F8300000}"/>
    <cellStyle name="Normal 5 2 4 2 5 2 2" xfId="8191" xr:uid="{00000000-0005-0000-0000-0000F9300000}"/>
    <cellStyle name="Normal 5 2 4 2 5 2 2 2" xfId="16627" xr:uid="{00000000-0005-0000-0000-0000FA300000}"/>
    <cellStyle name="Normal 5 2 4 2 5 2 3" xfId="12409" xr:uid="{00000000-0005-0000-0000-0000FB300000}"/>
    <cellStyle name="Normal 5 2 4 2 5 3" xfId="6046" xr:uid="{00000000-0005-0000-0000-0000FC300000}"/>
    <cellStyle name="Normal 5 2 4 2 5 3 2" xfId="14482" xr:uid="{00000000-0005-0000-0000-0000FD300000}"/>
    <cellStyle name="Normal 5 2 4 2 5 4" xfId="10264" xr:uid="{00000000-0005-0000-0000-0000FE300000}"/>
    <cellStyle name="Normal 5 2 4 2 6" xfId="2152" xr:uid="{00000000-0005-0000-0000-0000FF300000}"/>
    <cellStyle name="Normal 5 2 4 2 6 2" xfId="4381" xr:uid="{00000000-0005-0000-0000-000000310000}"/>
    <cellStyle name="Normal 5 2 4 2 6 2 2" xfId="8604" xr:uid="{00000000-0005-0000-0000-000001310000}"/>
    <cellStyle name="Normal 5 2 4 2 6 2 2 2" xfId="17040" xr:uid="{00000000-0005-0000-0000-000002310000}"/>
    <cellStyle name="Normal 5 2 4 2 6 2 3" xfId="12822" xr:uid="{00000000-0005-0000-0000-000003310000}"/>
    <cellStyle name="Normal 5 2 4 2 6 3" xfId="6459" xr:uid="{00000000-0005-0000-0000-000004310000}"/>
    <cellStyle name="Normal 5 2 4 2 6 3 2" xfId="14895" xr:uid="{00000000-0005-0000-0000-000005310000}"/>
    <cellStyle name="Normal 5 2 4 2 6 4" xfId="10677" xr:uid="{00000000-0005-0000-0000-000006310000}"/>
    <cellStyle name="Normal 5 2 4 2 7" xfId="2588" xr:uid="{00000000-0005-0000-0000-000007310000}"/>
    <cellStyle name="Normal 5 2 4 2 7 2" xfId="6872" xr:uid="{00000000-0005-0000-0000-000008310000}"/>
    <cellStyle name="Normal 5 2 4 2 7 2 2" xfId="15308" xr:uid="{00000000-0005-0000-0000-000009310000}"/>
    <cellStyle name="Normal 5 2 4 2 7 3" xfId="11090" xr:uid="{00000000-0005-0000-0000-00000A310000}"/>
    <cellStyle name="Normal 5 2 4 2 8" xfId="4807" xr:uid="{00000000-0005-0000-0000-00000B310000}"/>
    <cellStyle name="Normal 5 2 4 2 8 2" xfId="13243" xr:uid="{00000000-0005-0000-0000-00000C310000}"/>
    <cellStyle name="Normal 5 2 4 2 9" xfId="9025" xr:uid="{00000000-0005-0000-0000-00000D310000}"/>
    <cellStyle name="Normal 5 2 4 3" xfId="435" xr:uid="{00000000-0005-0000-0000-00000E310000}"/>
    <cellStyle name="Normal 5 2 4 3 2" xfId="909" xr:uid="{00000000-0005-0000-0000-00000F310000}"/>
    <cellStyle name="Normal 5 2 4 3 2 2" xfId="3144" xr:uid="{00000000-0005-0000-0000-000010310000}"/>
    <cellStyle name="Normal 5 2 4 3 2 2 2" xfId="7367" xr:uid="{00000000-0005-0000-0000-000011310000}"/>
    <cellStyle name="Normal 5 2 4 3 2 2 2 2" xfId="15803" xr:uid="{00000000-0005-0000-0000-000012310000}"/>
    <cellStyle name="Normal 5 2 4 3 2 2 3" xfId="11585" xr:uid="{00000000-0005-0000-0000-000013310000}"/>
    <cellStyle name="Normal 5 2 4 3 2 3" xfId="5222" xr:uid="{00000000-0005-0000-0000-000014310000}"/>
    <cellStyle name="Normal 5 2 4 3 2 3 2" xfId="13658" xr:uid="{00000000-0005-0000-0000-000015310000}"/>
    <cellStyle name="Normal 5 2 4 3 2 4" xfId="9440" xr:uid="{00000000-0005-0000-0000-000016310000}"/>
    <cellStyle name="Normal 5 2 4 3 3" xfId="1327" xr:uid="{00000000-0005-0000-0000-000017310000}"/>
    <cellStyle name="Normal 5 2 4 3 3 2" xfId="3557" xr:uid="{00000000-0005-0000-0000-000018310000}"/>
    <cellStyle name="Normal 5 2 4 3 3 2 2" xfId="7780" xr:uid="{00000000-0005-0000-0000-000019310000}"/>
    <cellStyle name="Normal 5 2 4 3 3 2 2 2" xfId="16216" xr:uid="{00000000-0005-0000-0000-00001A310000}"/>
    <cellStyle name="Normal 5 2 4 3 3 2 3" xfId="11998" xr:uid="{00000000-0005-0000-0000-00001B310000}"/>
    <cellStyle name="Normal 5 2 4 3 3 3" xfId="5635" xr:uid="{00000000-0005-0000-0000-00001C310000}"/>
    <cellStyle name="Normal 5 2 4 3 3 3 2" xfId="14071" xr:uid="{00000000-0005-0000-0000-00001D310000}"/>
    <cellStyle name="Normal 5 2 4 3 3 4" xfId="9853" xr:uid="{00000000-0005-0000-0000-00001E310000}"/>
    <cellStyle name="Normal 5 2 4 3 4" xfId="1740" xr:uid="{00000000-0005-0000-0000-00001F310000}"/>
    <cellStyle name="Normal 5 2 4 3 4 2" xfId="3970" xr:uid="{00000000-0005-0000-0000-000020310000}"/>
    <cellStyle name="Normal 5 2 4 3 4 2 2" xfId="8193" xr:uid="{00000000-0005-0000-0000-000021310000}"/>
    <cellStyle name="Normal 5 2 4 3 4 2 2 2" xfId="16629" xr:uid="{00000000-0005-0000-0000-000022310000}"/>
    <cellStyle name="Normal 5 2 4 3 4 2 3" xfId="12411" xr:uid="{00000000-0005-0000-0000-000023310000}"/>
    <cellStyle name="Normal 5 2 4 3 4 3" xfId="6048" xr:uid="{00000000-0005-0000-0000-000024310000}"/>
    <cellStyle name="Normal 5 2 4 3 4 3 2" xfId="14484" xr:uid="{00000000-0005-0000-0000-000025310000}"/>
    <cellStyle name="Normal 5 2 4 3 4 4" xfId="10266" xr:uid="{00000000-0005-0000-0000-000026310000}"/>
    <cellStyle name="Normal 5 2 4 3 5" xfId="2154" xr:uid="{00000000-0005-0000-0000-000027310000}"/>
    <cellStyle name="Normal 5 2 4 3 5 2" xfId="4383" xr:uid="{00000000-0005-0000-0000-000028310000}"/>
    <cellStyle name="Normal 5 2 4 3 5 2 2" xfId="8606" xr:uid="{00000000-0005-0000-0000-000029310000}"/>
    <cellStyle name="Normal 5 2 4 3 5 2 2 2" xfId="17042" xr:uid="{00000000-0005-0000-0000-00002A310000}"/>
    <cellStyle name="Normal 5 2 4 3 5 2 3" xfId="12824" xr:uid="{00000000-0005-0000-0000-00002B310000}"/>
    <cellStyle name="Normal 5 2 4 3 5 3" xfId="6461" xr:uid="{00000000-0005-0000-0000-00002C310000}"/>
    <cellStyle name="Normal 5 2 4 3 5 3 2" xfId="14897" xr:uid="{00000000-0005-0000-0000-00002D310000}"/>
    <cellStyle name="Normal 5 2 4 3 5 4" xfId="10679" xr:uid="{00000000-0005-0000-0000-00002E310000}"/>
    <cellStyle name="Normal 5 2 4 3 6" xfId="2590" xr:uid="{00000000-0005-0000-0000-00002F310000}"/>
    <cellStyle name="Normal 5 2 4 3 6 2" xfId="6874" xr:uid="{00000000-0005-0000-0000-000030310000}"/>
    <cellStyle name="Normal 5 2 4 3 6 2 2" xfId="15310" xr:uid="{00000000-0005-0000-0000-000031310000}"/>
    <cellStyle name="Normal 5 2 4 3 6 3" xfId="11092" xr:uid="{00000000-0005-0000-0000-000032310000}"/>
    <cellStyle name="Normal 5 2 4 3 7" xfId="4809" xr:uid="{00000000-0005-0000-0000-000033310000}"/>
    <cellStyle name="Normal 5 2 4 3 7 2" xfId="13245" xr:uid="{00000000-0005-0000-0000-000034310000}"/>
    <cellStyle name="Normal 5 2 4 3 8" xfId="9027" xr:uid="{00000000-0005-0000-0000-000035310000}"/>
    <cellStyle name="Normal 5 2 4 4" xfId="906" xr:uid="{00000000-0005-0000-0000-000036310000}"/>
    <cellStyle name="Normal 5 2 4 4 2" xfId="3141" xr:uid="{00000000-0005-0000-0000-000037310000}"/>
    <cellStyle name="Normal 5 2 4 4 2 2" xfId="7364" xr:uid="{00000000-0005-0000-0000-000038310000}"/>
    <cellStyle name="Normal 5 2 4 4 2 2 2" xfId="15800" xr:uid="{00000000-0005-0000-0000-000039310000}"/>
    <cellStyle name="Normal 5 2 4 4 2 3" xfId="11582" xr:uid="{00000000-0005-0000-0000-00003A310000}"/>
    <cellStyle name="Normal 5 2 4 4 3" xfId="5219" xr:uid="{00000000-0005-0000-0000-00003B310000}"/>
    <cellStyle name="Normal 5 2 4 4 3 2" xfId="13655" xr:uid="{00000000-0005-0000-0000-00003C310000}"/>
    <cellStyle name="Normal 5 2 4 4 4" xfId="9437" xr:uid="{00000000-0005-0000-0000-00003D310000}"/>
    <cellStyle name="Normal 5 2 4 5" xfId="1324" xr:uid="{00000000-0005-0000-0000-00003E310000}"/>
    <cellStyle name="Normal 5 2 4 5 2" xfId="3554" xr:uid="{00000000-0005-0000-0000-00003F310000}"/>
    <cellStyle name="Normal 5 2 4 5 2 2" xfId="7777" xr:uid="{00000000-0005-0000-0000-000040310000}"/>
    <cellStyle name="Normal 5 2 4 5 2 2 2" xfId="16213" xr:uid="{00000000-0005-0000-0000-000041310000}"/>
    <cellStyle name="Normal 5 2 4 5 2 3" xfId="11995" xr:uid="{00000000-0005-0000-0000-000042310000}"/>
    <cellStyle name="Normal 5 2 4 5 3" xfId="5632" xr:uid="{00000000-0005-0000-0000-000043310000}"/>
    <cellStyle name="Normal 5 2 4 5 3 2" xfId="14068" xr:uid="{00000000-0005-0000-0000-000044310000}"/>
    <cellStyle name="Normal 5 2 4 5 4" xfId="9850" xr:uid="{00000000-0005-0000-0000-000045310000}"/>
    <cellStyle name="Normal 5 2 4 6" xfId="1737" xr:uid="{00000000-0005-0000-0000-000046310000}"/>
    <cellStyle name="Normal 5 2 4 6 2" xfId="3967" xr:uid="{00000000-0005-0000-0000-000047310000}"/>
    <cellStyle name="Normal 5 2 4 6 2 2" xfId="8190" xr:uid="{00000000-0005-0000-0000-000048310000}"/>
    <cellStyle name="Normal 5 2 4 6 2 2 2" xfId="16626" xr:uid="{00000000-0005-0000-0000-000049310000}"/>
    <cellStyle name="Normal 5 2 4 6 2 3" xfId="12408" xr:uid="{00000000-0005-0000-0000-00004A310000}"/>
    <cellStyle name="Normal 5 2 4 6 3" xfId="6045" xr:uid="{00000000-0005-0000-0000-00004B310000}"/>
    <cellStyle name="Normal 5 2 4 6 3 2" xfId="14481" xr:uid="{00000000-0005-0000-0000-00004C310000}"/>
    <cellStyle name="Normal 5 2 4 6 4" xfId="10263" xr:uid="{00000000-0005-0000-0000-00004D310000}"/>
    <cellStyle name="Normal 5 2 4 7" xfId="2151" xr:uid="{00000000-0005-0000-0000-00004E310000}"/>
    <cellStyle name="Normal 5 2 4 7 2" xfId="4380" xr:uid="{00000000-0005-0000-0000-00004F310000}"/>
    <cellStyle name="Normal 5 2 4 7 2 2" xfId="8603" xr:uid="{00000000-0005-0000-0000-000050310000}"/>
    <cellStyle name="Normal 5 2 4 7 2 2 2" xfId="17039" xr:uid="{00000000-0005-0000-0000-000051310000}"/>
    <cellStyle name="Normal 5 2 4 7 2 3" xfId="12821" xr:uid="{00000000-0005-0000-0000-000052310000}"/>
    <cellStyle name="Normal 5 2 4 7 3" xfId="6458" xr:uid="{00000000-0005-0000-0000-000053310000}"/>
    <cellStyle name="Normal 5 2 4 7 3 2" xfId="14894" xr:uid="{00000000-0005-0000-0000-000054310000}"/>
    <cellStyle name="Normal 5 2 4 7 4" xfId="10676" xr:uid="{00000000-0005-0000-0000-000055310000}"/>
    <cellStyle name="Normal 5 2 4 8" xfId="2587" xr:uid="{00000000-0005-0000-0000-000056310000}"/>
    <cellStyle name="Normal 5 2 4 8 2" xfId="6871" xr:uid="{00000000-0005-0000-0000-000057310000}"/>
    <cellStyle name="Normal 5 2 4 8 2 2" xfId="15307" xr:uid="{00000000-0005-0000-0000-000058310000}"/>
    <cellStyle name="Normal 5 2 4 8 3" xfId="11089" xr:uid="{00000000-0005-0000-0000-000059310000}"/>
    <cellStyle name="Normal 5 2 4 9" xfId="4806" xr:uid="{00000000-0005-0000-0000-00005A310000}"/>
    <cellStyle name="Normal 5 2 4 9 2" xfId="13242" xr:uid="{00000000-0005-0000-0000-00005B310000}"/>
    <cellStyle name="Normal 5 2 5" xfId="436" xr:uid="{00000000-0005-0000-0000-00005C310000}"/>
    <cellStyle name="Normal 5 2 5 2" xfId="437" xr:uid="{00000000-0005-0000-0000-00005D310000}"/>
    <cellStyle name="Normal 5 2 5 2 2" xfId="911" xr:uid="{00000000-0005-0000-0000-00005E310000}"/>
    <cellStyle name="Normal 5 2 5 2 2 2" xfId="3146" xr:uid="{00000000-0005-0000-0000-00005F310000}"/>
    <cellStyle name="Normal 5 2 5 2 2 2 2" xfId="7369" xr:uid="{00000000-0005-0000-0000-000060310000}"/>
    <cellStyle name="Normal 5 2 5 2 2 2 2 2" xfId="15805" xr:uid="{00000000-0005-0000-0000-000061310000}"/>
    <cellStyle name="Normal 5 2 5 2 2 2 3" xfId="11587" xr:uid="{00000000-0005-0000-0000-000062310000}"/>
    <cellStyle name="Normal 5 2 5 2 2 3" xfId="5224" xr:uid="{00000000-0005-0000-0000-000063310000}"/>
    <cellStyle name="Normal 5 2 5 2 2 3 2" xfId="13660" xr:uid="{00000000-0005-0000-0000-000064310000}"/>
    <cellStyle name="Normal 5 2 5 2 2 4" xfId="9442" xr:uid="{00000000-0005-0000-0000-000065310000}"/>
    <cellStyle name="Normal 5 2 5 2 3" xfId="1329" xr:uid="{00000000-0005-0000-0000-000066310000}"/>
    <cellStyle name="Normal 5 2 5 2 3 2" xfId="3559" xr:uid="{00000000-0005-0000-0000-000067310000}"/>
    <cellStyle name="Normal 5 2 5 2 3 2 2" xfId="7782" xr:uid="{00000000-0005-0000-0000-000068310000}"/>
    <cellStyle name="Normal 5 2 5 2 3 2 2 2" xfId="16218" xr:uid="{00000000-0005-0000-0000-000069310000}"/>
    <cellStyle name="Normal 5 2 5 2 3 2 3" xfId="12000" xr:uid="{00000000-0005-0000-0000-00006A310000}"/>
    <cellStyle name="Normal 5 2 5 2 3 3" xfId="5637" xr:uid="{00000000-0005-0000-0000-00006B310000}"/>
    <cellStyle name="Normal 5 2 5 2 3 3 2" xfId="14073" xr:uid="{00000000-0005-0000-0000-00006C310000}"/>
    <cellStyle name="Normal 5 2 5 2 3 4" xfId="9855" xr:uid="{00000000-0005-0000-0000-00006D310000}"/>
    <cellStyle name="Normal 5 2 5 2 4" xfId="1742" xr:uid="{00000000-0005-0000-0000-00006E310000}"/>
    <cellStyle name="Normal 5 2 5 2 4 2" xfId="3972" xr:uid="{00000000-0005-0000-0000-00006F310000}"/>
    <cellStyle name="Normal 5 2 5 2 4 2 2" xfId="8195" xr:uid="{00000000-0005-0000-0000-000070310000}"/>
    <cellStyle name="Normal 5 2 5 2 4 2 2 2" xfId="16631" xr:uid="{00000000-0005-0000-0000-000071310000}"/>
    <cellStyle name="Normal 5 2 5 2 4 2 3" xfId="12413" xr:uid="{00000000-0005-0000-0000-000072310000}"/>
    <cellStyle name="Normal 5 2 5 2 4 3" xfId="6050" xr:uid="{00000000-0005-0000-0000-000073310000}"/>
    <cellStyle name="Normal 5 2 5 2 4 3 2" xfId="14486" xr:uid="{00000000-0005-0000-0000-000074310000}"/>
    <cellStyle name="Normal 5 2 5 2 4 4" xfId="10268" xr:uid="{00000000-0005-0000-0000-000075310000}"/>
    <cellStyle name="Normal 5 2 5 2 5" xfId="2156" xr:uid="{00000000-0005-0000-0000-000076310000}"/>
    <cellStyle name="Normal 5 2 5 2 5 2" xfId="4385" xr:uid="{00000000-0005-0000-0000-000077310000}"/>
    <cellStyle name="Normal 5 2 5 2 5 2 2" xfId="8608" xr:uid="{00000000-0005-0000-0000-000078310000}"/>
    <cellStyle name="Normal 5 2 5 2 5 2 2 2" xfId="17044" xr:uid="{00000000-0005-0000-0000-000079310000}"/>
    <cellStyle name="Normal 5 2 5 2 5 2 3" xfId="12826" xr:uid="{00000000-0005-0000-0000-00007A310000}"/>
    <cellStyle name="Normal 5 2 5 2 5 3" xfId="6463" xr:uid="{00000000-0005-0000-0000-00007B310000}"/>
    <cellStyle name="Normal 5 2 5 2 5 3 2" xfId="14899" xr:uid="{00000000-0005-0000-0000-00007C310000}"/>
    <cellStyle name="Normal 5 2 5 2 5 4" xfId="10681" xr:uid="{00000000-0005-0000-0000-00007D310000}"/>
    <cellStyle name="Normal 5 2 5 2 6" xfId="2592" xr:uid="{00000000-0005-0000-0000-00007E310000}"/>
    <cellStyle name="Normal 5 2 5 2 6 2" xfId="6876" xr:uid="{00000000-0005-0000-0000-00007F310000}"/>
    <cellStyle name="Normal 5 2 5 2 6 2 2" xfId="15312" xr:uid="{00000000-0005-0000-0000-000080310000}"/>
    <cellStyle name="Normal 5 2 5 2 6 3" xfId="11094" xr:uid="{00000000-0005-0000-0000-000081310000}"/>
    <cellStyle name="Normal 5 2 5 2 7" xfId="4811" xr:uid="{00000000-0005-0000-0000-000082310000}"/>
    <cellStyle name="Normal 5 2 5 2 7 2" xfId="13247" xr:uid="{00000000-0005-0000-0000-000083310000}"/>
    <cellStyle name="Normal 5 2 5 2 8" xfId="9029" xr:uid="{00000000-0005-0000-0000-000084310000}"/>
    <cellStyle name="Normal 5 2 5 3" xfId="910" xr:uid="{00000000-0005-0000-0000-000085310000}"/>
    <cellStyle name="Normal 5 2 5 3 2" xfId="3145" xr:uid="{00000000-0005-0000-0000-000086310000}"/>
    <cellStyle name="Normal 5 2 5 3 2 2" xfId="7368" xr:uid="{00000000-0005-0000-0000-000087310000}"/>
    <cellStyle name="Normal 5 2 5 3 2 2 2" xfId="15804" xr:uid="{00000000-0005-0000-0000-000088310000}"/>
    <cellStyle name="Normal 5 2 5 3 2 3" xfId="11586" xr:uid="{00000000-0005-0000-0000-000089310000}"/>
    <cellStyle name="Normal 5 2 5 3 3" xfId="5223" xr:uid="{00000000-0005-0000-0000-00008A310000}"/>
    <cellStyle name="Normal 5 2 5 3 3 2" xfId="13659" xr:uid="{00000000-0005-0000-0000-00008B310000}"/>
    <cellStyle name="Normal 5 2 5 3 4" xfId="9441" xr:uid="{00000000-0005-0000-0000-00008C310000}"/>
    <cellStyle name="Normal 5 2 5 4" xfId="1328" xr:uid="{00000000-0005-0000-0000-00008D310000}"/>
    <cellStyle name="Normal 5 2 5 4 2" xfId="3558" xr:uid="{00000000-0005-0000-0000-00008E310000}"/>
    <cellStyle name="Normal 5 2 5 4 2 2" xfId="7781" xr:uid="{00000000-0005-0000-0000-00008F310000}"/>
    <cellStyle name="Normal 5 2 5 4 2 2 2" xfId="16217" xr:uid="{00000000-0005-0000-0000-000090310000}"/>
    <cellStyle name="Normal 5 2 5 4 2 3" xfId="11999" xr:uid="{00000000-0005-0000-0000-000091310000}"/>
    <cellStyle name="Normal 5 2 5 4 3" xfId="5636" xr:uid="{00000000-0005-0000-0000-000092310000}"/>
    <cellStyle name="Normal 5 2 5 4 3 2" xfId="14072" xr:uid="{00000000-0005-0000-0000-000093310000}"/>
    <cellStyle name="Normal 5 2 5 4 4" xfId="9854" xr:uid="{00000000-0005-0000-0000-000094310000}"/>
    <cellStyle name="Normal 5 2 5 5" xfId="1741" xr:uid="{00000000-0005-0000-0000-000095310000}"/>
    <cellStyle name="Normal 5 2 5 5 2" xfId="3971" xr:uid="{00000000-0005-0000-0000-000096310000}"/>
    <cellStyle name="Normal 5 2 5 5 2 2" xfId="8194" xr:uid="{00000000-0005-0000-0000-000097310000}"/>
    <cellStyle name="Normal 5 2 5 5 2 2 2" xfId="16630" xr:uid="{00000000-0005-0000-0000-000098310000}"/>
    <cellStyle name="Normal 5 2 5 5 2 3" xfId="12412" xr:uid="{00000000-0005-0000-0000-000099310000}"/>
    <cellStyle name="Normal 5 2 5 5 3" xfId="6049" xr:uid="{00000000-0005-0000-0000-00009A310000}"/>
    <cellStyle name="Normal 5 2 5 5 3 2" xfId="14485" xr:uid="{00000000-0005-0000-0000-00009B310000}"/>
    <cellStyle name="Normal 5 2 5 5 4" xfId="10267" xr:uid="{00000000-0005-0000-0000-00009C310000}"/>
    <cellStyle name="Normal 5 2 5 6" xfId="2155" xr:uid="{00000000-0005-0000-0000-00009D310000}"/>
    <cellStyle name="Normal 5 2 5 6 2" xfId="4384" xr:uid="{00000000-0005-0000-0000-00009E310000}"/>
    <cellStyle name="Normal 5 2 5 6 2 2" xfId="8607" xr:uid="{00000000-0005-0000-0000-00009F310000}"/>
    <cellStyle name="Normal 5 2 5 6 2 2 2" xfId="17043" xr:uid="{00000000-0005-0000-0000-0000A0310000}"/>
    <cellStyle name="Normal 5 2 5 6 2 3" xfId="12825" xr:uid="{00000000-0005-0000-0000-0000A1310000}"/>
    <cellStyle name="Normal 5 2 5 6 3" xfId="6462" xr:uid="{00000000-0005-0000-0000-0000A2310000}"/>
    <cellStyle name="Normal 5 2 5 6 3 2" xfId="14898" xr:uid="{00000000-0005-0000-0000-0000A3310000}"/>
    <cellStyle name="Normal 5 2 5 6 4" xfId="10680" xr:uid="{00000000-0005-0000-0000-0000A4310000}"/>
    <cellStyle name="Normal 5 2 5 7" xfId="2591" xr:uid="{00000000-0005-0000-0000-0000A5310000}"/>
    <cellStyle name="Normal 5 2 5 7 2" xfId="6875" xr:uid="{00000000-0005-0000-0000-0000A6310000}"/>
    <cellStyle name="Normal 5 2 5 7 2 2" xfId="15311" xr:uid="{00000000-0005-0000-0000-0000A7310000}"/>
    <cellStyle name="Normal 5 2 5 7 3" xfId="11093" xr:uid="{00000000-0005-0000-0000-0000A8310000}"/>
    <cellStyle name="Normal 5 2 5 8" xfId="4810" xr:uid="{00000000-0005-0000-0000-0000A9310000}"/>
    <cellStyle name="Normal 5 2 5 8 2" xfId="13246" xr:uid="{00000000-0005-0000-0000-0000AA310000}"/>
    <cellStyle name="Normal 5 2 5 9" xfId="9028" xr:uid="{00000000-0005-0000-0000-0000AB310000}"/>
    <cellStyle name="Normal 5 2 6" xfId="438" xr:uid="{00000000-0005-0000-0000-0000AC310000}"/>
    <cellStyle name="Normal 5 2 6 2" xfId="912" xr:uid="{00000000-0005-0000-0000-0000AD310000}"/>
    <cellStyle name="Normal 5 2 6 2 2" xfId="3147" xr:uid="{00000000-0005-0000-0000-0000AE310000}"/>
    <cellStyle name="Normal 5 2 6 2 2 2" xfId="7370" xr:uid="{00000000-0005-0000-0000-0000AF310000}"/>
    <cellStyle name="Normal 5 2 6 2 2 2 2" xfId="15806" xr:uid="{00000000-0005-0000-0000-0000B0310000}"/>
    <cellStyle name="Normal 5 2 6 2 2 3" xfId="11588" xr:uid="{00000000-0005-0000-0000-0000B1310000}"/>
    <cellStyle name="Normal 5 2 6 2 3" xfId="5225" xr:uid="{00000000-0005-0000-0000-0000B2310000}"/>
    <cellStyle name="Normal 5 2 6 2 3 2" xfId="13661" xr:uid="{00000000-0005-0000-0000-0000B3310000}"/>
    <cellStyle name="Normal 5 2 6 2 4" xfId="9443" xr:uid="{00000000-0005-0000-0000-0000B4310000}"/>
    <cellStyle name="Normal 5 2 6 3" xfId="1330" xr:uid="{00000000-0005-0000-0000-0000B5310000}"/>
    <cellStyle name="Normal 5 2 6 3 2" xfId="3560" xr:uid="{00000000-0005-0000-0000-0000B6310000}"/>
    <cellStyle name="Normal 5 2 6 3 2 2" xfId="7783" xr:uid="{00000000-0005-0000-0000-0000B7310000}"/>
    <cellStyle name="Normal 5 2 6 3 2 2 2" xfId="16219" xr:uid="{00000000-0005-0000-0000-0000B8310000}"/>
    <cellStyle name="Normal 5 2 6 3 2 3" xfId="12001" xr:uid="{00000000-0005-0000-0000-0000B9310000}"/>
    <cellStyle name="Normal 5 2 6 3 3" xfId="5638" xr:uid="{00000000-0005-0000-0000-0000BA310000}"/>
    <cellStyle name="Normal 5 2 6 3 3 2" xfId="14074" xr:uid="{00000000-0005-0000-0000-0000BB310000}"/>
    <cellStyle name="Normal 5 2 6 3 4" xfId="9856" xr:uid="{00000000-0005-0000-0000-0000BC310000}"/>
    <cellStyle name="Normal 5 2 6 4" xfId="1743" xr:uid="{00000000-0005-0000-0000-0000BD310000}"/>
    <cellStyle name="Normal 5 2 6 4 2" xfId="3973" xr:uid="{00000000-0005-0000-0000-0000BE310000}"/>
    <cellStyle name="Normal 5 2 6 4 2 2" xfId="8196" xr:uid="{00000000-0005-0000-0000-0000BF310000}"/>
    <cellStyle name="Normal 5 2 6 4 2 2 2" xfId="16632" xr:uid="{00000000-0005-0000-0000-0000C0310000}"/>
    <cellStyle name="Normal 5 2 6 4 2 3" xfId="12414" xr:uid="{00000000-0005-0000-0000-0000C1310000}"/>
    <cellStyle name="Normal 5 2 6 4 3" xfId="6051" xr:uid="{00000000-0005-0000-0000-0000C2310000}"/>
    <cellStyle name="Normal 5 2 6 4 3 2" xfId="14487" xr:uid="{00000000-0005-0000-0000-0000C3310000}"/>
    <cellStyle name="Normal 5 2 6 4 4" xfId="10269" xr:uid="{00000000-0005-0000-0000-0000C4310000}"/>
    <cellStyle name="Normal 5 2 6 5" xfId="2157" xr:uid="{00000000-0005-0000-0000-0000C5310000}"/>
    <cellStyle name="Normal 5 2 6 5 2" xfId="4386" xr:uid="{00000000-0005-0000-0000-0000C6310000}"/>
    <cellStyle name="Normal 5 2 6 5 2 2" xfId="8609" xr:uid="{00000000-0005-0000-0000-0000C7310000}"/>
    <cellStyle name="Normal 5 2 6 5 2 2 2" xfId="17045" xr:uid="{00000000-0005-0000-0000-0000C8310000}"/>
    <cellStyle name="Normal 5 2 6 5 2 3" xfId="12827" xr:uid="{00000000-0005-0000-0000-0000C9310000}"/>
    <cellStyle name="Normal 5 2 6 5 3" xfId="6464" xr:uid="{00000000-0005-0000-0000-0000CA310000}"/>
    <cellStyle name="Normal 5 2 6 5 3 2" xfId="14900" xr:uid="{00000000-0005-0000-0000-0000CB310000}"/>
    <cellStyle name="Normal 5 2 6 5 4" xfId="10682" xr:uid="{00000000-0005-0000-0000-0000CC310000}"/>
    <cellStyle name="Normal 5 2 6 6" xfId="2593" xr:uid="{00000000-0005-0000-0000-0000CD310000}"/>
    <cellStyle name="Normal 5 2 6 6 2" xfId="6877" xr:uid="{00000000-0005-0000-0000-0000CE310000}"/>
    <cellStyle name="Normal 5 2 6 6 2 2" xfId="15313" xr:uid="{00000000-0005-0000-0000-0000CF310000}"/>
    <cellStyle name="Normal 5 2 6 6 3" xfId="11095" xr:uid="{00000000-0005-0000-0000-0000D0310000}"/>
    <cellStyle name="Normal 5 2 6 7" xfId="4812" xr:uid="{00000000-0005-0000-0000-0000D1310000}"/>
    <cellStyle name="Normal 5 2 6 7 2" xfId="13248" xr:uid="{00000000-0005-0000-0000-0000D2310000}"/>
    <cellStyle name="Normal 5 2 6 8" xfId="9030" xr:uid="{00000000-0005-0000-0000-0000D3310000}"/>
    <cellStyle name="Normal 5 2 7" xfId="881" xr:uid="{00000000-0005-0000-0000-0000D4310000}"/>
    <cellStyle name="Normal 5 2 7 2" xfId="3116" xr:uid="{00000000-0005-0000-0000-0000D5310000}"/>
    <cellStyle name="Normal 5 2 7 2 2" xfId="7339" xr:uid="{00000000-0005-0000-0000-0000D6310000}"/>
    <cellStyle name="Normal 5 2 7 2 2 2" xfId="15775" xr:uid="{00000000-0005-0000-0000-0000D7310000}"/>
    <cellStyle name="Normal 5 2 7 2 3" xfId="11557" xr:uid="{00000000-0005-0000-0000-0000D8310000}"/>
    <cellStyle name="Normal 5 2 7 3" xfId="5194" xr:uid="{00000000-0005-0000-0000-0000D9310000}"/>
    <cellStyle name="Normal 5 2 7 3 2" xfId="13630" xr:uid="{00000000-0005-0000-0000-0000DA310000}"/>
    <cellStyle name="Normal 5 2 7 4" xfId="9412" xr:uid="{00000000-0005-0000-0000-0000DB310000}"/>
    <cellStyle name="Normal 5 2 8" xfId="1299" xr:uid="{00000000-0005-0000-0000-0000DC310000}"/>
    <cellStyle name="Normal 5 2 8 2" xfId="3529" xr:uid="{00000000-0005-0000-0000-0000DD310000}"/>
    <cellStyle name="Normal 5 2 8 2 2" xfId="7752" xr:uid="{00000000-0005-0000-0000-0000DE310000}"/>
    <cellStyle name="Normal 5 2 8 2 2 2" xfId="16188" xr:uid="{00000000-0005-0000-0000-0000DF310000}"/>
    <cellStyle name="Normal 5 2 8 2 3" xfId="11970" xr:uid="{00000000-0005-0000-0000-0000E0310000}"/>
    <cellStyle name="Normal 5 2 8 3" xfId="5607" xr:uid="{00000000-0005-0000-0000-0000E1310000}"/>
    <cellStyle name="Normal 5 2 8 3 2" xfId="14043" xr:uid="{00000000-0005-0000-0000-0000E2310000}"/>
    <cellStyle name="Normal 5 2 8 4" xfId="9825" xr:uid="{00000000-0005-0000-0000-0000E3310000}"/>
    <cellStyle name="Normal 5 2 9" xfId="1712" xr:uid="{00000000-0005-0000-0000-0000E4310000}"/>
    <cellStyle name="Normal 5 2 9 2" xfId="3942" xr:uid="{00000000-0005-0000-0000-0000E5310000}"/>
    <cellStyle name="Normal 5 2 9 2 2" xfId="8165" xr:uid="{00000000-0005-0000-0000-0000E6310000}"/>
    <cellStyle name="Normal 5 2 9 2 2 2" xfId="16601" xr:uid="{00000000-0005-0000-0000-0000E7310000}"/>
    <cellStyle name="Normal 5 2 9 2 3" xfId="12383" xr:uid="{00000000-0005-0000-0000-0000E8310000}"/>
    <cellStyle name="Normal 5 2 9 3" xfId="6020" xr:uid="{00000000-0005-0000-0000-0000E9310000}"/>
    <cellStyle name="Normal 5 2 9 3 2" xfId="14456" xr:uid="{00000000-0005-0000-0000-0000EA310000}"/>
    <cellStyle name="Normal 5 2 9 4" xfId="10238" xr:uid="{00000000-0005-0000-0000-0000EB310000}"/>
    <cellStyle name="Normal 5 3" xfId="439" xr:uid="{00000000-0005-0000-0000-0000EC310000}"/>
    <cellStyle name="Normal 5 3 10" xfId="2158" xr:uid="{00000000-0005-0000-0000-0000ED310000}"/>
    <cellStyle name="Normal 5 3 10 2" xfId="4387" xr:uid="{00000000-0005-0000-0000-0000EE310000}"/>
    <cellStyle name="Normal 5 3 10 2 2" xfId="8610" xr:uid="{00000000-0005-0000-0000-0000EF310000}"/>
    <cellStyle name="Normal 5 3 10 2 2 2" xfId="17046" xr:uid="{00000000-0005-0000-0000-0000F0310000}"/>
    <cellStyle name="Normal 5 3 10 2 3" xfId="12828" xr:uid="{00000000-0005-0000-0000-0000F1310000}"/>
    <cellStyle name="Normal 5 3 10 3" xfId="6465" xr:uid="{00000000-0005-0000-0000-0000F2310000}"/>
    <cellStyle name="Normal 5 3 10 3 2" xfId="14901" xr:uid="{00000000-0005-0000-0000-0000F3310000}"/>
    <cellStyle name="Normal 5 3 10 4" xfId="10683" xr:uid="{00000000-0005-0000-0000-0000F4310000}"/>
    <cellStyle name="Normal 5 3 11" xfId="2594" xr:uid="{00000000-0005-0000-0000-0000F5310000}"/>
    <cellStyle name="Normal 5 3 11 2" xfId="6878" xr:uid="{00000000-0005-0000-0000-0000F6310000}"/>
    <cellStyle name="Normal 5 3 11 2 2" xfId="15314" xr:uid="{00000000-0005-0000-0000-0000F7310000}"/>
    <cellStyle name="Normal 5 3 11 3" xfId="11096" xr:uid="{00000000-0005-0000-0000-0000F8310000}"/>
    <cellStyle name="Normal 5 3 12" xfId="4813" xr:uid="{00000000-0005-0000-0000-0000F9310000}"/>
    <cellStyle name="Normal 5 3 12 2" xfId="13249" xr:uid="{00000000-0005-0000-0000-0000FA310000}"/>
    <cellStyle name="Normal 5 3 13" xfId="9031" xr:uid="{00000000-0005-0000-0000-0000FB310000}"/>
    <cellStyle name="Normal 5 3 2" xfId="440" xr:uid="{00000000-0005-0000-0000-0000FC310000}"/>
    <cellStyle name="Normal 5 3 2 2" xfId="914" xr:uid="{00000000-0005-0000-0000-0000FD310000}"/>
    <cellStyle name="Normal 5 3 3" xfId="441" xr:uid="{00000000-0005-0000-0000-0000FE310000}"/>
    <cellStyle name="Normal 5 3 3 10" xfId="4814" xr:uid="{00000000-0005-0000-0000-0000FF310000}"/>
    <cellStyle name="Normal 5 3 3 10 2" xfId="13250" xr:uid="{00000000-0005-0000-0000-000000320000}"/>
    <cellStyle name="Normal 5 3 3 11" xfId="9032" xr:uid="{00000000-0005-0000-0000-000001320000}"/>
    <cellStyle name="Normal 5 3 3 2" xfId="442" xr:uid="{00000000-0005-0000-0000-000002320000}"/>
    <cellStyle name="Normal 5 3 3 2 10" xfId="9033" xr:uid="{00000000-0005-0000-0000-000003320000}"/>
    <cellStyle name="Normal 5 3 3 2 2" xfId="443" xr:uid="{00000000-0005-0000-0000-000004320000}"/>
    <cellStyle name="Normal 5 3 3 2 2 2" xfId="444" xr:uid="{00000000-0005-0000-0000-000005320000}"/>
    <cellStyle name="Normal 5 3 3 2 2 2 2" xfId="918" xr:uid="{00000000-0005-0000-0000-000006320000}"/>
    <cellStyle name="Normal 5 3 3 2 2 2 2 2" xfId="3152" xr:uid="{00000000-0005-0000-0000-000007320000}"/>
    <cellStyle name="Normal 5 3 3 2 2 2 2 2 2" xfId="7375" xr:uid="{00000000-0005-0000-0000-000008320000}"/>
    <cellStyle name="Normal 5 3 3 2 2 2 2 2 2 2" xfId="15811" xr:uid="{00000000-0005-0000-0000-000009320000}"/>
    <cellStyle name="Normal 5 3 3 2 2 2 2 2 3" xfId="11593" xr:uid="{00000000-0005-0000-0000-00000A320000}"/>
    <cellStyle name="Normal 5 3 3 2 2 2 2 3" xfId="5230" xr:uid="{00000000-0005-0000-0000-00000B320000}"/>
    <cellStyle name="Normal 5 3 3 2 2 2 2 3 2" xfId="13666" xr:uid="{00000000-0005-0000-0000-00000C320000}"/>
    <cellStyle name="Normal 5 3 3 2 2 2 2 4" xfId="9448" xr:uid="{00000000-0005-0000-0000-00000D320000}"/>
    <cellStyle name="Normal 5 3 3 2 2 2 3" xfId="1335" xr:uid="{00000000-0005-0000-0000-00000E320000}"/>
    <cellStyle name="Normal 5 3 3 2 2 2 3 2" xfId="3565" xr:uid="{00000000-0005-0000-0000-00000F320000}"/>
    <cellStyle name="Normal 5 3 3 2 2 2 3 2 2" xfId="7788" xr:uid="{00000000-0005-0000-0000-000010320000}"/>
    <cellStyle name="Normal 5 3 3 2 2 2 3 2 2 2" xfId="16224" xr:uid="{00000000-0005-0000-0000-000011320000}"/>
    <cellStyle name="Normal 5 3 3 2 2 2 3 2 3" xfId="12006" xr:uid="{00000000-0005-0000-0000-000012320000}"/>
    <cellStyle name="Normal 5 3 3 2 2 2 3 3" xfId="5643" xr:uid="{00000000-0005-0000-0000-000013320000}"/>
    <cellStyle name="Normal 5 3 3 2 2 2 3 3 2" xfId="14079" xr:uid="{00000000-0005-0000-0000-000014320000}"/>
    <cellStyle name="Normal 5 3 3 2 2 2 3 4" xfId="9861" xr:uid="{00000000-0005-0000-0000-000015320000}"/>
    <cellStyle name="Normal 5 3 3 2 2 2 4" xfId="1748" xr:uid="{00000000-0005-0000-0000-000016320000}"/>
    <cellStyle name="Normal 5 3 3 2 2 2 4 2" xfId="3978" xr:uid="{00000000-0005-0000-0000-000017320000}"/>
    <cellStyle name="Normal 5 3 3 2 2 2 4 2 2" xfId="8201" xr:uid="{00000000-0005-0000-0000-000018320000}"/>
    <cellStyle name="Normal 5 3 3 2 2 2 4 2 2 2" xfId="16637" xr:uid="{00000000-0005-0000-0000-000019320000}"/>
    <cellStyle name="Normal 5 3 3 2 2 2 4 2 3" xfId="12419" xr:uid="{00000000-0005-0000-0000-00001A320000}"/>
    <cellStyle name="Normal 5 3 3 2 2 2 4 3" xfId="6056" xr:uid="{00000000-0005-0000-0000-00001B320000}"/>
    <cellStyle name="Normal 5 3 3 2 2 2 4 3 2" xfId="14492" xr:uid="{00000000-0005-0000-0000-00001C320000}"/>
    <cellStyle name="Normal 5 3 3 2 2 2 4 4" xfId="10274" xr:uid="{00000000-0005-0000-0000-00001D320000}"/>
    <cellStyle name="Normal 5 3 3 2 2 2 5" xfId="2162" xr:uid="{00000000-0005-0000-0000-00001E320000}"/>
    <cellStyle name="Normal 5 3 3 2 2 2 5 2" xfId="4391" xr:uid="{00000000-0005-0000-0000-00001F320000}"/>
    <cellStyle name="Normal 5 3 3 2 2 2 5 2 2" xfId="8614" xr:uid="{00000000-0005-0000-0000-000020320000}"/>
    <cellStyle name="Normal 5 3 3 2 2 2 5 2 2 2" xfId="17050" xr:uid="{00000000-0005-0000-0000-000021320000}"/>
    <cellStyle name="Normal 5 3 3 2 2 2 5 2 3" xfId="12832" xr:uid="{00000000-0005-0000-0000-000022320000}"/>
    <cellStyle name="Normal 5 3 3 2 2 2 5 3" xfId="6469" xr:uid="{00000000-0005-0000-0000-000023320000}"/>
    <cellStyle name="Normal 5 3 3 2 2 2 5 3 2" xfId="14905" xr:uid="{00000000-0005-0000-0000-000024320000}"/>
    <cellStyle name="Normal 5 3 3 2 2 2 5 4" xfId="10687" xr:uid="{00000000-0005-0000-0000-000025320000}"/>
    <cellStyle name="Normal 5 3 3 2 2 2 6" xfId="2598" xr:uid="{00000000-0005-0000-0000-000026320000}"/>
    <cellStyle name="Normal 5 3 3 2 2 2 6 2" xfId="6882" xr:uid="{00000000-0005-0000-0000-000027320000}"/>
    <cellStyle name="Normal 5 3 3 2 2 2 6 2 2" xfId="15318" xr:uid="{00000000-0005-0000-0000-000028320000}"/>
    <cellStyle name="Normal 5 3 3 2 2 2 6 3" xfId="11100" xr:uid="{00000000-0005-0000-0000-000029320000}"/>
    <cellStyle name="Normal 5 3 3 2 2 2 7" xfId="4817" xr:uid="{00000000-0005-0000-0000-00002A320000}"/>
    <cellStyle name="Normal 5 3 3 2 2 2 7 2" xfId="13253" xr:uid="{00000000-0005-0000-0000-00002B320000}"/>
    <cellStyle name="Normal 5 3 3 2 2 2 8" xfId="9035" xr:uid="{00000000-0005-0000-0000-00002C320000}"/>
    <cellStyle name="Normal 5 3 3 2 2 3" xfId="917" xr:uid="{00000000-0005-0000-0000-00002D320000}"/>
    <cellStyle name="Normal 5 3 3 2 2 3 2" xfId="3151" xr:uid="{00000000-0005-0000-0000-00002E320000}"/>
    <cellStyle name="Normal 5 3 3 2 2 3 2 2" xfId="7374" xr:uid="{00000000-0005-0000-0000-00002F320000}"/>
    <cellStyle name="Normal 5 3 3 2 2 3 2 2 2" xfId="15810" xr:uid="{00000000-0005-0000-0000-000030320000}"/>
    <cellStyle name="Normal 5 3 3 2 2 3 2 3" xfId="11592" xr:uid="{00000000-0005-0000-0000-000031320000}"/>
    <cellStyle name="Normal 5 3 3 2 2 3 3" xfId="5229" xr:uid="{00000000-0005-0000-0000-000032320000}"/>
    <cellStyle name="Normal 5 3 3 2 2 3 3 2" xfId="13665" xr:uid="{00000000-0005-0000-0000-000033320000}"/>
    <cellStyle name="Normal 5 3 3 2 2 3 4" xfId="9447" xr:uid="{00000000-0005-0000-0000-000034320000}"/>
    <cellStyle name="Normal 5 3 3 2 2 4" xfId="1334" xr:uid="{00000000-0005-0000-0000-000035320000}"/>
    <cellStyle name="Normal 5 3 3 2 2 4 2" xfId="3564" xr:uid="{00000000-0005-0000-0000-000036320000}"/>
    <cellStyle name="Normal 5 3 3 2 2 4 2 2" xfId="7787" xr:uid="{00000000-0005-0000-0000-000037320000}"/>
    <cellStyle name="Normal 5 3 3 2 2 4 2 2 2" xfId="16223" xr:uid="{00000000-0005-0000-0000-000038320000}"/>
    <cellStyle name="Normal 5 3 3 2 2 4 2 3" xfId="12005" xr:uid="{00000000-0005-0000-0000-000039320000}"/>
    <cellStyle name="Normal 5 3 3 2 2 4 3" xfId="5642" xr:uid="{00000000-0005-0000-0000-00003A320000}"/>
    <cellStyle name="Normal 5 3 3 2 2 4 3 2" xfId="14078" xr:uid="{00000000-0005-0000-0000-00003B320000}"/>
    <cellStyle name="Normal 5 3 3 2 2 4 4" xfId="9860" xr:uid="{00000000-0005-0000-0000-00003C320000}"/>
    <cellStyle name="Normal 5 3 3 2 2 5" xfId="1747" xr:uid="{00000000-0005-0000-0000-00003D320000}"/>
    <cellStyle name="Normal 5 3 3 2 2 5 2" xfId="3977" xr:uid="{00000000-0005-0000-0000-00003E320000}"/>
    <cellStyle name="Normal 5 3 3 2 2 5 2 2" xfId="8200" xr:uid="{00000000-0005-0000-0000-00003F320000}"/>
    <cellStyle name="Normal 5 3 3 2 2 5 2 2 2" xfId="16636" xr:uid="{00000000-0005-0000-0000-000040320000}"/>
    <cellStyle name="Normal 5 3 3 2 2 5 2 3" xfId="12418" xr:uid="{00000000-0005-0000-0000-000041320000}"/>
    <cellStyle name="Normal 5 3 3 2 2 5 3" xfId="6055" xr:uid="{00000000-0005-0000-0000-000042320000}"/>
    <cellStyle name="Normal 5 3 3 2 2 5 3 2" xfId="14491" xr:uid="{00000000-0005-0000-0000-000043320000}"/>
    <cellStyle name="Normal 5 3 3 2 2 5 4" xfId="10273" xr:uid="{00000000-0005-0000-0000-000044320000}"/>
    <cellStyle name="Normal 5 3 3 2 2 6" xfId="2161" xr:uid="{00000000-0005-0000-0000-000045320000}"/>
    <cellStyle name="Normal 5 3 3 2 2 6 2" xfId="4390" xr:uid="{00000000-0005-0000-0000-000046320000}"/>
    <cellStyle name="Normal 5 3 3 2 2 6 2 2" xfId="8613" xr:uid="{00000000-0005-0000-0000-000047320000}"/>
    <cellStyle name="Normal 5 3 3 2 2 6 2 2 2" xfId="17049" xr:uid="{00000000-0005-0000-0000-000048320000}"/>
    <cellStyle name="Normal 5 3 3 2 2 6 2 3" xfId="12831" xr:uid="{00000000-0005-0000-0000-000049320000}"/>
    <cellStyle name="Normal 5 3 3 2 2 6 3" xfId="6468" xr:uid="{00000000-0005-0000-0000-00004A320000}"/>
    <cellStyle name="Normal 5 3 3 2 2 6 3 2" xfId="14904" xr:uid="{00000000-0005-0000-0000-00004B320000}"/>
    <cellStyle name="Normal 5 3 3 2 2 6 4" xfId="10686" xr:uid="{00000000-0005-0000-0000-00004C320000}"/>
    <cellStyle name="Normal 5 3 3 2 2 7" xfId="2597" xr:uid="{00000000-0005-0000-0000-00004D320000}"/>
    <cellStyle name="Normal 5 3 3 2 2 7 2" xfId="6881" xr:uid="{00000000-0005-0000-0000-00004E320000}"/>
    <cellStyle name="Normal 5 3 3 2 2 7 2 2" xfId="15317" xr:uid="{00000000-0005-0000-0000-00004F320000}"/>
    <cellStyle name="Normal 5 3 3 2 2 7 3" xfId="11099" xr:uid="{00000000-0005-0000-0000-000050320000}"/>
    <cellStyle name="Normal 5 3 3 2 2 8" xfId="4816" xr:uid="{00000000-0005-0000-0000-000051320000}"/>
    <cellStyle name="Normal 5 3 3 2 2 8 2" xfId="13252" xr:uid="{00000000-0005-0000-0000-000052320000}"/>
    <cellStyle name="Normal 5 3 3 2 2 9" xfId="9034" xr:uid="{00000000-0005-0000-0000-000053320000}"/>
    <cellStyle name="Normal 5 3 3 2 3" xfId="445" xr:uid="{00000000-0005-0000-0000-000054320000}"/>
    <cellStyle name="Normal 5 3 3 2 3 2" xfId="919" xr:uid="{00000000-0005-0000-0000-000055320000}"/>
    <cellStyle name="Normal 5 3 3 2 3 2 2" xfId="3153" xr:uid="{00000000-0005-0000-0000-000056320000}"/>
    <cellStyle name="Normal 5 3 3 2 3 2 2 2" xfId="7376" xr:uid="{00000000-0005-0000-0000-000057320000}"/>
    <cellStyle name="Normal 5 3 3 2 3 2 2 2 2" xfId="15812" xr:uid="{00000000-0005-0000-0000-000058320000}"/>
    <cellStyle name="Normal 5 3 3 2 3 2 2 3" xfId="11594" xr:uid="{00000000-0005-0000-0000-000059320000}"/>
    <cellStyle name="Normal 5 3 3 2 3 2 3" xfId="5231" xr:uid="{00000000-0005-0000-0000-00005A320000}"/>
    <cellStyle name="Normal 5 3 3 2 3 2 3 2" xfId="13667" xr:uid="{00000000-0005-0000-0000-00005B320000}"/>
    <cellStyle name="Normal 5 3 3 2 3 2 4" xfId="9449" xr:uid="{00000000-0005-0000-0000-00005C320000}"/>
    <cellStyle name="Normal 5 3 3 2 3 3" xfId="1336" xr:uid="{00000000-0005-0000-0000-00005D320000}"/>
    <cellStyle name="Normal 5 3 3 2 3 3 2" xfId="3566" xr:uid="{00000000-0005-0000-0000-00005E320000}"/>
    <cellStyle name="Normal 5 3 3 2 3 3 2 2" xfId="7789" xr:uid="{00000000-0005-0000-0000-00005F320000}"/>
    <cellStyle name="Normal 5 3 3 2 3 3 2 2 2" xfId="16225" xr:uid="{00000000-0005-0000-0000-000060320000}"/>
    <cellStyle name="Normal 5 3 3 2 3 3 2 3" xfId="12007" xr:uid="{00000000-0005-0000-0000-000061320000}"/>
    <cellStyle name="Normal 5 3 3 2 3 3 3" xfId="5644" xr:uid="{00000000-0005-0000-0000-000062320000}"/>
    <cellStyle name="Normal 5 3 3 2 3 3 3 2" xfId="14080" xr:uid="{00000000-0005-0000-0000-000063320000}"/>
    <cellStyle name="Normal 5 3 3 2 3 3 4" xfId="9862" xr:uid="{00000000-0005-0000-0000-000064320000}"/>
    <cellStyle name="Normal 5 3 3 2 3 4" xfId="1749" xr:uid="{00000000-0005-0000-0000-000065320000}"/>
    <cellStyle name="Normal 5 3 3 2 3 4 2" xfId="3979" xr:uid="{00000000-0005-0000-0000-000066320000}"/>
    <cellStyle name="Normal 5 3 3 2 3 4 2 2" xfId="8202" xr:uid="{00000000-0005-0000-0000-000067320000}"/>
    <cellStyle name="Normal 5 3 3 2 3 4 2 2 2" xfId="16638" xr:uid="{00000000-0005-0000-0000-000068320000}"/>
    <cellStyle name="Normal 5 3 3 2 3 4 2 3" xfId="12420" xr:uid="{00000000-0005-0000-0000-000069320000}"/>
    <cellStyle name="Normal 5 3 3 2 3 4 3" xfId="6057" xr:uid="{00000000-0005-0000-0000-00006A320000}"/>
    <cellStyle name="Normal 5 3 3 2 3 4 3 2" xfId="14493" xr:uid="{00000000-0005-0000-0000-00006B320000}"/>
    <cellStyle name="Normal 5 3 3 2 3 4 4" xfId="10275" xr:uid="{00000000-0005-0000-0000-00006C320000}"/>
    <cellStyle name="Normal 5 3 3 2 3 5" xfId="2163" xr:uid="{00000000-0005-0000-0000-00006D320000}"/>
    <cellStyle name="Normal 5 3 3 2 3 5 2" xfId="4392" xr:uid="{00000000-0005-0000-0000-00006E320000}"/>
    <cellStyle name="Normal 5 3 3 2 3 5 2 2" xfId="8615" xr:uid="{00000000-0005-0000-0000-00006F320000}"/>
    <cellStyle name="Normal 5 3 3 2 3 5 2 2 2" xfId="17051" xr:uid="{00000000-0005-0000-0000-000070320000}"/>
    <cellStyle name="Normal 5 3 3 2 3 5 2 3" xfId="12833" xr:uid="{00000000-0005-0000-0000-000071320000}"/>
    <cellStyle name="Normal 5 3 3 2 3 5 3" xfId="6470" xr:uid="{00000000-0005-0000-0000-000072320000}"/>
    <cellStyle name="Normal 5 3 3 2 3 5 3 2" xfId="14906" xr:uid="{00000000-0005-0000-0000-000073320000}"/>
    <cellStyle name="Normal 5 3 3 2 3 5 4" xfId="10688" xr:uid="{00000000-0005-0000-0000-000074320000}"/>
    <cellStyle name="Normal 5 3 3 2 3 6" xfId="2599" xr:uid="{00000000-0005-0000-0000-000075320000}"/>
    <cellStyle name="Normal 5 3 3 2 3 6 2" xfId="6883" xr:uid="{00000000-0005-0000-0000-000076320000}"/>
    <cellStyle name="Normal 5 3 3 2 3 6 2 2" xfId="15319" xr:uid="{00000000-0005-0000-0000-000077320000}"/>
    <cellStyle name="Normal 5 3 3 2 3 6 3" xfId="11101" xr:uid="{00000000-0005-0000-0000-000078320000}"/>
    <cellStyle name="Normal 5 3 3 2 3 7" xfId="4818" xr:uid="{00000000-0005-0000-0000-000079320000}"/>
    <cellStyle name="Normal 5 3 3 2 3 7 2" xfId="13254" xr:uid="{00000000-0005-0000-0000-00007A320000}"/>
    <cellStyle name="Normal 5 3 3 2 3 8" xfId="9036" xr:uid="{00000000-0005-0000-0000-00007B320000}"/>
    <cellStyle name="Normal 5 3 3 2 4" xfId="916" xr:uid="{00000000-0005-0000-0000-00007C320000}"/>
    <cellStyle name="Normal 5 3 3 2 4 2" xfId="3150" xr:uid="{00000000-0005-0000-0000-00007D320000}"/>
    <cellStyle name="Normal 5 3 3 2 4 2 2" xfId="7373" xr:uid="{00000000-0005-0000-0000-00007E320000}"/>
    <cellStyle name="Normal 5 3 3 2 4 2 2 2" xfId="15809" xr:uid="{00000000-0005-0000-0000-00007F320000}"/>
    <cellStyle name="Normal 5 3 3 2 4 2 3" xfId="11591" xr:uid="{00000000-0005-0000-0000-000080320000}"/>
    <cellStyle name="Normal 5 3 3 2 4 3" xfId="5228" xr:uid="{00000000-0005-0000-0000-000081320000}"/>
    <cellStyle name="Normal 5 3 3 2 4 3 2" xfId="13664" xr:uid="{00000000-0005-0000-0000-000082320000}"/>
    <cellStyle name="Normal 5 3 3 2 4 4" xfId="9446" xr:uid="{00000000-0005-0000-0000-000083320000}"/>
    <cellStyle name="Normal 5 3 3 2 5" xfId="1333" xr:uid="{00000000-0005-0000-0000-000084320000}"/>
    <cellStyle name="Normal 5 3 3 2 5 2" xfId="3563" xr:uid="{00000000-0005-0000-0000-000085320000}"/>
    <cellStyle name="Normal 5 3 3 2 5 2 2" xfId="7786" xr:uid="{00000000-0005-0000-0000-000086320000}"/>
    <cellStyle name="Normal 5 3 3 2 5 2 2 2" xfId="16222" xr:uid="{00000000-0005-0000-0000-000087320000}"/>
    <cellStyle name="Normal 5 3 3 2 5 2 3" xfId="12004" xr:uid="{00000000-0005-0000-0000-000088320000}"/>
    <cellStyle name="Normal 5 3 3 2 5 3" xfId="5641" xr:uid="{00000000-0005-0000-0000-000089320000}"/>
    <cellStyle name="Normal 5 3 3 2 5 3 2" xfId="14077" xr:uid="{00000000-0005-0000-0000-00008A320000}"/>
    <cellStyle name="Normal 5 3 3 2 5 4" xfId="9859" xr:uid="{00000000-0005-0000-0000-00008B320000}"/>
    <cellStyle name="Normal 5 3 3 2 6" xfId="1746" xr:uid="{00000000-0005-0000-0000-00008C320000}"/>
    <cellStyle name="Normal 5 3 3 2 6 2" xfId="3976" xr:uid="{00000000-0005-0000-0000-00008D320000}"/>
    <cellStyle name="Normal 5 3 3 2 6 2 2" xfId="8199" xr:uid="{00000000-0005-0000-0000-00008E320000}"/>
    <cellStyle name="Normal 5 3 3 2 6 2 2 2" xfId="16635" xr:uid="{00000000-0005-0000-0000-00008F320000}"/>
    <cellStyle name="Normal 5 3 3 2 6 2 3" xfId="12417" xr:uid="{00000000-0005-0000-0000-000090320000}"/>
    <cellStyle name="Normal 5 3 3 2 6 3" xfId="6054" xr:uid="{00000000-0005-0000-0000-000091320000}"/>
    <cellStyle name="Normal 5 3 3 2 6 3 2" xfId="14490" xr:uid="{00000000-0005-0000-0000-000092320000}"/>
    <cellStyle name="Normal 5 3 3 2 6 4" xfId="10272" xr:uid="{00000000-0005-0000-0000-000093320000}"/>
    <cellStyle name="Normal 5 3 3 2 7" xfId="2160" xr:uid="{00000000-0005-0000-0000-000094320000}"/>
    <cellStyle name="Normal 5 3 3 2 7 2" xfId="4389" xr:uid="{00000000-0005-0000-0000-000095320000}"/>
    <cellStyle name="Normal 5 3 3 2 7 2 2" xfId="8612" xr:uid="{00000000-0005-0000-0000-000096320000}"/>
    <cellStyle name="Normal 5 3 3 2 7 2 2 2" xfId="17048" xr:uid="{00000000-0005-0000-0000-000097320000}"/>
    <cellStyle name="Normal 5 3 3 2 7 2 3" xfId="12830" xr:uid="{00000000-0005-0000-0000-000098320000}"/>
    <cellStyle name="Normal 5 3 3 2 7 3" xfId="6467" xr:uid="{00000000-0005-0000-0000-000099320000}"/>
    <cellStyle name="Normal 5 3 3 2 7 3 2" xfId="14903" xr:uid="{00000000-0005-0000-0000-00009A320000}"/>
    <cellStyle name="Normal 5 3 3 2 7 4" xfId="10685" xr:uid="{00000000-0005-0000-0000-00009B320000}"/>
    <cellStyle name="Normal 5 3 3 2 8" xfId="2596" xr:uid="{00000000-0005-0000-0000-00009C320000}"/>
    <cellStyle name="Normal 5 3 3 2 8 2" xfId="6880" xr:uid="{00000000-0005-0000-0000-00009D320000}"/>
    <cellStyle name="Normal 5 3 3 2 8 2 2" xfId="15316" xr:uid="{00000000-0005-0000-0000-00009E320000}"/>
    <cellStyle name="Normal 5 3 3 2 8 3" xfId="11098" xr:uid="{00000000-0005-0000-0000-00009F320000}"/>
    <cellStyle name="Normal 5 3 3 2 9" xfId="4815" xr:uid="{00000000-0005-0000-0000-0000A0320000}"/>
    <cellStyle name="Normal 5 3 3 2 9 2" xfId="13251" xr:uid="{00000000-0005-0000-0000-0000A1320000}"/>
    <cellStyle name="Normal 5 3 3 3" xfId="446" xr:uid="{00000000-0005-0000-0000-0000A2320000}"/>
    <cellStyle name="Normal 5 3 3 3 2" xfId="447" xr:uid="{00000000-0005-0000-0000-0000A3320000}"/>
    <cellStyle name="Normal 5 3 3 3 2 2" xfId="921" xr:uid="{00000000-0005-0000-0000-0000A4320000}"/>
    <cellStyle name="Normal 5 3 3 3 2 2 2" xfId="3155" xr:uid="{00000000-0005-0000-0000-0000A5320000}"/>
    <cellStyle name="Normal 5 3 3 3 2 2 2 2" xfId="7378" xr:uid="{00000000-0005-0000-0000-0000A6320000}"/>
    <cellStyle name="Normal 5 3 3 3 2 2 2 2 2" xfId="15814" xr:uid="{00000000-0005-0000-0000-0000A7320000}"/>
    <cellStyle name="Normal 5 3 3 3 2 2 2 3" xfId="11596" xr:uid="{00000000-0005-0000-0000-0000A8320000}"/>
    <cellStyle name="Normal 5 3 3 3 2 2 3" xfId="5233" xr:uid="{00000000-0005-0000-0000-0000A9320000}"/>
    <cellStyle name="Normal 5 3 3 3 2 2 3 2" xfId="13669" xr:uid="{00000000-0005-0000-0000-0000AA320000}"/>
    <cellStyle name="Normal 5 3 3 3 2 2 4" xfId="9451" xr:uid="{00000000-0005-0000-0000-0000AB320000}"/>
    <cellStyle name="Normal 5 3 3 3 2 3" xfId="1338" xr:uid="{00000000-0005-0000-0000-0000AC320000}"/>
    <cellStyle name="Normal 5 3 3 3 2 3 2" xfId="3568" xr:uid="{00000000-0005-0000-0000-0000AD320000}"/>
    <cellStyle name="Normal 5 3 3 3 2 3 2 2" xfId="7791" xr:uid="{00000000-0005-0000-0000-0000AE320000}"/>
    <cellStyle name="Normal 5 3 3 3 2 3 2 2 2" xfId="16227" xr:uid="{00000000-0005-0000-0000-0000AF320000}"/>
    <cellStyle name="Normal 5 3 3 3 2 3 2 3" xfId="12009" xr:uid="{00000000-0005-0000-0000-0000B0320000}"/>
    <cellStyle name="Normal 5 3 3 3 2 3 3" xfId="5646" xr:uid="{00000000-0005-0000-0000-0000B1320000}"/>
    <cellStyle name="Normal 5 3 3 3 2 3 3 2" xfId="14082" xr:uid="{00000000-0005-0000-0000-0000B2320000}"/>
    <cellStyle name="Normal 5 3 3 3 2 3 4" xfId="9864" xr:uid="{00000000-0005-0000-0000-0000B3320000}"/>
    <cellStyle name="Normal 5 3 3 3 2 4" xfId="1751" xr:uid="{00000000-0005-0000-0000-0000B4320000}"/>
    <cellStyle name="Normal 5 3 3 3 2 4 2" xfId="3981" xr:uid="{00000000-0005-0000-0000-0000B5320000}"/>
    <cellStyle name="Normal 5 3 3 3 2 4 2 2" xfId="8204" xr:uid="{00000000-0005-0000-0000-0000B6320000}"/>
    <cellStyle name="Normal 5 3 3 3 2 4 2 2 2" xfId="16640" xr:uid="{00000000-0005-0000-0000-0000B7320000}"/>
    <cellStyle name="Normal 5 3 3 3 2 4 2 3" xfId="12422" xr:uid="{00000000-0005-0000-0000-0000B8320000}"/>
    <cellStyle name="Normal 5 3 3 3 2 4 3" xfId="6059" xr:uid="{00000000-0005-0000-0000-0000B9320000}"/>
    <cellStyle name="Normal 5 3 3 3 2 4 3 2" xfId="14495" xr:uid="{00000000-0005-0000-0000-0000BA320000}"/>
    <cellStyle name="Normal 5 3 3 3 2 4 4" xfId="10277" xr:uid="{00000000-0005-0000-0000-0000BB320000}"/>
    <cellStyle name="Normal 5 3 3 3 2 5" xfId="2165" xr:uid="{00000000-0005-0000-0000-0000BC320000}"/>
    <cellStyle name="Normal 5 3 3 3 2 5 2" xfId="4394" xr:uid="{00000000-0005-0000-0000-0000BD320000}"/>
    <cellStyle name="Normal 5 3 3 3 2 5 2 2" xfId="8617" xr:uid="{00000000-0005-0000-0000-0000BE320000}"/>
    <cellStyle name="Normal 5 3 3 3 2 5 2 2 2" xfId="17053" xr:uid="{00000000-0005-0000-0000-0000BF320000}"/>
    <cellStyle name="Normal 5 3 3 3 2 5 2 3" xfId="12835" xr:uid="{00000000-0005-0000-0000-0000C0320000}"/>
    <cellStyle name="Normal 5 3 3 3 2 5 3" xfId="6472" xr:uid="{00000000-0005-0000-0000-0000C1320000}"/>
    <cellStyle name="Normal 5 3 3 3 2 5 3 2" xfId="14908" xr:uid="{00000000-0005-0000-0000-0000C2320000}"/>
    <cellStyle name="Normal 5 3 3 3 2 5 4" xfId="10690" xr:uid="{00000000-0005-0000-0000-0000C3320000}"/>
    <cellStyle name="Normal 5 3 3 3 2 6" xfId="2601" xr:uid="{00000000-0005-0000-0000-0000C4320000}"/>
    <cellStyle name="Normal 5 3 3 3 2 6 2" xfId="6885" xr:uid="{00000000-0005-0000-0000-0000C5320000}"/>
    <cellStyle name="Normal 5 3 3 3 2 6 2 2" xfId="15321" xr:uid="{00000000-0005-0000-0000-0000C6320000}"/>
    <cellStyle name="Normal 5 3 3 3 2 6 3" xfId="11103" xr:uid="{00000000-0005-0000-0000-0000C7320000}"/>
    <cellStyle name="Normal 5 3 3 3 2 7" xfId="4820" xr:uid="{00000000-0005-0000-0000-0000C8320000}"/>
    <cellStyle name="Normal 5 3 3 3 2 7 2" xfId="13256" xr:uid="{00000000-0005-0000-0000-0000C9320000}"/>
    <cellStyle name="Normal 5 3 3 3 2 8" xfId="9038" xr:uid="{00000000-0005-0000-0000-0000CA320000}"/>
    <cellStyle name="Normal 5 3 3 3 3" xfId="920" xr:uid="{00000000-0005-0000-0000-0000CB320000}"/>
    <cellStyle name="Normal 5 3 3 3 3 2" xfId="3154" xr:uid="{00000000-0005-0000-0000-0000CC320000}"/>
    <cellStyle name="Normal 5 3 3 3 3 2 2" xfId="7377" xr:uid="{00000000-0005-0000-0000-0000CD320000}"/>
    <cellStyle name="Normal 5 3 3 3 3 2 2 2" xfId="15813" xr:uid="{00000000-0005-0000-0000-0000CE320000}"/>
    <cellStyle name="Normal 5 3 3 3 3 2 3" xfId="11595" xr:uid="{00000000-0005-0000-0000-0000CF320000}"/>
    <cellStyle name="Normal 5 3 3 3 3 3" xfId="5232" xr:uid="{00000000-0005-0000-0000-0000D0320000}"/>
    <cellStyle name="Normal 5 3 3 3 3 3 2" xfId="13668" xr:uid="{00000000-0005-0000-0000-0000D1320000}"/>
    <cellStyle name="Normal 5 3 3 3 3 4" xfId="9450" xr:uid="{00000000-0005-0000-0000-0000D2320000}"/>
    <cellStyle name="Normal 5 3 3 3 4" xfId="1337" xr:uid="{00000000-0005-0000-0000-0000D3320000}"/>
    <cellStyle name="Normal 5 3 3 3 4 2" xfId="3567" xr:uid="{00000000-0005-0000-0000-0000D4320000}"/>
    <cellStyle name="Normal 5 3 3 3 4 2 2" xfId="7790" xr:uid="{00000000-0005-0000-0000-0000D5320000}"/>
    <cellStyle name="Normal 5 3 3 3 4 2 2 2" xfId="16226" xr:uid="{00000000-0005-0000-0000-0000D6320000}"/>
    <cellStyle name="Normal 5 3 3 3 4 2 3" xfId="12008" xr:uid="{00000000-0005-0000-0000-0000D7320000}"/>
    <cellStyle name="Normal 5 3 3 3 4 3" xfId="5645" xr:uid="{00000000-0005-0000-0000-0000D8320000}"/>
    <cellStyle name="Normal 5 3 3 3 4 3 2" xfId="14081" xr:uid="{00000000-0005-0000-0000-0000D9320000}"/>
    <cellStyle name="Normal 5 3 3 3 4 4" xfId="9863" xr:uid="{00000000-0005-0000-0000-0000DA320000}"/>
    <cellStyle name="Normal 5 3 3 3 5" xfId="1750" xr:uid="{00000000-0005-0000-0000-0000DB320000}"/>
    <cellStyle name="Normal 5 3 3 3 5 2" xfId="3980" xr:uid="{00000000-0005-0000-0000-0000DC320000}"/>
    <cellStyle name="Normal 5 3 3 3 5 2 2" xfId="8203" xr:uid="{00000000-0005-0000-0000-0000DD320000}"/>
    <cellStyle name="Normal 5 3 3 3 5 2 2 2" xfId="16639" xr:uid="{00000000-0005-0000-0000-0000DE320000}"/>
    <cellStyle name="Normal 5 3 3 3 5 2 3" xfId="12421" xr:uid="{00000000-0005-0000-0000-0000DF320000}"/>
    <cellStyle name="Normal 5 3 3 3 5 3" xfId="6058" xr:uid="{00000000-0005-0000-0000-0000E0320000}"/>
    <cellStyle name="Normal 5 3 3 3 5 3 2" xfId="14494" xr:uid="{00000000-0005-0000-0000-0000E1320000}"/>
    <cellStyle name="Normal 5 3 3 3 5 4" xfId="10276" xr:uid="{00000000-0005-0000-0000-0000E2320000}"/>
    <cellStyle name="Normal 5 3 3 3 6" xfId="2164" xr:uid="{00000000-0005-0000-0000-0000E3320000}"/>
    <cellStyle name="Normal 5 3 3 3 6 2" xfId="4393" xr:uid="{00000000-0005-0000-0000-0000E4320000}"/>
    <cellStyle name="Normal 5 3 3 3 6 2 2" xfId="8616" xr:uid="{00000000-0005-0000-0000-0000E5320000}"/>
    <cellStyle name="Normal 5 3 3 3 6 2 2 2" xfId="17052" xr:uid="{00000000-0005-0000-0000-0000E6320000}"/>
    <cellStyle name="Normal 5 3 3 3 6 2 3" xfId="12834" xr:uid="{00000000-0005-0000-0000-0000E7320000}"/>
    <cellStyle name="Normal 5 3 3 3 6 3" xfId="6471" xr:uid="{00000000-0005-0000-0000-0000E8320000}"/>
    <cellStyle name="Normal 5 3 3 3 6 3 2" xfId="14907" xr:uid="{00000000-0005-0000-0000-0000E9320000}"/>
    <cellStyle name="Normal 5 3 3 3 6 4" xfId="10689" xr:uid="{00000000-0005-0000-0000-0000EA320000}"/>
    <cellStyle name="Normal 5 3 3 3 7" xfId="2600" xr:uid="{00000000-0005-0000-0000-0000EB320000}"/>
    <cellStyle name="Normal 5 3 3 3 7 2" xfId="6884" xr:uid="{00000000-0005-0000-0000-0000EC320000}"/>
    <cellStyle name="Normal 5 3 3 3 7 2 2" xfId="15320" xr:uid="{00000000-0005-0000-0000-0000ED320000}"/>
    <cellStyle name="Normal 5 3 3 3 7 3" xfId="11102" xr:uid="{00000000-0005-0000-0000-0000EE320000}"/>
    <cellStyle name="Normal 5 3 3 3 8" xfId="4819" xr:uid="{00000000-0005-0000-0000-0000EF320000}"/>
    <cellStyle name="Normal 5 3 3 3 8 2" xfId="13255" xr:uid="{00000000-0005-0000-0000-0000F0320000}"/>
    <cellStyle name="Normal 5 3 3 3 9" xfId="9037" xr:uid="{00000000-0005-0000-0000-0000F1320000}"/>
    <cellStyle name="Normal 5 3 3 4" xfId="448" xr:uid="{00000000-0005-0000-0000-0000F2320000}"/>
    <cellStyle name="Normal 5 3 3 4 2" xfId="922" xr:uid="{00000000-0005-0000-0000-0000F3320000}"/>
    <cellStyle name="Normal 5 3 3 4 2 2" xfId="3156" xr:uid="{00000000-0005-0000-0000-0000F4320000}"/>
    <cellStyle name="Normal 5 3 3 4 2 2 2" xfId="7379" xr:uid="{00000000-0005-0000-0000-0000F5320000}"/>
    <cellStyle name="Normal 5 3 3 4 2 2 2 2" xfId="15815" xr:uid="{00000000-0005-0000-0000-0000F6320000}"/>
    <cellStyle name="Normal 5 3 3 4 2 2 3" xfId="11597" xr:uid="{00000000-0005-0000-0000-0000F7320000}"/>
    <cellStyle name="Normal 5 3 3 4 2 3" xfId="5234" xr:uid="{00000000-0005-0000-0000-0000F8320000}"/>
    <cellStyle name="Normal 5 3 3 4 2 3 2" xfId="13670" xr:uid="{00000000-0005-0000-0000-0000F9320000}"/>
    <cellStyle name="Normal 5 3 3 4 2 4" xfId="9452" xr:uid="{00000000-0005-0000-0000-0000FA320000}"/>
    <cellStyle name="Normal 5 3 3 4 3" xfId="1339" xr:uid="{00000000-0005-0000-0000-0000FB320000}"/>
    <cellStyle name="Normal 5 3 3 4 3 2" xfId="3569" xr:uid="{00000000-0005-0000-0000-0000FC320000}"/>
    <cellStyle name="Normal 5 3 3 4 3 2 2" xfId="7792" xr:uid="{00000000-0005-0000-0000-0000FD320000}"/>
    <cellStyle name="Normal 5 3 3 4 3 2 2 2" xfId="16228" xr:uid="{00000000-0005-0000-0000-0000FE320000}"/>
    <cellStyle name="Normal 5 3 3 4 3 2 3" xfId="12010" xr:uid="{00000000-0005-0000-0000-0000FF320000}"/>
    <cellStyle name="Normal 5 3 3 4 3 3" xfId="5647" xr:uid="{00000000-0005-0000-0000-000000330000}"/>
    <cellStyle name="Normal 5 3 3 4 3 3 2" xfId="14083" xr:uid="{00000000-0005-0000-0000-000001330000}"/>
    <cellStyle name="Normal 5 3 3 4 3 4" xfId="9865" xr:uid="{00000000-0005-0000-0000-000002330000}"/>
    <cellStyle name="Normal 5 3 3 4 4" xfId="1752" xr:uid="{00000000-0005-0000-0000-000003330000}"/>
    <cellStyle name="Normal 5 3 3 4 4 2" xfId="3982" xr:uid="{00000000-0005-0000-0000-000004330000}"/>
    <cellStyle name="Normal 5 3 3 4 4 2 2" xfId="8205" xr:uid="{00000000-0005-0000-0000-000005330000}"/>
    <cellStyle name="Normal 5 3 3 4 4 2 2 2" xfId="16641" xr:uid="{00000000-0005-0000-0000-000006330000}"/>
    <cellStyle name="Normal 5 3 3 4 4 2 3" xfId="12423" xr:uid="{00000000-0005-0000-0000-000007330000}"/>
    <cellStyle name="Normal 5 3 3 4 4 3" xfId="6060" xr:uid="{00000000-0005-0000-0000-000008330000}"/>
    <cellStyle name="Normal 5 3 3 4 4 3 2" xfId="14496" xr:uid="{00000000-0005-0000-0000-000009330000}"/>
    <cellStyle name="Normal 5 3 3 4 4 4" xfId="10278" xr:uid="{00000000-0005-0000-0000-00000A330000}"/>
    <cellStyle name="Normal 5 3 3 4 5" xfId="2166" xr:uid="{00000000-0005-0000-0000-00000B330000}"/>
    <cellStyle name="Normal 5 3 3 4 5 2" xfId="4395" xr:uid="{00000000-0005-0000-0000-00000C330000}"/>
    <cellStyle name="Normal 5 3 3 4 5 2 2" xfId="8618" xr:uid="{00000000-0005-0000-0000-00000D330000}"/>
    <cellStyle name="Normal 5 3 3 4 5 2 2 2" xfId="17054" xr:uid="{00000000-0005-0000-0000-00000E330000}"/>
    <cellStyle name="Normal 5 3 3 4 5 2 3" xfId="12836" xr:uid="{00000000-0005-0000-0000-00000F330000}"/>
    <cellStyle name="Normal 5 3 3 4 5 3" xfId="6473" xr:uid="{00000000-0005-0000-0000-000010330000}"/>
    <cellStyle name="Normal 5 3 3 4 5 3 2" xfId="14909" xr:uid="{00000000-0005-0000-0000-000011330000}"/>
    <cellStyle name="Normal 5 3 3 4 5 4" xfId="10691" xr:uid="{00000000-0005-0000-0000-000012330000}"/>
    <cellStyle name="Normal 5 3 3 4 6" xfId="2602" xr:uid="{00000000-0005-0000-0000-000013330000}"/>
    <cellStyle name="Normal 5 3 3 4 6 2" xfId="6886" xr:uid="{00000000-0005-0000-0000-000014330000}"/>
    <cellStyle name="Normal 5 3 3 4 6 2 2" xfId="15322" xr:uid="{00000000-0005-0000-0000-000015330000}"/>
    <cellStyle name="Normal 5 3 3 4 6 3" xfId="11104" xr:uid="{00000000-0005-0000-0000-000016330000}"/>
    <cellStyle name="Normal 5 3 3 4 7" xfId="4821" xr:uid="{00000000-0005-0000-0000-000017330000}"/>
    <cellStyle name="Normal 5 3 3 4 7 2" xfId="13257" xr:uid="{00000000-0005-0000-0000-000018330000}"/>
    <cellStyle name="Normal 5 3 3 4 8" xfId="9039" xr:uid="{00000000-0005-0000-0000-000019330000}"/>
    <cellStyle name="Normal 5 3 3 5" xfId="915" xr:uid="{00000000-0005-0000-0000-00001A330000}"/>
    <cellStyle name="Normal 5 3 3 5 2" xfId="3149" xr:uid="{00000000-0005-0000-0000-00001B330000}"/>
    <cellStyle name="Normal 5 3 3 5 2 2" xfId="7372" xr:uid="{00000000-0005-0000-0000-00001C330000}"/>
    <cellStyle name="Normal 5 3 3 5 2 2 2" xfId="15808" xr:uid="{00000000-0005-0000-0000-00001D330000}"/>
    <cellStyle name="Normal 5 3 3 5 2 3" xfId="11590" xr:uid="{00000000-0005-0000-0000-00001E330000}"/>
    <cellStyle name="Normal 5 3 3 5 3" xfId="5227" xr:uid="{00000000-0005-0000-0000-00001F330000}"/>
    <cellStyle name="Normal 5 3 3 5 3 2" xfId="13663" xr:uid="{00000000-0005-0000-0000-000020330000}"/>
    <cellStyle name="Normal 5 3 3 5 4" xfId="9445" xr:uid="{00000000-0005-0000-0000-000021330000}"/>
    <cellStyle name="Normal 5 3 3 6" xfId="1332" xr:uid="{00000000-0005-0000-0000-000022330000}"/>
    <cellStyle name="Normal 5 3 3 6 2" xfId="3562" xr:uid="{00000000-0005-0000-0000-000023330000}"/>
    <cellStyle name="Normal 5 3 3 6 2 2" xfId="7785" xr:uid="{00000000-0005-0000-0000-000024330000}"/>
    <cellStyle name="Normal 5 3 3 6 2 2 2" xfId="16221" xr:uid="{00000000-0005-0000-0000-000025330000}"/>
    <cellStyle name="Normal 5 3 3 6 2 3" xfId="12003" xr:uid="{00000000-0005-0000-0000-000026330000}"/>
    <cellStyle name="Normal 5 3 3 6 3" xfId="5640" xr:uid="{00000000-0005-0000-0000-000027330000}"/>
    <cellStyle name="Normal 5 3 3 6 3 2" xfId="14076" xr:uid="{00000000-0005-0000-0000-000028330000}"/>
    <cellStyle name="Normal 5 3 3 6 4" xfId="9858" xr:uid="{00000000-0005-0000-0000-000029330000}"/>
    <cellStyle name="Normal 5 3 3 7" xfId="1745" xr:uid="{00000000-0005-0000-0000-00002A330000}"/>
    <cellStyle name="Normal 5 3 3 7 2" xfId="3975" xr:uid="{00000000-0005-0000-0000-00002B330000}"/>
    <cellStyle name="Normal 5 3 3 7 2 2" xfId="8198" xr:uid="{00000000-0005-0000-0000-00002C330000}"/>
    <cellStyle name="Normal 5 3 3 7 2 2 2" xfId="16634" xr:uid="{00000000-0005-0000-0000-00002D330000}"/>
    <cellStyle name="Normal 5 3 3 7 2 3" xfId="12416" xr:uid="{00000000-0005-0000-0000-00002E330000}"/>
    <cellStyle name="Normal 5 3 3 7 3" xfId="6053" xr:uid="{00000000-0005-0000-0000-00002F330000}"/>
    <cellStyle name="Normal 5 3 3 7 3 2" xfId="14489" xr:uid="{00000000-0005-0000-0000-000030330000}"/>
    <cellStyle name="Normal 5 3 3 7 4" xfId="10271" xr:uid="{00000000-0005-0000-0000-000031330000}"/>
    <cellStyle name="Normal 5 3 3 8" xfId="2159" xr:uid="{00000000-0005-0000-0000-000032330000}"/>
    <cellStyle name="Normal 5 3 3 8 2" xfId="4388" xr:uid="{00000000-0005-0000-0000-000033330000}"/>
    <cellStyle name="Normal 5 3 3 8 2 2" xfId="8611" xr:uid="{00000000-0005-0000-0000-000034330000}"/>
    <cellStyle name="Normal 5 3 3 8 2 2 2" xfId="17047" xr:uid="{00000000-0005-0000-0000-000035330000}"/>
    <cellStyle name="Normal 5 3 3 8 2 3" xfId="12829" xr:uid="{00000000-0005-0000-0000-000036330000}"/>
    <cellStyle name="Normal 5 3 3 8 3" xfId="6466" xr:uid="{00000000-0005-0000-0000-000037330000}"/>
    <cellStyle name="Normal 5 3 3 8 3 2" xfId="14902" xr:uid="{00000000-0005-0000-0000-000038330000}"/>
    <cellStyle name="Normal 5 3 3 8 4" xfId="10684" xr:uid="{00000000-0005-0000-0000-000039330000}"/>
    <cellStyle name="Normal 5 3 3 9" xfId="2595" xr:uid="{00000000-0005-0000-0000-00003A330000}"/>
    <cellStyle name="Normal 5 3 3 9 2" xfId="6879" xr:uid="{00000000-0005-0000-0000-00003B330000}"/>
    <cellStyle name="Normal 5 3 3 9 2 2" xfId="15315" xr:uid="{00000000-0005-0000-0000-00003C330000}"/>
    <cellStyle name="Normal 5 3 3 9 3" xfId="11097" xr:uid="{00000000-0005-0000-0000-00003D330000}"/>
    <cellStyle name="Normal 5 3 4" xfId="449" xr:uid="{00000000-0005-0000-0000-00003E330000}"/>
    <cellStyle name="Normal 5 3 4 10" xfId="9040" xr:uid="{00000000-0005-0000-0000-00003F330000}"/>
    <cellStyle name="Normal 5 3 4 2" xfId="450" xr:uid="{00000000-0005-0000-0000-000040330000}"/>
    <cellStyle name="Normal 5 3 4 2 2" xfId="451" xr:uid="{00000000-0005-0000-0000-000041330000}"/>
    <cellStyle name="Normal 5 3 4 2 2 2" xfId="925" xr:uid="{00000000-0005-0000-0000-000042330000}"/>
    <cellStyle name="Normal 5 3 4 2 2 2 2" xfId="3159" xr:uid="{00000000-0005-0000-0000-000043330000}"/>
    <cellStyle name="Normal 5 3 4 2 2 2 2 2" xfId="7382" xr:uid="{00000000-0005-0000-0000-000044330000}"/>
    <cellStyle name="Normal 5 3 4 2 2 2 2 2 2" xfId="15818" xr:uid="{00000000-0005-0000-0000-000045330000}"/>
    <cellStyle name="Normal 5 3 4 2 2 2 2 3" xfId="11600" xr:uid="{00000000-0005-0000-0000-000046330000}"/>
    <cellStyle name="Normal 5 3 4 2 2 2 3" xfId="5237" xr:uid="{00000000-0005-0000-0000-000047330000}"/>
    <cellStyle name="Normal 5 3 4 2 2 2 3 2" xfId="13673" xr:uid="{00000000-0005-0000-0000-000048330000}"/>
    <cellStyle name="Normal 5 3 4 2 2 2 4" xfId="9455" xr:uid="{00000000-0005-0000-0000-000049330000}"/>
    <cellStyle name="Normal 5 3 4 2 2 3" xfId="1342" xr:uid="{00000000-0005-0000-0000-00004A330000}"/>
    <cellStyle name="Normal 5 3 4 2 2 3 2" xfId="3572" xr:uid="{00000000-0005-0000-0000-00004B330000}"/>
    <cellStyle name="Normal 5 3 4 2 2 3 2 2" xfId="7795" xr:uid="{00000000-0005-0000-0000-00004C330000}"/>
    <cellStyle name="Normal 5 3 4 2 2 3 2 2 2" xfId="16231" xr:uid="{00000000-0005-0000-0000-00004D330000}"/>
    <cellStyle name="Normal 5 3 4 2 2 3 2 3" xfId="12013" xr:uid="{00000000-0005-0000-0000-00004E330000}"/>
    <cellStyle name="Normal 5 3 4 2 2 3 3" xfId="5650" xr:uid="{00000000-0005-0000-0000-00004F330000}"/>
    <cellStyle name="Normal 5 3 4 2 2 3 3 2" xfId="14086" xr:uid="{00000000-0005-0000-0000-000050330000}"/>
    <cellStyle name="Normal 5 3 4 2 2 3 4" xfId="9868" xr:uid="{00000000-0005-0000-0000-000051330000}"/>
    <cellStyle name="Normal 5 3 4 2 2 4" xfId="1755" xr:uid="{00000000-0005-0000-0000-000052330000}"/>
    <cellStyle name="Normal 5 3 4 2 2 4 2" xfId="3985" xr:uid="{00000000-0005-0000-0000-000053330000}"/>
    <cellStyle name="Normal 5 3 4 2 2 4 2 2" xfId="8208" xr:uid="{00000000-0005-0000-0000-000054330000}"/>
    <cellStyle name="Normal 5 3 4 2 2 4 2 2 2" xfId="16644" xr:uid="{00000000-0005-0000-0000-000055330000}"/>
    <cellStyle name="Normal 5 3 4 2 2 4 2 3" xfId="12426" xr:uid="{00000000-0005-0000-0000-000056330000}"/>
    <cellStyle name="Normal 5 3 4 2 2 4 3" xfId="6063" xr:uid="{00000000-0005-0000-0000-000057330000}"/>
    <cellStyle name="Normal 5 3 4 2 2 4 3 2" xfId="14499" xr:uid="{00000000-0005-0000-0000-000058330000}"/>
    <cellStyle name="Normal 5 3 4 2 2 4 4" xfId="10281" xr:uid="{00000000-0005-0000-0000-000059330000}"/>
    <cellStyle name="Normal 5 3 4 2 2 5" xfId="2169" xr:uid="{00000000-0005-0000-0000-00005A330000}"/>
    <cellStyle name="Normal 5 3 4 2 2 5 2" xfId="4398" xr:uid="{00000000-0005-0000-0000-00005B330000}"/>
    <cellStyle name="Normal 5 3 4 2 2 5 2 2" xfId="8621" xr:uid="{00000000-0005-0000-0000-00005C330000}"/>
    <cellStyle name="Normal 5 3 4 2 2 5 2 2 2" xfId="17057" xr:uid="{00000000-0005-0000-0000-00005D330000}"/>
    <cellStyle name="Normal 5 3 4 2 2 5 2 3" xfId="12839" xr:uid="{00000000-0005-0000-0000-00005E330000}"/>
    <cellStyle name="Normal 5 3 4 2 2 5 3" xfId="6476" xr:uid="{00000000-0005-0000-0000-00005F330000}"/>
    <cellStyle name="Normal 5 3 4 2 2 5 3 2" xfId="14912" xr:uid="{00000000-0005-0000-0000-000060330000}"/>
    <cellStyle name="Normal 5 3 4 2 2 5 4" xfId="10694" xr:uid="{00000000-0005-0000-0000-000061330000}"/>
    <cellStyle name="Normal 5 3 4 2 2 6" xfId="2605" xr:uid="{00000000-0005-0000-0000-000062330000}"/>
    <cellStyle name="Normal 5 3 4 2 2 6 2" xfId="6889" xr:uid="{00000000-0005-0000-0000-000063330000}"/>
    <cellStyle name="Normal 5 3 4 2 2 6 2 2" xfId="15325" xr:uid="{00000000-0005-0000-0000-000064330000}"/>
    <cellStyle name="Normal 5 3 4 2 2 6 3" xfId="11107" xr:uid="{00000000-0005-0000-0000-000065330000}"/>
    <cellStyle name="Normal 5 3 4 2 2 7" xfId="4824" xr:uid="{00000000-0005-0000-0000-000066330000}"/>
    <cellStyle name="Normal 5 3 4 2 2 7 2" xfId="13260" xr:uid="{00000000-0005-0000-0000-000067330000}"/>
    <cellStyle name="Normal 5 3 4 2 2 8" xfId="9042" xr:uid="{00000000-0005-0000-0000-000068330000}"/>
    <cellStyle name="Normal 5 3 4 2 3" xfId="924" xr:uid="{00000000-0005-0000-0000-000069330000}"/>
    <cellStyle name="Normal 5 3 4 2 3 2" xfId="3158" xr:uid="{00000000-0005-0000-0000-00006A330000}"/>
    <cellStyle name="Normal 5 3 4 2 3 2 2" xfId="7381" xr:uid="{00000000-0005-0000-0000-00006B330000}"/>
    <cellStyle name="Normal 5 3 4 2 3 2 2 2" xfId="15817" xr:uid="{00000000-0005-0000-0000-00006C330000}"/>
    <cellStyle name="Normal 5 3 4 2 3 2 3" xfId="11599" xr:uid="{00000000-0005-0000-0000-00006D330000}"/>
    <cellStyle name="Normal 5 3 4 2 3 3" xfId="5236" xr:uid="{00000000-0005-0000-0000-00006E330000}"/>
    <cellStyle name="Normal 5 3 4 2 3 3 2" xfId="13672" xr:uid="{00000000-0005-0000-0000-00006F330000}"/>
    <cellStyle name="Normal 5 3 4 2 3 4" xfId="9454" xr:uid="{00000000-0005-0000-0000-000070330000}"/>
    <cellStyle name="Normal 5 3 4 2 4" xfId="1341" xr:uid="{00000000-0005-0000-0000-000071330000}"/>
    <cellStyle name="Normal 5 3 4 2 4 2" xfId="3571" xr:uid="{00000000-0005-0000-0000-000072330000}"/>
    <cellStyle name="Normal 5 3 4 2 4 2 2" xfId="7794" xr:uid="{00000000-0005-0000-0000-000073330000}"/>
    <cellStyle name="Normal 5 3 4 2 4 2 2 2" xfId="16230" xr:uid="{00000000-0005-0000-0000-000074330000}"/>
    <cellStyle name="Normal 5 3 4 2 4 2 3" xfId="12012" xr:uid="{00000000-0005-0000-0000-000075330000}"/>
    <cellStyle name="Normal 5 3 4 2 4 3" xfId="5649" xr:uid="{00000000-0005-0000-0000-000076330000}"/>
    <cellStyle name="Normal 5 3 4 2 4 3 2" xfId="14085" xr:uid="{00000000-0005-0000-0000-000077330000}"/>
    <cellStyle name="Normal 5 3 4 2 4 4" xfId="9867" xr:uid="{00000000-0005-0000-0000-000078330000}"/>
    <cellStyle name="Normal 5 3 4 2 5" xfId="1754" xr:uid="{00000000-0005-0000-0000-000079330000}"/>
    <cellStyle name="Normal 5 3 4 2 5 2" xfId="3984" xr:uid="{00000000-0005-0000-0000-00007A330000}"/>
    <cellStyle name="Normal 5 3 4 2 5 2 2" xfId="8207" xr:uid="{00000000-0005-0000-0000-00007B330000}"/>
    <cellStyle name="Normal 5 3 4 2 5 2 2 2" xfId="16643" xr:uid="{00000000-0005-0000-0000-00007C330000}"/>
    <cellStyle name="Normal 5 3 4 2 5 2 3" xfId="12425" xr:uid="{00000000-0005-0000-0000-00007D330000}"/>
    <cellStyle name="Normal 5 3 4 2 5 3" xfId="6062" xr:uid="{00000000-0005-0000-0000-00007E330000}"/>
    <cellStyle name="Normal 5 3 4 2 5 3 2" xfId="14498" xr:uid="{00000000-0005-0000-0000-00007F330000}"/>
    <cellStyle name="Normal 5 3 4 2 5 4" xfId="10280" xr:uid="{00000000-0005-0000-0000-000080330000}"/>
    <cellStyle name="Normal 5 3 4 2 6" xfId="2168" xr:uid="{00000000-0005-0000-0000-000081330000}"/>
    <cellStyle name="Normal 5 3 4 2 6 2" xfId="4397" xr:uid="{00000000-0005-0000-0000-000082330000}"/>
    <cellStyle name="Normal 5 3 4 2 6 2 2" xfId="8620" xr:uid="{00000000-0005-0000-0000-000083330000}"/>
    <cellStyle name="Normal 5 3 4 2 6 2 2 2" xfId="17056" xr:uid="{00000000-0005-0000-0000-000084330000}"/>
    <cellStyle name="Normal 5 3 4 2 6 2 3" xfId="12838" xr:uid="{00000000-0005-0000-0000-000085330000}"/>
    <cellStyle name="Normal 5 3 4 2 6 3" xfId="6475" xr:uid="{00000000-0005-0000-0000-000086330000}"/>
    <cellStyle name="Normal 5 3 4 2 6 3 2" xfId="14911" xr:uid="{00000000-0005-0000-0000-000087330000}"/>
    <cellStyle name="Normal 5 3 4 2 6 4" xfId="10693" xr:uid="{00000000-0005-0000-0000-000088330000}"/>
    <cellStyle name="Normal 5 3 4 2 7" xfId="2604" xr:uid="{00000000-0005-0000-0000-000089330000}"/>
    <cellStyle name="Normal 5 3 4 2 7 2" xfId="6888" xr:uid="{00000000-0005-0000-0000-00008A330000}"/>
    <cellStyle name="Normal 5 3 4 2 7 2 2" xfId="15324" xr:uid="{00000000-0005-0000-0000-00008B330000}"/>
    <cellStyle name="Normal 5 3 4 2 7 3" xfId="11106" xr:uid="{00000000-0005-0000-0000-00008C330000}"/>
    <cellStyle name="Normal 5 3 4 2 8" xfId="4823" xr:uid="{00000000-0005-0000-0000-00008D330000}"/>
    <cellStyle name="Normal 5 3 4 2 8 2" xfId="13259" xr:uid="{00000000-0005-0000-0000-00008E330000}"/>
    <cellStyle name="Normal 5 3 4 2 9" xfId="9041" xr:uid="{00000000-0005-0000-0000-00008F330000}"/>
    <cellStyle name="Normal 5 3 4 3" xfId="452" xr:uid="{00000000-0005-0000-0000-000090330000}"/>
    <cellStyle name="Normal 5 3 4 3 2" xfId="926" xr:uid="{00000000-0005-0000-0000-000091330000}"/>
    <cellStyle name="Normal 5 3 4 3 2 2" xfId="3160" xr:uid="{00000000-0005-0000-0000-000092330000}"/>
    <cellStyle name="Normal 5 3 4 3 2 2 2" xfId="7383" xr:uid="{00000000-0005-0000-0000-000093330000}"/>
    <cellStyle name="Normal 5 3 4 3 2 2 2 2" xfId="15819" xr:uid="{00000000-0005-0000-0000-000094330000}"/>
    <cellStyle name="Normal 5 3 4 3 2 2 3" xfId="11601" xr:uid="{00000000-0005-0000-0000-000095330000}"/>
    <cellStyle name="Normal 5 3 4 3 2 3" xfId="5238" xr:uid="{00000000-0005-0000-0000-000096330000}"/>
    <cellStyle name="Normal 5 3 4 3 2 3 2" xfId="13674" xr:uid="{00000000-0005-0000-0000-000097330000}"/>
    <cellStyle name="Normal 5 3 4 3 2 4" xfId="9456" xr:uid="{00000000-0005-0000-0000-000098330000}"/>
    <cellStyle name="Normal 5 3 4 3 3" xfId="1343" xr:uid="{00000000-0005-0000-0000-000099330000}"/>
    <cellStyle name="Normal 5 3 4 3 3 2" xfId="3573" xr:uid="{00000000-0005-0000-0000-00009A330000}"/>
    <cellStyle name="Normal 5 3 4 3 3 2 2" xfId="7796" xr:uid="{00000000-0005-0000-0000-00009B330000}"/>
    <cellStyle name="Normal 5 3 4 3 3 2 2 2" xfId="16232" xr:uid="{00000000-0005-0000-0000-00009C330000}"/>
    <cellStyle name="Normal 5 3 4 3 3 2 3" xfId="12014" xr:uid="{00000000-0005-0000-0000-00009D330000}"/>
    <cellStyle name="Normal 5 3 4 3 3 3" xfId="5651" xr:uid="{00000000-0005-0000-0000-00009E330000}"/>
    <cellStyle name="Normal 5 3 4 3 3 3 2" xfId="14087" xr:uid="{00000000-0005-0000-0000-00009F330000}"/>
    <cellStyle name="Normal 5 3 4 3 3 4" xfId="9869" xr:uid="{00000000-0005-0000-0000-0000A0330000}"/>
    <cellStyle name="Normal 5 3 4 3 4" xfId="1756" xr:uid="{00000000-0005-0000-0000-0000A1330000}"/>
    <cellStyle name="Normal 5 3 4 3 4 2" xfId="3986" xr:uid="{00000000-0005-0000-0000-0000A2330000}"/>
    <cellStyle name="Normal 5 3 4 3 4 2 2" xfId="8209" xr:uid="{00000000-0005-0000-0000-0000A3330000}"/>
    <cellStyle name="Normal 5 3 4 3 4 2 2 2" xfId="16645" xr:uid="{00000000-0005-0000-0000-0000A4330000}"/>
    <cellStyle name="Normal 5 3 4 3 4 2 3" xfId="12427" xr:uid="{00000000-0005-0000-0000-0000A5330000}"/>
    <cellStyle name="Normal 5 3 4 3 4 3" xfId="6064" xr:uid="{00000000-0005-0000-0000-0000A6330000}"/>
    <cellStyle name="Normal 5 3 4 3 4 3 2" xfId="14500" xr:uid="{00000000-0005-0000-0000-0000A7330000}"/>
    <cellStyle name="Normal 5 3 4 3 4 4" xfId="10282" xr:uid="{00000000-0005-0000-0000-0000A8330000}"/>
    <cellStyle name="Normal 5 3 4 3 5" xfId="2170" xr:uid="{00000000-0005-0000-0000-0000A9330000}"/>
    <cellStyle name="Normal 5 3 4 3 5 2" xfId="4399" xr:uid="{00000000-0005-0000-0000-0000AA330000}"/>
    <cellStyle name="Normal 5 3 4 3 5 2 2" xfId="8622" xr:uid="{00000000-0005-0000-0000-0000AB330000}"/>
    <cellStyle name="Normal 5 3 4 3 5 2 2 2" xfId="17058" xr:uid="{00000000-0005-0000-0000-0000AC330000}"/>
    <cellStyle name="Normal 5 3 4 3 5 2 3" xfId="12840" xr:uid="{00000000-0005-0000-0000-0000AD330000}"/>
    <cellStyle name="Normal 5 3 4 3 5 3" xfId="6477" xr:uid="{00000000-0005-0000-0000-0000AE330000}"/>
    <cellStyle name="Normal 5 3 4 3 5 3 2" xfId="14913" xr:uid="{00000000-0005-0000-0000-0000AF330000}"/>
    <cellStyle name="Normal 5 3 4 3 5 4" xfId="10695" xr:uid="{00000000-0005-0000-0000-0000B0330000}"/>
    <cellStyle name="Normal 5 3 4 3 6" xfId="2606" xr:uid="{00000000-0005-0000-0000-0000B1330000}"/>
    <cellStyle name="Normal 5 3 4 3 6 2" xfId="6890" xr:uid="{00000000-0005-0000-0000-0000B2330000}"/>
    <cellStyle name="Normal 5 3 4 3 6 2 2" xfId="15326" xr:uid="{00000000-0005-0000-0000-0000B3330000}"/>
    <cellStyle name="Normal 5 3 4 3 6 3" xfId="11108" xr:uid="{00000000-0005-0000-0000-0000B4330000}"/>
    <cellStyle name="Normal 5 3 4 3 7" xfId="4825" xr:uid="{00000000-0005-0000-0000-0000B5330000}"/>
    <cellStyle name="Normal 5 3 4 3 7 2" xfId="13261" xr:uid="{00000000-0005-0000-0000-0000B6330000}"/>
    <cellStyle name="Normal 5 3 4 3 8" xfId="9043" xr:uid="{00000000-0005-0000-0000-0000B7330000}"/>
    <cellStyle name="Normal 5 3 4 4" xfId="923" xr:uid="{00000000-0005-0000-0000-0000B8330000}"/>
    <cellStyle name="Normal 5 3 4 4 2" xfId="3157" xr:uid="{00000000-0005-0000-0000-0000B9330000}"/>
    <cellStyle name="Normal 5 3 4 4 2 2" xfId="7380" xr:uid="{00000000-0005-0000-0000-0000BA330000}"/>
    <cellStyle name="Normal 5 3 4 4 2 2 2" xfId="15816" xr:uid="{00000000-0005-0000-0000-0000BB330000}"/>
    <cellStyle name="Normal 5 3 4 4 2 3" xfId="11598" xr:uid="{00000000-0005-0000-0000-0000BC330000}"/>
    <cellStyle name="Normal 5 3 4 4 3" xfId="5235" xr:uid="{00000000-0005-0000-0000-0000BD330000}"/>
    <cellStyle name="Normal 5 3 4 4 3 2" xfId="13671" xr:uid="{00000000-0005-0000-0000-0000BE330000}"/>
    <cellStyle name="Normal 5 3 4 4 4" xfId="9453" xr:uid="{00000000-0005-0000-0000-0000BF330000}"/>
    <cellStyle name="Normal 5 3 4 5" xfId="1340" xr:uid="{00000000-0005-0000-0000-0000C0330000}"/>
    <cellStyle name="Normal 5 3 4 5 2" xfId="3570" xr:uid="{00000000-0005-0000-0000-0000C1330000}"/>
    <cellStyle name="Normal 5 3 4 5 2 2" xfId="7793" xr:uid="{00000000-0005-0000-0000-0000C2330000}"/>
    <cellStyle name="Normal 5 3 4 5 2 2 2" xfId="16229" xr:uid="{00000000-0005-0000-0000-0000C3330000}"/>
    <cellStyle name="Normal 5 3 4 5 2 3" xfId="12011" xr:uid="{00000000-0005-0000-0000-0000C4330000}"/>
    <cellStyle name="Normal 5 3 4 5 3" xfId="5648" xr:uid="{00000000-0005-0000-0000-0000C5330000}"/>
    <cellStyle name="Normal 5 3 4 5 3 2" xfId="14084" xr:uid="{00000000-0005-0000-0000-0000C6330000}"/>
    <cellStyle name="Normal 5 3 4 5 4" xfId="9866" xr:uid="{00000000-0005-0000-0000-0000C7330000}"/>
    <cellStyle name="Normal 5 3 4 6" xfId="1753" xr:uid="{00000000-0005-0000-0000-0000C8330000}"/>
    <cellStyle name="Normal 5 3 4 6 2" xfId="3983" xr:uid="{00000000-0005-0000-0000-0000C9330000}"/>
    <cellStyle name="Normal 5 3 4 6 2 2" xfId="8206" xr:uid="{00000000-0005-0000-0000-0000CA330000}"/>
    <cellStyle name="Normal 5 3 4 6 2 2 2" xfId="16642" xr:uid="{00000000-0005-0000-0000-0000CB330000}"/>
    <cellStyle name="Normal 5 3 4 6 2 3" xfId="12424" xr:uid="{00000000-0005-0000-0000-0000CC330000}"/>
    <cellStyle name="Normal 5 3 4 6 3" xfId="6061" xr:uid="{00000000-0005-0000-0000-0000CD330000}"/>
    <cellStyle name="Normal 5 3 4 6 3 2" xfId="14497" xr:uid="{00000000-0005-0000-0000-0000CE330000}"/>
    <cellStyle name="Normal 5 3 4 6 4" xfId="10279" xr:uid="{00000000-0005-0000-0000-0000CF330000}"/>
    <cellStyle name="Normal 5 3 4 7" xfId="2167" xr:uid="{00000000-0005-0000-0000-0000D0330000}"/>
    <cellStyle name="Normal 5 3 4 7 2" xfId="4396" xr:uid="{00000000-0005-0000-0000-0000D1330000}"/>
    <cellStyle name="Normal 5 3 4 7 2 2" xfId="8619" xr:uid="{00000000-0005-0000-0000-0000D2330000}"/>
    <cellStyle name="Normal 5 3 4 7 2 2 2" xfId="17055" xr:uid="{00000000-0005-0000-0000-0000D3330000}"/>
    <cellStyle name="Normal 5 3 4 7 2 3" xfId="12837" xr:uid="{00000000-0005-0000-0000-0000D4330000}"/>
    <cellStyle name="Normal 5 3 4 7 3" xfId="6474" xr:uid="{00000000-0005-0000-0000-0000D5330000}"/>
    <cellStyle name="Normal 5 3 4 7 3 2" xfId="14910" xr:uid="{00000000-0005-0000-0000-0000D6330000}"/>
    <cellStyle name="Normal 5 3 4 7 4" xfId="10692" xr:uid="{00000000-0005-0000-0000-0000D7330000}"/>
    <cellStyle name="Normal 5 3 4 8" xfId="2603" xr:uid="{00000000-0005-0000-0000-0000D8330000}"/>
    <cellStyle name="Normal 5 3 4 8 2" xfId="6887" xr:uid="{00000000-0005-0000-0000-0000D9330000}"/>
    <cellStyle name="Normal 5 3 4 8 2 2" xfId="15323" xr:uid="{00000000-0005-0000-0000-0000DA330000}"/>
    <cellStyle name="Normal 5 3 4 8 3" xfId="11105" xr:uid="{00000000-0005-0000-0000-0000DB330000}"/>
    <cellStyle name="Normal 5 3 4 9" xfId="4822" xr:uid="{00000000-0005-0000-0000-0000DC330000}"/>
    <cellStyle name="Normal 5 3 4 9 2" xfId="13258" xr:uid="{00000000-0005-0000-0000-0000DD330000}"/>
    <cellStyle name="Normal 5 3 5" xfId="453" xr:uid="{00000000-0005-0000-0000-0000DE330000}"/>
    <cellStyle name="Normal 5 3 5 2" xfId="454" xr:uid="{00000000-0005-0000-0000-0000DF330000}"/>
    <cellStyle name="Normal 5 3 5 2 2" xfId="928" xr:uid="{00000000-0005-0000-0000-0000E0330000}"/>
    <cellStyle name="Normal 5 3 5 2 2 2" xfId="3162" xr:uid="{00000000-0005-0000-0000-0000E1330000}"/>
    <cellStyle name="Normal 5 3 5 2 2 2 2" xfId="7385" xr:uid="{00000000-0005-0000-0000-0000E2330000}"/>
    <cellStyle name="Normal 5 3 5 2 2 2 2 2" xfId="15821" xr:uid="{00000000-0005-0000-0000-0000E3330000}"/>
    <cellStyle name="Normal 5 3 5 2 2 2 3" xfId="11603" xr:uid="{00000000-0005-0000-0000-0000E4330000}"/>
    <cellStyle name="Normal 5 3 5 2 2 3" xfId="5240" xr:uid="{00000000-0005-0000-0000-0000E5330000}"/>
    <cellStyle name="Normal 5 3 5 2 2 3 2" xfId="13676" xr:uid="{00000000-0005-0000-0000-0000E6330000}"/>
    <cellStyle name="Normal 5 3 5 2 2 4" xfId="9458" xr:uid="{00000000-0005-0000-0000-0000E7330000}"/>
    <cellStyle name="Normal 5 3 5 2 3" xfId="1345" xr:uid="{00000000-0005-0000-0000-0000E8330000}"/>
    <cellStyle name="Normal 5 3 5 2 3 2" xfId="3575" xr:uid="{00000000-0005-0000-0000-0000E9330000}"/>
    <cellStyle name="Normal 5 3 5 2 3 2 2" xfId="7798" xr:uid="{00000000-0005-0000-0000-0000EA330000}"/>
    <cellStyle name="Normal 5 3 5 2 3 2 2 2" xfId="16234" xr:uid="{00000000-0005-0000-0000-0000EB330000}"/>
    <cellStyle name="Normal 5 3 5 2 3 2 3" xfId="12016" xr:uid="{00000000-0005-0000-0000-0000EC330000}"/>
    <cellStyle name="Normal 5 3 5 2 3 3" xfId="5653" xr:uid="{00000000-0005-0000-0000-0000ED330000}"/>
    <cellStyle name="Normal 5 3 5 2 3 3 2" xfId="14089" xr:uid="{00000000-0005-0000-0000-0000EE330000}"/>
    <cellStyle name="Normal 5 3 5 2 3 4" xfId="9871" xr:uid="{00000000-0005-0000-0000-0000EF330000}"/>
    <cellStyle name="Normal 5 3 5 2 4" xfId="1758" xr:uid="{00000000-0005-0000-0000-0000F0330000}"/>
    <cellStyle name="Normal 5 3 5 2 4 2" xfId="3988" xr:uid="{00000000-0005-0000-0000-0000F1330000}"/>
    <cellStyle name="Normal 5 3 5 2 4 2 2" xfId="8211" xr:uid="{00000000-0005-0000-0000-0000F2330000}"/>
    <cellStyle name="Normal 5 3 5 2 4 2 2 2" xfId="16647" xr:uid="{00000000-0005-0000-0000-0000F3330000}"/>
    <cellStyle name="Normal 5 3 5 2 4 2 3" xfId="12429" xr:uid="{00000000-0005-0000-0000-0000F4330000}"/>
    <cellStyle name="Normal 5 3 5 2 4 3" xfId="6066" xr:uid="{00000000-0005-0000-0000-0000F5330000}"/>
    <cellStyle name="Normal 5 3 5 2 4 3 2" xfId="14502" xr:uid="{00000000-0005-0000-0000-0000F6330000}"/>
    <cellStyle name="Normal 5 3 5 2 4 4" xfId="10284" xr:uid="{00000000-0005-0000-0000-0000F7330000}"/>
    <cellStyle name="Normal 5 3 5 2 5" xfId="2172" xr:uid="{00000000-0005-0000-0000-0000F8330000}"/>
    <cellStyle name="Normal 5 3 5 2 5 2" xfId="4401" xr:uid="{00000000-0005-0000-0000-0000F9330000}"/>
    <cellStyle name="Normal 5 3 5 2 5 2 2" xfId="8624" xr:uid="{00000000-0005-0000-0000-0000FA330000}"/>
    <cellStyle name="Normal 5 3 5 2 5 2 2 2" xfId="17060" xr:uid="{00000000-0005-0000-0000-0000FB330000}"/>
    <cellStyle name="Normal 5 3 5 2 5 2 3" xfId="12842" xr:uid="{00000000-0005-0000-0000-0000FC330000}"/>
    <cellStyle name="Normal 5 3 5 2 5 3" xfId="6479" xr:uid="{00000000-0005-0000-0000-0000FD330000}"/>
    <cellStyle name="Normal 5 3 5 2 5 3 2" xfId="14915" xr:uid="{00000000-0005-0000-0000-0000FE330000}"/>
    <cellStyle name="Normal 5 3 5 2 5 4" xfId="10697" xr:uid="{00000000-0005-0000-0000-0000FF330000}"/>
    <cellStyle name="Normal 5 3 5 2 6" xfId="2608" xr:uid="{00000000-0005-0000-0000-000000340000}"/>
    <cellStyle name="Normal 5 3 5 2 6 2" xfId="6892" xr:uid="{00000000-0005-0000-0000-000001340000}"/>
    <cellStyle name="Normal 5 3 5 2 6 2 2" xfId="15328" xr:uid="{00000000-0005-0000-0000-000002340000}"/>
    <cellStyle name="Normal 5 3 5 2 6 3" xfId="11110" xr:uid="{00000000-0005-0000-0000-000003340000}"/>
    <cellStyle name="Normal 5 3 5 2 7" xfId="4827" xr:uid="{00000000-0005-0000-0000-000004340000}"/>
    <cellStyle name="Normal 5 3 5 2 7 2" xfId="13263" xr:uid="{00000000-0005-0000-0000-000005340000}"/>
    <cellStyle name="Normal 5 3 5 2 8" xfId="9045" xr:uid="{00000000-0005-0000-0000-000006340000}"/>
    <cellStyle name="Normal 5 3 5 3" xfId="927" xr:uid="{00000000-0005-0000-0000-000007340000}"/>
    <cellStyle name="Normal 5 3 5 3 2" xfId="3161" xr:uid="{00000000-0005-0000-0000-000008340000}"/>
    <cellStyle name="Normal 5 3 5 3 2 2" xfId="7384" xr:uid="{00000000-0005-0000-0000-000009340000}"/>
    <cellStyle name="Normal 5 3 5 3 2 2 2" xfId="15820" xr:uid="{00000000-0005-0000-0000-00000A340000}"/>
    <cellStyle name="Normal 5 3 5 3 2 3" xfId="11602" xr:uid="{00000000-0005-0000-0000-00000B340000}"/>
    <cellStyle name="Normal 5 3 5 3 3" xfId="5239" xr:uid="{00000000-0005-0000-0000-00000C340000}"/>
    <cellStyle name="Normal 5 3 5 3 3 2" xfId="13675" xr:uid="{00000000-0005-0000-0000-00000D340000}"/>
    <cellStyle name="Normal 5 3 5 3 4" xfId="9457" xr:uid="{00000000-0005-0000-0000-00000E340000}"/>
    <cellStyle name="Normal 5 3 5 4" xfId="1344" xr:uid="{00000000-0005-0000-0000-00000F340000}"/>
    <cellStyle name="Normal 5 3 5 4 2" xfId="3574" xr:uid="{00000000-0005-0000-0000-000010340000}"/>
    <cellStyle name="Normal 5 3 5 4 2 2" xfId="7797" xr:uid="{00000000-0005-0000-0000-000011340000}"/>
    <cellStyle name="Normal 5 3 5 4 2 2 2" xfId="16233" xr:uid="{00000000-0005-0000-0000-000012340000}"/>
    <cellStyle name="Normal 5 3 5 4 2 3" xfId="12015" xr:uid="{00000000-0005-0000-0000-000013340000}"/>
    <cellStyle name="Normal 5 3 5 4 3" xfId="5652" xr:uid="{00000000-0005-0000-0000-000014340000}"/>
    <cellStyle name="Normal 5 3 5 4 3 2" xfId="14088" xr:uid="{00000000-0005-0000-0000-000015340000}"/>
    <cellStyle name="Normal 5 3 5 4 4" xfId="9870" xr:uid="{00000000-0005-0000-0000-000016340000}"/>
    <cellStyle name="Normal 5 3 5 5" xfId="1757" xr:uid="{00000000-0005-0000-0000-000017340000}"/>
    <cellStyle name="Normal 5 3 5 5 2" xfId="3987" xr:uid="{00000000-0005-0000-0000-000018340000}"/>
    <cellStyle name="Normal 5 3 5 5 2 2" xfId="8210" xr:uid="{00000000-0005-0000-0000-000019340000}"/>
    <cellStyle name="Normal 5 3 5 5 2 2 2" xfId="16646" xr:uid="{00000000-0005-0000-0000-00001A340000}"/>
    <cellStyle name="Normal 5 3 5 5 2 3" xfId="12428" xr:uid="{00000000-0005-0000-0000-00001B340000}"/>
    <cellStyle name="Normal 5 3 5 5 3" xfId="6065" xr:uid="{00000000-0005-0000-0000-00001C340000}"/>
    <cellStyle name="Normal 5 3 5 5 3 2" xfId="14501" xr:uid="{00000000-0005-0000-0000-00001D340000}"/>
    <cellStyle name="Normal 5 3 5 5 4" xfId="10283" xr:uid="{00000000-0005-0000-0000-00001E340000}"/>
    <cellStyle name="Normal 5 3 5 6" xfId="2171" xr:uid="{00000000-0005-0000-0000-00001F340000}"/>
    <cellStyle name="Normal 5 3 5 6 2" xfId="4400" xr:uid="{00000000-0005-0000-0000-000020340000}"/>
    <cellStyle name="Normal 5 3 5 6 2 2" xfId="8623" xr:uid="{00000000-0005-0000-0000-000021340000}"/>
    <cellStyle name="Normal 5 3 5 6 2 2 2" xfId="17059" xr:uid="{00000000-0005-0000-0000-000022340000}"/>
    <cellStyle name="Normal 5 3 5 6 2 3" xfId="12841" xr:uid="{00000000-0005-0000-0000-000023340000}"/>
    <cellStyle name="Normal 5 3 5 6 3" xfId="6478" xr:uid="{00000000-0005-0000-0000-000024340000}"/>
    <cellStyle name="Normal 5 3 5 6 3 2" xfId="14914" xr:uid="{00000000-0005-0000-0000-000025340000}"/>
    <cellStyle name="Normal 5 3 5 6 4" xfId="10696" xr:uid="{00000000-0005-0000-0000-000026340000}"/>
    <cellStyle name="Normal 5 3 5 7" xfId="2607" xr:uid="{00000000-0005-0000-0000-000027340000}"/>
    <cellStyle name="Normal 5 3 5 7 2" xfId="6891" xr:uid="{00000000-0005-0000-0000-000028340000}"/>
    <cellStyle name="Normal 5 3 5 7 2 2" xfId="15327" xr:uid="{00000000-0005-0000-0000-000029340000}"/>
    <cellStyle name="Normal 5 3 5 7 3" xfId="11109" xr:uid="{00000000-0005-0000-0000-00002A340000}"/>
    <cellStyle name="Normal 5 3 5 8" xfId="4826" xr:uid="{00000000-0005-0000-0000-00002B340000}"/>
    <cellStyle name="Normal 5 3 5 8 2" xfId="13262" xr:uid="{00000000-0005-0000-0000-00002C340000}"/>
    <cellStyle name="Normal 5 3 5 9" xfId="9044" xr:uid="{00000000-0005-0000-0000-00002D340000}"/>
    <cellStyle name="Normal 5 3 6" xfId="455" xr:uid="{00000000-0005-0000-0000-00002E340000}"/>
    <cellStyle name="Normal 5 3 6 2" xfId="929" xr:uid="{00000000-0005-0000-0000-00002F340000}"/>
    <cellStyle name="Normal 5 3 6 2 2" xfId="3163" xr:uid="{00000000-0005-0000-0000-000030340000}"/>
    <cellStyle name="Normal 5 3 6 2 2 2" xfId="7386" xr:uid="{00000000-0005-0000-0000-000031340000}"/>
    <cellStyle name="Normal 5 3 6 2 2 2 2" xfId="15822" xr:uid="{00000000-0005-0000-0000-000032340000}"/>
    <cellStyle name="Normal 5 3 6 2 2 3" xfId="11604" xr:uid="{00000000-0005-0000-0000-000033340000}"/>
    <cellStyle name="Normal 5 3 6 2 3" xfId="5241" xr:uid="{00000000-0005-0000-0000-000034340000}"/>
    <cellStyle name="Normal 5 3 6 2 3 2" xfId="13677" xr:uid="{00000000-0005-0000-0000-000035340000}"/>
    <cellStyle name="Normal 5 3 6 2 4" xfId="9459" xr:uid="{00000000-0005-0000-0000-000036340000}"/>
    <cellStyle name="Normal 5 3 6 3" xfId="1346" xr:uid="{00000000-0005-0000-0000-000037340000}"/>
    <cellStyle name="Normal 5 3 6 3 2" xfId="3576" xr:uid="{00000000-0005-0000-0000-000038340000}"/>
    <cellStyle name="Normal 5 3 6 3 2 2" xfId="7799" xr:uid="{00000000-0005-0000-0000-000039340000}"/>
    <cellStyle name="Normal 5 3 6 3 2 2 2" xfId="16235" xr:uid="{00000000-0005-0000-0000-00003A340000}"/>
    <cellStyle name="Normal 5 3 6 3 2 3" xfId="12017" xr:uid="{00000000-0005-0000-0000-00003B340000}"/>
    <cellStyle name="Normal 5 3 6 3 3" xfId="5654" xr:uid="{00000000-0005-0000-0000-00003C340000}"/>
    <cellStyle name="Normal 5 3 6 3 3 2" xfId="14090" xr:uid="{00000000-0005-0000-0000-00003D340000}"/>
    <cellStyle name="Normal 5 3 6 3 4" xfId="9872" xr:uid="{00000000-0005-0000-0000-00003E340000}"/>
    <cellStyle name="Normal 5 3 6 4" xfId="1759" xr:uid="{00000000-0005-0000-0000-00003F340000}"/>
    <cellStyle name="Normal 5 3 6 4 2" xfId="3989" xr:uid="{00000000-0005-0000-0000-000040340000}"/>
    <cellStyle name="Normal 5 3 6 4 2 2" xfId="8212" xr:uid="{00000000-0005-0000-0000-000041340000}"/>
    <cellStyle name="Normal 5 3 6 4 2 2 2" xfId="16648" xr:uid="{00000000-0005-0000-0000-000042340000}"/>
    <cellStyle name="Normal 5 3 6 4 2 3" xfId="12430" xr:uid="{00000000-0005-0000-0000-000043340000}"/>
    <cellStyle name="Normal 5 3 6 4 3" xfId="6067" xr:uid="{00000000-0005-0000-0000-000044340000}"/>
    <cellStyle name="Normal 5 3 6 4 3 2" xfId="14503" xr:uid="{00000000-0005-0000-0000-000045340000}"/>
    <cellStyle name="Normal 5 3 6 4 4" xfId="10285" xr:uid="{00000000-0005-0000-0000-000046340000}"/>
    <cellStyle name="Normal 5 3 6 5" xfId="2173" xr:uid="{00000000-0005-0000-0000-000047340000}"/>
    <cellStyle name="Normal 5 3 6 5 2" xfId="4402" xr:uid="{00000000-0005-0000-0000-000048340000}"/>
    <cellStyle name="Normal 5 3 6 5 2 2" xfId="8625" xr:uid="{00000000-0005-0000-0000-000049340000}"/>
    <cellStyle name="Normal 5 3 6 5 2 2 2" xfId="17061" xr:uid="{00000000-0005-0000-0000-00004A340000}"/>
    <cellStyle name="Normal 5 3 6 5 2 3" xfId="12843" xr:uid="{00000000-0005-0000-0000-00004B340000}"/>
    <cellStyle name="Normal 5 3 6 5 3" xfId="6480" xr:uid="{00000000-0005-0000-0000-00004C340000}"/>
    <cellStyle name="Normal 5 3 6 5 3 2" xfId="14916" xr:uid="{00000000-0005-0000-0000-00004D340000}"/>
    <cellStyle name="Normal 5 3 6 5 4" xfId="10698" xr:uid="{00000000-0005-0000-0000-00004E340000}"/>
    <cellStyle name="Normal 5 3 6 6" xfId="2609" xr:uid="{00000000-0005-0000-0000-00004F340000}"/>
    <cellStyle name="Normal 5 3 6 6 2" xfId="6893" xr:uid="{00000000-0005-0000-0000-000050340000}"/>
    <cellStyle name="Normal 5 3 6 6 2 2" xfId="15329" xr:uid="{00000000-0005-0000-0000-000051340000}"/>
    <cellStyle name="Normal 5 3 6 6 3" xfId="11111" xr:uid="{00000000-0005-0000-0000-000052340000}"/>
    <cellStyle name="Normal 5 3 6 7" xfId="4828" xr:uid="{00000000-0005-0000-0000-000053340000}"/>
    <cellStyle name="Normal 5 3 6 7 2" xfId="13264" xr:uid="{00000000-0005-0000-0000-000054340000}"/>
    <cellStyle name="Normal 5 3 6 8" xfId="9046" xr:uid="{00000000-0005-0000-0000-000055340000}"/>
    <cellStyle name="Normal 5 3 7" xfId="913" xr:uid="{00000000-0005-0000-0000-000056340000}"/>
    <cellStyle name="Normal 5 3 7 2" xfId="3148" xr:uid="{00000000-0005-0000-0000-000057340000}"/>
    <cellStyle name="Normal 5 3 7 2 2" xfId="7371" xr:uid="{00000000-0005-0000-0000-000058340000}"/>
    <cellStyle name="Normal 5 3 7 2 2 2" xfId="15807" xr:uid="{00000000-0005-0000-0000-000059340000}"/>
    <cellStyle name="Normal 5 3 7 2 3" xfId="11589" xr:uid="{00000000-0005-0000-0000-00005A340000}"/>
    <cellStyle name="Normal 5 3 7 3" xfId="5226" xr:uid="{00000000-0005-0000-0000-00005B340000}"/>
    <cellStyle name="Normal 5 3 7 3 2" xfId="13662" xr:uid="{00000000-0005-0000-0000-00005C340000}"/>
    <cellStyle name="Normal 5 3 7 4" xfId="9444" xr:uid="{00000000-0005-0000-0000-00005D340000}"/>
    <cellStyle name="Normal 5 3 8" xfId="1331" xr:uid="{00000000-0005-0000-0000-00005E340000}"/>
    <cellStyle name="Normal 5 3 8 2" xfId="3561" xr:uid="{00000000-0005-0000-0000-00005F340000}"/>
    <cellStyle name="Normal 5 3 8 2 2" xfId="7784" xr:uid="{00000000-0005-0000-0000-000060340000}"/>
    <cellStyle name="Normal 5 3 8 2 2 2" xfId="16220" xr:uid="{00000000-0005-0000-0000-000061340000}"/>
    <cellStyle name="Normal 5 3 8 2 3" xfId="12002" xr:uid="{00000000-0005-0000-0000-000062340000}"/>
    <cellStyle name="Normal 5 3 8 3" xfId="5639" xr:uid="{00000000-0005-0000-0000-000063340000}"/>
    <cellStyle name="Normal 5 3 8 3 2" xfId="14075" xr:uid="{00000000-0005-0000-0000-000064340000}"/>
    <cellStyle name="Normal 5 3 8 4" xfId="9857" xr:uid="{00000000-0005-0000-0000-000065340000}"/>
    <cellStyle name="Normal 5 3 9" xfId="1744" xr:uid="{00000000-0005-0000-0000-000066340000}"/>
    <cellStyle name="Normal 5 3 9 2" xfId="3974" xr:uid="{00000000-0005-0000-0000-000067340000}"/>
    <cellStyle name="Normal 5 3 9 2 2" xfId="8197" xr:uid="{00000000-0005-0000-0000-000068340000}"/>
    <cellStyle name="Normal 5 3 9 2 2 2" xfId="16633" xr:uid="{00000000-0005-0000-0000-000069340000}"/>
    <cellStyle name="Normal 5 3 9 2 3" xfId="12415" xr:uid="{00000000-0005-0000-0000-00006A340000}"/>
    <cellStyle name="Normal 5 3 9 3" xfId="6052" xr:uid="{00000000-0005-0000-0000-00006B340000}"/>
    <cellStyle name="Normal 5 3 9 3 2" xfId="14488" xr:uid="{00000000-0005-0000-0000-00006C340000}"/>
    <cellStyle name="Normal 5 3 9 4" xfId="10270" xr:uid="{00000000-0005-0000-0000-00006D340000}"/>
    <cellStyle name="Normal 5 4" xfId="456" xr:uid="{00000000-0005-0000-0000-00006E340000}"/>
    <cellStyle name="Normal 5 4 10" xfId="4829" xr:uid="{00000000-0005-0000-0000-00006F340000}"/>
    <cellStyle name="Normal 5 4 10 2" xfId="13265" xr:uid="{00000000-0005-0000-0000-000070340000}"/>
    <cellStyle name="Normal 5 4 11" xfId="9047" xr:uid="{00000000-0005-0000-0000-000071340000}"/>
    <cellStyle name="Normal 5 4 2" xfId="457" xr:uid="{00000000-0005-0000-0000-000072340000}"/>
    <cellStyle name="Normal 5 4 2 10" xfId="9048" xr:uid="{00000000-0005-0000-0000-000073340000}"/>
    <cellStyle name="Normal 5 4 2 2" xfId="458" xr:uid="{00000000-0005-0000-0000-000074340000}"/>
    <cellStyle name="Normal 5 4 2 2 2" xfId="459" xr:uid="{00000000-0005-0000-0000-000075340000}"/>
    <cellStyle name="Normal 5 4 2 2 2 2" xfId="933" xr:uid="{00000000-0005-0000-0000-000076340000}"/>
    <cellStyle name="Normal 5 4 2 2 2 2 2" xfId="3167" xr:uid="{00000000-0005-0000-0000-000077340000}"/>
    <cellStyle name="Normal 5 4 2 2 2 2 2 2" xfId="7390" xr:uid="{00000000-0005-0000-0000-000078340000}"/>
    <cellStyle name="Normal 5 4 2 2 2 2 2 2 2" xfId="15826" xr:uid="{00000000-0005-0000-0000-000079340000}"/>
    <cellStyle name="Normal 5 4 2 2 2 2 2 3" xfId="11608" xr:uid="{00000000-0005-0000-0000-00007A340000}"/>
    <cellStyle name="Normal 5 4 2 2 2 2 3" xfId="5245" xr:uid="{00000000-0005-0000-0000-00007B340000}"/>
    <cellStyle name="Normal 5 4 2 2 2 2 3 2" xfId="13681" xr:uid="{00000000-0005-0000-0000-00007C340000}"/>
    <cellStyle name="Normal 5 4 2 2 2 2 4" xfId="9463" xr:uid="{00000000-0005-0000-0000-00007D340000}"/>
    <cellStyle name="Normal 5 4 2 2 2 3" xfId="1350" xr:uid="{00000000-0005-0000-0000-00007E340000}"/>
    <cellStyle name="Normal 5 4 2 2 2 3 2" xfId="3580" xr:uid="{00000000-0005-0000-0000-00007F340000}"/>
    <cellStyle name="Normal 5 4 2 2 2 3 2 2" xfId="7803" xr:uid="{00000000-0005-0000-0000-000080340000}"/>
    <cellStyle name="Normal 5 4 2 2 2 3 2 2 2" xfId="16239" xr:uid="{00000000-0005-0000-0000-000081340000}"/>
    <cellStyle name="Normal 5 4 2 2 2 3 2 3" xfId="12021" xr:uid="{00000000-0005-0000-0000-000082340000}"/>
    <cellStyle name="Normal 5 4 2 2 2 3 3" xfId="5658" xr:uid="{00000000-0005-0000-0000-000083340000}"/>
    <cellStyle name="Normal 5 4 2 2 2 3 3 2" xfId="14094" xr:uid="{00000000-0005-0000-0000-000084340000}"/>
    <cellStyle name="Normal 5 4 2 2 2 3 4" xfId="9876" xr:uid="{00000000-0005-0000-0000-000085340000}"/>
    <cellStyle name="Normal 5 4 2 2 2 4" xfId="1763" xr:uid="{00000000-0005-0000-0000-000086340000}"/>
    <cellStyle name="Normal 5 4 2 2 2 4 2" xfId="3993" xr:uid="{00000000-0005-0000-0000-000087340000}"/>
    <cellStyle name="Normal 5 4 2 2 2 4 2 2" xfId="8216" xr:uid="{00000000-0005-0000-0000-000088340000}"/>
    <cellStyle name="Normal 5 4 2 2 2 4 2 2 2" xfId="16652" xr:uid="{00000000-0005-0000-0000-000089340000}"/>
    <cellStyle name="Normal 5 4 2 2 2 4 2 3" xfId="12434" xr:uid="{00000000-0005-0000-0000-00008A340000}"/>
    <cellStyle name="Normal 5 4 2 2 2 4 3" xfId="6071" xr:uid="{00000000-0005-0000-0000-00008B340000}"/>
    <cellStyle name="Normal 5 4 2 2 2 4 3 2" xfId="14507" xr:uid="{00000000-0005-0000-0000-00008C340000}"/>
    <cellStyle name="Normal 5 4 2 2 2 4 4" xfId="10289" xr:uid="{00000000-0005-0000-0000-00008D340000}"/>
    <cellStyle name="Normal 5 4 2 2 2 5" xfId="2177" xr:uid="{00000000-0005-0000-0000-00008E340000}"/>
    <cellStyle name="Normal 5 4 2 2 2 5 2" xfId="4406" xr:uid="{00000000-0005-0000-0000-00008F340000}"/>
    <cellStyle name="Normal 5 4 2 2 2 5 2 2" xfId="8629" xr:uid="{00000000-0005-0000-0000-000090340000}"/>
    <cellStyle name="Normal 5 4 2 2 2 5 2 2 2" xfId="17065" xr:uid="{00000000-0005-0000-0000-000091340000}"/>
    <cellStyle name="Normal 5 4 2 2 2 5 2 3" xfId="12847" xr:uid="{00000000-0005-0000-0000-000092340000}"/>
    <cellStyle name="Normal 5 4 2 2 2 5 3" xfId="6484" xr:uid="{00000000-0005-0000-0000-000093340000}"/>
    <cellStyle name="Normal 5 4 2 2 2 5 3 2" xfId="14920" xr:uid="{00000000-0005-0000-0000-000094340000}"/>
    <cellStyle name="Normal 5 4 2 2 2 5 4" xfId="10702" xr:uid="{00000000-0005-0000-0000-000095340000}"/>
    <cellStyle name="Normal 5 4 2 2 2 6" xfId="2613" xr:uid="{00000000-0005-0000-0000-000096340000}"/>
    <cellStyle name="Normal 5 4 2 2 2 6 2" xfId="6897" xr:uid="{00000000-0005-0000-0000-000097340000}"/>
    <cellStyle name="Normal 5 4 2 2 2 6 2 2" xfId="15333" xr:uid="{00000000-0005-0000-0000-000098340000}"/>
    <cellStyle name="Normal 5 4 2 2 2 6 3" xfId="11115" xr:uid="{00000000-0005-0000-0000-000099340000}"/>
    <cellStyle name="Normal 5 4 2 2 2 7" xfId="4832" xr:uid="{00000000-0005-0000-0000-00009A340000}"/>
    <cellStyle name="Normal 5 4 2 2 2 7 2" xfId="13268" xr:uid="{00000000-0005-0000-0000-00009B340000}"/>
    <cellStyle name="Normal 5 4 2 2 2 8" xfId="9050" xr:uid="{00000000-0005-0000-0000-00009C340000}"/>
    <cellStyle name="Normal 5 4 2 2 3" xfId="932" xr:uid="{00000000-0005-0000-0000-00009D340000}"/>
    <cellStyle name="Normal 5 4 2 2 3 2" xfId="3166" xr:uid="{00000000-0005-0000-0000-00009E340000}"/>
    <cellStyle name="Normal 5 4 2 2 3 2 2" xfId="7389" xr:uid="{00000000-0005-0000-0000-00009F340000}"/>
    <cellStyle name="Normal 5 4 2 2 3 2 2 2" xfId="15825" xr:uid="{00000000-0005-0000-0000-0000A0340000}"/>
    <cellStyle name="Normal 5 4 2 2 3 2 3" xfId="11607" xr:uid="{00000000-0005-0000-0000-0000A1340000}"/>
    <cellStyle name="Normal 5 4 2 2 3 3" xfId="5244" xr:uid="{00000000-0005-0000-0000-0000A2340000}"/>
    <cellStyle name="Normal 5 4 2 2 3 3 2" xfId="13680" xr:uid="{00000000-0005-0000-0000-0000A3340000}"/>
    <cellStyle name="Normal 5 4 2 2 3 4" xfId="9462" xr:uid="{00000000-0005-0000-0000-0000A4340000}"/>
    <cellStyle name="Normal 5 4 2 2 4" xfId="1349" xr:uid="{00000000-0005-0000-0000-0000A5340000}"/>
    <cellStyle name="Normal 5 4 2 2 4 2" xfId="3579" xr:uid="{00000000-0005-0000-0000-0000A6340000}"/>
    <cellStyle name="Normal 5 4 2 2 4 2 2" xfId="7802" xr:uid="{00000000-0005-0000-0000-0000A7340000}"/>
    <cellStyle name="Normal 5 4 2 2 4 2 2 2" xfId="16238" xr:uid="{00000000-0005-0000-0000-0000A8340000}"/>
    <cellStyle name="Normal 5 4 2 2 4 2 3" xfId="12020" xr:uid="{00000000-0005-0000-0000-0000A9340000}"/>
    <cellStyle name="Normal 5 4 2 2 4 3" xfId="5657" xr:uid="{00000000-0005-0000-0000-0000AA340000}"/>
    <cellStyle name="Normal 5 4 2 2 4 3 2" xfId="14093" xr:uid="{00000000-0005-0000-0000-0000AB340000}"/>
    <cellStyle name="Normal 5 4 2 2 4 4" xfId="9875" xr:uid="{00000000-0005-0000-0000-0000AC340000}"/>
    <cellStyle name="Normal 5 4 2 2 5" xfId="1762" xr:uid="{00000000-0005-0000-0000-0000AD340000}"/>
    <cellStyle name="Normal 5 4 2 2 5 2" xfId="3992" xr:uid="{00000000-0005-0000-0000-0000AE340000}"/>
    <cellStyle name="Normal 5 4 2 2 5 2 2" xfId="8215" xr:uid="{00000000-0005-0000-0000-0000AF340000}"/>
    <cellStyle name="Normal 5 4 2 2 5 2 2 2" xfId="16651" xr:uid="{00000000-0005-0000-0000-0000B0340000}"/>
    <cellStyle name="Normal 5 4 2 2 5 2 3" xfId="12433" xr:uid="{00000000-0005-0000-0000-0000B1340000}"/>
    <cellStyle name="Normal 5 4 2 2 5 3" xfId="6070" xr:uid="{00000000-0005-0000-0000-0000B2340000}"/>
    <cellStyle name="Normal 5 4 2 2 5 3 2" xfId="14506" xr:uid="{00000000-0005-0000-0000-0000B3340000}"/>
    <cellStyle name="Normal 5 4 2 2 5 4" xfId="10288" xr:uid="{00000000-0005-0000-0000-0000B4340000}"/>
    <cellStyle name="Normal 5 4 2 2 6" xfId="2176" xr:uid="{00000000-0005-0000-0000-0000B5340000}"/>
    <cellStyle name="Normal 5 4 2 2 6 2" xfId="4405" xr:uid="{00000000-0005-0000-0000-0000B6340000}"/>
    <cellStyle name="Normal 5 4 2 2 6 2 2" xfId="8628" xr:uid="{00000000-0005-0000-0000-0000B7340000}"/>
    <cellStyle name="Normal 5 4 2 2 6 2 2 2" xfId="17064" xr:uid="{00000000-0005-0000-0000-0000B8340000}"/>
    <cellStyle name="Normal 5 4 2 2 6 2 3" xfId="12846" xr:uid="{00000000-0005-0000-0000-0000B9340000}"/>
    <cellStyle name="Normal 5 4 2 2 6 3" xfId="6483" xr:uid="{00000000-0005-0000-0000-0000BA340000}"/>
    <cellStyle name="Normal 5 4 2 2 6 3 2" xfId="14919" xr:uid="{00000000-0005-0000-0000-0000BB340000}"/>
    <cellStyle name="Normal 5 4 2 2 6 4" xfId="10701" xr:uid="{00000000-0005-0000-0000-0000BC340000}"/>
    <cellStyle name="Normal 5 4 2 2 7" xfId="2612" xr:uid="{00000000-0005-0000-0000-0000BD340000}"/>
    <cellStyle name="Normal 5 4 2 2 7 2" xfId="6896" xr:uid="{00000000-0005-0000-0000-0000BE340000}"/>
    <cellStyle name="Normal 5 4 2 2 7 2 2" xfId="15332" xr:uid="{00000000-0005-0000-0000-0000BF340000}"/>
    <cellStyle name="Normal 5 4 2 2 7 3" xfId="11114" xr:uid="{00000000-0005-0000-0000-0000C0340000}"/>
    <cellStyle name="Normal 5 4 2 2 8" xfId="4831" xr:uid="{00000000-0005-0000-0000-0000C1340000}"/>
    <cellStyle name="Normal 5 4 2 2 8 2" xfId="13267" xr:uid="{00000000-0005-0000-0000-0000C2340000}"/>
    <cellStyle name="Normal 5 4 2 2 9" xfId="9049" xr:uid="{00000000-0005-0000-0000-0000C3340000}"/>
    <cellStyle name="Normal 5 4 2 3" xfId="460" xr:uid="{00000000-0005-0000-0000-0000C4340000}"/>
    <cellStyle name="Normal 5 4 2 3 2" xfId="934" xr:uid="{00000000-0005-0000-0000-0000C5340000}"/>
    <cellStyle name="Normal 5 4 2 3 2 2" xfId="3168" xr:uid="{00000000-0005-0000-0000-0000C6340000}"/>
    <cellStyle name="Normal 5 4 2 3 2 2 2" xfId="7391" xr:uid="{00000000-0005-0000-0000-0000C7340000}"/>
    <cellStyle name="Normal 5 4 2 3 2 2 2 2" xfId="15827" xr:uid="{00000000-0005-0000-0000-0000C8340000}"/>
    <cellStyle name="Normal 5 4 2 3 2 2 3" xfId="11609" xr:uid="{00000000-0005-0000-0000-0000C9340000}"/>
    <cellStyle name="Normal 5 4 2 3 2 3" xfId="5246" xr:uid="{00000000-0005-0000-0000-0000CA340000}"/>
    <cellStyle name="Normal 5 4 2 3 2 3 2" xfId="13682" xr:uid="{00000000-0005-0000-0000-0000CB340000}"/>
    <cellStyle name="Normal 5 4 2 3 2 4" xfId="9464" xr:uid="{00000000-0005-0000-0000-0000CC340000}"/>
    <cellStyle name="Normal 5 4 2 3 3" xfId="1351" xr:uid="{00000000-0005-0000-0000-0000CD340000}"/>
    <cellStyle name="Normal 5 4 2 3 3 2" xfId="3581" xr:uid="{00000000-0005-0000-0000-0000CE340000}"/>
    <cellStyle name="Normal 5 4 2 3 3 2 2" xfId="7804" xr:uid="{00000000-0005-0000-0000-0000CF340000}"/>
    <cellStyle name="Normal 5 4 2 3 3 2 2 2" xfId="16240" xr:uid="{00000000-0005-0000-0000-0000D0340000}"/>
    <cellStyle name="Normal 5 4 2 3 3 2 3" xfId="12022" xr:uid="{00000000-0005-0000-0000-0000D1340000}"/>
    <cellStyle name="Normal 5 4 2 3 3 3" xfId="5659" xr:uid="{00000000-0005-0000-0000-0000D2340000}"/>
    <cellStyle name="Normal 5 4 2 3 3 3 2" xfId="14095" xr:uid="{00000000-0005-0000-0000-0000D3340000}"/>
    <cellStyle name="Normal 5 4 2 3 3 4" xfId="9877" xr:uid="{00000000-0005-0000-0000-0000D4340000}"/>
    <cellStyle name="Normal 5 4 2 3 4" xfId="1764" xr:uid="{00000000-0005-0000-0000-0000D5340000}"/>
    <cellStyle name="Normal 5 4 2 3 4 2" xfId="3994" xr:uid="{00000000-0005-0000-0000-0000D6340000}"/>
    <cellStyle name="Normal 5 4 2 3 4 2 2" xfId="8217" xr:uid="{00000000-0005-0000-0000-0000D7340000}"/>
    <cellStyle name="Normal 5 4 2 3 4 2 2 2" xfId="16653" xr:uid="{00000000-0005-0000-0000-0000D8340000}"/>
    <cellStyle name="Normal 5 4 2 3 4 2 3" xfId="12435" xr:uid="{00000000-0005-0000-0000-0000D9340000}"/>
    <cellStyle name="Normal 5 4 2 3 4 3" xfId="6072" xr:uid="{00000000-0005-0000-0000-0000DA340000}"/>
    <cellStyle name="Normal 5 4 2 3 4 3 2" xfId="14508" xr:uid="{00000000-0005-0000-0000-0000DB340000}"/>
    <cellStyle name="Normal 5 4 2 3 4 4" xfId="10290" xr:uid="{00000000-0005-0000-0000-0000DC340000}"/>
    <cellStyle name="Normal 5 4 2 3 5" xfId="2178" xr:uid="{00000000-0005-0000-0000-0000DD340000}"/>
    <cellStyle name="Normal 5 4 2 3 5 2" xfId="4407" xr:uid="{00000000-0005-0000-0000-0000DE340000}"/>
    <cellStyle name="Normal 5 4 2 3 5 2 2" xfId="8630" xr:uid="{00000000-0005-0000-0000-0000DF340000}"/>
    <cellStyle name="Normal 5 4 2 3 5 2 2 2" xfId="17066" xr:uid="{00000000-0005-0000-0000-0000E0340000}"/>
    <cellStyle name="Normal 5 4 2 3 5 2 3" xfId="12848" xr:uid="{00000000-0005-0000-0000-0000E1340000}"/>
    <cellStyle name="Normal 5 4 2 3 5 3" xfId="6485" xr:uid="{00000000-0005-0000-0000-0000E2340000}"/>
    <cellStyle name="Normal 5 4 2 3 5 3 2" xfId="14921" xr:uid="{00000000-0005-0000-0000-0000E3340000}"/>
    <cellStyle name="Normal 5 4 2 3 5 4" xfId="10703" xr:uid="{00000000-0005-0000-0000-0000E4340000}"/>
    <cellStyle name="Normal 5 4 2 3 6" xfId="2614" xr:uid="{00000000-0005-0000-0000-0000E5340000}"/>
    <cellStyle name="Normal 5 4 2 3 6 2" xfId="6898" xr:uid="{00000000-0005-0000-0000-0000E6340000}"/>
    <cellStyle name="Normal 5 4 2 3 6 2 2" xfId="15334" xr:uid="{00000000-0005-0000-0000-0000E7340000}"/>
    <cellStyle name="Normal 5 4 2 3 6 3" xfId="11116" xr:uid="{00000000-0005-0000-0000-0000E8340000}"/>
    <cellStyle name="Normal 5 4 2 3 7" xfId="4833" xr:uid="{00000000-0005-0000-0000-0000E9340000}"/>
    <cellStyle name="Normal 5 4 2 3 7 2" xfId="13269" xr:uid="{00000000-0005-0000-0000-0000EA340000}"/>
    <cellStyle name="Normal 5 4 2 3 8" xfId="9051" xr:uid="{00000000-0005-0000-0000-0000EB340000}"/>
    <cellStyle name="Normal 5 4 2 4" xfId="931" xr:uid="{00000000-0005-0000-0000-0000EC340000}"/>
    <cellStyle name="Normal 5 4 2 4 2" xfId="3165" xr:uid="{00000000-0005-0000-0000-0000ED340000}"/>
    <cellStyle name="Normal 5 4 2 4 2 2" xfId="7388" xr:uid="{00000000-0005-0000-0000-0000EE340000}"/>
    <cellStyle name="Normal 5 4 2 4 2 2 2" xfId="15824" xr:uid="{00000000-0005-0000-0000-0000EF340000}"/>
    <cellStyle name="Normal 5 4 2 4 2 3" xfId="11606" xr:uid="{00000000-0005-0000-0000-0000F0340000}"/>
    <cellStyle name="Normal 5 4 2 4 3" xfId="5243" xr:uid="{00000000-0005-0000-0000-0000F1340000}"/>
    <cellStyle name="Normal 5 4 2 4 3 2" xfId="13679" xr:uid="{00000000-0005-0000-0000-0000F2340000}"/>
    <cellStyle name="Normal 5 4 2 4 4" xfId="9461" xr:uid="{00000000-0005-0000-0000-0000F3340000}"/>
    <cellStyle name="Normal 5 4 2 5" xfId="1348" xr:uid="{00000000-0005-0000-0000-0000F4340000}"/>
    <cellStyle name="Normal 5 4 2 5 2" xfId="3578" xr:uid="{00000000-0005-0000-0000-0000F5340000}"/>
    <cellStyle name="Normal 5 4 2 5 2 2" xfId="7801" xr:uid="{00000000-0005-0000-0000-0000F6340000}"/>
    <cellStyle name="Normal 5 4 2 5 2 2 2" xfId="16237" xr:uid="{00000000-0005-0000-0000-0000F7340000}"/>
    <cellStyle name="Normal 5 4 2 5 2 3" xfId="12019" xr:uid="{00000000-0005-0000-0000-0000F8340000}"/>
    <cellStyle name="Normal 5 4 2 5 3" xfId="5656" xr:uid="{00000000-0005-0000-0000-0000F9340000}"/>
    <cellStyle name="Normal 5 4 2 5 3 2" xfId="14092" xr:uid="{00000000-0005-0000-0000-0000FA340000}"/>
    <cellStyle name="Normal 5 4 2 5 4" xfId="9874" xr:uid="{00000000-0005-0000-0000-0000FB340000}"/>
    <cellStyle name="Normal 5 4 2 6" xfId="1761" xr:uid="{00000000-0005-0000-0000-0000FC340000}"/>
    <cellStyle name="Normal 5 4 2 6 2" xfId="3991" xr:uid="{00000000-0005-0000-0000-0000FD340000}"/>
    <cellStyle name="Normal 5 4 2 6 2 2" xfId="8214" xr:uid="{00000000-0005-0000-0000-0000FE340000}"/>
    <cellStyle name="Normal 5 4 2 6 2 2 2" xfId="16650" xr:uid="{00000000-0005-0000-0000-0000FF340000}"/>
    <cellStyle name="Normal 5 4 2 6 2 3" xfId="12432" xr:uid="{00000000-0005-0000-0000-000000350000}"/>
    <cellStyle name="Normal 5 4 2 6 3" xfId="6069" xr:uid="{00000000-0005-0000-0000-000001350000}"/>
    <cellStyle name="Normal 5 4 2 6 3 2" xfId="14505" xr:uid="{00000000-0005-0000-0000-000002350000}"/>
    <cellStyle name="Normal 5 4 2 6 4" xfId="10287" xr:uid="{00000000-0005-0000-0000-000003350000}"/>
    <cellStyle name="Normal 5 4 2 7" xfId="2175" xr:uid="{00000000-0005-0000-0000-000004350000}"/>
    <cellStyle name="Normal 5 4 2 7 2" xfId="4404" xr:uid="{00000000-0005-0000-0000-000005350000}"/>
    <cellStyle name="Normal 5 4 2 7 2 2" xfId="8627" xr:uid="{00000000-0005-0000-0000-000006350000}"/>
    <cellStyle name="Normal 5 4 2 7 2 2 2" xfId="17063" xr:uid="{00000000-0005-0000-0000-000007350000}"/>
    <cellStyle name="Normal 5 4 2 7 2 3" xfId="12845" xr:uid="{00000000-0005-0000-0000-000008350000}"/>
    <cellStyle name="Normal 5 4 2 7 3" xfId="6482" xr:uid="{00000000-0005-0000-0000-000009350000}"/>
    <cellStyle name="Normal 5 4 2 7 3 2" xfId="14918" xr:uid="{00000000-0005-0000-0000-00000A350000}"/>
    <cellStyle name="Normal 5 4 2 7 4" xfId="10700" xr:uid="{00000000-0005-0000-0000-00000B350000}"/>
    <cellStyle name="Normal 5 4 2 8" xfId="2611" xr:uid="{00000000-0005-0000-0000-00000C350000}"/>
    <cellStyle name="Normal 5 4 2 8 2" xfId="6895" xr:uid="{00000000-0005-0000-0000-00000D350000}"/>
    <cellStyle name="Normal 5 4 2 8 2 2" xfId="15331" xr:uid="{00000000-0005-0000-0000-00000E350000}"/>
    <cellStyle name="Normal 5 4 2 8 3" xfId="11113" xr:uid="{00000000-0005-0000-0000-00000F350000}"/>
    <cellStyle name="Normal 5 4 2 9" xfId="4830" xr:uid="{00000000-0005-0000-0000-000010350000}"/>
    <cellStyle name="Normal 5 4 2 9 2" xfId="13266" xr:uid="{00000000-0005-0000-0000-000011350000}"/>
    <cellStyle name="Normal 5 4 3" xfId="461" xr:uid="{00000000-0005-0000-0000-000012350000}"/>
    <cellStyle name="Normal 5 4 3 2" xfId="462" xr:uid="{00000000-0005-0000-0000-000013350000}"/>
    <cellStyle name="Normal 5 4 3 2 2" xfId="936" xr:uid="{00000000-0005-0000-0000-000014350000}"/>
    <cellStyle name="Normal 5 4 3 2 2 2" xfId="3170" xr:uid="{00000000-0005-0000-0000-000015350000}"/>
    <cellStyle name="Normal 5 4 3 2 2 2 2" xfId="7393" xr:uid="{00000000-0005-0000-0000-000016350000}"/>
    <cellStyle name="Normal 5 4 3 2 2 2 2 2" xfId="15829" xr:uid="{00000000-0005-0000-0000-000017350000}"/>
    <cellStyle name="Normal 5 4 3 2 2 2 3" xfId="11611" xr:uid="{00000000-0005-0000-0000-000018350000}"/>
    <cellStyle name="Normal 5 4 3 2 2 3" xfId="5248" xr:uid="{00000000-0005-0000-0000-000019350000}"/>
    <cellStyle name="Normal 5 4 3 2 2 3 2" xfId="13684" xr:uid="{00000000-0005-0000-0000-00001A350000}"/>
    <cellStyle name="Normal 5 4 3 2 2 4" xfId="9466" xr:uid="{00000000-0005-0000-0000-00001B350000}"/>
    <cellStyle name="Normal 5 4 3 2 3" xfId="1353" xr:uid="{00000000-0005-0000-0000-00001C350000}"/>
    <cellStyle name="Normal 5 4 3 2 3 2" xfId="3583" xr:uid="{00000000-0005-0000-0000-00001D350000}"/>
    <cellStyle name="Normal 5 4 3 2 3 2 2" xfId="7806" xr:uid="{00000000-0005-0000-0000-00001E350000}"/>
    <cellStyle name="Normal 5 4 3 2 3 2 2 2" xfId="16242" xr:uid="{00000000-0005-0000-0000-00001F350000}"/>
    <cellStyle name="Normal 5 4 3 2 3 2 3" xfId="12024" xr:uid="{00000000-0005-0000-0000-000020350000}"/>
    <cellStyle name="Normal 5 4 3 2 3 3" xfId="5661" xr:uid="{00000000-0005-0000-0000-000021350000}"/>
    <cellStyle name="Normal 5 4 3 2 3 3 2" xfId="14097" xr:uid="{00000000-0005-0000-0000-000022350000}"/>
    <cellStyle name="Normal 5 4 3 2 3 4" xfId="9879" xr:uid="{00000000-0005-0000-0000-000023350000}"/>
    <cellStyle name="Normal 5 4 3 2 4" xfId="1766" xr:uid="{00000000-0005-0000-0000-000024350000}"/>
    <cellStyle name="Normal 5 4 3 2 4 2" xfId="3996" xr:uid="{00000000-0005-0000-0000-000025350000}"/>
    <cellStyle name="Normal 5 4 3 2 4 2 2" xfId="8219" xr:uid="{00000000-0005-0000-0000-000026350000}"/>
    <cellStyle name="Normal 5 4 3 2 4 2 2 2" xfId="16655" xr:uid="{00000000-0005-0000-0000-000027350000}"/>
    <cellStyle name="Normal 5 4 3 2 4 2 3" xfId="12437" xr:uid="{00000000-0005-0000-0000-000028350000}"/>
    <cellStyle name="Normal 5 4 3 2 4 3" xfId="6074" xr:uid="{00000000-0005-0000-0000-000029350000}"/>
    <cellStyle name="Normal 5 4 3 2 4 3 2" xfId="14510" xr:uid="{00000000-0005-0000-0000-00002A350000}"/>
    <cellStyle name="Normal 5 4 3 2 4 4" xfId="10292" xr:uid="{00000000-0005-0000-0000-00002B350000}"/>
    <cellStyle name="Normal 5 4 3 2 5" xfId="2180" xr:uid="{00000000-0005-0000-0000-00002C350000}"/>
    <cellStyle name="Normal 5 4 3 2 5 2" xfId="4409" xr:uid="{00000000-0005-0000-0000-00002D350000}"/>
    <cellStyle name="Normal 5 4 3 2 5 2 2" xfId="8632" xr:uid="{00000000-0005-0000-0000-00002E350000}"/>
    <cellStyle name="Normal 5 4 3 2 5 2 2 2" xfId="17068" xr:uid="{00000000-0005-0000-0000-00002F350000}"/>
    <cellStyle name="Normal 5 4 3 2 5 2 3" xfId="12850" xr:uid="{00000000-0005-0000-0000-000030350000}"/>
    <cellStyle name="Normal 5 4 3 2 5 3" xfId="6487" xr:uid="{00000000-0005-0000-0000-000031350000}"/>
    <cellStyle name="Normal 5 4 3 2 5 3 2" xfId="14923" xr:uid="{00000000-0005-0000-0000-000032350000}"/>
    <cellStyle name="Normal 5 4 3 2 5 4" xfId="10705" xr:uid="{00000000-0005-0000-0000-000033350000}"/>
    <cellStyle name="Normal 5 4 3 2 6" xfId="2616" xr:uid="{00000000-0005-0000-0000-000034350000}"/>
    <cellStyle name="Normal 5 4 3 2 6 2" xfId="6900" xr:uid="{00000000-0005-0000-0000-000035350000}"/>
    <cellStyle name="Normal 5 4 3 2 6 2 2" xfId="15336" xr:uid="{00000000-0005-0000-0000-000036350000}"/>
    <cellStyle name="Normal 5 4 3 2 6 3" xfId="11118" xr:uid="{00000000-0005-0000-0000-000037350000}"/>
    <cellStyle name="Normal 5 4 3 2 7" xfId="4835" xr:uid="{00000000-0005-0000-0000-000038350000}"/>
    <cellStyle name="Normal 5 4 3 2 7 2" xfId="13271" xr:uid="{00000000-0005-0000-0000-000039350000}"/>
    <cellStyle name="Normal 5 4 3 2 8" xfId="9053" xr:uid="{00000000-0005-0000-0000-00003A350000}"/>
    <cellStyle name="Normal 5 4 3 3" xfId="935" xr:uid="{00000000-0005-0000-0000-00003B350000}"/>
    <cellStyle name="Normal 5 4 3 3 2" xfId="3169" xr:uid="{00000000-0005-0000-0000-00003C350000}"/>
    <cellStyle name="Normal 5 4 3 3 2 2" xfId="7392" xr:uid="{00000000-0005-0000-0000-00003D350000}"/>
    <cellStyle name="Normal 5 4 3 3 2 2 2" xfId="15828" xr:uid="{00000000-0005-0000-0000-00003E350000}"/>
    <cellStyle name="Normal 5 4 3 3 2 3" xfId="11610" xr:uid="{00000000-0005-0000-0000-00003F350000}"/>
    <cellStyle name="Normal 5 4 3 3 3" xfId="5247" xr:uid="{00000000-0005-0000-0000-000040350000}"/>
    <cellStyle name="Normal 5 4 3 3 3 2" xfId="13683" xr:uid="{00000000-0005-0000-0000-000041350000}"/>
    <cellStyle name="Normal 5 4 3 3 4" xfId="9465" xr:uid="{00000000-0005-0000-0000-000042350000}"/>
    <cellStyle name="Normal 5 4 3 4" xfId="1352" xr:uid="{00000000-0005-0000-0000-000043350000}"/>
    <cellStyle name="Normal 5 4 3 4 2" xfId="3582" xr:uid="{00000000-0005-0000-0000-000044350000}"/>
    <cellStyle name="Normal 5 4 3 4 2 2" xfId="7805" xr:uid="{00000000-0005-0000-0000-000045350000}"/>
    <cellStyle name="Normal 5 4 3 4 2 2 2" xfId="16241" xr:uid="{00000000-0005-0000-0000-000046350000}"/>
    <cellStyle name="Normal 5 4 3 4 2 3" xfId="12023" xr:uid="{00000000-0005-0000-0000-000047350000}"/>
    <cellStyle name="Normal 5 4 3 4 3" xfId="5660" xr:uid="{00000000-0005-0000-0000-000048350000}"/>
    <cellStyle name="Normal 5 4 3 4 3 2" xfId="14096" xr:uid="{00000000-0005-0000-0000-000049350000}"/>
    <cellStyle name="Normal 5 4 3 4 4" xfId="9878" xr:uid="{00000000-0005-0000-0000-00004A350000}"/>
    <cellStyle name="Normal 5 4 3 5" xfId="1765" xr:uid="{00000000-0005-0000-0000-00004B350000}"/>
    <cellStyle name="Normal 5 4 3 5 2" xfId="3995" xr:uid="{00000000-0005-0000-0000-00004C350000}"/>
    <cellStyle name="Normal 5 4 3 5 2 2" xfId="8218" xr:uid="{00000000-0005-0000-0000-00004D350000}"/>
    <cellStyle name="Normal 5 4 3 5 2 2 2" xfId="16654" xr:uid="{00000000-0005-0000-0000-00004E350000}"/>
    <cellStyle name="Normal 5 4 3 5 2 3" xfId="12436" xr:uid="{00000000-0005-0000-0000-00004F350000}"/>
    <cellStyle name="Normal 5 4 3 5 3" xfId="6073" xr:uid="{00000000-0005-0000-0000-000050350000}"/>
    <cellStyle name="Normal 5 4 3 5 3 2" xfId="14509" xr:uid="{00000000-0005-0000-0000-000051350000}"/>
    <cellStyle name="Normal 5 4 3 5 4" xfId="10291" xr:uid="{00000000-0005-0000-0000-000052350000}"/>
    <cellStyle name="Normal 5 4 3 6" xfId="2179" xr:uid="{00000000-0005-0000-0000-000053350000}"/>
    <cellStyle name="Normal 5 4 3 6 2" xfId="4408" xr:uid="{00000000-0005-0000-0000-000054350000}"/>
    <cellStyle name="Normal 5 4 3 6 2 2" xfId="8631" xr:uid="{00000000-0005-0000-0000-000055350000}"/>
    <cellStyle name="Normal 5 4 3 6 2 2 2" xfId="17067" xr:uid="{00000000-0005-0000-0000-000056350000}"/>
    <cellStyle name="Normal 5 4 3 6 2 3" xfId="12849" xr:uid="{00000000-0005-0000-0000-000057350000}"/>
    <cellStyle name="Normal 5 4 3 6 3" xfId="6486" xr:uid="{00000000-0005-0000-0000-000058350000}"/>
    <cellStyle name="Normal 5 4 3 6 3 2" xfId="14922" xr:uid="{00000000-0005-0000-0000-000059350000}"/>
    <cellStyle name="Normal 5 4 3 6 4" xfId="10704" xr:uid="{00000000-0005-0000-0000-00005A350000}"/>
    <cellStyle name="Normal 5 4 3 7" xfId="2615" xr:uid="{00000000-0005-0000-0000-00005B350000}"/>
    <cellStyle name="Normal 5 4 3 7 2" xfId="6899" xr:uid="{00000000-0005-0000-0000-00005C350000}"/>
    <cellStyle name="Normal 5 4 3 7 2 2" xfId="15335" xr:uid="{00000000-0005-0000-0000-00005D350000}"/>
    <cellStyle name="Normal 5 4 3 7 3" xfId="11117" xr:uid="{00000000-0005-0000-0000-00005E350000}"/>
    <cellStyle name="Normal 5 4 3 8" xfId="4834" xr:uid="{00000000-0005-0000-0000-00005F350000}"/>
    <cellStyle name="Normal 5 4 3 8 2" xfId="13270" xr:uid="{00000000-0005-0000-0000-000060350000}"/>
    <cellStyle name="Normal 5 4 3 9" xfId="9052" xr:uid="{00000000-0005-0000-0000-000061350000}"/>
    <cellStyle name="Normal 5 4 4" xfId="463" xr:uid="{00000000-0005-0000-0000-000062350000}"/>
    <cellStyle name="Normal 5 4 4 2" xfId="937" xr:uid="{00000000-0005-0000-0000-000063350000}"/>
    <cellStyle name="Normal 5 4 4 2 2" xfId="3171" xr:uid="{00000000-0005-0000-0000-000064350000}"/>
    <cellStyle name="Normal 5 4 4 2 2 2" xfId="7394" xr:uid="{00000000-0005-0000-0000-000065350000}"/>
    <cellStyle name="Normal 5 4 4 2 2 2 2" xfId="15830" xr:uid="{00000000-0005-0000-0000-000066350000}"/>
    <cellStyle name="Normal 5 4 4 2 2 3" xfId="11612" xr:uid="{00000000-0005-0000-0000-000067350000}"/>
    <cellStyle name="Normal 5 4 4 2 3" xfId="5249" xr:uid="{00000000-0005-0000-0000-000068350000}"/>
    <cellStyle name="Normal 5 4 4 2 3 2" xfId="13685" xr:uid="{00000000-0005-0000-0000-000069350000}"/>
    <cellStyle name="Normal 5 4 4 2 4" xfId="9467" xr:uid="{00000000-0005-0000-0000-00006A350000}"/>
    <cellStyle name="Normal 5 4 4 3" xfId="1354" xr:uid="{00000000-0005-0000-0000-00006B350000}"/>
    <cellStyle name="Normal 5 4 4 3 2" xfId="3584" xr:uid="{00000000-0005-0000-0000-00006C350000}"/>
    <cellStyle name="Normal 5 4 4 3 2 2" xfId="7807" xr:uid="{00000000-0005-0000-0000-00006D350000}"/>
    <cellStyle name="Normal 5 4 4 3 2 2 2" xfId="16243" xr:uid="{00000000-0005-0000-0000-00006E350000}"/>
    <cellStyle name="Normal 5 4 4 3 2 3" xfId="12025" xr:uid="{00000000-0005-0000-0000-00006F350000}"/>
    <cellStyle name="Normal 5 4 4 3 3" xfId="5662" xr:uid="{00000000-0005-0000-0000-000070350000}"/>
    <cellStyle name="Normal 5 4 4 3 3 2" xfId="14098" xr:uid="{00000000-0005-0000-0000-000071350000}"/>
    <cellStyle name="Normal 5 4 4 3 4" xfId="9880" xr:uid="{00000000-0005-0000-0000-000072350000}"/>
    <cellStyle name="Normal 5 4 4 4" xfId="1767" xr:uid="{00000000-0005-0000-0000-000073350000}"/>
    <cellStyle name="Normal 5 4 4 4 2" xfId="3997" xr:uid="{00000000-0005-0000-0000-000074350000}"/>
    <cellStyle name="Normal 5 4 4 4 2 2" xfId="8220" xr:uid="{00000000-0005-0000-0000-000075350000}"/>
    <cellStyle name="Normal 5 4 4 4 2 2 2" xfId="16656" xr:uid="{00000000-0005-0000-0000-000076350000}"/>
    <cellStyle name="Normal 5 4 4 4 2 3" xfId="12438" xr:uid="{00000000-0005-0000-0000-000077350000}"/>
    <cellStyle name="Normal 5 4 4 4 3" xfId="6075" xr:uid="{00000000-0005-0000-0000-000078350000}"/>
    <cellStyle name="Normal 5 4 4 4 3 2" xfId="14511" xr:uid="{00000000-0005-0000-0000-000079350000}"/>
    <cellStyle name="Normal 5 4 4 4 4" xfId="10293" xr:uid="{00000000-0005-0000-0000-00007A350000}"/>
    <cellStyle name="Normal 5 4 4 5" xfId="2181" xr:uid="{00000000-0005-0000-0000-00007B350000}"/>
    <cellStyle name="Normal 5 4 4 5 2" xfId="4410" xr:uid="{00000000-0005-0000-0000-00007C350000}"/>
    <cellStyle name="Normal 5 4 4 5 2 2" xfId="8633" xr:uid="{00000000-0005-0000-0000-00007D350000}"/>
    <cellStyle name="Normal 5 4 4 5 2 2 2" xfId="17069" xr:uid="{00000000-0005-0000-0000-00007E350000}"/>
    <cellStyle name="Normal 5 4 4 5 2 3" xfId="12851" xr:uid="{00000000-0005-0000-0000-00007F350000}"/>
    <cellStyle name="Normal 5 4 4 5 3" xfId="6488" xr:uid="{00000000-0005-0000-0000-000080350000}"/>
    <cellStyle name="Normal 5 4 4 5 3 2" xfId="14924" xr:uid="{00000000-0005-0000-0000-000081350000}"/>
    <cellStyle name="Normal 5 4 4 5 4" xfId="10706" xr:uid="{00000000-0005-0000-0000-000082350000}"/>
    <cellStyle name="Normal 5 4 4 6" xfId="2617" xr:uid="{00000000-0005-0000-0000-000083350000}"/>
    <cellStyle name="Normal 5 4 4 6 2" xfId="6901" xr:uid="{00000000-0005-0000-0000-000084350000}"/>
    <cellStyle name="Normal 5 4 4 6 2 2" xfId="15337" xr:uid="{00000000-0005-0000-0000-000085350000}"/>
    <cellStyle name="Normal 5 4 4 6 3" xfId="11119" xr:uid="{00000000-0005-0000-0000-000086350000}"/>
    <cellStyle name="Normal 5 4 4 7" xfId="4836" xr:uid="{00000000-0005-0000-0000-000087350000}"/>
    <cellStyle name="Normal 5 4 4 7 2" xfId="13272" xr:uid="{00000000-0005-0000-0000-000088350000}"/>
    <cellStyle name="Normal 5 4 4 8" xfId="9054" xr:uid="{00000000-0005-0000-0000-000089350000}"/>
    <cellStyle name="Normal 5 4 5" xfId="930" xr:uid="{00000000-0005-0000-0000-00008A350000}"/>
    <cellStyle name="Normal 5 4 5 2" xfId="3164" xr:uid="{00000000-0005-0000-0000-00008B350000}"/>
    <cellStyle name="Normal 5 4 5 2 2" xfId="7387" xr:uid="{00000000-0005-0000-0000-00008C350000}"/>
    <cellStyle name="Normal 5 4 5 2 2 2" xfId="15823" xr:uid="{00000000-0005-0000-0000-00008D350000}"/>
    <cellStyle name="Normal 5 4 5 2 3" xfId="11605" xr:uid="{00000000-0005-0000-0000-00008E350000}"/>
    <cellStyle name="Normal 5 4 5 3" xfId="5242" xr:uid="{00000000-0005-0000-0000-00008F350000}"/>
    <cellStyle name="Normal 5 4 5 3 2" xfId="13678" xr:uid="{00000000-0005-0000-0000-000090350000}"/>
    <cellStyle name="Normal 5 4 5 4" xfId="9460" xr:uid="{00000000-0005-0000-0000-000091350000}"/>
    <cellStyle name="Normal 5 4 6" xfId="1347" xr:uid="{00000000-0005-0000-0000-000092350000}"/>
    <cellStyle name="Normal 5 4 6 2" xfId="3577" xr:uid="{00000000-0005-0000-0000-000093350000}"/>
    <cellStyle name="Normal 5 4 6 2 2" xfId="7800" xr:uid="{00000000-0005-0000-0000-000094350000}"/>
    <cellStyle name="Normal 5 4 6 2 2 2" xfId="16236" xr:uid="{00000000-0005-0000-0000-000095350000}"/>
    <cellStyle name="Normal 5 4 6 2 3" xfId="12018" xr:uid="{00000000-0005-0000-0000-000096350000}"/>
    <cellStyle name="Normal 5 4 6 3" xfId="5655" xr:uid="{00000000-0005-0000-0000-000097350000}"/>
    <cellStyle name="Normal 5 4 6 3 2" xfId="14091" xr:uid="{00000000-0005-0000-0000-000098350000}"/>
    <cellStyle name="Normal 5 4 6 4" xfId="9873" xr:uid="{00000000-0005-0000-0000-000099350000}"/>
    <cellStyle name="Normal 5 4 7" xfId="1760" xr:uid="{00000000-0005-0000-0000-00009A350000}"/>
    <cellStyle name="Normal 5 4 7 2" xfId="3990" xr:uid="{00000000-0005-0000-0000-00009B350000}"/>
    <cellStyle name="Normal 5 4 7 2 2" xfId="8213" xr:uid="{00000000-0005-0000-0000-00009C350000}"/>
    <cellStyle name="Normal 5 4 7 2 2 2" xfId="16649" xr:uid="{00000000-0005-0000-0000-00009D350000}"/>
    <cellStyle name="Normal 5 4 7 2 3" xfId="12431" xr:uid="{00000000-0005-0000-0000-00009E350000}"/>
    <cellStyle name="Normal 5 4 7 3" xfId="6068" xr:uid="{00000000-0005-0000-0000-00009F350000}"/>
    <cellStyle name="Normal 5 4 7 3 2" xfId="14504" xr:uid="{00000000-0005-0000-0000-0000A0350000}"/>
    <cellStyle name="Normal 5 4 7 4" xfId="10286" xr:uid="{00000000-0005-0000-0000-0000A1350000}"/>
    <cellStyle name="Normal 5 4 8" xfId="2174" xr:uid="{00000000-0005-0000-0000-0000A2350000}"/>
    <cellStyle name="Normal 5 4 8 2" xfId="4403" xr:uid="{00000000-0005-0000-0000-0000A3350000}"/>
    <cellStyle name="Normal 5 4 8 2 2" xfId="8626" xr:uid="{00000000-0005-0000-0000-0000A4350000}"/>
    <cellStyle name="Normal 5 4 8 2 2 2" xfId="17062" xr:uid="{00000000-0005-0000-0000-0000A5350000}"/>
    <cellStyle name="Normal 5 4 8 2 3" xfId="12844" xr:uid="{00000000-0005-0000-0000-0000A6350000}"/>
    <cellStyle name="Normal 5 4 8 3" xfId="6481" xr:uid="{00000000-0005-0000-0000-0000A7350000}"/>
    <cellStyle name="Normal 5 4 8 3 2" xfId="14917" xr:uid="{00000000-0005-0000-0000-0000A8350000}"/>
    <cellStyle name="Normal 5 4 8 4" xfId="10699" xr:uid="{00000000-0005-0000-0000-0000A9350000}"/>
    <cellStyle name="Normal 5 4 9" xfId="2610" xr:uid="{00000000-0005-0000-0000-0000AA350000}"/>
    <cellStyle name="Normal 5 4 9 2" xfId="6894" xr:uid="{00000000-0005-0000-0000-0000AB350000}"/>
    <cellStyle name="Normal 5 4 9 2 2" xfId="15330" xr:uid="{00000000-0005-0000-0000-0000AC350000}"/>
    <cellStyle name="Normal 5 4 9 3" xfId="11112" xr:uid="{00000000-0005-0000-0000-0000AD350000}"/>
    <cellStyle name="Normal 5 5" xfId="464" xr:uid="{00000000-0005-0000-0000-0000AE350000}"/>
    <cellStyle name="Normal 5 5 10" xfId="9055" xr:uid="{00000000-0005-0000-0000-0000AF350000}"/>
    <cellStyle name="Normal 5 5 2" xfId="465" xr:uid="{00000000-0005-0000-0000-0000B0350000}"/>
    <cellStyle name="Normal 5 5 2 2" xfId="466" xr:uid="{00000000-0005-0000-0000-0000B1350000}"/>
    <cellStyle name="Normal 5 5 2 2 2" xfId="940" xr:uid="{00000000-0005-0000-0000-0000B2350000}"/>
    <cellStyle name="Normal 5 5 2 2 2 2" xfId="3174" xr:uid="{00000000-0005-0000-0000-0000B3350000}"/>
    <cellStyle name="Normal 5 5 2 2 2 2 2" xfId="7397" xr:uid="{00000000-0005-0000-0000-0000B4350000}"/>
    <cellStyle name="Normal 5 5 2 2 2 2 2 2" xfId="15833" xr:uid="{00000000-0005-0000-0000-0000B5350000}"/>
    <cellStyle name="Normal 5 5 2 2 2 2 3" xfId="11615" xr:uid="{00000000-0005-0000-0000-0000B6350000}"/>
    <cellStyle name="Normal 5 5 2 2 2 3" xfId="5252" xr:uid="{00000000-0005-0000-0000-0000B7350000}"/>
    <cellStyle name="Normal 5 5 2 2 2 3 2" xfId="13688" xr:uid="{00000000-0005-0000-0000-0000B8350000}"/>
    <cellStyle name="Normal 5 5 2 2 2 4" xfId="9470" xr:uid="{00000000-0005-0000-0000-0000B9350000}"/>
    <cellStyle name="Normal 5 5 2 2 3" xfId="1357" xr:uid="{00000000-0005-0000-0000-0000BA350000}"/>
    <cellStyle name="Normal 5 5 2 2 3 2" xfId="3587" xr:uid="{00000000-0005-0000-0000-0000BB350000}"/>
    <cellStyle name="Normal 5 5 2 2 3 2 2" xfId="7810" xr:uid="{00000000-0005-0000-0000-0000BC350000}"/>
    <cellStyle name="Normal 5 5 2 2 3 2 2 2" xfId="16246" xr:uid="{00000000-0005-0000-0000-0000BD350000}"/>
    <cellStyle name="Normal 5 5 2 2 3 2 3" xfId="12028" xr:uid="{00000000-0005-0000-0000-0000BE350000}"/>
    <cellStyle name="Normal 5 5 2 2 3 3" xfId="5665" xr:uid="{00000000-0005-0000-0000-0000BF350000}"/>
    <cellStyle name="Normal 5 5 2 2 3 3 2" xfId="14101" xr:uid="{00000000-0005-0000-0000-0000C0350000}"/>
    <cellStyle name="Normal 5 5 2 2 3 4" xfId="9883" xr:uid="{00000000-0005-0000-0000-0000C1350000}"/>
    <cellStyle name="Normal 5 5 2 2 4" xfId="1770" xr:uid="{00000000-0005-0000-0000-0000C2350000}"/>
    <cellStyle name="Normal 5 5 2 2 4 2" xfId="4000" xr:uid="{00000000-0005-0000-0000-0000C3350000}"/>
    <cellStyle name="Normal 5 5 2 2 4 2 2" xfId="8223" xr:uid="{00000000-0005-0000-0000-0000C4350000}"/>
    <cellStyle name="Normal 5 5 2 2 4 2 2 2" xfId="16659" xr:uid="{00000000-0005-0000-0000-0000C5350000}"/>
    <cellStyle name="Normal 5 5 2 2 4 2 3" xfId="12441" xr:uid="{00000000-0005-0000-0000-0000C6350000}"/>
    <cellStyle name="Normal 5 5 2 2 4 3" xfId="6078" xr:uid="{00000000-0005-0000-0000-0000C7350000}"/>
    <cellStyle name="Normal 5 5 2 2 4 3 2" xfId="14514" xr:uid="{00000000-0005-0000-0000-0000C8350000}"/>
    <cellStyle name="Normal 5 5 2 2 4 4" xfId="10296" xr:uid="{00000000-0005-0000-0000-0000C9350000}"/>
    <cellStyle name="Normal 5 5 2 2 5" xfId="2184" xr:uid="{00000000-0005-0000-0000-0000CA350000}"/>
    <cellStyle name="Normal 5 5 2 2 5 2" xfId="4413" xr:uid="{00000000-0005-0000-0000-0000CB350000}"/>
    <cellStyle name="Normal 5 5 2 2 5 2 2" xfId="8636" xr:uid="{00000000-0005-0000-0000-0000CC350000}"/>
    <cellStyle name="Normal 5 5 2 2 5 2 2 2" xfId="17072" xr:uid="{00000000-0005-0000-0000-0000CD350000}"/>
    <cellStyle name="Normal 5 5 2 2 5 2 3" xfId="12854" xr:uid="{00000000-0005-0000-0000-0000CE350000}"/>
    <cellStyle name="Normal 5 5 2 2 5 3" xfId="6491" xr:uid="{00000000-0005-0000-0000-0000CF350000}"/>
    <cellStyle name="Normal 5 5 2 2 5 3 2" xfId="14927" xr:uid="{00000000-0005-0000-0000-0000D0350000}"/>
    <cellStyle name="Normal 5 5 2 2 5 4" xfId="10709" xr:uid="{00000000-0005-0000-0000-0000D1350000}"/>
    <cellStyle name="Normal 5 5 2 2 6" xfId="2620" xr:uid="{00000000-0005-0000-0000-0000D2350000}"/>
    <cellStyle name="Normal 5 5 2 2 6 2" xfId="6904" xr:uid="{00000000-0005-0000-0000-0000D3350000}"/>
    <cellStyle name="Normal 5 5 2 2 6 2 2" xfId="15340" xr:uid="{00000000-0005-0000-0000-0000D4350000}"/>
    <cellStyle name="Normal 5 5 2 2 6 3" xfId="11122" xr:uid="{00000000-0005-0000-0000-0000D5350000}"/>
    <cellStyle name="Normal 5 5 2 2 7" xfId="4839" xr:uid="{00000000-0005-0000-0000-0000D6350000}"/>
    <cellStyle name="Normal 5 5 2 2 7 2" xfId="13275" xr:uid="{00000000-0005-0000-0000-0000D7350000}"/>
    <cellStyle name="Normal 5 5 2 2 8" xfId="9057" xr:uid="{00000000-0005-0000-0000-0000D8350000}"/>
    <cellStyle name="Normal 5 5 2 3" xfId="939" xr:uid="{00000000-0005-0000-0000-0000D9350000}"/>
    <cellStyle name="Normal 5 5 2 3 2" xfId="3173" xr:uid="{00000000-0005-0000-0000-0000DA350000}"/>
    <cellStyle name="Normal 5 5 2 3 2 2" xfId="7396" xr:uid="{00000000-0005-0000-0000-0000DB350000}"/>
    <cellStyle name="Normal 5 5 2 3 2 2 2" xfId="15832" xr:uid="{00000000-0005-0000-0000-0000DC350000}"/>
    <cellStyle name="Normal 5 5 2 3 2 3" xfId="11614" xr:uid="{00000000-0005-0000-0000-0000DD350000}"/>
    <cellStyle name="Normal 5 5 2 3 3" xfId="5251" xr:uid="{00000000-0005-0000-0000-0000DE350000}"/>
    <cellStyle name="Normal 5 5 2 3 3 2" xfId="13687" xr:uid="{00000000-0005-0000-0000-0000DF350000}"/>
    <cellStyle name="Normal 5 5 2 3 4" xfId="9469" xr:uid="{00000000-0005-0000-0000-0000E0350000}"/>
    <cellStyle name="Normal 5 5 2 4" xfId="1356" xr:uid="{00000000-0005-0000-0000-0000E1350000}"/>
    <cellStyle name="Normal 5 5 2 4 2" xfId="3586" xr:uid="{00000000-0005-0000-0000-0000E2350000}"/>
    <cellStyle name="Normal 5 5 2 4 2 2" xfId="7809" xr:uid="{00000000-0005-0000-0000-0000E3350000}"/>
    <cellStyle name="Normal 5 5 2 4 2 2 2" xfId="16245" xr:uid="{00000000-0005-0000-0000-0000E4350000}"/>
    <cellStyle name="Normal 5 5 2 4 2 3" xfId="12027" xr:uid="{00000000-0005-0000-0000-0000E5350000}"/>
    <cellStyle name="Normal 5 5 2 4 3" xfId="5664" xr:uid="{00000000-0005-0000-0000-0000E6350000}"/>
    <cellStyle name="Normal 5 5 2 4 3 2" xfId="14100" xr:uid="{00000000-0005-0000-0000-0000E7350000}"/>
    <cellStyle name="Normal 5 5 2 4 4" xfId="9882" xr:uid="{00000000-0005-0000-0000-0000E8350000}"/>
    <cellStyle name="Normal 5 5 2 5" xfId="1769" xr:uid="{00000000-0005-0000-0000-0000E9350000}"/>
    <cellStyle name="Normal 5 5 2 5 2" xfId="3999" xr:uid="{00000000-0005-0000-0000-0000EA350000}"/>
    <cellStyle name="Normal 5 5 2 5 2 2" xfId="8222" xr:uid="{00000000-0005-0000-0000-0000EB350000}"/>
    <cellStyle name="Normal 5 5 2 5 2 2 2" xfId="16658" xr:uid="{00000000-0005-0000-0000-0000EC350000}"/>
    <cellStyle name="Normal 5 5 2 5 2 3" xfId="12440" xr:uid="{00000000-0005-0000-0000-0000ED350000}"/>
    <cellStyle name="Normal 5 5 2 5 3" xfId="6077" xr:uid="{00000000-0005-0000-0000-0000EE350000}"/>
    <cellStyle name="Normal 5 5 2 5 3 2" xfId="14513" xr:uid="{00000000-0005-0000-0000-0000EF350000}"/>
    <cellStyle name="Normal 5 5 2 5 4" xfId="10295" xr:uid="{00000000-0005-0000-0000-0000F0350000}"/>
    <cellStyle name="Normal 5 5 2 6" xfId="2183" xr:uid="{00000000-0005-0000-0000-0000F1350000}"/>
    <cellStyle name="Normal 5 5 2 6 2" xfId="4412" xr:uid="{00000000-0005-0000-0000-0000F2350000}"/>
    <cellStyle name="Normal 5 5 2 6 2 2" xfId="8635" xr:uid="{00000000-0005-0000-0000-0000F3350000}"/>
    <cellStyle name="Normal 5 5 2 6 2 2 2" xfId="17071" xr:uid="{00000000-0005-0000-0000-0000F4350000}"/>
    <cellStyle name="Normal 5 5 2 6 2 3" xfId="12853" xr:uid="{00000000-0005-0000-0000-0000F5350000}"/>
    <cellStyle name="Normal 5 5 2 6 3" xfId="6490" xr:uid="{00000000-0005-0000-0000-0000F6350000}"/>
    <cellStyle name="Normal 5 5 2 6 3 2" xfId="14926" xr:uid="{00000000-0005-0000-0000-0000F7350000}"/>
    <cellStyle name="Normal 5 5 2 6 4" xfId="10708" xr:uid="{00000000-0005-0000-0000-0000F8350000}"/>
    <cellStyle name="Normal 5 5 2 7" xfId="2619" xr:uid="{00000000-0005-0000-0000-0000F9350000}"/>
    <cellStyle name="Normal 5 5 2 7 2" xfId="6903" xr:uid="{00000000-0005-0000-0000-0000FA350000}"/>
    <cellStyle name="Normal 5 5 2 7 2 2" xfId="15339" xr:uid="{00000000-0005-0000-0000-0000FB350000}"/>
    <cellStyle name="Normal 5 5 2 7 3" xfId="11121" xr:uid="{00000000-0005-0000-0000-0000FC350000}"/>
    <cellStyle name="Normal 5 5 2 8" xfId="4838" xr:uid="{00000000-0005-0000-0000-0000FD350000}"/>
    <cellStyle name="Normal 5 5 2 8 2" xfId="13274" xr:uid="{00000000-0005-0000-0000-0000FE350000}"/>
    <cellStyle name="Normal 5 5 2 9" xfId="9056" xr:uid="{00000000-0005-0000-0000-0000FF350000}"/>
    <cellStyle name="Normal 5 5 3" xfId="467" xr:uid="{00000000-0005-0000-0000-000000360000}"/>
    <cellStyle name="Normal 5 5 3 2" xfId="941" xr:uid="{00000000-0005-0000-0000-000001360000}"/>
    <cellStyle name="Normal 5 5 3 2 2" xfId="3175" xr:uid="{00000000-0005-0000-0000-000002360000}"/>
    <cellStyle name="Normal 5 5 3 2 2 2" xfId="7398" xr:uid="{00000000-0005-0000-0000-000003360000}"/>
    <cellStyle name="Normal 5 5 3 2 2 2 2" xfId="15834" xr:uid="{00000000-0005-0000-0000-000004360000}"/>
    <cellStyle name="Normal 5 5 3 2 2 3" xfId="11616" xr:uid="{00000000-0005-0000-0000-000005360000}"/>
    <cellStyle name="Normal 5 5 3 2 3" xfId="5253" xr:uid="{00000000-0005-0000-0000-000006360000}"/>
    <cellStyle name="Normal 5 5 3 2 3 2" xfId="13689" xr:uid="{00000000-0005-0000-0000-000007360000}"/>
    <cellStyle name="Normal 5 5 3 2 4" xfId="9471" xr:uid="{00000000-0005-0000-0000-000008360000}"/>
    <cellStyle name="Normal 5 5 3 3" xfId="1358" xr:uid="{00000000-0005-0000-0000-000009360000}"/>
    <cellStyle name="Normal 5 5 3 3 2" xfId="3588" xr:uid="{00000000-0005-0000-0000-00000A360000}"/>
    <cellStyle name="Normal 5 5 3 3 2 2" xfId="7811" xr:uid="{00000000-0005-0000-0000-00000B360000}"/>
    <cellStyle name="Normal 5 5 3 3 2 2 2" xfId="16247" xr:uid="{00000000-0005-0000-0000-00000C360000}"/>
    <cellStyle name="Normal 5 5 3 3 2 3" xfId="12029" xr:uid="{00000000-0005-0000-0000-00000D360000}"/>
    <cellStyle name="Normal 5 5 3 3 3" xfId="5666" xr:uid="{00000000-0005-0000-0000-00000E360000}"/>
    <cellStyle name="Normal 5 5 3 3 3 2" xfId="14102" xr:uid="{00000000-0005-0000-0000-00000F360000}"/>
    <cellStyle name="Normal 5 5 3 3 4" xfId="9884" xr:uid="{00000000-0005-0000-0000-000010360000}"/>
    <cellStyle name="Normal 5 5 3 4" xfId="1771" xr:uid="{00000000-0005-0000-0000-000011360000}"/>
    <cellStyle name="Normal 5 5 3 4 2" xfId="4001" xr:uid="{00000000-0005-0000-0000-000012360000}"/>
    <cellStyle name="Normal 5 5 3 4 2 2" xfId="8224" xr:uid="{00000000-0005-0000-0000-000013360000}"/>
    <cellStyle name="Normal 5 5 3 4 2 2 2" xfId="16660" xr:uid="{00000000-0005-0000-0000-000014360000}"/>
    <cellStyle name="Normal 5 5 3 4 2 3" xfId="12442" xr:uid="{00000000-0005-0000-0000-000015360000}"/>
    <cellStyle name="Normal 5 5 3 4 3" xfId="6079" xr:uid="{00000000-0005-0000-0000-000016360000}"/>
    <cellStyle name="Normal 5 5 3 4 3 2" xfId="14515" xr:uid="{00000000-0005-0000-0000-000017360000}"/>
    <cellStyle name="Normal 5 5 3 4 4" xfId="10297" xr:uid="{00000000-0005-0000-0000-000018360000}"/>
    <cellStyle name="Normal 5 5 3 5" xfId="2185" xr:uid="{00000000-0005-0000-0000-000019360000}"/>
    <cellStyle name="Normal 5 5 3 5 2" xfId="4414" xr:uid="{00000000-0005-0000-0000-00001A360000}"/>
    <cellStyle name="Normal 5 5 3 5 2 2" xfId="8637" xr:uid="{00000000-0005-0000-0000-00001B360000}"/>
    <cellStyle name="Normal 5 5 3 5 2 2 2" xfId="17073" xr:uid="{00000000-0005-0000-0000-00001C360000}"/>
    <cellStyle name="Normal 5 5 3 5 2 3" xfId="12855" xr:uid="{00000000-0005-0000-0000-00001D360000}"/>
    <cellStyle name="Normal 5 5 3 5 3" xfId="6492" xr:uid="{00000000-0005-0000-0000-00001E360000}"/>
    <cellStyle name="Normal 5 5 3 5 3 2" xfId="14928" xr:uid="{00000000-0005-0000-0000-00001F360000}"/>
    <cellStyle name="Normal 5 5 3 5 4" xfId="10710" xr:uid="{00000000-0005-0000-0000-000020360000}"/>
    <cellStyle name="Normal 5 5 3 6" xfId="2621" xr:uid="{00000000-0005-0000-0000-000021360000}"/>
    <cellStyle name="Normal 5 5 3 6 2" xfId="6905" xr:uid="{00000000-0005-0000-0000-000022360000}"/>
    <cellStyle name="Normal 5 5 3 6 2 2" xfId="15341" xr:uid="{00000000-0005-0000-0000-000023360000}"/>
    <cellStyle name="Normal 5 5 3 6 3" xfId="11123" xr:uid="{00000000-0005-0000-0000-000024360000}"/>
    <cellStyle name="Normal 5 5 3 7" xfId="4840" xr:uid="{00000000-0005-0000-0000-000025360000}"/>
    <cellStyle name="Normal 5 5 3 7 2" xfId="13276" xr:uid="{00000000-0005-0000-0000-000026360000}"/>
    <cellStyle name="Normal 5 5 3 8" xfId="9058" xr:uid="{00000000-0005-0000-0000-000027360000}"/>
    <cellStyle name="Normal 5 5 4" xfId="938" xr:uid="{00000000-0005-0000-0000-000028360000}"/>
    <cellStyle name="Normal 5 5 4 2" xfId="3172" xr:uid="{00000000-0005-0000-0000-000029360000}"/>
    <cellStyle name="Normal 5 5 4 2 2" xfId="7395" xr:uid="{00000000-0005-0000-0000-00002A360000}"/>
    <cellStyle name="Normal 5 5 4 2 2 2" xfId="15831" xr:uid="{00000000-0005-0000-0000-00002B360000}"/>
    <cellStyle name="Normal 5 5 4 2 3" xfId="11613" xr:uid="{00000000-0005-0000-0000-00002C360000}"/>
    <cellStyle name="Normal 5 5 4 3" xfId="5250" xr:uid="{00000000-0005-0000-0000-00002D360000}"/>
    <cellStyle name="Normal 5 5 4 3 2" xfId="13686" xr:uid="{00000000-0005-0000-0000-00002E360000}"/>
    <cellStyle name="Normal 5 5 4 4" xfId="9468" xr:uid="{00000000-0005-0000-0000-00002F360000}"/>
    <cellStyle name="Normal 5 5 5" xfId="1355" xr:uid="{00000000-0005-0000-0000-000030360000}"/>
    <cellStyle name="Normal 5 5 5 2" xfId="3585" xr:uid="{00000000-0005-0000-0000-000031360000}"/>
    <cellStyle name="Normal 5 5 5 2 2" xfId="7808" xr:uid="{00000000-0005-0000-0000-000032360000}"/>
    <cellStyle name="Normal 5 5 5 2 2 2" xfId="16244" xr:uid="{00000000-0005-0000-0000-000033360000}"/>
    <cellStyle name="Normal 5 5 5 2 3" xfId="12026" xr:uid="{00000000-0005-0000-0000-000034360000}"/>
    <cellStyle name="Normal 5 5 5 3" xfId="5663" xr:uid="{00000000-0005-0000-0000-000035360000}"/>
    <cellStyle name="Normal 5 5 5 3 2" xfId="14099" xr:uid="{00000000-0005-0000-0000-000036360000}"/>
    <cellStyle name="Normal 5 5 5 4" xfId="9881" xr:uid="{00000000-0005-0000-0000-000037360000}"/>
    <cellStyle name="Normal 5 5 6" xfId="1768" xr:uid="{00000000-0005-0000-0000-000038360000}"/>
    <cellStyle name="Normal 5 5 6 2" xfId="3998" xr:uid="{00000000-0005-0000-0000-000039360000}"/>
    <cellStyle name="Normal 5 5 6 2 2" xfId="8221" xr:uid="{00000000-0005-0000-0000-00003A360000}"/>
    <cellStyle name="Normal 5 5 6 2 2 2" xfId="16657" xr:uid="{00000000-0005-0000-0000-00003B360000}"/>
    <cellStyle name="Normal 5 5 6 2 3" xfId="12439" xr:uid="{00000000-0005-0000-0000-00003C360000}"/>
    <cellStyle name="Normal 5 5 6 3" xfId="6076" xr:uid="{00000000-0005-0000-0000-00003D360000}"/>
    <cellStyle name="Normal 5 5 6 3 2" xfId="14512" xr:uid="{00000000-0005-0000-0000-00003E360000}"/>
    <cellStyle name="Normal 5 5 6 4" xfId="10294" xr:uid="{00000000-0005-0000-0000-00003F360000}"/>
    <cellStyle name="Normal 5 5 7" xfId="2182" xr:uid="{00000000-0005-0000-0000-000040360000}"/>
    <cellStyle name="Normal 5 5 7 2" xfId="4411" xr:uid="{00000000-0005-0000-0000-000041360000}"/>
    <cellStyle name="Normal 5 5 7 2 2" xfId="8634" xr:uid="{00000000-0005-0000-0000-000042360000}"/>
    <cellStyle name="Normal 5 5 7 2 2 2" xfId="17070" xr:uid="{00000000-0005-0000-0000-000043360000}"/>
    <cellStyle name="Normal 5 5 7 2 3" xfId="12852" xr:uid="{00000000-0005-0000-0000-000044360000}"/>
    <cellStyle name="Normal 5 5 7 3" xfId="6489" xr:uid="{00000000-0005-0000-0000-000045360000}"/>
    <cellStyle name="Normal 5 5 7 3 2" xfId="14925" xr:uid="{00000000-0005-0000-0000-000046360000}"/>
    <cellStyle name="Normal 5 5 7 4" xfId="10707" xr:uid="{00000000-0005-0000-0000-000047360000}"/>
    <cellStyle name="Normal 5 5 8" xfId="2618" xr:uid="{00000000-0005-0000-0000-000048360000}"/>
    <cellStyle name="Normal 5 5 8 2" xfId="6902" xr:uid="{00000000-0005-0000-0000-000049360000}"/>
    <cellStyle name="Normal 5 5 8 2 2" xfId="15338" xr:uid="{00000000-0005-0000-0000-00004A360000}"/>
    <cellStyle name="Normal 5 5 8 3" xfId="11120" xr:uid="{00000000-0005-0000-0000-00004B360000}"/>
    <cellStyle name="Normal 5 5 9" xfId="4837" xr:uid="{00000000-0005-0000-0000-00004C360000}"/>
    <cellStyle name="Normal 5 5 9 2" xfId="13273" xr:uid="{00000000-0005-0000-0000-00004D360000}"/>
    <cellStyle name="Normal 5 6" xfId="468" xr:uid="{00000000-0005-0000-0000-00004E360000}"/>
    <cellStyle name="Normal 5 6 2" xfId="469" xr:uid="{00000000-0005-0000-0000-00004F360000}"/>
    <cellStyle name="Normal 5 6 2 2" xfId="943" xr:uid="{00000000-0005-0000-0000-000050360000}"/>
    <cellStyle name="Normal 5 6 2 2 2" xfId="3177" xr:uid="{00000000-0005-0000-0000-000051360000}"/>
    <cellStyle name="Normal 5 6 2 2 2 2" xfId="7400" xr:uid="{00000000-0005-0000-0000-000052360000}"/>
    <cellStyle name="Normal 5 6 2 2 2 2 2" xfId="15836" xr:uid="{00000000-0005-0000-0000-000053360000}"/>
    <cellStyle name="Normal 5 6 2 2 2 3" xfId="11618" xr:uid="{00000000-0005-0000-0000-000054360000}"/>
    <cellStyle name="Normal 5 6 2 2 3" xfId="5255" xr:uid="{00000000-0005-0000-0000-000055360000}"/>
    <cellStyle name="Normal 5 6 2 2 3 2" xfId="13691" xr:uid="{00000000-0005-0000-0000-000056360000}"/>
    <cellStyle name="Normal 5 6 2 2 4" xfId="9473" xr:uid="{00000000-0005-0000-0000-000057360000}"/>
    <cellStyle name="Normal 5 6 2 3" xfId="1360" xr:uid="{00000000-0005-0000-0000-000058360000}"/>
    <cellStyle name="Normal 5 6 2 3 2" xfId="3590" xr:uid="{00000000-0005-0000-0000-000059360000}"/>
    <cellStyle name="Normal 5 6 2 3 2 2" xfId="7813" xr:uid="{00000000-0005-0000-0000-00005A360000}"/>
    <cellStyle name="Normal 5 6 2 3 2 2 2" xfId="16249" xr:uid="{00000000-0005-0000-0000-00005B360000}"/>
    <cellStyle name="Normal 5 6 2 3 2 3" xfId="12031" xr:uid="{00000000-0005-0000-0000-00005C360000}"/>
    <cellStyle name="Normal 5 6 2 3 3" xfId="5668" xr:uid="{00000000-0005-0000-0000-00005D360000}"/>
    <cellStyle name="Normal 5 6 2 3 3 2" xfId="14104" xr:uid="{00000000-0005-0000-0000-00005E360000}"/>
    <cellStyle name="Normal 5 6 2 3 4" xfId="9886" xr:uid="{00000000-0005-0000-0000-00005F360000}"/>
    <cellStyle name="Normal 5 6 2 4" xfId="1773" xr:uid="{00000000-0005-0000-0000-000060360000}"/>
    <cellStyle name="Normal 5 6 2 4 2" xfId="4003" xr:uid="{00000000-0005-0000-0000-000061360000}"/>
    <cellStyle name="Normal 5 6 2 4 2 2" xfId="8226" xr:uid="{00000000-0005-0000-0000-000062360000}"/>
    <cellStyle name="Normal 5 6 2 4 2 2 2" xfId="16662" xr:uid="{00000000-0005-0000-0000-000063360000}"/>
    <cellStyle name="Normal 5 6 2 4 2 3" xfId="12444" xr:uid="{00000000-0005-0000-0000-000064360000}"/>
    <cellStyle name="Normal 5 6 2 4 3" xfId="6081" xr:uid="{00000000-0005-0000-0000-000065360000}"/>
    <cellStyle name="Normal 5 6 2 4 3 2" xfId="14517" xr:uid="{00000000-0005-0000-0000-000066360000}"/>
    <cellStyle name="Normal 5 6 2 4 4" xfId="10299" xr:uid="{00000000-0005-0000-0000-000067360000}"/>
    <cellStyle name="Normal 5 6 2 5" xfId="2187" xr:uid="{00000000-0005-0000-0000-000068360000}"/>
    <cellStyle name="Normal 5 6 2 5 2" xfId="4416" xr:uid="{00000000-0005-0000-0000-000069360000}"/>
    <cellStyle name="Normal 5 6 2 5 2 2" xfId="8639" xr:uid="{00000000-0005-0000-0000-00006A360000}"/>
    <cellStyle name="Normal 5 6 2 5 2 2 2" xfId="17075" xr:uid="{00000000-0005-0000-0000-00006B360000}"/>
    <cellStyle name="Normal 5 6 2 5 2 3" xfId="12857" xr:uid="{00000000-0005-0000-0000-00006C360000}"/>
    <cellStyle name="Normal 5 6 2 5 3" xfId="6494" xr:uid="{00000000-0005-0000-0000-00006D360000}"/>
    <cellStyle name="Normal 5 6 2 5 3 2" xfId="14930" xr:uid="{00000000-0005-0000-0000-00006E360000}"/>
    <cellStyle name="Normal 5 6 2 5 4" xfId="10712" xr:uid="{00000000-0005-0000-0000-00006F360000}"/>
    <cellStyle name="Normal 5 6 2 6" xfId="2623" xr:uid="{00000000-0005-0000-0000-000070360000}"/>
    <cellStyle name="Normal 5 6 2 6 2" xfId="6907" xr:uid="{00000000-0005-0000-0000-000071360000}"/>
    <cellStyle name="Normal 5 6 2 6 2 2" xfId="15343" xr:uid="{00000000-0005-0000-0000-000072360000}"/>
    <cellStyle name="Normal 5 6 2 6 3" xfId="11125" xr:uid="{00000000-0005-0000-0000-000073360000}"/>
    <cellStyle name="Normal 5 6 2 7" xfId="4842" xr:uid="{00000000-0005-0000-0000-000074360000}"/>
    <cellStyle name="Normal 5 6 2 7 2" xfId="13278" xr:uid="{00000000-0005-0000-0000-000075360000}"/>
    <cellStyle name="Normal 5 6 2 8" xfId="9060" xr:uid="{00000000-0005-0000-0000-000076360000}"/>
    <cellStyle name="Normal 5 6 3" xfId="942" xr:uid="{00000000-0005-0000-0000-000077360000}"/>
    <cellStyle name="Normal 5 6 3 2" xfId="3176" xr:uid="{00000000-0005-0000-0000-000078360000}"/>
    <cellStyle name="Normal 5 6 3 2 2" xfId="7399" xr:uid="{00000000-0005-0000-0000-000079360000}"/>
    <cellStyle name="Normal 5 6 3 2 2 2" xfId="15835" xr:uid="{00000000-0005-0000-0000-00007A360000}"/>
    <cellStyle name="Normal 5 6 3 2 3" xfId="11617" xr:uid="{00000000-0005-0000-0000-00007B360000}"/>
    <cellStyle name="Normal 5 6 3 3" xfId="5254" xr:uid="{00000000-0005-0000-0000-00007C360000}"/>
    <cellStyle name="Normal 5 6 3 3 2" xfId="13690" xr:uid="{00000000-0005-0000-0000-00007D360000}"/>
    <cellStyle name="Normal 5 6 3 4" xfId="9472" xr:uid="{00000000-0005-0000-0000-00007E360000}"/>
    <cellStyle name="Normal 5 6 4" xfId="1359" xr:uid="{00000000-0005-0000-0000-00007F360000}"/>
    <cellStyle name="Normal 5 6 4 2" xfId="3589" xr:uid="{00000000-0005-0000-0000-000080360000}"/>
    <cellStyle name="Normal 5 6 4 2 2" xfId="7812" xr:uid="{00000000-0005-0000-0000-000081360000}"/>
    <cellStyle name="Normal 5 6 4 2 2 2" xfId="16248" xr:uid="{00000000-0005-0000-0000-000082360000}"/>
    <cellStyle name="Normal 5 6 4 2 3" xfId="12030" xr:uid="{00000000-0005-0000-0000-000083360000}"/>
    <cellStyle name="Normal 5 6 4 3" xfId="5667" xr:uid="{00000000-0005-0000-0000-000084360000}"/>
    <cellStyle name="Normal 5 6 4 3 2" xfId="14103" xr:uid="{00000000-0005-0000-0000-000085360000}"/>
    <cellStyle name="Normal 5 6 4 4" xfId="9885" xr:uid="{00000000-0005-0000-0000-000086360000}"/>
    <cellStyle name="Normal 5 6 5" xfId="1772" xr:uid="{00000000-0005-0000-0000-000087360000}"/>
    <cellStyle name="Normal 5 6 5 2" xfId="4002" xr:uid="{00000000-0005-0000-0000-000088360000}"/>
    <cellStyle name="Normal 5 6 5 2 2" xfId="8225" xr:uid="{00000000-0005-0000-0000-000089360000}"/>
    <cellStyle name="Normal 5 6 5 2 2 2" xfId="16661" xr:uid="{00000000-0005-0000-0000-00008A360000}"/>
    <cellStyle name="Normal 5 6 5 2 3" xfId="12443" xr:uid="{00000000-0005-0000-0000-00008B360000}"/>
    <cellStyle name="Normal 5 6 5 3" xfId="6080" xr:uid="{00000000-0005-0000-0000-00008C360000}"/>
    <cellStyle name="Normal 5 6 5 3 2" xfId="14516" xr:uid="{00000000-0005-0000-0000-00008D360000}"/>
    <cellStyle name="Normal 5 6 5 4" xfId="10298" xr:uid="{00000000-0005-0000-0000-00008E360000}"/>
    <cellStyle name="Normal 5 6 6" xfId="2186" xr:uid="{00000000-0005-0000-0000-00008F360000}"/>
    <cellStyle name="Normal 5 6 6 2" xfId="4415" xr:uid="{00000000-0005-0000-0000-000090360000}"/>
    <cellStyle name="Normal 5 6 6 2 2" xfId="8638" xr:uid="{00000000-0005-0000-0000-000091360000}"/>
    <cellStyle name="Normal 5 6 6 2 2 2" xfId="17074" xr:uid="{00000000-0005-0000-0000-000092360000}"/>
    <cellStyle name="Normal 5 6 6 2 3" xfId="12856" xr:uid="{00000000-0005-0000-0000-000093360000}"/>
    <cellStyle name="Normal 5 6 6 3" xfId="6493" xr:uid="{00000000-0005-0000-0000-000094360000}"/>
    <cellStyle name="Normal 5 6 6 3 2" xfId="14929" xr:uid="{00000000-0005-0000-0000-000095360000}"/>
    <cellStyle name="Normal 5 6 6 4" xfId="10711" xr:uid="{00000000-0005-0000-0000-000096360000}"/>
    <cellStyle name="Normal 5 6 7" xfId="2622" xr:uid="{00000000-0005-0000-0000-000097360000}"/>
    <cellStyle name="Normal 5 6 7 2" xfId="6906" xr:uid="{00000000-0005-0000-0000-000098360000}"/>
    <cellStyle name="Normal 5 6 7 2 2" xfId="15342" xr:uid="{00000000-0005-0000-0000-000099360000}"/>
    <cellStyle name="Normal 5 6 7 3" xfId="11124" xr:uid="{00000000-0005-0000-0000-00009A360000}"/>
    <cellStyle name="Normal 5 6 8" xfId="4841" xr:uid="{00000000-0005-0000-0000-00009B360000}"/>
    <cellStyle name="Normal 5 6 8 2" xfId="13277" xr:uid="{00000000-0005-0000-0000-00009C360000}"/>
    <cellStyle name="Normal 5 6 9" xfId="9059" xr:uid="{00000000-0005-0000-0000-00009D360000}"/>
    <cellStyle name="Normal 5 7" xfId="470" xr:uid="{00000000-0005-0000-0000-00009E360000}"/>
    <cellStyle name="Normal 5 7 2" xfId="944" xr:uid="{00000000-0005-0000-0000-00009F360000}"/>
    <cellStyle name="Normal 5 7 2 2" xfId="3178" xr:uid="{00000000-0005-0000-0000-0000A0360000}"/>
    <cellStyle name="Normal 5 7 2 2 2" xfId="7401" xr:uid="{00000000-0005-0000-0000-0000A1360000}"/>
    <cellStyle name="Normal 5 7 2 2 2 2" xfId="15837" xr:uid="{00000000-0005-0000-0000-0000A2360000}"/>
    <cellStyle name="Normal 5 7 2 2 3" xfId="11619" xr:uid="{00000000-0005-0000-0000-0000A3360000}"/>
    <cellStyle name="Normal 5 7 2 3" xfId="5256" xr:uid="{00000000-0005-0000-0000-0000A4360000}"/>
    <cellStyle name="Normal 5 7 2 3 2" xfId="13692" xr:uid="{00000000-0005-0000-0000-0000A5360000}"/>
    <cellStyle name="Normal 5 7 2 4" xfId="9474" xr:uid="{00000000-0005-0000-0000-0000A6360000}"/>
    <cellStyle name="Normal 5 7 3" xfId="1361" xr:uid="{00000000-0005-0000-0000-0000A7360000}"/>
    <cellStyle name="Normal 5 7 3 2" xfId="3591" xr:uid="{00000000-0005-0000-0000-0000A8360000}"/>
    <cellStyle name="Normal 5 7 3 2 2" xfId="7814" xr:uid="{00000000-0005-0000-0000-0000A9360000}"/>
    <cellStyle name="Normal 5 7 3 2 2 2" xfId="16250" xr:uid="{00000000-0005-0000-0000-0000AA360000}"/>
    <cellStyle name="Normal 5 7 3 2 3" xfId="12032" xr:uid="{00000000-0005-0000-0000-0000AB360000}"/>
    <cellStyle name="Normal 5 7 3 3" xfId="5669" xr:uid="{00000000-0005-0000-0000-0000AC360000}"/>
    <cellStyle name="Normal 5 7 3 3 2" xfId="14105" xr:uid="{00000000-0005-0000-0000-0000AD360000}"/>
    <cellStyle name="Normal 5 7 3 4" xfId="9887" xr:uid="{00000000-0005-0000-0000-0000AE360000}"/>
    <cellStyle name="Normal 5 7 4" xfId="1774" xr:uid="{00000000-0005-0000-0000-0000AF360000}"/>
    <cellStyle name="Normal 5 7 4 2" xfId="4004" xr:uid="{00000000-0005-0000-0000-0000B0360000}"/>
    <cellStyle name="Normal 5 7 4 2 2" xfId="8227" xr:uid="{00000000-0005-0000-0000-0000B1360000}"/>
    <cellStyle name="Normal 5 7 4 2 2 2" xfId="16663" xr:uid="{00000000-0005-0000-0000-0000B2360000}"/>
    <cellStyle name="Normal 5 7 4 2 3" xfId="12445" xr:uid="{00000000-0005-0000-0000-0000B3360000}"/>
    <cellStyle name="Normal 5 7 4 3" xfId="6082" xr:uid="{00000000-0005-0000-0000-0000B4360000}"/>
    <cellStyle name="Normal 5 7 4 3 2" xfId="14518" xr:uid="{00000000-0005-0000-0000-0000B5360000}"/>
    <cellStyle name="Normal 5 7 4 4" xfId="10300" xr:uid="{00000000-0005-0000-0000-0000B6360000}"/>
    <cellStyle name="Normal 5 7 5" xfId="2188" xr:uid="{00000000-0005-0000-0000-0000B7360000}"/>
    <cellStyle name="Normal 5 7 5 2" xfId="4417" xr:uid="{00000000-0005-0000-0000-0000B8360000}"/>
    <cellStyle name="Normal 5 7 5 2 2" xfId="8640" xr:uid="{00000000-0005-0000-0000-0000B9360000}"/>
    <cellStyle name="Normal 5 7 5 2 2 2" xfId="17076" xr:uid="{00000000-0005-0000-0000-0000BA360000}"/>
    <cellStyle name="Normal 5 7 5 2 3" xfId="12858" xr:uid="{00000000-0005-0000-0000-0000BB360000}"/>
    <cellStyle name="Normal 5 7 5 3" xfId="6495" xr:uid="{00000000-0005-0000-0000-0000BC360000}"/>
    <cellStyle name="Normal 5 7 5 3 2" xfId="14931" xr:uid="{00000000-0005-0000-0000-0000BD360000}"/>
    <cellStyle name="Normal 5 7 5 4" xfId="10713" xr:uid="{00000000-0005-0000-0000-0000BE360000}"/>
    <cellStyle name="Normal 5 7 6" xfId="2624" xr:uid="{00000000-0005-0000-0000-0000BF360000}"/>
    <cellStyle name="Normal 5 7 6 2" xfId="6908" xr:uid="{00000000-0005-0000-0000-0000C0360000}"/>
    <cellStyle name="Normal 5 7 6 2 2" xfId="15344" xr:uid="{00000000-0005-0000-0000-0000C1360000}"/>
    <cellStyle name="Normal 5 7 6 3" xfId="11126" xr:uid="{00000000-0005-0000-0000-0000C2360000}"/>
    <cellStyle name="Normal 5 7 7" xfId="4843" xr:uid="{00000000-0005-0000-0000-0000C3360000}"/>
    <cellStyle name="Normal 5 7 7 2" xfId="13279" xr:uid="{00000000-0005-0000-0000-0000C4360000}"/>
    <cellStyle name="Normal 5 7 8" xfId="9061" xr:uid="{00000000-0005-0000-0000-0000C5360000}"/>
    <cellStyle name="Normal 5 8" xfId="880" xr:uid="{00000000-0005-0000-0000-0000C6360000}"/>
    <cellStyle name="Normal 5 8 2" xfId="3115" xr:uid="{00000000-0005-0000-0000-0000C7360000}"/>
    <cellStyle name="Normal 5 8 2 2" xfId="7338" xr:uid="{00000000-0005-0000-0000-0000C8360000}"/>
    <cellStyle name="Normal 5 8 2 2 2" xfId="15774" xr:uid="{00000000-0005-0000-0000-0000C9360000}"/>
    <cellStyle name="Normal 5 8 2 3" xfId="11556" xr:uid="{00000000-0005-0000-0000-0000CA360000}"/>
    <cellStyle name="Normal 5 8 3" xfId="5193" xr:uid="{00000000-0005-0000-0000-0000CB360000}"/>
    <cellStyle name="Normal 5 8 3 2" xfId="13629" xr:uid="{00000000-0005-0000-0000-0000CC360000}"/>
    <cellStyle name="Normal 5 8 4" xfId="9411" xr:uid="{00000000-0005-0000-0000-0000CD360000}"/>
    <cellStyle name="Normal 5 9" xfId="1298" xr:uid="{00000000-0005-0000-0000-0000CE360000}"/>
    <cellStyle name="Normal 5 9 2" xfId="3528" xr:uid="{00000000-0005-0000-0000-0000CF360000}"/>
    <cellStyle name="Normal 5 9 2 2" xfId="7751" xr:uid="{00000000-0005-0000-0000-0000D0360000}"/>
    <cellStyle name="Normal 5 9 2 2 2" xfId="16187" xr:uid="{00000000-0005-0000-0000-0000D1360000}"/>
    <cellStyle name="Normal 5 9 2 3" xfId="11969" xr:uid="{00000000-0005-0000-0000-0000D2360000}"/>
    <cellStyle name="Normal 5 9 3" xfId="5606" xr:uid="{00000000-0005-0000-0000-0000D3360000}"/>
    <cellStyle name="Normal 5 9 3 2" xfId="14042" xr:uid="{00000000-0005-0000-0000-0000D4360000}"/>
    <cellStyle name="Normal 5 9 4" xfId="9824" xr:uid="{00000000-0005-0000-0000-0000D5360000}"/>
    <cellStyle name="Normal 6" xfId="471" xr:uid="{00000000-0005-0000-0000-0000D6360000}"/>
    <cellStyle name="Normal 6 2" xfId="472" xr:uid="{00000000-0005-0000-0000-0000D7360000}"/>
    <cellStyle name="Normal 6 3" xfId="473" xr:uid="{00000000-0005-0000-0000-0000D8360000}"/>
    <cellStyle name="Normal 6 3 2" xfId="474" xr:uid="{00000000-0005-0000-0000-0000D9360000}"/>
    <cellStyle name="Normal 6 3 3" xfId="475" xr:uid="{00000000-0005-0000-0000-0000DA360000}"/>
    <cellStyle name="Normal 7" xfId="476" xr:uid="{00000000-0005-0000-0000-0000DB360000}"/>
    <cellStyle name="Normal 7 2" xfId="477" xr:uid="{00000000-0005-0000-0000-0000DC360000}"/>
    <cellStyle name="Normal 8" xfId="478" xr:uid="{00000000-0005-0000-0000-0000DD360000}"/>
    <cellStyle name="Normal 8 10" xfId="2189" xr:uid="{00000000-0005-0000-0000-0000DE360000}"/>
    <cellStyle name="Normal 8 10 2" xfId="4418" xr:uid="{00000000-0005-0000-0000-0000DF360000}"/>
    <cellStyle name="Normal 8 10 2 2" xfId="8641" xr:uid="{00000000-0005-0000-0000-0000E0360000}"/>
    <cellStyle name="Normal 8 10 2 2 2" xfId="17077" xr:uid="{00000000-0005-0000-0000-0000E1360000}"/>
    <cellStyle name="Normal 8 10 2 3" xfId="12859" xr:uid="{00000000-0005-0000-0000-0000E2360000}"/>
    <cellStyle name="Normal 8 10 3" xfId="6496" xr:uid="{00000000-0005-0000-0000-0000E3360000}"/>
    <cellStyle name="Normal 8 10 3 2" xfId="14932" xr:uid="{00000000-0005-0000-0000-0000E4360000}"/>
    <cellStyle name="Normal 8 10 4" xfId="10714" xr:uid="{00000000-0005-0000-0000-0000E5360000}"/>
    <cellStyle name="Normal 8 11" xfId="2625" xr:uid="{00000000-0005-0000-0000-0000E6360000}"/>
    <cellStyle name="Normal 8 11 2" xfId="6909" xr:uid="{00000000-0005-0000-0000-0000E7360000}"/>
    <cellStyle name="Normal 8 11 2 2" xfId="15345" xr:uid="{00000000-0005-0000-0000-0000E8360000}"/>
    <cellStyle name="Normal 8 11 3" xfId="11127" xr:uid="{00000000-0005-0000-0000-0000E9360000}"/>
    <cellStyle name="Normal 8 12" xfId="4844" xr:uid="{00000000-0005-0000-0000-0000EA360000}"/>
    <cellStyle name="Normal 8 12 2" xfId="13280" xr:uid="{00000000-0005-0000-0000-0000EB360000}"/>
    <cellStyle name="Normal 8 13" xfId="9062" xr:uid="{00000000-0005-0000-0000-0000EC360000}"/>
    <cellStyle name="Normal 8 2" xfId="479" xr:uid="{00000000-0005-0000-0000-0000ED360000}"/>
    <cellStyle name="Normal 8 2 10" xfId="2626" xr:uid="{00000000-0005-0000-0000-0000EE360000}"/>
    <cellStyle name="Normal 8 2 10 2" xfId="6910" xr:uid="{00000000-0005-0000-0000-0000EF360000}"/>
    <cellStyle name="Normal 8 2 10 2 2" xfId="15346" xr:uid="{00000000-0005-0000-0000-0000F0360000}"/>
    <cellStyle name="Normal 8 2 10 3" xfId="11128" xr:uid="{00000000-0005-0000-0000-0000F1360000}"/>
    <cellStyle name="Normal 8 2 11" xfId="4845" xr:uid="{00000000-0005-0000-0000-0000F2360000}"/>
    <cellStyle name="Normal 8 2 11 2" xfId="13281" xr:uid="{00000000-0005-0000-0000-0000F3360000}"/>
    <cellStyle name="Normal 8 2 12" xfId="9063" xr:uid="{00000000-0005-0000-0000-0000F4360000}"/>
    <cellStyle name="Normal 8 2 2" xfId="480" xr:uid="{00000000-0005-0000-0000-0000F5360000}"/>
    <cellStyle name="Normal 8 2 2 10" xfId="4846" xr:uid="{00000000-0005-0000-0000-0000F6360000}"/>
    <cellStyle name="Normal 8 2 2 10 2" xfId="13282" xr:uid="{00000000-0005-0000-0000-0000F7360000}"/>
    <cellStyle name="Normal 8 2 2 11" xfId="9064" xr:uid="{00000000-0005-0000-0000-0000F8360000}"/>
    <cellStyle name="Normal 8 2 2 2" xfId="481" xr:uid="{00000000-0005-0000-0000-0000F9360000}"/>
    <cellStyle name="Normal 8 2 2 2 10" xfId="9065" xr:uid="{00000000-0005-0000-0000-0000FA360000}"/>
    <cellStyle name="Normal 8 2 2 2 2" xfId="482" xr:uid="{00000000-0005-0000-0000-0000FB360000}"/>
    <cellStyle name="Normal 8 2 2 2 2 2" xfId="483" xr:uid="{00000000-0005-0000-0000-0000FC360000}"/>
    <cellStyle name="Normal 8 2 2 2 2 2 2" xfId="950" xr:uid="{00000000-0005-0000-0000-0000FD360000}"/>
    <cellStyle name="Normal 8 2 2 2 2 2 2 2" xfId="3184" xr:uid="{00000000-0005-0000-0000-0000FE360000}"/>
    <cellStyle name="Normal 8 2 2 2 2 2 2 2 2" xfId="7407" xr:uid="{00000000-0005-0000-0000-0000FF360000}"/>
    <cellStyle name="Normal 8 2 2 2 2 2 2 2 2 2" xfId="15843" xr:uid="{00000000-0005-0000-0000-000000370000}"/>
    <cellStyle name="Normal 8 2 2 2 2 2 2 2 3" xfId="11625" xr:uid="{00000000-0005-0000-0000-000001370000}"/>
    <cellStyle name="Normal 8 2 2 2 2 2 2 3" xfId="5262" xr:uid="{00000000-0005-0000-0000-000002370000}"/>
    <cellStyle name="Normal 8 2 2 2 2 2 2 3 2" xfId="13698" xr:uid="{00000000-0005-0000-0000-000003370000}"/>
    <cellStyle name="Normal 8 2 2 2 2 2 2 4" xfId="9480" xr:uid="{00000000-0005-0000-0000-000004370000}"/>
    <cellStyle name="Normal 8 2 2 2 2 2 3" xfId="1367" xr:uid="{00000000-0005-0000-0000-000005370000}"/>
    <cellStyle name="Normal 8 2 2 2 2 2 3 2" xfId="3597" xr:uid="{00000000-0005-0000-0000-000006370000}"/>
    <cellStyle name="Normal 8 2 2 2 2 2 3 2 2" xfId="7820" xr:uid="{00000000-0005-0000-0000-000007370000}"/>
    <cellStyle name="Normal 8 2 2 2 2 2 3 2 2 2" xfId="16256" xr:uid="{00000000-0005-0000-0000-000008370000}"/>
    <cellStyle name="Normal 8 2 2 2 2 2 3 2 3" xfId="12038" xr:uid="{00000000-0005-0000-0000-000009370000}"/>
    <cellStyle name="Normal 8 2 2 2 2 2 3 3" xfId="5675" xr:uid="{00000000-0005-0000-0000-00000A370000}"/>
    <cellStyle name="Normal 8 2 2 2 2 2 3 3 2" xfId="14111" xr:uid="{00000000-0005-0000-0000-00000B370000}"/>
    <cellStyle name="Normal 8 2 2 2 2 2 3 4" xfId="9893" xr:uid="{00000000-0005-0000-0000-00000C370000}"/>
    <cellStyle name="Normal 8 2 2 2 2 2 4" xfId="1780" xr:uid="{00000000-0005-0000-0000-00000D370000}"/>
    <cellStyle name="Normal 8 2 2 2 2 2 4 2" xfId="4010" xr:uid="{00000000-0005-0000-0000-00000E370000}"/>
    <cellStyle name="Normal 8 2 2 2 2 2 4 2 2" xfId="8233" xr:uid="{00000000-0005-0000-0000-00000F370000}"/>
    <cellStyle name="Normal 8 2 2 2 2 2 4 2 2 2" xfId="16669" xr:uid="{00000000-0005-0000-0000-000010370000}"/>
    <cellStyle name="Normal 8 2 2 2 2 2 4 2 3" xfId="12451" xr:uid="{00000000-0005-0000-0000-000011370000}"/>
    <cellStyle name="Normal 8 2 2 2 2 2 4 3" xfId="6088" xr:uid="{00000000-0005-0000-0000-000012370000}"/>
    <cellStyle name="Normal 8 2 2 2 2 2 4 3 2" xfId="14524" xr:uid="{00000000-0005-0000-0000-000013370000}"/>
    <cellStyle name="Normal 8 2 2 2 2 2 4 4" xfId="10306" xr:uid="{00000000-0005-0000-0000-000014370000}"/>
    <cellStyle name="Normal 8 2 2 2 2 2 5" xfId="2194" xr:uid="{00000000-0005-0000-0000-000015370000}"/>
    <cellStyle name="Normal 8 2 2 2 2 2 5 2" xfId="4423" xr:uid="{00000000-0005-0000-0000-000016370000}"/>
    <cellStyle name="Normal 8 2 2 2 2 2 5 2 2" xfId="8646" xr:uid="{00000000-0005-0000-0000-000017370000}"/>
    <cellStyle name="Normal 8 2 2 2 2 2 5 2 2 2" xfId="17082" xr:uid="{00000000-0005-0000-0000-000018370000}"/>
    <cellStyle name="Normal 8 2 2 2 2 2 5 2 3" xfId="12864" xr:uid="{00000000-0005-0000-0000-000019370000}"/>
    <cellStyle name="Normal 8 2 2 2 2 2 5 3" xfId="6501" xr:uid="{00000000-0005-0000-0000-00001A370000}"/>
    <cellStyle name="Normal 8 2 2 2 2 2 5 3 2" xfId="14937" xr:uid="{00000000-0005-0000-0000-00001B370000}"/>
    <cellStyle name="Normal 8 2 2 2 2 2 5 4" xfId="10719" xr:uid="{00000000-0005-0000-0000-00001C370000}"/>
    <cellStyle name="Normal 8 2 2 2 2 2 6" xfId="2630" xr:uid="{00000000-0005-0000-0000-00001D370000}"/>
    <cellStyle name="Normal 8 2 2 2 2 2 6 2" xfId="6914" xr:uid="{00000000-0005-0000-0000-00001E370000}"/>
    <cellStyle name="Normal 8 2 2 2 2 2 6 2 2" xfId="15350" xr:uid="{00000000-0005-0000-0000-00001F370000}"/>
    <cellStyle name="Normal 8 2 2 2 2 2 6 3" xfId="11132" xr:uid="{00000000-0005-0000-0000-000020370000}"/>
    <cellStyle name="Normal 8 2 2 2 2 2 7" xfId="4849" xr:uid="{00000000-0005-0000-0000-000021370000}"/>
    <cellStyle name="Normal 8 2 2 2 2 2 7 2" xfId="13285" xr:uid="{00000000-0005-0000-0000-000022370000}"/>
    <cellStyle name="Normal 8 2 2 2 2 2 8" xfId="9067" xr:uid="{00000000-0005-0000-0000-000023370000}"/>
    <cellStyle name="Normal 8 2 2 2 2 3" xfId="949" xr:uid="{00000000-0005-0000-0000-000024370000}"/>
    <cellStyle name="Normal 8 2 2 2 2 3 2" xfId="3183" xr:uid="{00000000-0005-0000-0000-000025370000}"/>
    <cellStyle name="Normal 8 2 2 2 2 3 2 2" xfId="7406" xr:uid="{00000000-0005-0000-0000-000026370000}"/>
    <cellStyle name="Normal 8 2 2 2 2 3 2 2 2" xfId="15842" xr:uid="{00000000-0005-0000-0000-000027370000}"/>
    <cellStyle name="Normal 8 2 2 2 2 3 2 3" xfId="11624" xr:uid="{00000000-0005-0000-0000-000028370000}"/>
    <cellStyle name="Normal 8 2 2 2 2 3 3" xfId="5261" xr:uid="{00000000-0005-0000-0000-000029370000}"/>
    <cellStyle name="Normal 8 2 2 2 2 3 3 2" xfId="13697" xr:uid="{00000000-0005-0000-0000-00002A370000}"/>
    <cellStyle name="Normal 8 2 2 2 2 3 4" xfId="9479" xr:uid="{00000000-0005-0000-0000-00002B370000}"/>
    <cellStyle name="Normal 8 2 2 2 2 4" xfId="1366" xr:uid="{00000000-0005-0000-0000-00002C370000}"/>
    <cellStyle name="Normal 8 2 2 2 2 4 2" xfId="3596" xr:uid="{00000000-0005-0000-0000-00002D370000}"/>
    <cellStyle name="Normal 8 2 2 2 2 4 2 2" xfId="7819" xr:uid="{00000000-0005-0000-0000-00002E370000}"/>
    <cellStyle name="Normal 8 2 2 2 2 4 2 2 2" xfId="16255" xr:uid="{00000000-0005-0000-0000-00002F370000}"/>
    <cellStyle name="Normal 8 2 2 2 2 4 2 3" xfId="12037" xr:uid="{00000000-0005-0000-0000-000030370000}"/>
    <cellStyle name="Normal 8 2 2 2 2 4 3" xfId="5674" xr:uid="{00000000-0005-0000-0000-000031370000}"/>
    <cellStyle name="Normal 8 2 2 2 2 4 3 2" xfId="14110" xr:uid="{00000000-0005-0000-0000-000032370000}"/>
    <cellStyle name="Normal 8 2 2 2 2 4 4" xfId="9892" xr:uid="{00000000-0005-0000-0000-000033370000}"/>
    <cellStyle name="Normal 8 2 2 2 2 5" xfId="1779" xr:uid="{00000000-0005-0000-0000-000034370000}"/>
    <cellStyle name="Normal 8 2 2 2 2 5 2" xfId="4009" xr:uid="{00000000-0005-0000-0000-000035370000}"/>
    <cellStyle name="Normal 8 2 2 2 2 5 2 2" xfId="8232" xr:uid="{00000000-0005-0000-0000-000036370000}"/>
    <cellStyle name="Normal 8 2 2 2 2 5 2 2 2" xfId="16668" xr:uid="{00000000-0005-0000-0000-000037370000}"/>
    <cellStyle name="Normal 8 2 2 2 2 5 2 3" xfId="12450" xr:uid="{00000000-0005-0000-0000-000038370000}"/>
    <cellStyle name="Normal 8 2 2 2 2 5 3" xfId="6087" xr:uid="{00000000-0005-0000-0000-000039370000}"/>
    <cellStyle name="Normal 8 2 2 2 2 5 3 2" xfId="14523" xr:uid="{00000000-0005-0000-0000-00003A370000}"/>
    <cellStyle name="Normal 8 2 2 2 2 5 4" xfId="10305" xr:uid="{00000000-0005-0000-0000-00003B370000}"/>
    <cellStyle name="Normal 8 2 2 2 2 6" xfId="2193" xr:uid="{00000000-0005-0000-0000-00003C370000}"/>
    <cellStyle name="Normal 8 2 2 2 2 6 2" xfId="4422" xr:uid="{00000000-0005-0000-0000-00003D370000}"/>
    <cellStyle name="Normal 8 2 2 2 2 6 2 2" xfId="8645" xr:uid="{00000000-0005-0000-0000-00003E370000}"/>
    <cellStyle name="Normal 8 2 2 2 2 6 2 2 2" xfId="17081" xr:uid="{00000000-0005-0000-0000-00003F370000}"/>
    <cellStyle name="Normal 8 2 2 2 2 6 2 3" xfId="12863" xr:uid="{00000000-0005-0000-0000-000040370000}"/>
    <cellStyle name="Normal 8 2 2 2 2 6 3" xfId="6500" xr:uid="{00000000-0005-0000-0000-000041370000}"/>
    <cellStyle name="Normal 8 2 2 2 2 6 3 2" xfId="14936" xr:uid="{00000000-0005-0000-0000-000042370000}"/>
    <cellStyle name="Normal 8 2 2 2 2 6 4" xfId="10718" xr:uid="{00000000-0005-0000-0000-000043370000}"/>
    <cellStyle name="Normal 8 2 2 2 2 7" xfId="2629" xr:uid="{00000000-0005-0000-0000-000044370000}"/>
    <cellStyle name="Normal 8 2 2 2 2 7 2" xfId="6913" xr:uid="{00000000-0005-0000-0000-000045370000}"/>
    <cellStyle name="Normal 8 2 2 2 2 7 2 2" xfId="15349" xr:uid="{00000000-0005-0000-0000-000046370000}"/>
    <cellStyle name="Normal 8 2 2 2 2 7 3" xfId="11131" xr:uid="{00000000-0005-0000-0000-000047370000}"/>
    <cellStyle name="Normal 8 2 2 2 2 8" xfId="4848" xr:uid="{00000000-0005-0000-0000-000048370000}"/>
    <cellStyle name="Normal 8 2 2 2 2 8 2" xfId="13284" xr:uid="{00000000-0005-0000-0000-000049370000}"/>
    <cellStyle name="Normal 8 2 2 2 2 9" xfId="9066" xr:uid="{00000000-0005-0000-0000-00004A370000}"/>
    <cellStyle name="Normal 8 2 2 2 3" xfId="484" xr:uid="{00000000-0005-0000-0000-00004B370000}"/>
    <cellStyle name="Normal 8 2 2 2 3 2" xfId="951" xr:uid="{00000000-0005-0000-0000-00004C370000}"/>
    <cellStyle name="Normal 8 2 2 2 3 2 2" xfId="3185" xr:uid="{00000000-0005-0000-0000-00004D370000}"/>
    <cellStyle name="Normal 8 2 2 2 3 2 2 2" xfId="7408" xr:uid="{00000000-0005-0000-0000-00004E370000}"/>
    <cellStyle name="Normal 8 2 2 2 3 2 2 2 2" xfId="15844" xr:uid="{00000000-0005-0000-0000-00004F370000}"/>
    <cellStyle name="Normal 8 2 2 2 3 2 2 3" xfId="11626" xr:uid="{00000000-0005-0000-0000-000050370000}"/>
    <cellStyle name="Normal 8 2 2 2 3 2 3" xfId="5263" xr:uid="{00000000-0005-0000-0000-000051370000}"/>
    <cellStyle name="Normal 8 2 2 2 3 2 3 2" xfId="13699" xr:uid="{00000000-0005-0000-0000-000052370000}"/>
    <cellStyle name="Normal 8 2 2 2 3 2 4" xfId="9481" xr:uid="{00000000-0005-0000-0000-000053370000}"/>
    <cellStyle name="Normal 8 2 2 2 3 3" xfId="1368" xr:uid="{00000000-0005-0000-0000-000054370000}"/>
    <cellStyle name="Normal 8 2 2 2 3 3 2" xfId="3598" xr:uid="{00000000-0005-0000-0000-000055370000}"/>
    <cellStyle name="Normal 8 2 2 2 3 3 2 2" xfId="7821" xr:uid="{00000000-0005-0000-0000-000056370000}"/>
    <cellStyle name="Normal 8 2 2 2 3 3 2 2 2" xfId="16257" xr:uid="{00000000-0005-0000-0000-000057370000}"/>
    <cellStyle name="Normal 8 2 2 2 3 3 2 3" xfId="12039" xr:uid="{00000000-0005-0000-0000-000058370000}"/>
    <cellStyle name="Normal 8 2 2 2 3 3 3" xfId="5676" xr:uid="{00000000-0005-0000-0000-000059370000}"/>
    <cellStyle name="Normal 8 2 2 2 3 3 3 2" xfId="14112" xr:uid="{00000000-0005-0000-0000-00005A370000}"/>
    <cellStyle name="Normal 8 2 2 2 3 3 4" xfId="9894" xr:uid="{00000000-0005-0000-0000-00005B370000}"/>
    <cellStyle name="Normal 8 2 2 2 3 4" xfId="1781" xr:uid="{00000000-0005-0000-0000-00005C370000}"/>
    <cellStyle name="Normal 8 2 2 2 3 4 2" xfId="4011" xr:uid="{00000000-0005-0000-0000-00005D370000}"/>
    <cellStyle name="Normal 8 2 2 2 3 4 2 2" xfId="8234" xr:uid="{00000000-0005-0000-0000-00005E370000}"/>
    <cellStyle name="Normal 8 2 2 2 3 4 2 2 2" xfId="16670" xr:uid="{00000000-0005-0000-0000-00005F370000}"/>
    <cellStyle name="Normal 8 2 2 2 3 4 2 3" xfId="12452" xr:uid="{00000000-0005-0000-0000-000060370000}"/>
    <cellStyle name="Normal 8 2 2 2 3 4 3" xfId="6089" xr:uid="{00000000-0005-0000-0000-000061370000}"/>
    <cellStyle name="Normal 8 2 2 2 3 4 3 2" xfId="14525" xr:uid="{00000000-0005-0000-0000-000062370000}"/>
    <cellStyle name="Normal 8 2 2 2 3 4 4" xfId="10307" xr:uid="{00000000-0005-0000-0000-000063370000}"/>
    <cellStyle name="Normal 8 2 2 2 3 5" xfId="2195" xr:uid="{00000000-0005-0000-0000-000064370000}"/>
    <cellStyle name="Normal 8 2 2 2 3 5 2" xfId="4424" xr:uid="{00000000-0005-0000-0000-000065370000}"/>
    <cellStyle name="Normal 8 2 2 2 3 5 2 2" xfId="8647" xr:uid="{00000000-0005-0000-0000-000066370000}"/>
    <cellStyle name="Normal 8 2 2 2 3 5 2 2 2" xfId="17083" xr:uid="{00000000-0005-0000-0000-000067370000}"/>
    <cellStyle name="Normal 8 2 2 2 3 5 2 3" xfId="12865" xr:uid="{00000000-0005-0000-0000-000068370000}"/>
    <cellStyle name="Normal 8 2 2 2 3 5 3" xfId="6502" xr:uid="{00000000-0005-0000-0000-000069370000}"/>
    <cellStyle name="Normal 8 2 2 2 3 5 3 2" xfId="14938" xr:uid="{00000000-0005-0000-0000-00006A370000}"/>
    <cellStyle name="Normal 8 2 2 2 3 5 4" xfId="10720" xr:uid="{00000000-0005-0000-0000-00006B370000}"/>
    <cellStyle name="Normal 8 2 2 2 3 6" xfId="2631" xr:uid="{00000000-0005-0000-0000-00006C370000}"/>
    <cellStyle name="Normal 8 2 2 2 3 6 2" xfId="6915" xr:uid="{00000000-0005-0000-0000-00006D370000}"/>
    <cellStyle name="Normal 8 2 2 2 3 6 2 2" xfId="15351" xr:uid="{00000000-0005-0000-0000-00006E370000}"/>
    <cellStyle name="Normal 8 2 2 2 3 6 3" xfId="11133" xr:uid="{00000000-0005-0000-0000-00006F370000}"/>
    <cellStyle name="Normal 8 2 2 2 3 7" xfId="4850" xr:uid="{00000000-0005-0000-0000-000070370000}"/>
    <cellStyle name="Normal 8 2 2 2 3 7 2" xfId="13286" xr:uid="{00000000-0005-0000-0000-000071370000}"/>
    <cellStyle name="Normal 8 2 2 2 3 8" xfId="9068" xr:uid="{00000000-0005-0000-0000-000072370000}"/>
    <cellStyle name="Normal 8 2 2 2 4" xfId="948" xr:uid="{00000000-0005-0000-0000-000073370000}"/>
    <cellStyle name="Normal 8 2 2 2 4 2" xfId="3182" xr:uid="{00000000-0005-0000-0000-000074370000}"/>
    <cellStyle name="Normal 8 2 2 2 4 2 2" xfId="7405" xr:uid="{00000000-0005-0000-0000-000075370000}"/>
    <cellStyle name="Normal 8 2 2 2 4 2 2 2" xfId="15841" xr:uid="{00000000-0005-0000-0000-000076370000}"/>
    <cellStyle name="Normal 8 2 2 2 4 2 3" xfId="11623" xr:uid="{00000000-0005-0000-0000-000077370000}"/>
    <cellStyle name="Normal 8 2 2 2 4 3" xfId="5260" xr:uid="{00000000-0005-0000-0000-000078370000}"/>
    <cellStyle name="Normal 8 2 2 2 4 3 2" xfId="13696" xr:uid="{00000000-0005-0000-0000-000079370000}"/>
    <cellStyle name="Normal 8 2 2 2 4 4" xfId="9478" xr:uid="{00000000-0005-0000-0000-00007A370000}"/>
    <cellStyle name="Normal 8 2 2 2 5" xfId="1365" xr:uid="{00000000-0005-0000-0000-00007B370000}"/>
    <cellStyle name="Normal 8 2 2 2 5 2" xfId="3595" xr:uid="{00000000-0005-0000-0000-00007C370000}"/>
    <cellStyle name="Normal 8 2 2 2 5 2 2" xfId="7818" xr:uid="{00000000-0005-0000-0000-00007D370000}"/>
    <cellStyle name="Normal 8 2 2 2 5 2 2 2" xfId="16254" xr:uid="{00000000-0005-0000-0000-00007E370000}"/>
    <cellStyle name="Normal 8 2 2 2 5 2 3" xfId="12036" xr:uid="{00000000-0005-0000-0000-00007F370000}"/>
    <cellStyle name="Normal 8 2 2 2 5 3" xfId="5673" xr:uid="{00000000-0005-0000-0000-000080370000}"/>
    <cellStyle name="Normal 8 2 2 2 5 3 2" xfId="14109" xr:uid="{00000000-0005-0000-0000-000081370000}"/>
    <cellStyle name="Normal 8 2 2 2 5 4" xfId="9891" xr:uid="{00000000-0005-0000-0000-000082370000}"/>
    <cellStyle name="Normal 8 2 2 2 6" xfId="1778" xr:uid="{00000000-0005-0000-0000-000083370000}"/>
    <cellStyle name="Normal 8 2 2 2 6 2" xfId="4008" xr:uid="{00000000-0005-0000-0000-000084370000}"/>
    <cellStyle name="Normal 8 2 2 2 6 2 2" xfId="8231" xr:uid="{00000000-0005-0000-0000-000085370000}"/>
    <cellStyle name="Normal 8 2 2 2 6 2 2 2" xfId="16667" xr:uid="{00000000-0005-0000-0000-000086370000}"/>
    <cellStyle name="Normal 8 2 2 2 6 2 3" xfId="12449" xr:uid="{00000000-0005-0000-0000-000087370000}"/>
    <cellStyle name="Normal 8 2 2 2 6 3" xfId="6086" xr:uid="{00000000-0005-0000-0000-000088370000}"/>
    <cellStyle name="Normal 8 2 2 2 6 3 2" xfId="14522" xr:uid="{00000000-0005-0000-0000-000089370000}"/>
    <cellStyle name="Normal 8 2 2 2 6 4" xfId="10304" xr:uid="{00000000-0005-0000-0000-00008A370000}"/>
    <cellStyle name="Normal 8 2 2 2 7" xfId="2192" xr:uid="{00000000-0005-0000-0000-00008B370000}"/>
    <cellStyle name="Normal 8 2 2 2 7 2" xfId="4421" xr:uid="{00000000-0005-0000-0000-00008C370000}"/>
    <cellStyle name="Normal 8 2 2 2 7 2 2" xfId="8644" xr:uid="{00000000-0005-0000-0000-00008D370000}"/>
    <cellStyle name="Normal 8 2 2 2 7 2 2 2" xfId="17080" xr:uid="{00000000-0005-0000-0000-00008E370000}"/>
    <cellStyle name="Normal 8 2 2 2 7 2 3" xfId="12862" xr:uid="{00000000-0005-0000-0000-00008F370000}"/>
    <cellStyle name="Normal 8 2 2 2 7 3" xfId="6499" xr:uid="{00000000-0005-0000-0000-000090370000}"/>
    <cellStyle name="Normal 8 2 2 2 7 3 2" xfId="14935" xr:uid="{00000000-0005-0000-0000-000091370000}"/>
    <cellStyle name="Normal 8 2 2 2 7 4" xfId="10717" xr:uid="{00000000-0005-0000-0000-000092370000}"/>
    <cellStyle name="Normal 8 2 2 2 8" xfId="2628" xr:uid="{00000000-0005-0000-0000-000093370000}"/>
    <cellStyle name="Normal 8 2 2 2 8 2" xfId="6912" xr:uid="{00000000-0005-0000-0000-000094370000}"/>
    <cellStyle name="Normal 8 2 2 2 8 2 2" xfId="15348" xr:uid="{00000000-0005-0000-0000-000095370000}"/>
    <cellStyle name="Normal 8 2 2 2 8 3" xfId="11130" xr:uid="{00000000-0005-0000-0000-000096370000}"/>
    <cellStyle name="Normal 8 2 2 2 9" xfId="4847" xr:uid="{00000000-0005-0000-0000-000097370000}"/>
    <cellStyle name="Normal 8 2 2 2 9 2" xfId="13283" xr:uid="{00000000-0005-0000-0000-000098370000}"/>
    <cellStyle name="Normal 8 2 2 3" xfId="485" xr:uid="{00000000-0005-0000-0000-000099370000}"/>
    <cellStyle name="Normal 8 2 2 3 2" xfId="486" xr:uid="{00000000-0005-0000-0000-00009A370000}"/>
    <cellStyle name="Normal 8 2 2 3 2 2" xfId="953" xr:uid="{00000000-0005-0000-0000-00009B370000}"/>
    <cellStyle name="Normal 8 2 2 3 2 2 2" xfId="3187" xr:uid="{00000000-0005-0000-0000-00009C370000}"/>
    <cellStyle name="Normal 8 2 2 3 2 2 2 2" xfId="7410" xr:uid="{00000000-0005-0000-0000-00009D370000}"/>
    <cellStyle name="Normal 8 2 2 3 2 2 2 2 2" xfId="15846" xr:uid="{00000000-0005-0000-0000-00009E370000}"/>
    <cellStyle name="Normal 8 2 2 3 2 2 2 3" xfId="11628" xr:uid="{00000000-0005-0000-0000-00009F370000}"/>
    <cellStyle name="Normal 8 2 2 3 2 2 3" xfId="5265" xr:uid="{00000000-0005-0000-0000-0000A0370000}"/>
    <cellStyle name="Normal 8 2 2 3 2 2 3 2" xfId="13701" xr:uid="{00000000-0005-0000-0000-0000A1370000}"/>
    <cellStyle name="Normal 8 2 2 3 2 2 4" xfId="9483" xr:uid="{00000000-0005-0000-0000-0000A2370000}"/>
    <cellStyle name="Normal 8 2 2 3 2 3" xfId="1370" xr:uid="{00000000-0005-0000-0000-0000A3370000}"/>
    <cellStyle name="Normal 8 2 2 3 2 3 2" xfId="3600" xr:uid="{00000000-0005-0000-0000-0000A4370000}"/>
    <cellStyle name="Normal 8 2 2 3 2 3 2 2" xfId="7823" xr:uid="{00000000-0005-0000-0000-0000A5370000}"/>
    <cellStyle name="Normal 8 2 2 3 2 3 2 2 2" xfId="16259" xr:uid="{00000000-0005-0000-0000-0000A6370000}"/>
    <cellStyle name="Normal 8 2 2 3 2 3 2 3" xfId="12041" xr:uid="{00000000-0005-0000-0000-0000A7370000}"/>
    <cellStyle name="Normal 8 2 2 3 2 3 3" xfId="5678" xr:uid="{00000000-0005-0000-0000-0000A8370000}"/>
    <cellStyle name="Normal 8 2 2 3 2 3 3 2" xfId="14114" xr:uid="{00000000-0005-0000-0000-0000A9370000}"/>
    <cellStyle name="Normal 8 2 2 3 2 3 4" xfId="9896" xr:uid="{00000000-0005-0000-0000-0000AA370000}"/>
    <cellStyle name="Normal 8 2 2 3 2 4" xfId="1783" xr:uid="{00000000-0005-0000-0000-0000AB370000}"/>
    <cellStyle name="Normal 8 2 2 3 2 4 2" xfId="4013" xr:uid="{00000000-0005-0000-0000-0000AC370000}"/>
    <cellStyle name="Normal 8 2 2 3 2 4 2 2" xfId="8236" xr:uid="{00000000-0005-0000-0000-0000AD370000}"/>
    <cellStyle name="Normal 8 2 2 3 2 4 2 2 2" xfId="16672" xr:uid="{00000000-0005-0000-0000-0000AE370000}"/>
    <cellStyle name="Normal 8 2 2 3 2 4 2 3" xfId="12454" xr:uid="{00000000-0005-0000-0000-0000AF370000}"/>
    <cellStyle name="Normal 8 2 2 3 2 4 3" xfId="6091" xr:uid="{00000000-0005-0000-0000-0000B0370000}"/>
    <cellStyle name="Normal 8 2 2 3 2 4 3 2" xfId="14527" xr:uid="{00000000-0005-0000-0000-0000B1370000}"/>
    <cellStyle name="Normal 8 2 2 3 2 4 4" xfId="10309" xr:uid="{00000000-0005-0000-0000-0000B2370000}"/>
    <cellStyle name="Normal 8 2 2 3 2 5" xfId="2197" xr:uid="{00000000-0005-0000-0000-0000B3370000}"/>
    <cellStyle name="Normal 8 2 2 3 2 5 2" xfId="4426" xr:uid="{00000000-0005-0000-0000-0000B4370000}"/>
    <cellStyle name="Normal 8 2 2 3 2 5 2 2" xfId="8649" xr:uid="{00000000-0005-0000-0000-0000B5370000}"/>
    <cellStyle name="Normal 8 2 2 3 2 5 2 2 2" xfId="17085" xr:uid="{00000000-0005-0000-0000-0000B6370000}"/>
    <cellStyle name="Normal 8 2 2 3 2 5 2 3" xfId="12867" xr:uid="{00000000-0005-0000-0000-0000B7370000}"/>
    <cellStyle name="Normal 8 2 2 3 2 5 3" xfId="6504" xr:uid="{00000000-0005-0000-0000-0000B8370000}"/>
    <cellStyle name="Normal 8 2 2 3 2 5 3 2" xfId="14940" xr:uid="{00000000-0005-0000-0000-0000B9370000}"/>
    <cellStyle name="Normal 8 2 2 3 2 5 4" xfId="10722" xr:uid="{00000000-0005-0000-0000-0000BA370000}"/>
    <cellStyle name="Normal 8 2 2 3 2 6" xfId="2633" xr:uid="{00000000-0005-0000-0000-0000BB370000}"/>
    <cellStyle name="Normal 8 2 2 3 2 6 2" xfId="6917" xr:uid="{00000000-0005-0000-0000-0000BC370000}"/>
    <cellStyle name="Normal 8 2 2 3 2 6 2 2" xfId="15353" xr:uid="{00000000-0005-0000-0000-0000BD370000}"/>
    <cellStyle name="Normal 8 2 2 3 2 6 3" xfId="11135" xr:uid="{00000000-0005-0000-0000-0000BE370000}"/>
    <cellStyle name="Normal 8 2 2 3 2 7" xfId="4852" xr:uid="{00000000-0005-0000-0000-0000BF370000}"/>
    <cellStyle name="Normal 8 2 2 3 2 7 2" xfId="13288" xr:uid="{00000000-0005-0000-0000-0000C0370000}"/>
    <cellStyle name="Normal 8 2 2 3 2 8" xfId="9070" xr:uid="{00000000-0005-0000-0000-0000C1370000}"/>
    <cellStyle name="Normal 8 2 2 3 3" xfId="952" xr:uid="{00000000-0005-0000-0000-0000C2370000}"/>
    <cellStyle name="Normal 8 2 2 3 3 2" xfId="3186" xr:uid="{00000000-0005-0000-0000-0000C3370000}"/>
    <cellStyle name="Normal 8 2 2 3 3 2 2" xfId="7409" xr:uid="{00000000-0005-0000-0000-0000C4370000}"/>
    <cellStyle name="Normal 8 2 2 3 3 2 2 2" xfId="15845" xr:uid="{00000000-0005-0000-0000-0000C5370000}"/>
    <cellStyle name="Normal 8 2 2 3 3 2 3" xfId="11627" xr:uid="{00000000-0005-0000-0000-0000C6370000}"/>
    <cellStyle name="Normal 8 2 2 3 3 3" xfId="5264" xr:uid="{00000000-0005-0000-0000-0000C7370000}"/>
    <cellStyle name="Normal 8 2 2 3 3 3 2" xfId="13700" xr:uid="{00000000-0005-0000-0000-0000C8370000}"/>
    <cellStyle name="Normal 8 2 2 3 3 4" xfId="9482" xr:uid="{00000000-0005-0000-0000-0000C9370000}"/>
    <cellStyle name="Normal 8 2 2 3 4" xfId="1369" xr:uid="{00000000-0005-0000-0000-0000CA370000}"/>
    <cellStyle name="Normal 8 2 2 3 4 2" xfId="3599" xr:uid="{00000000-0005-0000-0000-0000CB370000}"/>
    <cellStyle name="Normal 8 2 2 3 4 2 2" xfId="7822" xr:uid="{00000000-0005-0000-0000-0000CC370000}"/>
    <cellStyle name="Normal 8 2 2 3 4 2 2 2" xfId="16258" xr:uid="{00000000-0005-0000-0000-0000CD370000}"/>
    <cellStyle name="Normal 8 2 2 3 4 2 3" xfId="12040" xr:uid="{00000000-0005-0000-0000-0000CE370000}"/>
    <cellStyle name="Normal 8 2 2 3 4 3" xfId="5677" xr:uid="{00000000-0005-0000-0000-0000CF370000}"/>
    <cellStyle name="Normal 8 2 2 3 4 3 2" xfId="14113" xr:uid="{00000000-0005-0000-0000-0000D0370000}"/>
    <cellStyle name="Normal 8 2 2 3 4 4" xfId="9895" xr:uid="{00000000-0005-0000-0000-0000D1370000}"/>
    <cellStyle name="Normal 8 2 2 3 5" xfId="1782" xr:uid="{00000000-0005-0000-0000-0000D2370000}"/>
    <cellStyle name="Normal 8 2 2 3 5 2" xfId="4012" xr:uid="{00000000-0005-0000-0000-0000D3370000}"/>
    <cellStyle name="Normal 8 2 2 3 5 2 2" xfId="8235" xr:uid="{00000000-0005-0000-0000-0000D4370000}"/>
    <cellStyle name="Normal 8 2 2 3 5 2 2 2" xfId="16671" xr:uid="{00000000-0005-0000-0000-0000D5370000}"/>
    <cellStyle name="Normal 8 2 2 3 5 2 3" xfId="12453" xr:uid="{00000000-0005-0000-0000-0000D6370000}"/>
    <cellStyle name="Normal 8 2 2 3 5 3" xfId="6090" xr:uid="{00000000-0005-0000-0000-0000D7370000}"/>
    <cellStyle name="Normal 8 2 2 3 5 3 2" xfId="14526" xr:uid="{00000000-0005-0000-0000-0000D8370000}"/>
    <cellStyle name="Normal 8 2 2 3 5 4" xfId="10308" xr:uid="{00000000-0005-0000-0000-0000D9370000}"/>
    <cellStyle name="Normal 8 2 2 3 6" xfId="2196" xr:uid="{00000000-0005-0000-0000-0000DA370000}"/>
    <cellStyle name="Normal 8 2 2 3 6 2" xfId="4425" xr:uid="{00000000-0005-0000-0000-0000DB370000}"/>
    <cellStyle name="Normal 8 2 2 3 6 2 2" xfId="8648" xr:uid="{00000000-0005-0000-0000-0000DC370000}"/>
    <cellStyle name="Normal 8 2 2 3 6 2 2 2" xfId="17084" xr:uid="{00000000-0005-0000-0000-0000DD370000}"/>
    <cellStyle name="Normal 8 2 2 3 6 2 3" xfId="12866" xr:uid="{00000000-0005-0000-0000-0000DE370000}"/>
    <cellStyle name="Normal 8 2 2 3 6 3" xfId="6503" xr:uid="{00000000-0005-0000-0000-0000DF370000}"/>
    <cellStyle name="Normal 8 2 2 3 6 3 2" xfId="14939" xr:uid="{00000000-0005-0000-0000-0000E0370000}"/>
    <cellStyle name="Normal 8 2 2 3 6 4" xfId="10721" xr:uid="{00000000-0005-0000-0000-0000E1370000}"/>
    <cellStyle name="Normal 8 2 2 3 7" xfId="2632" xr:uid="{00000000-0005-0000-0000-0000E2370000}"/>
    <cellStyle name="Normal 8 2 2 3 7 2" xfId="6916" xr:uid="{00000000-0005-0000-0000-0000E3370000}"/>
    <cellStyle name="Normal 8 2 2 3 7 2 2" xfId="15352" xr:uid="{00000000-0005-0000-0000-0000E4370000}"/>
    <cellStyle name="Normal 8 2 2 3 7 3" xfId="11134" xr:uid="{00000000-0005-0000-0000-0000E5370000}"/>
    <cellStyle name="Normal 8 2 2 3 8" xfId="4851" xr:uid="{00000000-0005-0000-0000-0000E6370000}"/>
    <cellStyle name="Normal 8 2 2 3 8 2" xfId="13287" xr:uid="{00000000-0005-0000-0000-0000E7370000}"/>
    <cellStyle name="Normal 8 2 2 3 9" xfId="9069" xr:uid="{00000000-0005-0000-0000-0000E8370000}"/>
    <cellStyle name="Normal 8 2 2 4" xfId="487" xr:uid="{00000000-0005-0000-0000-0000E9370000}"/>
    <cellStyle name="Normal 8 2 2 4 2" xfId="954" xr:uid="{00000000-0005-0000-0000-0000EA370000}"/>
    <cellStyle name="Normal 8 2 2 4 2 2" xfId="3188" xr:uid="{00000000-0005-0000-0000-0000EB370000}"/>
    <cellStyle name="Normal 8 2 2 4 2 2 2" xfId="7411" xr:uid="{00000000-0005-0000-0000-0000EC370000}"/>
    <cellStyle name="Normal 8 2 2 4 2 2 2 2" xfId="15847" xr:uid="{00000000-0005-0000-0000-0000ED370000}"/>
    <cellStyle name="Normal 8 2 2 4 2 2 3" xfId="11629" xr:uid="{00000000-0005-0000-0000-0000EE370000}"/>
    <cellStyle name="Normal 8 2 2 4 2 3" xfId="5266" xr:uid="{00000000-0005-0000-0000-0000EF370000}"/>
    <cellStyle name="Normal 8 2 2 4 2 3 2" xfId="13702" xr:uid="{00000000-0005-0000-0000-0000F0370000}"/>
    <cellStyle name="Normal 8 2 2 4 2 4" xfId="9484" xr:uid="{00000000-0005-0000-0000-0000F1370000}"/>
    <cellStyle name="Normal 8 2 2 4 3" xfId="1371" xr:uid="{00000000-0005-0000-0000-0000F2370000}"/>
    <cellStyle name="Normal 8 2 2 4 3 2" xfId="3601" xr:uid="{00000000-0005-0000-0000-0000F3370000}"/>
    <cellStyle name="Normal 8 2 2 4 3 2 2" xfId="7824" xr:uid="{00000000-0005-0000-0000-0000F4370000}"/>
    <cellStyle name="Normal 8 2 2 4 3 2 2 2" xfId="16260" xr:uid="{00000000-0005-0000-0000-0000F5370000}"/>
    <cellStyle name="Normal 8 2 2 4 3 2 3" xfId="12042" xr:uid="{00000000-0005-0000-0000-0000F6370000}"/>
    <cellStyle name="Normal 8 2 2 4 3 3" xfId="5679" xr:uid="{00000000-0005-0000-0000-0000F7370000}"/>
    <cellStyle name="Normal 8 2 2 4 3 3 2" xfId="14115" xr:uid="{00000000-0005-0000-0000-0000F8370000}"/>
    <cellStyle name="Normal 8 2 2 4 3 4" xfId="9897" xr:uid="{00000000-0005-0000-0000-0000F9370000}"/>
    <cellStyle name="Normal 8 2 2 4 4" xfId="1784" xr:uid="{00000000-0005-0000-0000-0000FA370000}"/>
    <cellStyle name="Normal 8 2 2 4 4 2" xfId="4014" xr:uid="{00000000-0005-0000-0000-0000FB370000}"/>
    <cellStyle name="Normal 8 2 2 4 4 2 2" xfId="8237" xr:uid="{00000000-0005-0000-0000-0000FC370000}"/>
    <cellStyle name="Normal 8 2 2 4 4 2 2 2" xfId="16673" xr:uid="{00000000-0005-0000-0000-0000FD370000}"/>
    <cellStyle name="Normal 8 2 2 4 4 2 3" xfId="12455" xr:uid="{00000000-0005-0000-0000-0000FE370000}"/>
    <cellStyle name="Normal 8 2 2 4 4 3" xfId="6092" xr:uid="{00000000-0005-0000-0000-0000FF370000}"/>
    <cellStyle name="Normal 8 2 2 4 4 3 2" xfId="14528" xr:uid="{00000000-0005-0000-0000-000000380000}"/>
    <cellStyle name="Normal 8 2 2 4 4 4" xfId="10310" xr:uid="{00000000-0005-0000-0000-000001380000}"/>
    <cellStyle name="Normal 8 2 2 4 5" xfId="2198" xr:uid="{00000000-0005-0000-0000-000002380000}"/>
    <cellStyle name="Normal 8 2 2 4 5 2" xfId="4427" xr:uid="{00000000-0005-0000-0000-000003380000}"/>
    <cellStyle name="Normal 8 2 2 4 5 2 2" xfId="8650" xr:uid="{00000000-0005-0000-0000-000004380000}"/>
    <cellStyle name="Normal 8 2 2 4 5 2 2 2" xfId="17086" xr:uid="{00000000-0005-0000-0000-000005380000}"/>
    <cellStyle name="Normal 8 2 2 4 5 2 3" xfId="12868" xr:uid="{00000000-0005-0000-0000-000006380000}"/>
    <cellStyle name="Normal 8 2 2 4 5 3" xfId="6505" xr:uid="{00000000-0005-0000-0000-000007380000}"/>
    <cellStyle name="Normal 8 2 2 4 5 3 2" xfId="14941" xr:uid="{00000000-0005-0000-0000-000008380000}"/>
    <cellStyle name="Normal 8 2 2 4 5 4" xfId="10723" xr:uid="{00000000-0005-0000-0000-000009380000}"/>
    <cellStyle name="Normal 8 2 2 4 6" xfId="2634" xr:uid="{00000000-0005-0000-0000-00000A380000}"/>
    <cellStyle name="Normal 8 2 2 4 6 2" xfId="6918" xr:uid="{00000000-0005-0000-0000-00000B380000}"/>
    <cellStyle name="Normal 8 2 2 4 6 2 2" xfId="15354" xr:uid="{00000000-0005-0000-0000-00000C380000}"/>
    <cellStyle name="Normal 8 2 2 4 6 3" xfId="11136" xr:uid="{00000000-0005-0000-0000-00000D380000}"/>
    <cellStyle name="Normal 8 2 2 4 7" xfId="4853" xr:uid="{00000000-0005-0000-0000-00000E380000}"/>
    <cellStyle name="Normal 8 2 2 4 7 2" xfId="13289" xr:uid="{00000000-0005-0000-0000-00000F380000}"/>
    <cellStyle name="Normal 8 2 2 4 8" xfId="9071" xr:uid="{00000000-0005-0000-0000-000010380000}"/>
    <cellStyle name="Normal 8 2 2 5" xfId="947" xr:uid="{00000000-0005-0000-0000-000011380000}"/>
    <cellStyle name="Normal 8 2 2 5 2" xfId="3181" xr:uid="{00000000-0005-0000-0000-000012380000}"/>
    <cellStyle name="Normal 8 2 2 5 2 2" xfId="7404" xr:uid="{00000000-0005-0000-0000-000013380000}"/>
    <cellStyle name="Normal 8 2 2 5 2 2 2" xfId="15840" xr:uid="{00000000-0005-0000-0000-000014380000}"/>
    <cellStyle name="Normal 8 2 2 5 2 3" xfId="11622" xr:uid="{00000000-0005-0000-0000-000015380000}"/>
    <cellStyle name="Normal 8 2 2 5 3" xfId="5259" xr:uid="{00000000-0005-0000-0000-000016380000}"/>
    <cellStyle name="Normal 8 2 2 5 3 2" xfId="13695" xr:uid="{00000000-0005-0000-0000-000017380000}"/>
    <cellStyle name="Normal 8 2 2 5 4" xfId="9477" xr:uid="{00000000-0005-0000-0000-000018380000}"/>
    <cellStyle name="Normal 8 2 2 6" xfId="1364" xr:uid="{00000000-0005-0000-0000-000019380000}"/>
    <cellStyle name="Normal 8 2 2 6 2" xfId="3594" xr:uid="{00000000-0005-0000-0000-00001A380000}"/>
    <cellStyle name="Normal 8 2 2 6 2 2" xfId="7817" xr:uid="{00000000-0005-0000-0000-00001B380000}"/>
    <cellStyle name="Normal 8 2 2 6 2 2 2" xfId="16253" xr:uid="{00000000-0005-0000-0000-00001C380000}"/>
    <cellStyle name="Normal 8 2 2 6 2 3" xfId="12035" xr:uid="{00000000-0005-0000-0000-00001D380000}"/>
    <cellStyle name="Normal 8 2 2 6 3" xfId="5672" xr:uid="{00000000-0005-0000-0000-00001E380000}"/>
    <cellStyle name="Normal 8 2 2 6 3 2" xfId="14108" xr:uid="{00000000-0005-0000-0000-00001F380000}"/>
    <cellStyle name="Normal 8 2 2 6 4" xfId="9890" xr:uid="{00000000-0005-0000-0000-000020380000}"/>
    <cellStyle name="Normal 8 2 2 7" xfId="1777" xr:uid="{00000000-0005-0000-0000-000021380000}"/>
    <cellStyle name="Normal 8 2 2 7 2" xfId="4007" xr:uid="{00000000-0005-0000-0000-000022380000}"/>
    <cellStyle name="Normal 8 2 2 7 2 2" xfId="8230" xr:uid="{00000000-0005-0000-0000-000023380000}"/>
    <cellStyle name="Normal 8 2 2 7 2 2 2" xfId="16666" xr:uid="{00000000-0005-0000-0000-000024380000}"/>
    <cellStyle name="Normal 8 2 2 7 2 3" xfId="12448" xr:uid="{00000000-0005-0000-0000-000025380000}"/>
    <cellStyle name="Normal 8 2 2 7 3" xfId="6085" xr:uid="{00000000-0005-0000-0000-000026380000}"/>
    <cellStyle name="Normal 8 2 2 7 3 2" xfId="14521" xr:uid="{00000000-0005-0000-0000-000027380000}"/>
    <cellStyle name="Normal 8 2 2 7 4" xfId="10303" xr:uid="{00000000-0005-0000-0000-000028380000}"/>
    <cellStyle name="Normal 8 2 2 8" xfId="2191" xr:uid="{00000000-0005-0000-0000-000029380000}"/>
    <cellStyle name="Normal 8 2 2 8 2" xfId="4420" xr:uid="{00000000-0005-0000-0000-00002A380000}"/>
    <cellStyle name="Normal 8 2 2 8 2 2" xfId="8643" xr:uid="{00000000-0005-0000-0000-00002B380000}"/>
    <cellStyle name="Normal 8 2 2 8 2 2 2" xfId="17079" xr:uid="{00000000-0005-0000-0000-00002C380000}"/>
    <cellStyle name="Normal 8 2 2 8 2 3" xfId="12861" xr:uid="{00000000-0005-0000-0000-00002D380000}"/>
    <cellStyle name="Normal 8 2 2 8 3" xfId="6498" xr:uid="{00000000-0005-0000-0000-00002E380000}"/>
    <cellStyle name="Normal 8 2 2 8 3 2" xfId="14934" xr:uid="{00000000-0005-0000-0000-00002F380000}"/>
    <cellStyle name="Normal 8 2 2 8 4" xfId="10716" xr:uid="{00000000-0005-0000-0000-000030380000}"/>
    <cellStyle name="Normal 8 2 2 9" xfId="2627" xr:uid="{00000000-0005-0000-0000-000031380000}"/>
    <cellStyle name="Normal 8 2 2 9 2" xfId="6911" xr:uid="{00000000-0005-0000-0000-000032380000}"/>
    <cellStyle name="Normal 8 2 2 9 2 2" xfId="15347" xr:uid="{00000000-0005-0000-0000-000033380000}"/>
    <cellStyle name="Normal 8 2 2 9 3" xfId="11129" xr:uid="{00000000-0005-0000-0000-000034380000}"/>
    <cellStyle name="Normal 8 2 3" xfId="488" xr:uid="{00000000-0005-0000-0000-000035380000}"/>
    <cellStyle name="Normal 8 2 3 10" xfId="9072" xr:uid="{00000000-0005-0000-0000-000036380000}"/>
    <cellStyle name="Normal 8 2 3 2" xfId="489" xr:uid="{00000000-0005-0000-0000-000037380000}"/>
    <cellStyle name="Normal 8 2 3 2 2" xfId="490" xr:uid="{00000000-0005-0000-0000-000038380000}"/>
    <cellStyle name="Normal 8 2 3 2 2 2" xfId="957" xr:uid="{00000000-0005-0000-0000-000039380000}"/>
    <cellStyle name="Normal 8 2 3 2 2 2 2" xfId="3191" xr:uid="{00000000-0005-0000-0000-00003A380000}"/>
    <cellStyle name="Normal 8 2 3 2 2 2 2 2" xfId="7414" xr:uid="{00000000-0005-0000-0000-00003B380000}"/>
    <cellStyle name="Normal 8 2 3 2 2 2 2 2 2" xfId="15850" xr:uid="{00000000-0005-0000-0000-00003C380000}"/>
    <cellStyle name="Normal 8 2 3 2 2 2 2 3" xfId="11632" xr:uid="{00000000-0005-0000-0000-00003D380000}"/>
    <cellStyle name="Normal 8 2 3 2 2 2 3" xfId="5269" xr:uid="{00000000-0005-0000-0000-00003E380000}"/>
    <cellStyle name="Normal 8 2 3 2 2 2 3 2" xfId="13705" xr:uid="{00000000-0005-0000-0000-00003F380000}"/>
    <cellStyle name="Normal 8 2 3 2 2 2 4" xfId="9487" xr:uid="{00000000-0005-0000-0000-000040380000}"/>
    <cellStyle name="Normal 8 2 3 2 2 3" xfId="1374" xr:uid="{00000000-0005-0000-0000-000041380000}"/>
    <cellStyle name="Normal 8 2 3 2 2 3 2" xfId="3604" xr:uid="{00000000-0005-0000-0000-000042380000}"/>
    <cellStyle name="Normal 8 2 3 2 2 3 2 2" xfId="7827" xr:uid="{00000000-0005-0000-0000-000043380000}"/>
    <cellStyle name="Normal 8 2 3 2 2 3 2 2 2" xfId="16263" xr:uid="{00000000-0005-0000-0000-000044380000}"/>
    <cellStyle name="Normal 8 2 3 2 2 3 2 3" xfId="12045" xr:uid="{00000000-0005-0000-0000-000045380000}"/>
    <cellStyle name="Normal 8 2 3 2 2 3 3" xfId="5682" xr:uid="{00000000-0005-0000-0000-000046380000}"/>
    <cellStyle name="Normal 8 2 3 2 2 3 3 2" xfId="14118" xr:uid="{00000000-0005-0000-0000-000047380000}"/>
    <cellStyle name="Normal 8 2 3 2 2 3 4" xfId="9900" xr:uid="{00000000-0005-0000-0000-000048380000}"/>
    <cellStyle name="Normal 8 2 3 2 2 4" xfId="1787" xr:uid="{00000000-0005-0000-0000-000049380000}"/>
    <cellStyle name="Normal 8 2 3 2 2 4 2" xfId="4017" xr:uid="{00000000-0005-0000-0000-00004A380000}"/>
    <cellStyle name="Normal 8 2 3 2 2 4 2 2" xfId="8240" xr:uid="{00000000-0005-0000-0000-00004B380000}"/>
    <cellStyle name="Normal 8 2 3 2 2 4 2 2 2" xfId="16676" xr:uid="{00000000-0005-0000-0000-00004C380000}"/>
    <cellStyle name="Normal 8 2 3 2 2 4 2 3" xfId="12458" xr:uid="{00000000-0005-0000-0000-00004D380000}"/>
    <cellStyle name="Normal 8 2 3 2 2 4 3" xfId="6095" xr:uid="{00000000-0005-0000-0000-00004E380000}"/>
    <cellStyle name="Normal 8 2 3 2 2 4 3 2" xfId="14531" xr:uid="{00000000-0005-0000-0000-00004F380000}"/>
    <cellStyle name="Normal 8 2 3 2 2 4 4" xfId="10313" xr:uid="{00000000-0005-0000-0000-000050380000}"/>
    <cellStyle name="Normal 8 2 3 2 2 5" xfId="2201" xr:uid="{00000000-0005-0000-0000-000051380000}"/>
    <cellStyle name="Normal 8 2 3 2 2 5 2" xfId="4430" xr:uid="{00000000-0005-0000-0000-000052380000}"/>
    <cellStyle name="Normal 8 2 3 2 2 5 2 2" xfId="8653" xr:uid="{00000000-0005-0000-0000-000053380000}"/>
    <cellStyle name="Normal 8 2 3 2 2 5 2 2 2" xfId="17089" xr:uid="{00000000-0005-0000-0000-000054380000}"/>
    <cellStyle name="Normal 8 2 3 2 2 5 2 3" xfId="12871" xr:uid="{00000000-0005-0000-0000-000055380000}"/>
    <cellStyle name="Normal 8 2 3 2 2 5 3" xfId="6508" xr:uid="{00000000-0005-0000-0000-000056380000}"/>
    <cellStyle name="Normal 8 2 3 2 2 5 3 2" xfId="14944" xr:uid="{00000000-0005-0000-0000-000057380000}"/>
    <cellStyle name="Normal 8 2 3 2 2 5 4" xfId="10726" xr:uid="{00000000-0005-0000-0000-000058380000}"/>
    <cellStyle name="Normal 8 2 3 2 2 6" xfId="2637" xr:uid="{00000000-0005-0000-0000-000059380000}"/>
    <cellStyle name="Normal 8 2 3 2 2 6 2" xfId="6921" xr:uid="{00000000-0005-0000-0000-00005A380000}"/>
    <cellStyle name="Normal 8 2 3 2 2 6 2 2" xfId="15357" xr:uid="{00000000-0005-0000-0000-00005B380000}"/>
    <cellStyle name="Normal 8 2 3 2 2 6 3" xfId="11139" xr:uid="{00000000-0005-0000-0000-00005C380000}"/>
    <cellStyle name="Normal 8 2 3 2 2 7" xfId="4856" xr:uid="{00000000-0005-0000-0000-00005D380000}"/>
    <cellStyle name="Normal 8 2 3 2 2 7 2" xfId="13292" xr:uid="{00000000-0005-0000-0000-00005E380000}"/>
    <cellStyle name="Normal 8 2 3 2 2 8" xfId="9074" xr:uid="{00000000-0005-0000-0000-00005F380000}"/>
    <cellStyle name="Normal 8 2 3 2 3" xfId="956" xr:uid="{00000000-0005-0000-0000-000060380000}"/>
    <cellStyle name="Normal 8 2 3 2 3 2" xfId="3190" xr:uid="{00000000-0005-0000-0000-000061380000}"/>
    <cellStyle name="Normal 8 2 3 2 3 2 2" xfId="7413" xr:uid="{00000000-0005-0000-0000-000062380000}"/>
    <cellStyle name="Normal 8 2 3 2 3 2 2 2" xfId="15849" xr:uid="{00000000-0005-0000-0000-000063380000}"/>
    <cellStyle name="Normal 8 2 3 2 3 2 3" xfId="11631" xr:uid="{00000000-0005-0000-0000-000064380000}"/>
    <cellStyle name="Normal 8 2 3 2 3 3" xfId="5268" xr:uid="{00000000-0005-0000-0000-000065380000}"/>
    <cellStyle name="Normal 8 2 3 2 3 3 2" xfId="13704" xr:uid="{00000000-0005-0000-0000-000066380000}"/>
    <cellStyle name="Normal 8 2 3 2 3 4" xfId="9486" xr:uid="{00000000-0005-0000-0000-000067380000}"/>
    <cellStyle name="Normal 8 2 3 2 4" xfId="1373" xr:uid="{00000000-0005-0000-0000-000068380000}"/>
    <cellStyle name="Normal 8 2 3 2 4 2" xfId="3603" xr:uid="{00000000-0005-0000-0000-000069380000}"/>
    <cellStyle name="Normal 8 2 3 2 4 2 2" xfId="7826" xr:uid="{00000000-0005-0000-0000-00006A380000}"/>
    <cellStyle name="Normal 8 2 3 2 4 2 2 2" xfId="16262" xr:uid="{00000000-0005-0000-0000-00006B380000}"/>
    <cellStyle name="Normal 8 2 3 2 4 2 3" xfId="12044" xr:uid="{00000000-0005-0000-0000-00006C380000}"/>
    <cellStyle name="Normal 8 2 3 2 4 3" xfId="5681" xr:uid="{00000000-0005-0000-0000-00006D380000}"/>
    <cellStyle name="Normal 8 2 3 2 4 3 2" xfId="14117" xr:uid="{00000000-0005-0000-0000-00006E380000}"/>
    <cellStyle name="Normal 8 2 3 2 4 4" xfId="9899" xr:uid="{00000000-0005-0000-0000-00006F380000}"/>
    <cellStyle name="Normal 8 2 3 2 5" xfId="1786" xr:uid="{00000000-0005-0000-0000-000070380000}"/>
    <cellStyle name="Normal 8 2 3 2 5 2" xfId="4016" xr:uid="{00000000-0005-0000-0000-000071380000}"/>
    <cellStyle name="Normal 8 2 3 2 5 2 2" xfId="8239" xr:uid="{00000000-0005-0000-0000-000072380000}"/>
    <cellStyle name="Normal 8 2 3 2 5 2 2 2" xfId="16675" xr:uid="{00000000-0005-0000-0000-000073380000}"/>
    <cellStyle name="Normal 8 2 3 2 5 2 3" xfId="12457" xr:uid="{00000000-0005-0000-0000-000074380000}"/>
    <cellStyle name="Normal 8 2 3 2 5 3" xfId="6094" xr:uid="{00000000-0005-0000-0000-000075380000}"/>
    <cellStyle name="Normal 8 2 3 2 5 3 2" xfId="14530" xr:uid="{00000000-0005-0000-0000-000076380000}"/>
    <cellStyle name="Normal 8 2 3 2 5 4" xfId="10312" xr:uid="{00000000-0005-0000-0000-000077380000}"/>
    <cellStyle name="Normal 8 2 3 2 6" xfId="2200" xr:uid="{00000000-0005-0000-0000-000078380000}"/>
    <cellStyle name="Normal 8 2 3 2 6 2" xfId="4429" xr:uid="{00000000-0005-0000-0000-000079380000}"/>
    <cellStyle name="Normal 8 2 3 2 6 2 2" xfId="8652" xr:uid="{00000000-0005-0000-0000-00007A380000}"/>
    <cellStyle name="Normal 8 2 3 2 6 2 2 2" xfId="17088" xr:uid="{00000000-0005-0000-0000-00007B380000}"/>
    <cellStyle name="Normal 8 2 3 2 6 2 3" xfId="12870" xr:uid="{00000000-0005-0000-0000-00007C380000}"/>
    <cellStyle name="Normal 8 2 3 2 6 3" xfId="6507" xr:uid="{00000000-0005-0000-0000-00007D380000}"/>
    <cellStyle name="Normal 8 2 3 2 6 3 2" xfId="14943" xr:uid="{00000000-0005-0000-0000-00007E380000}"/>
    <cellStyle name="Normal 8 2 3 2 6 4" xfId="10725" xr:uid="{00000000-0005-0000-0000-00007F380000}"/>
    <cellStyle name="Normal 8 2 3 2 7" xfId="2636" xr:uid="{00000000-0005-0000-0000-000080380000}"/>
    <cellStyle name="Normal 8 2 3 2 7 2" xfId="6920" xr:uid="{00000000-0005-0000-0000-000081380000}"/>
    <cellStyle name="Normal 8 2 3 2 7 2 2" xfId="15356" xr:uid="{00000000-0005-0000-0000-000082380000}"/>
    <cellStyle name="Normal 8 2 3 2 7 3" xfId="11138" xr:uid="{00000000-0005-0000-0000-000083380000}"/>
    <cellStyle name="Normal 8 2 3 2 8" xfId="4855" xr:uid="{00000000-0005-0000-0000-000084380000}"/>
    <cellStyle name="Normal 8 2 3 2 8 2" xfId="13291" xr:uid="{00000000-0005-0000-0000-000085380000}"/>
    <cellStyle name="Normal 8 2 3 2 9" xfId="9073" xr:uid="{00000000-0005-0000-0000-000086380000}"/>
    <cellStyle name="Normal 8 2 3 3" xfId="491" xr:uid="{00000000-0005-0000-0000-000087380000}"/>
    <cellStyle name="Normal 8 2 3 3 2" xfId="958" xr:uid="{00000000-0005-0000-0000-000088380000}"/>
    <cellStyle name="Normal 8 2 3 3 2 2" xfId="3192" xr:uid="{00000000-0005-0000-0000-000089380000}"/>
    <cellStyle name="Normal 8 2 3 3 2 2 2" xfId="7415" xr:uid="{00000000-0005-0000-0000-00008A380000}"/>
    <cellStyle name="Normal 8 2 3 3 2 2 2 2" xfId="15851" xr:uid="{00000000-0005-0000-0000-00008B380000}"/>
    <cellStyle name="Normal 8 2 3 3 2 2 3" xfId="11633" xr:uid="{00000000-0005-0000-0000-00008C380000}"/>
    <cellStyle name="Normal 8 2 3 3 2 3" xfId="5270" xr:uid="{00000000-0005-0000-0000-00008D380000}"/>
    <cellStyle name="Normal 8 2 3 3 2 3 2" xfId="13706" xr:uid="{00000000-0005-0000-0000-00008E380000}"/>
    <cellStyle name="Normal 8 2 3 3 2 4" xfId="9488" xr:uid="{00000000-0005-0000-0000-00008F380000}"/>
    <cellStyle name="Normal 8 2 3 3 3" xfId="1375" xr:uid="{00000000-0005-0000-0000-000090380000}"/>
    <cellStyle name="Normal 8 2 3 3 3 2" xfId="3605" xr:uid="{00000000-0005-0000-0000-000091380000}"/>
    <cellStyle name="Normal 8 2 3 3 3 2 2" xfId="7828" xr:uid="{00000000-0005-0000-0000-000092380000}"/>
    <cellStyle name="Normal 8 2 3 3 3 2 2 2" xfId="16264" xr:uid="{00000000-0005-0000-0000-000093380000}"/>
    <cellStyle name="Normal 8 2 3 3 3 2 3" xfId="12046" xr:uid="{00000000-0005-0000-0000-000094380000}"/>
    <cellStyle name="Normal 8 2 3 3 3 3" xfId="5683" xr:uid="{00000000-0005-0000-0000-000095380000}"/>
    <cellStyle name="Normal 8 2 3 3 3 3 2" xfId="14119" xr:uid="{00000000-0005-0000-0000-000096380000}"/>
    <cellStyle name="Normal 8 2 3 3 3 4" xfId="9901" xr:uid="{00000000-0005-0000-0000-000097380000}"/>
    <cellStyle name="Normal 8 2 3 3 4" xfId="1788" xr:uid="{00000000-0005-0000-0000-000098380000}"/>
    <cellStyle name="Normal 8 2 3 3 4 2" xfId="4018" xr:uid="{00000000-0005-0000-0000-000099380000}"/>
    <cellStyle name="Normal 8 2 3 3 4 2 2" xfId="8241" xr:uid="{00000000-0005-0000-0000-00009A380000}"/>
    <cellStyle name="Normal 8 2 3 3 4 2 2 2" xfId="16677" xr:uid="{00000000-0005-0000-0000-00009B380000}"/>
    <cellStyle name="Normal 8 2 3 3 4 2 3" xfId="12459" xr:uid="{00000000-0005-0000-0000-00009C380000}"/>
    <cellStyle name="Normal 8 2 3 3 4 3" xfId="6096" xr:uid="{00000000-0005-0000-0000-00009D380000}"/>
    <cellStyle name="Normal 8 2 3 3 4 3 2" xfId="14532" xr:uid="{00000000-0005-0000-0000-00009E380000}"/>
    <cellStyle name="Normal 8 2 3 3 4 4" xfId="10314" xr:uid="{00000000-0005-0000-0000-00009F380000}"/>
    <cellStyle name="Normal 8 2 3 3 5" xfId="2202" xr:uid="{00000000-0005-0000-0000-0000A0380000}"/>
    <cellStyle name="Normal 8 2 3 3 5 2" xfId="4431" xr:uid="{00000000-0005-0000-0000-0000A1380000}"/>
    <cellStyle name="Normal 8 2 3 3 5 2 2" xfId="8654" xr:uid="{00000000-0005-0000-0000-0000A2380000}"/>
    <cellStyle name="Normal 8 2 3 3 5 2 2 2" xfId="17090" xr:uid="{00000000-0005-0000-0000-0000A3380000}"/>
    <cellStyle name="Normal 8 2 3 3 5 2 3" xfId="12872" xr:uid="{00000000-0005-0000-0000-0000A4380000}"/>
    <cellStyle name="Normal 8 2 3 3 5 3" xfId="6509" xr:uid="{00000000-0005-0000-0000-0000A5380000}"/>
    <cellStyle name="Normal 8 2 3 3 5 3 2" xfId="14945" xr:uid="{00000000-0005-0000-0000-0000A6380000}"/>
    <cellStyle name="Normal 8 2 3 3 5 4" xfId="10727" xr:uid="{00000000-0005-0000-0000-0000A7380000}"/>
    <cellStyle name="Normal 8 2 3 3 6" xfId="2638" xr:uid="{00000000-0005-0000-0000-0000A8380000}"/>
    <cellStyle name="Normal 8 2 3 3 6 2" xfId="6922" xr:uid="{00000000-0005-0000-0000-0000A9380000}"/>
    <cellStyle name="Normal 8 2 3 3 6 2 2" xfId="15358" xr:uid="{00000000-0005-0000-0000-0000AA380000}"/>
    <cellStyle name="Normal 8 2 3 3 6 3" xfId="11140" xr:uid="{00000000-0005-0000-0000-0000AB380000}"/>
    <cellStyle name="Normal 8 2 3 3 7" xfId="4857" xr:uid="{00000000-0005-0000-0000-0000AC380000}"/>
    <cellStyle name="Normal 8 2 3 3 7 2" xfId="13293" xr:uid="{00000000-0005-0000-0000-0000AD380000}"/>
    <cellStyle name="Normal 8 2 3 3 8" xfId="9075" xr:uid="{00000000-0005-0000-0000-0000AE380000}"/>
    <cellStyle name="Normal 8 2 3 4" xfId="955" xr:uid="{00000000-0005-0000-0000-0000AF380000}"/>
    <cellStyle name="Normal 8 2 3 4 2" xfId="3189" xr:uid="{00000000-0005-0000-0000-0000B0380000}"/>
    <cellStyle name="Normal 8 2 3 4 2 2" xfId="7412" xr:uid="{00000000-0005-0000-0000-0000B1380000}"/>
    <cellStyle name="Normal 8 2 3 4 2 2 2" xfId="15848" xr:uid="{00000000-0005-0000-0000-0000B2380000}"/>
    <cellStyle name="Normal 8 2 3 4 2 3" xfId="11630" xr:uid="{00000000-0005-0000-0000-0000B3380000}"/>
    <cellStyle name="Normal 8 2 3 4 3" xfId="5267" xr:uid="{00000000-0005-0000-0000-0000B4380000}"/>
    <cellStyle name="Normal 8 2 3 4 3 2" xfId="13703" xr:uid="{00000000-0005-0000-0000-0000B5380000}"/>
    <cellStyle name="Normal 8 2 3 4 4" xfId="9485" xr:uid="{00000000-0005-0000-0000-0000B6380000}"/>
    <cellStyle name="Normal 8 2 3 5" xfId="1372" xr:uid="{00000000-0005-0000-0000-0000B7380000}"/>
    <cellStyle name="Normal 8 2 3 5 2" xfId="3602" xr:uid="{00000000-0005-0000-0000-0000B8380000}"/>
    <cellStyle name="Normal 8 2 3 5 2 2" xfId="7825" xr:uid="{00000000-0005-0000-0000-0000B9380000}"/>
    <cellStyle name="Normal 8 2 3 5 2 2 2" xfId="16261" xr:uid="{00000000-0005-0000-0000-0000BA380000}"/>
    <cellStyle name="Normal 8 2 3 5 2 3" xfId="12043" xr:uid="{00000000-0005-0000-0000-0000BB380000}"/>
    <cellStyle name="Normal 8 2 3 5 3" xfId="5680" xr:uid="{00000000-0005-0000-0000-0000BC380000}"/>
    <cellStyle name="Normal 8 2 3 5 3 2" xfId="14116" xr:uid="{00000000-0005-0000-0000-0000BD380000}"/>
    <cellStyle name="Normal 8 2 3 5 4" xfId="9898" xr:uid="{00000000-0005-0000-0000-0000BE380000}"/>
    <cellStyle name="Normal 8 2 3 6" xfId="1785" xr:uid="{00000000-0005-0000-0000-0000BF380000}"/>
    <cellStyle name="Normal 8 2 3 6 2" xfId="4015" xr:uid="{00000000-0005-0000-0000-0000C0380000}"/>
    <cellStyle name="Normal 8 2 3 6 2 2" xfId="8238" xr:uid="{00000000-0005-0000-0000-0000C1380000}"/>
    <cellStyle name="Normal 8 2 3 6 2 2 2" xfId="16674" xr:uid="{00000000-0005-0000-0000-0000C2380000}"/>
    <cellStyle name="Normal 8 2 3 6 2 3" xfId="12456" xr:uid="{00000000-0005-0000-0000-0000C3380000}"/>
    <cellStyle name="Normal 8 2 3 6 3" xfId="6093" xr:uid="{00000000-0005-0000-0000-0000C4380000}"/>
    <cellStyle name="Normal 8 2 3 6 3 2" xfId="14529" xr:uid="{00000000-0005-0000-0000-0000C5380000}"/>
    <cellStyle name="Normal 8 2 3 6 4" xfId="10311" xr:uid="{00000000-0005-0000-0000-0000C6380000}"/>
    <cellStyle name="Normal 8 2 3 7" xfId="2199" xr:uid="{00000000-0005-0000-0000-0000C7380000}"/>
    <cellStyle name="Normal 8 2 3 7 2" xfId="4428" xr:uid="{00000000-0005-0000-0000-0000C8380000}"/>
    <cellStyle name="Normal 8 2 3 7 2 2" xfId="8651" xr:uid="{00000000-0005-0000-0000-0000C9380000}"/>
    <cellStyle name="Normal 8 2 3 7 2 2 2" xfId="17087" xr:uid="{00000000-0005-0000-0000-0000CA380000}"/>
    <cellStyle name="Normal 8 2 3 7 2 3" xfId="12869" xr:uid="{00000000-0005-0000-0000-0000CB380000}"/>
    <cellStyle name="Normal 8 2 3 7 3" xfId="6506" xr:uid="{00000000-0005-0000-0000-0000CC380000}"/>
    <cellStyle name="Normal 8 2 3 7 3 2" xfId="14942" xr:uid="{00000000-0005-0000-0000-0000CD380000}"/>
    <cellStyle name="Normal 8 2 3 7 4" xfId="10724" xr:uid="{00000000-0005-0000-0000-0000CE380000}"/>
    <cellStyle name="Normal 8 2 3 8" xfId="2635" xr:uid="{00000000-0005-0000-0000-0000CF380000}"/>
    <cellStyle name="Normal 8 2 3 8 2" xfId="6919" xr:uid="{00000000-0005-0000-0000-0000D0380000}"/>
    <cellStyle name="Normal 8 2 3 8 2 2" xfId="15355" xr:uid="{00000000-0005-0000-0000-0000D1380000}"/>
    <cellStyle name="Normal 8 2 3 8 3" xfId="11137" xr:uid="{00000000-0005-0000-0000-0000D2380000}"/>
    <cellStyle name="Normal 8 2 3 9" xfId="4854" xr:uid="{00000000-0005-0000-0000-0000D3380000}"/>
    <cellStyle name="Normal 8 2 3 9 2" xfId="13290" xr:uid="{00000000-0005-0000-0000-0000D4380000}"/>
    <cellStyle name="Normal 8 2 4" xfId="492" xr:uid="{00000000-0005-0000-0000-0000D5380000}"/>
    <cellStyle name="Normal 8 2 4 2" xfId="493" xr:uid="{00000000-0005-0000-0000-0000D6380000}"/>
    <cellStyle name="Normal 8 2 4 2 2" xfId="960" xr:uid="{00000000-0005-0000-0000-0000D7380000}"/>
    <cellStyle name="Normal 8 2 4 2 2 2" xfId="3194" xr:uid="{00000000-0005-0000-0000-0000D8380000}"/>
    <cellStyle name="Normal 8 2 4 2 2 2 2" xfId="7417" xr:uid="{00000000-0005-0000-0000-0000D9380000}"/>
    <cellStyle name="Normal 8 2 4 2 2 2 2 2" xfId="15853" xr:uid="{00000000-0005-0000-0000-0000DA380000}"/>
    <cellStyle name="Normal 8 2 4 2 2 2 3" xfId="11635" xr:uid="{00000000-0005-0000-0000-0000DB380000}"/>
    <cellStyle name="Normal 8 2 4 2 2 3" xfId="5272" xr:uid="{00000000-0005-0000-0000-0000DC380000}"/>
    <cellStyle name="Normal 8 2 4 2 2 3 2" xfId="13708" xr:uid="{00000000-0005-0000-0000-0000DD380000}"/>
    <cellStyle name="Normal 8 2 4 2 2 4" xfId="9490" xr:uid="{00000000-0005-0000-0000-0000DE380000}"/>
    <cellStyle name="Normal 8 2 4 2 3" xfId="1377" xr:uid="{00000000-0005-0000-0000-0000DF380000}"/>
    <cellStyle name="Normal 8 2 4 2 3 2" xfId="3607" xr:uid="{00000000-0005-0000-0000-0000E0380000}"/>
    <cellStyle name="Normal 8 2 4 2 3 2 2" xfId="7830" xr:uid="{00000000-0005-0000-0000-0000E1380000}"/>
    <cellStyle name="Normal 8 2 4 2 3 2 2 2" xfId="16266" xr:uid="{00000000-0005-0000-0000-0000E2380000}"/>
    <cellStyle name="Normal 8 2 4 2 3 2 3" xfId="12048" xr:uid="{00000000-0005-0000-0000-0000E3380000}"/>
    <cellStyle name="Normal 8 2 4 2 3 3" xfId="5685" xr:uid="{00000000-0005-0000-0000-0000E4380000}"/>
    <cellStyle name="Normal 8 2 4 2 3 3 2" xfId="14121" xr:uid="{00000000-0005-0000-0000-0000E5380000}"/>
    <cellStyle name="Normal 8 2 4 2 3 4" xfId="9903" xr:uid="{00000000-0005-0000-0000-0000E6380000}"/>
    <cellStyle name="Normal 8 2 4 2 4" xfId="1790" xr:uid="{00000000-0005-0000-0000-0000E7380000}"/>
    <cellStyle name="Normal 8 2 4 2 4 2" xfId="4020" xr:uid="{00000000-0005-0000-0000-0000E8380000}"/>
    <cellStyle name="Normal 8 2 4 2 4 2 2" xfId="8243" xr:uid="{00000000-0005-0000-0000-0000E9380000}"/>
    <cellStyle name="Normal 8 2 4 2 4 2 2 2" xfId="16679" xr:uid="{00000000-0005-0000-0000-0000EA380000}"/>
    <cellStyle name="Normal 8 2 4 2 4 2 3" xfId="12461" xr:uid="{00000000-0005-0000-0000-0000EB380000}"/>
    <cellStyle name="Normal 8 2 4 2 4 3" xfId="6098" xr:uid="{00000000-0005-0000-0000-0000EC380000}"/>
    <cellStyle name="Normal 8 2 4 2 4 3 2" xfId="14534" xr:uid="{00000000-0005-0000-0000-0000ED380000}"/>
    <cellStyle name="Normal 8 2 4 2 4 4" xfId="10316" xr:uid="{00000000-0005-0000-0000-0000EE380000}"/>
    <cellStyle name="Normal 8 2 4 2 5" xfId="2204" xr:uid="{00000000-0005-0000-0000-0000EF380000}"/>
    <cellStyle name="Normal 8 2 4 2 5 2" xfId="4433" xr:uid="{00000000-0005-0000-0000-0000F0380000}"/>
    <cellStyle name="Normal 8 2 4 2 5 2 2" xfId="8656" xr:uid="{00000000-0005-0000-0000-0000F1380000}"/>
    <cellStyle name="Normal 8 2 4 2 5 2 2 2" xfId="17092" xr:uid="{00000000-0005-0000-0000-0000F2380000}"/>
    <cellStyle name="Normal 8 2 4 2 5 2 3" xfId="12874" xr:uid="{00000000-0005-0000-0000-0000F3380000}"/>
    <cellStyle name="Normal 8 2 4 2 5 3" xfId="6511" xr:uid="{00000000-0005-0000-0000-0000F4380000}"/>
    <cellStyle name="Normal 8 2 4 2 5 3 2" xfId="14947" xr:uid="{00000000-0005-0000-0000-0000F5380000}"/>
    <cellStyle name="Normal 8 2 4 2 5 4" xfId="10729" xr:uid="{00000000-0005-0000-0000-0000F6380000}"/>
    <cellStyle name="Normal 8 2 4 2 6" xfId="2640" xr:uid="{00000000-0005-0000-0000-0000F7380000}"/>
    <cellStyle name="Normal 8 2 4 2 6 2" xfId="6924" xr:uid="{00000000-0005-0000-0000-0000F8380000}"/>
    <cellStyle name="Normal 8 2 4 2 6 2 2" xfId="15360" xr:uid="{00000000-0005-0000-0000-0000F9380000}"/>
    <cellStyle name="Normal 8 2 4 2 6 3" xfId="11142" xr:uid="{00000000-0005-0000-0000-0000FA380000}"/>
    <cellStyle name="Normal 8 2 4 2 7" xfId="4859" xr:uid="{00000000-0005-0000-0000-0000FB380000}"/>
    <cellStyle name="Normal 8 2 4 2 7 2" xfId="13295" xr:uid="{00000000-0005-0000-0000-0000FC380000}"/>
    <cellStyle name="Normal 8 2 4 2 8" xfId="9077" xr:uid="{00000000-0005-0000-0000-0000FD380000}"/>
    <cellStyle name="Normal 8 2 4 3" xfId="959" xr:uid="{00000000-0005-0000-0000-0000FE380000}"/>
    <cellStyle name="Normal 8 2 4 3 2" xfId="3193" xr:uid="{00000000-0005-0000-0000-0000FF380000}"/>
    <cellStyle name="Normal 8 2 4 3 2 2" xfId="7416" xr:uid="{00000000-0005-0000-0000-000000390000}"/>
    <cellStyle name="Normal 8 2 4 3 2 2 2" xfId="15852" xr:uid="{00000000-0005-0000-0000-000001390000}"/>
    <cellStyle name="Normal 8 2 4 3 2 3" xfId="11634" xr:uid="{00000000-0005-0000-0000-000002390000}"/>
    <cellStyle name="Normal 8 2 4 3 3" xfId="5271" xr:uid="{00000000-0005-0000-0000-000003390000}"/>
    <cellStyle name="Normal 8 2 4 3 3 2" xfId="13707" xr:uid="{00000000-0005-0000-0000-000004390000}"/>
    <cellStyle name="Normal 8 2 4 3 4" xfId="9489" xr:uid="{00000000-0005-0000-0000-000005390000}"/>
    <cellStyle name="Normal 8 2 4 4" xfId="1376" xr:uid="{00000000-0005-0000-0000-000006390000}"/>
    <cellStyle name="Normal 8 2 4 4 2" xfId="3606" xr:uid="{00000000-0005-0000-0000-000007390000}"/>
    <cellStyle name="Normal 8 2 4 4 2 2" xfId="7829" xr:uid="{00000000-0005-0000-0000-000008390000}"/>
    <cellStyle name="Normal 8 2 4 4 2 2 2" xfId="16265" xr:uid="{00000000-0005-0000-0000-000009390000}"/>
    <cellStyle name="Normal 8 2 4 4 2 3" xfId="12047" xr:uid="{00000000-0005-0000-0000-00000A390000}"/>
    <cellStyle name="Normal 8 2 4 4 3" xfId="5684" xr:uid="{00000000-0005-0000-0000-00000B390000}"/>
    <cellStyle name="Normal 8 2 4 4 3 2" xfId="14120" xr:uid="{00000000-0005-0000-0000-00000C390000}"/>
    <cellStyle name="Normal 8 2 4 4 4" xfId="9902" xr:uid="{00000000-0005-0000-0000-00000D390000}"/>
    <cellStyle name="Normal 8 2 4 5" xfId="1789" xr:uid="{00000000-0005-0000-0000-00000E390000}"/>
    <cellStyle name="Normal 8 2 4 5 2" xfId="4019" xr:uid="{00000000-0005-0000-0000-00000F390000}"/>
    <cellStyle name="Normal 8 2 4 5 2 2" xfId="8242" xr:uid="{00000000-0005-0000-0000-000010390000}"/>
    <cellStyle name="Normal 8 2 4 5 2 2 2" xfId="16678" xr:uid="{00000000-0005-0000-0000-000011390000}"/>
    <cellStyle name="Normal 8 2 4 5 2 3" xfId="12460" xr:uid="{00000000-0005-0000-0000-000012390000}"/>
    <cellStyle name="Normal 8 2 4 5 3" xfId="6097" xr:uid="{00000000-0005-0000-0000-000013390000}"/>
    <cellStyle name="Normal 8 2 4 5 3 2" xfId="14533" xr:uid="{00000000-0005-0000-0000-000014390000}"/>
    <cellStyle name="Normal 8 2 4 5 4" xfId="10315" xr:uid="{00000000-0005-0000-0000-000015390000}"/>
    <cellStyle name="Normal 8 2 4 6" xfId="2203" xr:uid="{00000000-0005-0000-0000-000016390000}"/>
    <cellStyle name="Normal 8 2 4 6 2" xfId="4432" xr:uid="{00000000-0005-0000-0000-000017390000}"/>
    <cellStyle name="Normal 8 2 4 6 2 2" xfId="8655" xr:uid="{00000000-0005-0000-0000-000018390000}"/>
    <cellStyle name="Normal 8 2 4 6 2 2 2" xfId="17091" xr:uid="{00000000-0005-0000-0000-000019390000}"/>
    <cellStyle name="Normal 8 2 4 6 2 3" xfId="12873" xr:uid="{00000000-0005-0000-0000-00001A390000}"/>
    <cellStyle name="Normal 8 2 4 6 3" xfId="6510" xr:uid="{00000000-0005-0000-0000-00001B390000}"/>
    <cellStyle name="Normal 8 2 4 6 3 2" xfId="14946" xr:uid="{00000000-0005-0000-0000-00001C390000}"/>
    <cellStyle name="Normal 8 2 4 6 4" xfId="10728" xr:uid="{00000000-0005-0000-0000-00001D390000}"/>
    <cellStyle name="Normal 8 2 4 7" xfId="2639" xr:uid="{00000000-0005-0000-0000-00001E390000}"/>
    <cellStyle name="Normal 8 2 4 7 2" xfId="6923" xr:uid="{00000000-0005-0000-0000-00001F390000}"/>
    <cellStyle name="Normal 8 2 4 7 2 2" xfId="15359" xr:uid="{00000000-0005-0000-0000-000020390000}"/>
    <cellStyle name="Normal 8 2 4 7 3" xfId="11141" xr:uid="{00000000-0005-0000-0000-000021390000}"/>
    <cellStyle name="Normal 8 2 4 8" xfId="4858" xr:uid="{00000000-0005-0000-0000-000022390000}"/>
    <cellStyle name="Normal 8 2 4 8 2" xfId="13294" xr:uid="{00000000-0005-0000-0000-000023390000}"/>
    <cellStyle name="Normal 8 2 4 9" xfId="9076" xr:uid="{00000000-0005-0000-0000-000024390000}"/>
    <cellStyle name="Normal 8 2 5" xfId="494" xr:uid="{00000000-0005-0000-0000-000025390000}"/>
    <cellStyle name="Normal 8 2 5 2" xfId="961" xr:uid="{00000000-0005-0000-0000-000026390000}"/>
    <cellStyle name="Normal 8 2 5 2 2" xfId="3195" xr:uid="{00000000-0005-0000-0000-000027390000}"/>
    <cellStyle name="Normal 8 2 5 2 2 2" xfId="7418" xr:uid="{00000000-0005-0000-0000-000028390000}"/>
    <cellStyle name="Normal 8 2 5 2 2 2 2" xfId="15854" xr:uid="{00000000-0005-0000-0000-000029390000}"/>
    <cellStyle name="Normal 8 2 5 2 2 3" xfId="11636" xr:uid="{00000000-0005-0000-0000-00002A390000}"/>
    <cellStyle name="Normal 8 2 5 2 3" xfId="5273" xr:uid="{00000000-0005-0000-0000-00002B390000}"/>
    <cellStyle name="Normal 8 2 5 2 3 2" xfId="13709" xr:uid="{00000000-0005-0000-0000-00002C390000}"/>
    <cellStyle name="Normal 8 2 5 2 4" xfId="9491" xr:uid="{00000000-0005-0000-0000-00002D390000}"/>
    <cellStyle name="Normal 8 2 5 3" xfId="1378" xr:uid="{00000000-0005-0000-0000-00002E390000}"/>
    <cellStyle name="Normal 8 2 5 3 2" xfId="3608" xr:uid="{00000000-0005-0000-0000-00002F390000}"/>
    <cellStyle name="Normal 8 2 5 3 2 2" xfId="7831" xr:uid="{00000000-0005-0000-0000-000030390000}"/>
    <cellStyle name="Normal 8 2 5 3 2 2 2" xfId="16267" xr:uid="{00000000-0005-0000-0000-000031390000}"/>
    <cellStyle name="Normal 8 2 5 3 2 3" xfId="12049" xr:uid="{00000000-0005-0000-0000-000032390000}"/>
    <cellStyle name="Normal 8 2 5 3 3" xfId="5686" xr:uid="{00000000-0005-0000-0000-000033390000}"/>
    <cellStyle name="Normal 8 2 5 3 3 2" xfId="14122" xr:uid="{00000000-0005-0000-0000-000034390000}"/>
    <cellStyle name="Normal 8 2 5 3 4" xfId="9904" xr:uid="{00000000-0005-0000-0000-000035390000}"/>
    <cellStyle name="Normal 8 2 5 4" xfId="1791" xr:uid="{00000000-0005-0000-0000-000036390000}"/>
    <cellStyle name="Normal 8 2 5 4 2" xfId="4021" xr:uid="{00000000-0005-0000-0000-000037390000}"/>
    <cellStyle name="Normal 8 2 5 4 2 2" xfId="8244" xr:uid="{00000000-0005-0000-0000-000038390000}"/>
    <cellStyle name="Normal 8 2 5 4 2 2 2" xfId="16680" xr:uid="{00000000-0005-0000-0000-000039390000}"/>
    <cellStyle name="Normal 8 2 5 4 2 3" xfId="12462" xr:uid="{00000000-0005-0000-0000-00003A390000}"/>
    <cellStyle name="Normal 8 2 5 4 3" xfId="6099" xr:uid="{00000000-0005-0000-0000-00003B390000}"/>
    <cellStyle name="Normal 8 2 5 4 3 2" xfId="14535" xr:uid="{00000000-0005-0000-0000-00003C390000}"/>
    <cellStyle name="Normal 8 2 5 4 4" xfId="10317" xr:uid="{00000000-0005-0000-0000-00003D390000}"/>
    <cellStyle name="Normal 8 2 5 5" xfId="2205" xr:uid="{00000000-0005-0000-0000-00003E390000}"/>
    <cellStyle name="Normal 8 2 5 5 2" xfId="4434" xr:uid="{00000000-0005-0000-0000-00003F390000}"/>
    <cellStyle name="Normal 8 2 5 5 2 2" xfId="8657" xr:uid="{00000000-0005-0000-0000-000040390000}"/>
    <cellStyle name="Normal 8 2 5 5 2 2 2" xfId="17093" xr:uid="{00000000-0005-0000-0000-000041390000}"/>
    <cellStyle name="Normal 8 2 5 5 2 3" xfId="12875" xr:uid="{00000000-0005-0000-0000-000042390000}"/>
    <cellStyle name="Normal 8 2 5 5 3" xfId="6512" xr:uid="{00000000-0005-0000-0000-000043390000}"/>
    <cellStyle name="Normal 8 2 5 5 3 2" xfId="14948" xr:uid="{00000000-0005-0000-0000-000044390000}"/>
    <cellStyle name="Normal 8 2 5 5 4" xfId="10730" xr:uid="{00000000-0005-0000-0000-000045390000}"/>
    <cellStyle name="Normal 8 2 5 6" xfId="2641" xr:uid="{00000000-0005-0000-0000-000046390000}"/>
    <cellStyle name="Normal 8 2 5 6 2" xfId="6925" xr:uid="{00000000-0005-0000-0000-000047390000}"/>
    <cellStyle name="Normal 8 2 5 6 2 2" xfId="15361" xr:uid="{00000000-0005-0000-0000-000048390000}"/>
    <cellStyle name="Normal 8 2 5 6 3" xfId="11143" xr:uid="{00000000-0005-0000-0000-000049390000}"/>
    <cellStyle name="Normal 8 2 5 7" xfId="4860" xr:uid="{00000000-0005-0000-0000-00004A390000}"/>
    <cellStyle name="Normal 8 2 5 7 2" xfId="13296" xr:uid="{00000000-0005-0000-0000-00004B390000}"/>
    <cellStyle name="Normal 8 2 5 8" xfId="9078" xr:uid="{00000000-0005-0000-0000-00004C390000}"/>
    <cellStyle name="Normal 8 2 6" xfId="946" xr:uid="{00000000-0005-0000-0000-00004D390000}"/>
    <cellStyle name="Normal 8 2 6 2" xfId="3180" xr:uid="{00000000-0005-0000-0000-00004E390000}"/>
    <cellStyle name="Normal 8 2 6 2 2" xfId="7403" xr:uid="{00000000-0005-0000-0000-00004F390000}"/>
    <cellStyle name="Normal 8 2 6 2 2 2" xfId="15839" xr:uid="{00000000-0005-0000-0000-000050390000}"/>
    <cellStyle name="Normal 8 2 6 2 3" xfId="11621" xr:uid="{00000000-0005-0000-0000-000051390000}"/>
    <cellStyle name="Normal 8 2 6 3" xfId="5258" xr:uid="{00000000-0005-0000-0000-000052390000}"/>
    <cellStyle name="Normal 8 2 6 3 2" xfId="13694" xr:uid="{00000000-0005-0000-0000-000053390000}"/>
    <cellStyle name="Normal 8 2 6 4" xfId="9476" xr:uid="{00000000-0005-0000-0000-000054390000}"/>
    <cellStyle name="Normal 8 2 7" xfId="1363" xr:uid="{00000000-0005-0000-0000-000055390000}"/>
    <cellStyle name="Normal 8 2 7 2" xfId="3593" xr:uid="{00000000-0005-0000-0000-000056390000}"/>
    <cellStyle name="Normal 8 2 7 2 2" xfId="7816" xr:uid="{00000000-0005-0000-0000-000057390000}"/>
    <cellStyle name="Normal 8 2 7 2 2 2" xfId="16252" xr:uid="{00000000-0005-0000-0000-000058390000}"/>
    <cellStyle name="Normal 8 2 7 2 3" xfId="12034" xr:uid="{00000000-0005-0000-0000-000059390000}"/>
    <cellStyle name="Normal 8 2 7 3" xfId="5671" xr:uid="{00000000-0005-0000-0000-00005A390000}"/>
    <cellStyle name="Normal 8 2 7 3 2" xfId="14107" xr:uid="{00000000-0005-0000-0000-00005B390000}"/>
    <cellStyle name="Normal 8 2 7 4" xfId="9889" xr:uid="{00000000-0005-0000-0000-00005C390000}"/>
    <cellStyle name="Normal 8 2 8" xfId="1776" xr:uid="{00000000-0005-0000-0000-00005D390000}"/>
    <cellStyle name="Normal 8 2 8 2" xfId="4006" xr:uid="{00000000-0005-0000-0000-00005E390000}"/>
    <cellStyle name="Normal 8 2 8 2 2" xfId="8229" xr:uid="{00000000-0005-0000-0000-00005F390000}"/>
    <cellStyle name="Normal 8 2 8 2 2 2" xfId="16665" xr:uid="{00000000-0005-0000-0000-000060390000}"/>
    <cellStyle name="Normal 8 2 8 2 3" xfId="12447" xr:uid="{00000000-0005-0000-0000-000061390000}"/>
    <cellStyle name="Normal 8 2 8 3" xfId="6084" xr:uid="{00000000-0005-0000-0000-000062390000}"/>
    <cellStyle name="Normal 8 2 8 3 2" xfId="14520" xr:uid="{00000000-0005-0000-0000-000063390000}"/>
    <cellStyle name="Normal 8 2 8 4" xfId="10302" xr:uid="{00000000-0005-0000-0000-000064390000}"/>
    <cellStyle name="Normal 8 2 9" xfId="2190" xr:uid="{00000000-0005-0000-0000-000065390000}"/>
    <cellStyle name="Normal 8 2 9 2" xfId="4419" xr:uid="{00000000-0005-0000-0000-000066390000}"/>
    <cellStyle name="Normal 8 2 9 2 2" xfId="8642" xr:uid="{00000000-0005-0000-0000-000067390000}"/>
    <cellStyle name="Normal 8 2 9 2 2 2" xfId="17078" xr:uid="{00000000-0005-0000-0000-000068390000}"/>
    <cellStyle name="Normal 8 2 9 2 3" xfId="12860" xr:uid="{00000000-0005-0000-0000-000069390000}"/>
    <cellStyle name="Normal 8 2 9 3" xfId="6497" xr:uid="{00000000-0005-0000-0000-00006A390000}"/>
    <cellStyle name="Normal 8 2 9 3 2" xfId="14933" xr:uid="{00000000-0005-0000-0000-00006B390000}"/>
    <cellStyle name="Normal 8 2 9 4" xfId="10715" xr:uid="{00000000-0005-0000-0000-00006C390000}"/>
    <cellStyle name="Normal 8 3" xfId="495" xr:uid="{00000000-0005-0000-0000-00006D390000}"/>
    <cellStyle name="Normal 8 3 10" xfId="4861" xr:uid="{00000000-0005-0000-0000-00006E390000}"/>
    <cellStyle name="Normal 8 3 10 2" xfId="13297" xr:uid="{00000000-0005-0000-0000-00006F390000}"/>
    <cellStyle name="Normal 8 3 11" xfId="9079" xr:uid="{00000000-0005-0000-0000-000070390000}"/>
    <cellStyle name="Normal 8 3 2" xfId="496" xr:uid="{00000000-0005-0000-0000-000071390000}"/>
    <cellStyle name="Normal 8 3 2 10" xfId="9080" xr:uid="{00000000-0005-0000-0000-000072390000}"/>
    <cellStyle name="Normal 8 3 2 2" xfId="497" xr:uid="{00000000-0005-0000-0000-000073390000}"/>
    <cellStyle name="Normal 8 3 2 2 2" xfId="498" xr:uid="{00000000-0005-0000-0000-000074390000}"/>
    <cellStyle name="Normal 8 3 2 2 2 2" xfId="965" xr:uid="{00000000-0005-0000-0000-000075390000}"/>
    <cellStyle name="Normal 8 3 2 2 2 2 2" xfId="3199" xr:uid="{00000000-0005-0000-0000-000076390000}"/>
    <cellStyle name="Normal 8 3 2 2 2 2 2 2" xfId="7422" xr:uid="{00000000-0005-0000-0000-000077390000}"/>
    <cellStyle name="Normal 8 3 2 2 2 2 2 2 2" xfId="15858" xr:uid="{00000000-0005-0000-0000-000078390000}"/>
    <cellStyle name="Normal 8 3 2 2 2 2 2 3" xfId="11640" xr:uid="{00000000-0005-0000-0000-000079390000}"/>
    <cellStyle name="Normal 8 3 2 2 2 2 3" xfId="5277" xr:uid="{00000000-0005-0000-0000-00007A390000}"/>
    <cellStyle name="Normal 8 3 2 2 2 2 3 2" xfId="13713" xr:uid="{00000000-0005-0000-0000-00007B390000}"/>
    <cellStyle name="Normal 8 3 2 2 2 2 4" xfId="9495" xr:uid="{00000000-0005-0000-0000-00007C390000}"/>
    <cellStyle name="Normal 8 3 2 2 2 3" xfId="1382" xr:uid="{00000000-0005-0000-0000-00007D390000}"/>
    <cellStyle name="Normal 8 3 2 2 2 3 2" xfId="3612" xr:uid="{00000000-0005-0000-0000-00007E390000}"/>
    <cellStyle name="Normal 8 3 2 2 2 3 2 2" xfId="7835" xr:uid="{00000000-0005-0000-0000-00007F390000}"/>
    <cellStyle name="Normal 8 3 2 2 2 3 2 2 2" xfId="16271" xr:uid="{00000000-0005-0000-0000-000080390000}"/>
    <cellStyle name="Normal 8 3 2 2 2 3 2 3" xfId="12053" xr:uid="{00000000-0005-0000-0000-000081390000}"/>
    <cellStyle name="Normal 8 3 2 2 2 3 3" xfId="5690" xr:uid="{00000000-0005-0000-0000-000082390000}"/>
    <cellStyle name="Normal 8 3 2 2 2 3 3 2" xfId="14126" xr:uid="{00000000-0005-0000-0000-000083390000}"/>
    <cellStyle name="Normal 8 3 2 2 2 3 4" xfId="9908" xr:uid="{00000000-0005-0000-0000-000084390000}"/>
    <cellStyle name="Normal 8 3 2 2 2 4" xfId="1795" xr:uid="{00000000-0005-0000-0000-000085390000}"/>
    <cellStyle name="Normal 8 3 2 2 2 4 2" xfId="4025" xr:uid="{00000000-0005-0000-0000-000086390000}"/>
    <cellStyle name="Normal 8 3 2 2 2 4 2 2" xfId="8248" xr:uid="{00000000-0005-0000-0000-000087390000}"/>
    <cellStyle name="Normal 8 3 2 2 2 4 2 2 2" xfId="16684" xr:uid="{00000000-0005-0000-0000-000088390000}"/>
    <cellStyle name="Normal 8 3 2 2 2 4 2 3" xfId="12466" xr:uid="{00000000-0005-0000-0000-000089390000}"/>
    <cellStyle name="Normal 8 3 2 2 2 4 3" xfId="6103" xr:uid="{00000000-0005-0000-0000-00008A390000}"/>
    <cellStyle name="Normal 8 3 2 2 2 4 3 2" xfId="14539" xr:uid="{00000000-0005-0000-0000-00008B390000}"/>
    <cellStyle name="Normal 8 3 2 2 2 4 4" xfId="10321" xr:uid="{00000000-0005-0000-0000-00008C390000}"/>
    <cellStyle name="Normal 8 3 2 2 2 5" xfId="2209" xr:uid="{00000000-0005-0000-0000-00008D390000}"/>
    <cellStyle name="Normal 8 3 2 2 2 5 2" xfId="4438" xr:uid="{00000000-0005-0000-0000-00008E390000}"/>
    <cellStyle name="Normal 8 3 2 2 2 5 2 2" xfId="8661" xr:uid="{00000000-0005-0000-0000-00008F390000}"/>
    <cellStyle name="Normal 8 3 2 2 2 5 2 2 2" xfId="17097" xr:uid="{00000000-0005-0000-0000-000090390000}"/>
    <cellStyle name="Normal 8 3 2 2 2 5 2 3" xfId="12879" xr:uid="{00000000-0005-0000-0000-000091390000}"/>
    <cellStyle name="Normal 8 3 2 2 2 5 3" xfId="6516" xr:uid="{00000000-0005-0000-0000-000092390000}"/>
    <cellStyle name="Normal 8 3 2 2 2 5 3 2" xfId="14952" xr:uid="{00000000-0005-0000-0000-000093390000}"/>
    <cellStyle name="Normal 8 3 2 2 2 5 4" xfId="10734" xr:uid="{00000000-0005-0000-0000-000094390000}"/>
    <cellStyle name="Normal 8 3 2 2 2 6" xfId="2645" xr:uid="{00000000-0005-0000-0000-000095390000}"/>
    <cellStyle name="Normal 8 3 2 2 2 6 2" xfId="6929" xr:uid="{00000000-0005-0000-0000-000096390000}"/>
    <cellStyle name="Normal 8 3 2 2 2 6 2 2" xfId="15365" xr:uid="{00000000-0005-0000-0000-000097390000}"/>
    <cellStyle name="Normal 8 3 2 2 2 6 3" xfId="11147" xr:uid="{00000000-0005-0000-0000-000098390000}"/>
    <cellStyle name="Normal 8 3 2 2 2 7" xfId="4864" xr:uid="{00000000-0005-0000-0000-000099390000}"/>
    <cellStyle name="Normal 8 3 2 2 2 7 2" xfId="13300" xr:uid="{00000000-0005-0000-0000-00009A390000}"/>
    <cellStyle name="Normal 8 3 2 2 2 8" xfId="9082" xr:uid="{00000000-0005-0000-0000-00009B390000}"/>
    <cellStyle name="Normal 8 3 2 2 3" xfId="964" xr:uid="{00000000-0005-0000-0000-00009C390000}"/>
    <cellStyle name="Normal 8 3 2 2 3 2" xfId="3198" xr:uid="{00000000-0005-0000-0000-00009D390000}"/>
    <cellStyle name="Normal 8 3 2 2 3 2 2" xfId="7421" xr:uid="{00000000-0005-0000-0000-00009E390000}"/>
    <cellStyle name="Normal 8 3 2 2 3 2 2 2" xfId="15857" xr:uid="{00000000-0005-0000-0000-00009F390000}"/>
    <cellStyle name="Normal 8 3 2 2 3 2 3" xfId="11639" xr:uid="{00000000-0005-0000-0000-0000A0390000}"/>
    <cellStyle name="Normal 8 3 2 2 3 3" xfId="5276" xr:uid="{00000000-0005-0000-0000-0000A1390000}"/>
    <cellStyle name="Normal 8 3 2 2 3 3 2" xfId="13712" xr:uid="{00000000-0005-0000-0000-0000A2390000}"/>
    <cellStyle name="Normal 8 3 2 2 3 4" xfId="9494" xr:uid="{00000000-0005-0000-0000-0000A3390000}"/>
    <cellStyle name="Normal 8 3 2 2 4" xfId="1381" xr:uid="{00000000-0005-0000-0000-0000A4390000}"/>
    <cellStyle name="Normal 8 3 2 2 4 2" xfId="3611" xr:uid="{00000000-0005-0000-0000-0000A5390000}"/>
    <cellStyle name="Normal 8 3 2 2 4 2 2" xfId="7834" xr:uid="{00000000-0005-0000-0000-0000A6390000}"/>
    <cellStyle name="Normal 8 3 2 2 4 2 2 2" xfId="16270" xr:uid="{00000000-0005-0000-0000-0000A7390000}"/>
    <cellStyle name="Normal 8 3 2 2 4 2 3" xfId="12052" xr:uid="{00000000-0005-0000-0000-0000A8390000}"/>
    <cellStyle name="Normal 8 3 2 2 4 3" xfId="5689" xr:uid="{00000000-0005-0000-0000-0000A9390000}"/>
    <cellStyle name="Normal 8 3 2 2 4 3 2" xfId="14125" xr:uid="{00000000-0005-0000-0000-0000AA390000}"/>
    <cellStyle name="Normal 8 3 2 2 4 4" xfId="9907" xr:uid="{00000000-0005-0000-0000-0000AB390000}"/>
    <cellStyle name="Normal 8 3 2 2 5" xfId="1794" xr:uid="{00000000-0005-0000-0000-0000AC390000}"/>
    <cellStyle name="Normal 8 3 2 2 5 2" xfId="4024" xr:uid="{00000000-0005-0000-0000-0000AD390000}"/>
    <cellStyle name="Normal 8 3 2 2 5 2 2" xfId="8247" xr:uid="{00000000-0005-0000-0000-0000AE390000}"/>
    <cellStyle name="Normal 8 3 2 2 5 2 2 2" xfId="16683" xr:uid="{00000000-0005-0000-0000-0000AF390000}"/>
    <cellStyle name="Normal 8 3 2 2 5 2 3" xfId="12465" xr:uid="{00000000-0005-0000-0000-0000B0390000}"/>
    <cellStyle name="Normal 8 3 2 2 5 3" xfId="6102" xr:uid="{00000000-0005-0000-0000-0000B1390000}"/>
    <cellStyle name="Normal 8 3 2 2 5 3 2" xfId="14538" xr:uid="{00000000-0005-0000-0000-0000B2390000}"/>
    <cellStyle name="Normal 8 3 2 2 5 4" xfId="10320" xr:uid="{00000000-0005-0000-0000-0000B3390000}"/>
    <cellStyle name="Normal 8 3 2 2 6" xfId="2208" xr:uid="{00000000-0005-0000-0000-0000B4390000}"/>
    <cellStyle name="Normal 8 3 2 2 6 2" xfId="4437" xr:uid="{00000000-0005-0000-0000-0000B5390000}"/>
    <cellStyle name="Normal 8 3 2 2 6 2 2" xfId="8660" xr:uid="{00000000-0005-0000-0000-0000B6390000}"/>
    <cellStyle name="Normal 8 3 2 2 6 2 2 2" xfId="17096" xr:uid="{00000000-0005-0000-0000-0000B7390000}"/>
    <cellStyle name="Normal 8 3 2 2 6 2 3" xfId="12878" xr:uid="{00000000-0005-0000-0000-0000B8390000}"/>
    <cellStyle name="Normal 8 3 2 2 6 3" xfId="6515" xr:uid="{00000000-0005-0000-0000-0000B9390000}"/>
    <cellStyle name="Normal 8 3 2 2 6 3 2" xfId="14951" xr:uid="{00000000-0005-0000-0000-0000BA390000}"/>
    <cellStyle name="Normal 8 3 2 2 6 4" xfId="10733" xr:uid="{00000000-0005-0000-0000-0000BB390000}"/>
    <cellStyle name="Normal 8 3 2 2 7" xfId="2644" xr:uid="{00000000-0005-0000-0000-0000BC390000}"/>
    <cellStyle name="Normal 8 3 2 2 7 2" xfId="6928" xr:uid="{00000000-0005-0000-0000-0000BD390000}"/>
    <cellStyle name="Normal 8 3 2 2 7 2 2" xfId="15364" xr:uid="{00000000-0005-0000-0000-0000BE390000}"/>
    <cellStyle name="Normal 8 3 2 2 7 3" xfId="11146" xr:uid="{00000000-0005-0000-0000-0000BF390000}"/>
    <cellStyle name="Normal 8 3 2 2 8" xfId="4863" xr:uid="{00000000-0005-0000-0000-0000C0390000}"/>
    <cellStyle name="Normal 8 3 2 2 8 2" xfId="13299" xr:uid="{00000000-0005-0000-0000-0000C1390000}"/>
    <cellStyle name="Normal 8 3 2 2 9" xfId="9081" xr:uid="{00000000-0005-0000-0000-0000C2390000}"/>
    <cellStyle name="Normal 8 3 2 3" xfId="499" xr:uid="{00000000-0005-0000-0000-0000C3390000}"/>
    <cellStyle name="Normal 8 3 2 3 2" xfId="966" xr:uid="{00000000-0005-0000-0000-0000C4390000}"/>
    <cellStyle name="Normal 8 3 2 3 2 2" xfId="3200" xr:uid="{00000000-0005-0000-0000-0000C5390000}"/>
    <cellStyle name="Normal 8 3 2 3 2 2 2" xfId="7423" xr:uid="{00000000-0005-0000-0000-0000C6390000}"/>
    <cellStyle name="Normal 8 3 2 3 2 2 2 2" xfId="15859" xr:uid="{00000000-0005-0000-0000-0000C7390000}"/>
    <cellStyle name="Normal 8 3 2 3 2 2 3" xfId="11641" xr:uid="{00000000-0005-0000-0000-0000C8390000}"/>
    <cellStyle name="Normal 8 3 2 3 2 3" xfId="5278" xr:uid="{00000000-0005-0000-0000-0000C9390000}"/>
    <cellStyle name="Normal 8 3 2 3 2 3 2" xfId="13714" xr:uid="{00000000-0005-0000-0000-0000CA390000}"/>
    <cellStyle name="Normal 8 3 2 3 2 4" xfId="9496" xr:uid="{00000000-0005-0000-0000-0000CB390000}"/>
    <cellStyle name="Normal 8 3 2 3 3" xfId="1383" xr:uid="{00000000-0005-0000-0000-0000CC390000}"/>
    <cellStyle name="Normal 8 3 2 3 3 2" xfId="3613" xr:uid="{00000000-0005-0000-0000-0000CD390000}"/>
    <cellStyle name="Normal 8 3 2 3 3 2 2" xfId="7836" xr:uid="{00000000-0005-0000-0000-0000CE390000}"/>
    <cellStyle name="Normal 8 3 2 3 3 2 2 2" xfId="16272" xr:uid="{00000000-0005-0000-0000-0000CF390000}"/>
    <cellStyle name="Normal 8 3 2 3 3 2 3" xfId="12054" xr:uid="{00000000-0005-0000-0000-0000D0390000}"/>
    <cellStyle name="Normal 8 3 2 3 3 3" xfId="5691" xr:uid="{00000000-0005-0000-0000-0000D1390000}"/>
    <cellStyle name="Normal 8 3 2 3 3 3 2" xfId="14127" xr:uid="{00000000-0005-0000-0000-0000D2390000}"/>
    <cellStyle name="Normal 8 3 2 3 3 4" xfId="9909" xr:uid="{00000000-0005-0000-0000-0000D3390000}"/>
    <cellStyle name="Normal 8 3 2 3 4" xfId="1796" xr:uid="{00000000-0005-0000-0000-0000D4390000}"/>
    <cellStyle name="Normal 8 3 2 3 4 2" xfId="4026" xr:uid="{00000000-0005-0000-0000-0000D5390000}"/>
    <cellStyle name="Normal 8 3 2 3 4 2 2" xfId="8249" xr:uid="{00000000-0005-0000-0000-0000D6390000}"/>
    <cellStyle name="Normal 8 3 2 3 4 2 2 2" xfId="16685" xr:uid="{00000000-0005-0000-0000-0000D7390000}"/>
    <cellStyle name="Normal 8 3 2 3 4 2 3" xfId="12467" xr:uid="{00000000-0005-0000-0000-0000D8390000}"/>
    <cellStyle name="Normal 8 3 2 3 4 3" xfId="6104" xr:uid="{00000000-0005-0000-0000-0000D9390000}"/>
    <cellStyle name="Normal 8 3 2 3 4 3 2" xfId="14540" xr:uid="{00000000-0005-0000-0000-0000DA390000}"/>
    <cellStyle name="Normal 8 3 2 3 4 4" xfId="10322" xr:uid="{00000000-0005-0000-0000-0000DB390000}"/>
    <cellStyle name="Normal 8 3 2 3 5" xfId="2210" xr:uid="{00000000-0005-0000-0000-0000DC390000}"/>
    <cellStyle name="Normal 8 3 2 3 5 2" xfId="4439" xr:uid="{00000000-0005-0000-0000-0000DD390000}"/>
    <cellStyle name="Normal 8 3 2 3 5 2 2" xfId="8662" xr:uid="{00000000-0005-0000-0000-0000DE390000}"/>
    <cellStyle name="Normal 8 3 2 3 5 2 2 2" xfId="17098" xr:uid="{00000000-0005-0000-0000-0000DF390000}"/>
    <cellStyle name="Normal 8 3 2 3 5 2 3" xfId="12880" xr:uid="{00000000-0005-0000-0000-0000E0390000}"/>
    <cellStyle name="Normal 8 3 2 3 5 3" xfId="6517" xr:uid="{00000000-0005-0000-0000-0000E1390000}"/>
    <cellStyle name="Normal 8 3 2 3 5 3 2" xfId="14953" xr:uid="{00000000-0005-0000-0000-0000E2390000}"/>
    <cellStyle name="Normal 8 3 2 3 5 4" xfId="10735" xr:uid="{00000000-0005-0000-0000-0000E3390000}"/>
    <cellStyle name="Normal 8 3 2 3 6" xfId="2646" xr:uid="{00000000-0005-0000-0000-0000E4390000}"/>
    <cellStyle name="Normal 8 3 2 3 6 2" xfId="6930" xr:uid="{00000000-0005-0000-0000-0000E5390000}"/>
    <cellStyle name="Normal 8 3 2 3 6 2 2" xfId="15366" xr:uid="{00000000-0005-0000-0000-0000E6390000}"/>
    <cellStyle name="Normal 8 3 2 3 6 3" xfId="11148" xr:uid="{00000000-0005-0000-0000-0000E7390000}"/>
    <cellStyle name="Normal 8 3 2 3 7" xfId="4865" xr:uid="{00000000-0005-0000-0000-0000E8390000}"/>
    <cellStyle name="Normal 8 3 2 3 7 2" xfId="13301" xr:uid="{00000000-0005-0000-0000-0000E9390000}"/>
    <cellStyle name="Normal 8 3 2 3 8" xfId="9083" xr:uid="{00000000-0005-0000-0000-0000EA390000}"/>
    <cellStyle name="Normal 8 3 2 4" xfId="963" xr:uid="{00000000-0005-0000-0000-0000EB390000}"/>
    <cellStyle name="Normal 8 3 2 4 2" xfId="3197" xr:uid="{00000000-0005-0000-0000-0000EC390000}"/>
    <cellStyle name="Normal 8 3 2 4 2 2" xfId="7420" xr:uid="{00000000-0005-0000-0000-0000ED390000}"/>
    <cellStyle name="Normal 8 3 2 4 2 2 2" xfId="15856" xr:uid="{00000000-0005-0000-0000-0000EE390000}"/>
    <cellStyle name="Normal 8 3 2 4 2 3" xfId="11638" xr:uid="{00000000-0005-0000-0000-0000EF390000}"/>
    <cellStyle name="Normal 8 3 2 4 3" xfId="5275" xr:uid="{00000000-0005-0000-0000-0000F0390000}"/>
    <cellStyle name="Normal 8 3 2 4 3 2" xfId="13711" xr:uid="{00000000-0005-0000-0000-0000F1390000}"/>
    <cellStyle name="Normal 8 3 2 4 4" xfId="9493" xr:uid="{00000000-0005-0000-0000-0000F2390000}"/>
    <cellStyle name="Normal 8 3 2 5" xfId="1380" xr:uid="{00000000-0005-0000-0000-0000F3390000}"/>
    <cellStyle name="Normal 8 3 2 5 2" xfId="3610" xr:uid="{00000000-0005-0000-0000-0000F4390000}"/>
    <cellStyle name="Normal 8 3 2 5 2 2" xfId="7833" xr:uid="{00000000-0005-0000-0000-0000F5390000}"/>
    <cellStyle name="Normal 8 3 2 5 2 2 2" xfId="16269" xr:uid="{00000000-0005-0000-0000-0000F6390000}"/>
    <cellStyle name="Normal 8 3 2 5 2 3" xfId="12051" xr:uid="{00000000-0005-0000-0000-0000F7390000}"/>
    <cellStyle name="Normal 8 3 2 5 3" xfId="5688" xr:uid="{00000000-0005-0000-0000-0000F8390000}"/>
    <cellStyle name="Normal 8 3 2 5 3 2" xfId="14124" xr:uid="{00000000-0005-0000-0000-0000F9390000}"/>
    <cellStyle name="Normal 8 3 2 5 4" xfId="9906" xr:uid="{00000000-0005-0000-0000-0000FA390000}"/>
    <cellStyle name="Normal 8 3 2 6" xfId="1793" xr:uid="{00000000-0005-0000-0000-0000FB390000}"/>
    <cellStyle name="Normal 8 3 2 6 2" xfId="4023" xr:uid="{00000000-0005-0000-0000-0000FC390000}"/>
    <cellStyle name="Normal 8 3 2 6 2 2" xfId="8246" xr:uid="{00000000-0005-0000-0000-0000FD390000}"/>
    <cellStyle name="Normal 8 3 2 6 2 2 2" xfId="16682" xr:uid="{00000000-0005-0000-0000-0000FE390000}"/>
    <cellStyle name="Normal 8 3 2 6 2 3" xfId="12464" xr:uid="{00000000-0005-0000-0000-0000FF390000}"/>
    <cellStyle name="Normal 8 3 2 6 3" xfId="6101" xr:uid="{00000000-0005-0000-0000-0000003A0000}"/>
    <cellStyle name="Normal 8 3 2 6 3 2" xfId="14537" xr:uid="{00000000-0005-0000-0000-0000013A0000}"/>
    <cellStyle name="Normal 8 3 2 6 4" xfId="10319" xr:uid="{00000000-0005-0000-0000-0000023A0000}"/>
    <cellStyle name="Normal 8 3 2 7" xfId="2207" xr:uid="{00000000-0005-0000-0000-0000033A0000}"/>
    <cellStyle name="Normal 8 3 2 7 2" xfId="4436" xr:uid="{00000000-0005-0000-0000-0000043A0000}"/>
    <cellStyle name="Normal 8 3 2 7 2 2" xfId="8659" xr:uid="{00000000-0005-0000-0000-0000053A0000}"/>
    <cellStyle name="Normal 8 3 2 7 2 2 2" xfId="17095" xr:uid="{00000000-0005-0000-0000-0000063A0000}"/>
    <cellStyle name="Normal 8 3 2 7 2 3" xfId="12877" xr:uid="{00000000-0005-0000-0000-0000073A0000}"/>
    <cellStyle name="Normal 8 3 2 7 3" xfId="6514" xr:uid="{00000000-0005-0000-0000-0000083A0000}"/>
    <cellStyle name="Normal 8 3 2 7 3 2" xfId="14950" xr:uid="{00000000-0005-0000-0000-0000093A0000}"/>
    <cellStyle name="Normal 8 3 2 7 4" xfId="10732" xr:uid="{00000000-0005-0000-0000-00000A3A0000}"/>
    <cellStyle name="Normal 8 3 2 8" xfId="2643" xr:uid="{00000000-0005-0000-0000-00000B3A0000}"/>
    <cellStyle name="Normal 8 3 2 8 2" xfId="6927" xr:uid="{00000000-0005-0000-0000-00000C3A0000}"/>
    <cellStyle name="Normal 8 3 2 8 2 2" xfId="15363" xr:uid="{00000000-0005-0000-0000-00000D3A0000}"/>
    <cellStyle name="Normal 8 3 2 8 3" xfId="11145" xr:uid="{00000000-0005-0000-0000-00000E3A0000}"/>
    <cellStyle name="Normal 8 3 2 9" xfId="4862" xr:uid="{00000000-0005-0000-0000-00000F3A0000}"/>
    <cellStyle name="Normal 8 3 2 9 2" xfId="13298" xr:uid="{00000000-0005-0000-0000-0000103A0000}"/>
    <cellStyle name="Normal 8 3 3" xfId="500" xr:uid="{00000000-0005-0000-0000-0000113A0000}"/>
    <cellStyle name="Normal 8 3 3 2" xfId="501" xr:uid="{00000000-0005-0000-0000-0000123A0000}"/>
    <cellStyle name="Normal 8 3 3 2 2" xfId="968" xr:uid="{00000000-0005-0000-0000-0000133A0000}"/>
    <cellStyle name="Normal 8 3 3 2 2 2" xfId="3202" xr:uid="{00000000-0005-0000-0000-0000143A0000}"/>
    <cellStyle name="Normal 8 3 3 2 2 2 2" xfId="7425" xr:uid="{00000000-0005-0000-0000-0000153A0000}"/>
    <cellStyle name="Normal 8 3 3 2 2 2 2 2" xfId="15861" xr:uid="{00000000-0005-0000-0000-0000163A0000}"/>
    <cellStyle name="Normal 8 3 3 2 2 2 3" xfId="11643" xr:uid="{00000000-0005-0000-0000-0000173A0000}"/>
    <cellStyle name="Normal 8 3 3 2 2 3" xfId="5280" xr:uid="{00000000-0005-0000-0000-0000183A0000}"/>
    <cellStyle name="Normal 8 3 3 2 2 3 2" xfId="13716" xr:uid="{00000000-0005-0000-0000-0000193A0000}"/>
    <cellStyle name="Normal 8 3 3 2 2 4" xfId="9498" xr:uid="{00000000-0005-0000-0000-00001A3A0000}"/>
    <cellStyle name="Normal 8 3 3 2 3" xfId="1385" xr:uid="{00000000-0005-0000-0000-00001B3A0000}"/>
    <cellStyle name="Normal 8 3 3 2 3 2" xfId="3615" xr:uid="{00000000-0005-0000-0000-00001C3A0000}"/>
    <cellStyle name="Normal 8 3 3 2 3 2 2" xfId="7838" xr:uid="{00000000-0005-0000-0000-00001D3A0000}"/>
    <cellStyle name="Normal 8 3 3 2 3 2 2 2" xfId="16274" xr:uid="{00000000-0005-0000-0000-00001E3A0000}"/>
    <cellStyle name="Normal 8 3 3 2 3 2 3" xfId="12056" xr:uid="{00000000-0005-0000-0000-00001F3A0000}"/>
    <cellStyle name="Normal 8 3 3 2 3 3" xfId="5693" xr:uid="{00000000-0005-0000-0000-0000203A0000}"/>
    <cellStyle name="Normal 8 3 3 2 3 3 2" xfId="14129" xr:uid="{00000000-0005-0000-0000-0000213A0000}"/>
    <cellStyle name="Normal 8 3 3 2 3 4" xfId="9911" xr:uid="{00000000-0005-0000-0000-0000223A0000}"/>
    <cellStyle name="Normal 8 3 3 2 4" xfId="1798" xr:uid="{00000000-0005-0000-0000-0000233A0000}"/>
    <cellStyle name="Normal 8 3 3 2 4 2" xfId="4028" xr:uid="{00000000-0005-0000-0000-0000243A0000}"/>
    <cellStyle name="Normal 8 3 3 2 4 2 2" xfId="8251" xr:uid="{00000000-0005-0000-0000-0000253A0000}"/>
    <cellStyle name="Normal 8 3 3 2 4 2 2 2" xfId="16687" xr:uid="{00000000-0005-0000-0000-0000263A0000}"/>
    <cellStyle name="Normal 8 3 3 2 4 2 3" xfId="12469" xr:uid="{00000000-0005-0000-0000-0000273A0000}"/>
    <cellStyle name="Normal 8 3 3 2 4 3" xfId="6106" xr:uid="{00000000-0005-0000-0000-0000283A0000}"/>
    <cellStyle name="Normal 8 3 3 2 4 3 2" xfId="14542" xr:uid="{00000000-0005-0000-0000-0000293A0000}"/>
    <cellStyle name="Normal 8 3 3 2 4 4" xfId="10324" xr:uid="{00000000-0005-0000-0000-00002A3A0000}"/>
    <cellStyle name="Normal 8 3 3 2 5" xfId="2212" xr:uid="{00000000-0005-0000-0000-00002B3A0000}"/>
    <cellStyle name="Normal 8 3 3 2 5 2" xfId="4441" xr:uid="{00000000-0005-0000-0000-00002C3A0000}"/>
    <cellStyle name="Normal 8 3 3 2 5 2 2" xfId="8664" xr:uid="{00000000-0005-0000-0000-00002D3A0000}"/>
    <cellStyle name="Normal 8 3 3 2 5 2 2 2" xfId="17100" xr:uid="{00000000-0005-0000-0000-00002E3A0000}"/>
    <cellStyle name="Normal 8 3 3 2 5 2 3" xfId="12882" xr:uid="{00000000-0005-0000-0000-00002F3A0000}"/>
    <cellStyle name="Normal 8 3 3 2 5 3" xfId="6519" xr:uid="{00000000-0005-0000-0000-0000303A0000}"/>
    <cellStyle name="Normal 8 3 3 2 5 3 2" xfId="14955" xr:uid="{00000000-0005-0000-0000-0000313A0000}"/>
    <cellStyle name="Normal 8 3 3 2 5 4" xfId="10737" xr:uid="{00000000-0005-0000-0000-0000323A0000}"/>
    <cellStyle name="Normal 8 3 3 2 6" xfId="2648" xr:uid="{00000000-0005-0000-0000-0000333A0000}"/>
    <cellStyle name="Normal 8 3 3 2 6 2" xfId="6932" xr:uid="{00000000-0005-0000-0000-0000343A0000}"/>
    <cellStyle name="Normal 8 3 3 2 6 2 2" xfId="15368" xr:uid="{00000000-0005-0000-0000-0000353A0000}"/>
    <cellStyle name="Normal 8 3 3 2 6 3" xfId="11150" xr:uid="{00000000-0005-0000-0000-0000363A0000}"/>
    <cellStyle name="Normal 8 3 3 2 7" xfId="4867" xr:uid="{00000000-0005-0000-0000-0000373A0000}"/>
    <cellStyle name="Normal 8 3 3 2 7 2" xfId="13303" xr:uid="{00000000-0005-0000-0000-0000383A0000}"/>
    <cellStyle name="Normal 8 3 3 2 8" xfId="9085" xr:uid="{00000000-0005-0000-0000-0000393A0000}"/>
    <cellStyle name="Normal 8 3 3 3" xfId="967" xr:uid="{00000000-0005-0000-0000-00003A3A0000}"/>
    <cellStyle name="Normal 8 3 3 3 2" xfId="3201" xr:uid="{00000000-0005-0000-0000-00003B3A0000}"/>
    <cellStyle name="Normal 8 3 3 3 2 2" xfId="7424" xr:uid="{00000000-0005-0000-0000-00003C3A0000}"/>
    <cellStyle name="Normal 8 3 3 3 2 2 2" xfId="15860" xr:uid="{00000000-0005-0000-0000-00003D3A0000}"/>
    <cellStyle name="Normal 8 3 3 3 2 3" xfId="11642" xr:uid="{00000000-0005-0000-0000-00003E3A0000}"/>
    <cellStyle name="Normal 8 3 3 3 3" xfId="5279" xr:uid="{00000000-0005-0000-0000-00003F3A0000}"/>
    <cellStyle name="Normal 8 3 3 3 3 2" xfId="13715" xr:uid="{00000000-0005-0000-0000-0000403A0000}"/>
    <cellStyle name="Normal 8 3 3 3 4" xfId="9497" xr:uid="{00000000-0005-0000-0000-0000413A0000}"/>
    <cellStyle name="Normal 8 3 3 4" xfId="1384" xr:uid="{00000000-0005-0000-0000-0000423A0000}"/>
    <cellStyle name="Normal 8 3 3 4 2" xfId="3614" xr:uid="{00000000-0005-0000-0000-0000433A0000}"/>
    <cellStyle name="Normal 8 3 3 4 2 2" xfId="7837" xr:uid="{00000000-0005-0000-0000-0000443A0000}"/>
    <cellStyle name="Normal 8 3 3 4 2 2 2" xfId="16273" xr:uid="{00000000-0005-0000-0000-0000453A0000}"/>
    <cellStyle name="Normal 8 3 3 4 2 3" xfId="12055" xr:uid="{00000000-0005-0000-0000-0000463A0000}"/>
    <cellStyle name="Normal 8 3 3 4 3" xfId="5692" xr:uid="{00000000-0005-0000-0000-0000473A0000}"/>
    <cellStyle name="Normal 8 3 3 4 3 2" xfId="14128" xr:uid="{00000000-0005-0000-0000-0000483A0000}"/>
    <cellStyle name="Normal 8 3 3 4 4" xfId="9910" xr:uid="{00000000-0005-0000-0000-0000493A0000}"/>
    <cellStyle name="Normal 8 3 3 5" xfId="1797" xr:uid="{00000000-0005-0000-0000-00004A3A0000}"/>
    <cellStyle name="Normal 8 3 3 5 2" xfId="4027" xr:uid="{00000000-0005-0000-0000-00004B3A0000}"/>
    <cellStyle name="Normal 8 3 3 5 2 2" xfId="8250" xr:uid="{00000000-0005-0000-0000-00004C3A0000}"/>
    <cellStyle name="Normal 8 3 3 5 2 2 2" xfId="16686" xr:uid="{00000000-0005-0000-0000-00004D3A0000}"/>
    <cellStyle name="Normal 8 3 3 5 2 3" xfId="12468" xr:uid="{00000000-0005-0000-0000-00004E3A0000}"/>
    <cellStyle name="Normal 8 3 3 5 3" xfId="6105" xr:uid="{00000000-0005-0000-0000-00004F3A0000}"/>
    <cellStyle name="Normal 8 3 3 5 3 2" xfId="14541" xr:uid="{00000000-0005-0000-0000-0000503A0000}"/>
    <cellStyle name="Normal 8 3 3 5 4" xfId="10323" xr:uid="{00000000-0005-0000-0000-0000513A0000}"/>
    <cellStyle name="Normal 8 3 3 6" xfId="2211" xr:uid="{00000000-0005-0000-0000-0000523A0000}"/>
    <cellStyle name="Normal 8 3 3 6 2" xfId="4440" xr:uid="{00000000-0005-0000-0000-0000533A0000}"/>
    <cellStyle name="Normal 8 3 3 6 2 2" xfId="8663" xr:uid="{00000000-0005-0000-0000-0000543A0000}"/>
    <cellStyle name="Normal 8 3 3 6 2 2 2" xfId="17099" xr:uid="{00000000-0005-0000-0000-0000553A0000}"/>
    <cellStyle name="Normal 8 3 3 6 2 3" xfId="12881" xr:uid="{00000000-0005-0000-0000-0000563A0000}"/>
    <cellStyle name="Normal 8 3 3 6 3" xfId="6518" xr:uid="{00000000-0005-0000-0000-0000573A0000}"/>
    <cellStyle name="Normal 8 3 3 6 3 2" xfId="14954" xr:uid="{00000000-0005-0000-0000-0000583A0000}"/>
    <cellStyle name="Normal 8 3 3 6 4" xfId="10736" xr:uid="{00000000-0005-0000-0000-0000593A0000}"/>
    <cellStyle name="Normal 8 3 3 7" xfId="2647" xr:uid="{00000000-0005-0000-0000-00005A3A0000}"/>
    <cellStyle name="Normal 8 3 3 7 2" xfId="6931" xr:uid="{00000000-0005-0000-0000-00005B3A0000}"/>
    <cellStyle name="Normal 8 3 3 7 2 2" xfId="15367" xr:uid="{00000000-0005-0000-0000-00005C3A0000}"/>
    <cellStyle name="Normal 8 3 3 7 3" xfId="11149" xr:uid="{00000000-0005-0000-0000-00005D3A0000}"/>
    <cellStyle name="Normal 8 3 3 8" xfId="4866" xr:uid="{00000000-0005-0000-0000-00005E3A0000}"/>
    <cellStyle name="Normal 8 3 3 8 2" xfId="13302" xr:uid="{00000000-0005-0000-0000-00005F3A0000}"/>
    <cellStyle name="Normal 8 3 3 9" xfId="9084" xr:uid="{00000000-0005-0000-0000-0000603A0000}"/>
    <cellStyle name="Normal 8 3 4" xfId="502" xr:uid="{00000000-0005-0000-0000-0000613A0000}"/>
    <cellStyle name="Normal 8 3 4 2" xfId="969" xr:uid="{00000000-0005-0000-0000-0000623A0000}"/>
    <cellStyle name="Normal 8 3 4 2 2" xfId="3203" xr:uid="{00000000-0005-0000-0000-0000633A0000}"/>
    <cellStyle name="Normal 8 3 4 2 2 2" xfId="7426" xr:uid="{00000000-0005-0000-0000-0000643A0000}"/>
    <cellStyle name="Normal 8 3 4 2 2 2 2" xfId="15862" xr:uid="{00000000-0005-0000-0000-0000653A0000}"/>
    <cellStyle name="Normal 8 3 4 2 2 3" xfId="11644" xr:uid="{00000000-0005-0000-0000-0000663A0000}"/>
    <cellStyle name="Normal 8 3 4 2 3" xfId="5281" xr:uid="{00000000-0005-0000-0000-0000673A0000}"/>
    <cellStyle name="Normal 8 3 4 2 3 2" xfId="13717" xr:uid="{00000000-0005-0000-0000-0000683A0000}"/>
    <cellStyle name="Normal 8 3 4 2 4" xfId="9499" xr:uid="{00000000-0005-0000-0000-0000693A0000}"/>
    <cellStyle name="Normal 8 3 4 3" xfId="1386" xr:uid="{00000000-0005-0000-0000-00006A3A0000}"/>
    <cellStyle name="Normal 8 3 4 3 2" xfId="3616" xr:uid="{00000000-0005-0000-0000-00006B3A0000}"/>
    <cellStyle name="Normal 8 3 4 3 2 2" xfId="7839" xr:uid="{00000000-0005-0000-0000-00006C3A0000}"/>
    <cellStyle name="Normal 8 3 4 3 2 2 2" xfId="16275" xr:uid="{00000000-0005-0000-0000-00006D3A0000}"/>
    <cellStyle name="Normal 8 3 4 3 2 3" xfId="12057" xr:uid="{00000000-0005-0000-0000-00006E3A0000}"/>
    <cellStyle name="Normal 8 3 4 3 3" xfId="5694" xr:uid="{00000000-0005-0000-0000-00006F3A0000}"/>
    <cellStyle name="Normal 8 3 4 3 3 2" xfId="14130" xr:uid="{00000000-0005-0000-0000-0000703A0000}"/>
    <cellStyle name="Normal 8 3 4 3 4" xfId="9912" xr:uid="{00000000-0005-0000-0000-0000713A0000}"/>
    <cellStyle name="Normal 8 3 4 4" xfId="1799" xr:uid="{00000000-0005-0000-0000-0000723A0000}"/>
    <cellStyle name="Normal 8 3 4 4 2" xfId="4029" xr:uid="{00000000-0005-0000-0000-0000733A0000}"/>
    <cellStyle name="Normal 8 3 4 4 2 2" xfId="8252" xr:uid="{00000000-0005-0000-0000-0000743A0000}"/>
    <cellStyle name="Normal 8 3 4 4 2 2 2" xfId="16688" xr:uid="{00000000-0005-0000-0000-0000753A0000}"/>
    <cellStyle name="Normal 8 3 4 4 2 3" xfId="12470" xr:uid="{00000000-0005-0000-0000-0000763A0000}"/>
    <cellStyle name="Normal 8 3 4 4 3" xfId="6107" xr:uid="{00000000-0005-0000-0000-0000773A0000}"/>
    <cellStyle name="Normal 8 3 4 4 3 2" xfId="14543" xr:uid="{00000000-0005-0000-0000-0000783A0000}"/>
    <cellStyle name="Normal 8 3 4 4 4" xfId="10325" xr:uid="{00000000-0005-0000-0000-0000793A0000}"/>
    <cellStyle name="Normal 8 3 4 5" xfId="2213" xr:uid="{00000000-0005-0000-0000-00007A3A0000}"/>
    <cellStyle name="Normal 8 3 4 5 2" xfId="4442" xr:uid="{00000000-0005-0000-0000-00007B3A0000}"/>
    <cellStyle name="Normal 8 3 4 5 2 2" xfId="8665" xr:uid="{00000000-0005-0000-0000-00007C3A0000}"/>
    <cellStyle name="Normal 8 3 4 5 2 2 2" xfId="17101" xr:uid="{00000000-0005-0000-0000-00007D3A0000}"/>
    <cellStyle name="Normal 8 3 4 5 2 3" xfId="12883" xr:uid="{00000000-0005-0000-0000-00007E3A0000}"/>
    <cellStyle name="Normal 8 3 4 5 3" xfId="6520" xr:uid="{00000000-0005-0000-0000-00007F3A0000}"/>
    <cellStyle name="Normal 8 3 4 5 3 2" xfId="14956" xr:uid="{00000000-0005-0000-0000-0000803A0000}"/>
    <cellStyle name="Normal 8 3 4 5 4" xfId="10738" xr:uid="{00000000-0005-0000-0000-0000813A0000}"/>
    <cellStyle name="Normal 8 3 4 6" xfId="2649" xr:uid="{00000000-0005-0000-0000-0000823A0000}"/>
    <cellStyle name="Normal 8 3 4 6 2" xfId="6933" xr:uid="{00000000-0005-0000-0000-0000833A0000}"/>
    <cellStyle name="Normal 8 3 4 6 2 2" xfId="15369" xr:uid="{00000000-0005-0000-0000-0000843A0000}"/>
    <cellStyle name="Normal 8 3 4 6 3" xfId="11151" xr:uid="{00000000-0005-0000-0000-0000853A0000}"/>
    <cellStyle name="Normal 8 3 4 7" xfId="4868" xr:uid="{00000000-0005-0000-0000-0000863A0000}"/>
    <cellStyle name="Normal 8 3 4 7 2" xfId="13304" xr:uid="{00000000-0005-0000-0000-0000873A0000}"/>
    <cellStyle name="Normal 8 3 4 8" xfId="9086" xr:uid="{00000000-0005-0000-0000-0000883A0000}"/>
    <cellStyle name="Normal 8 3 5" xfId="962" xr:uid="{00000000-0005-0000-0000-0000893A0000}"/>
    <cellStyle name="Normal 8 3 5 2" xfId="3196" xr:uid="{00000000-0005-0000-0000-00008A3A0000}"/>
    <cellStyle name="Normal 8 3 5 2 2" xfId="7419" xr:uid="{00000000-0005-0000-0000-00008B3A0000}"/>
    <cellStyle name="Normal 8 3 5 2 2 2" xfId="15855" xr:uid="{00000000-0005-0000-0000-00008C3A0000}"/>
    <cellStyle name="Normal 8 3 5 2 3" xfId="11637" xr:uid="{00000000-0005-0000-0000-00008D3A0000}"/>
    <cellStyle name="Normal 8 3 5 3" xfId="5274" xr:uid="{00000000-0005-0000-0000-00008E3A0000}"/>
    <cellStyle name="Normal 8 3 5 3 2" xfId="13710" xr:uid="{00000000-0005-0000-0000-00008F3A0000}"/>
    <cellStyle name="Normal 8 3 5 4" xfId="9492" xr:uid="{00000000-0005-0000-0000-0000903A0000}"/>
    <cellStyle name="Normal 8 3 6" xfId="1379" xr:uid="{00000000-0005-0000-0000-0000913A0000}"/>
    <cellStyle name="Normal 8 3 6 2" xfId="3609" xr:uid="{00000000-0005-0000-0000-0000923A0000}"/>
    <cellStyle name="Normal 8 3 6 2 2" xfId="7832" xr:uid="{00000000-0005-0000-0000-0000933A0000}"/>
    <cellStyle name="Normal 8 3 6 2 2 2" xfId="16268" xr:uid="{00000000-0005-0000-0000-0000943A0000}"/>
    <cellStyle name="Normal 8 3 6 2 3" xfId="12050" xr:uid="{00000000-0005-0000-0000-0000953A0000}"/>
    <cellStyle name="Normal 8 3 6 3" xfId="5687" xr:uid="{00000000-0005-0000-0000-0000963A0000}"/>
    <cellStyle name="Normal 8 3 6 3 2" xfId="14123" xr:uid="{00000000-0005-0000-0000-0000973A0000}"/>
    <cellStyle name="Normal 8 3 6 4" xfId="9905" xr:uid="{00000000-0005-0000-0000-0000983A0000}"/>
    <cellStyle name="Normal 8 3 7" xfId="1792" xr:uid="{00000000-0005-0000-0000-0000993A0000}"/>
    <cellStyle name="Normal 8 3 7 2" xfId="4022" xr:uid="{00000000-0005-0000-0000-00009A3A0000}"/>
    <cellStyle name="Normal 8 3 7 2 2" xfId="8245" xr:uid="{00000000-0005-0000-0000-00009B3A0000}"/>
    <cellStyle name="Normal 8 3 7 2 2 2" xfId="16681" xr:uid="{00000000-0005-0000-0000-00009C3A0000}"/>
    <cellStyle name="Normal 8 3 7 2 3" xfId="12463" xr:uid="{00000000-0005-0000-0000-00009D3A0000}"/>
    <cellStyle name="Normal 8 3 7 3" xfId="6100" xr:uid="{00000000-0005-0000-0000-00009E3A0000}"/>
    <cellStyle name="Normal 8 3 7 3 2" xfId="14536" xr:uid="{00000000-0005-0000-0000-00009F3A0000}"/>
    <cellStyle name="Normal 8 3 7 4" xfId="10318" xr:uid="{00000000-0005-0000-0000-0000A03A0000}"/>
    <cellStyle name="Normal 8 3 8" xfId="2206" xr:uid="{00000000-0005-0000-0000-0000A13A0000}"/>
    <cellStyle name="Normal 8 3 8 2" xfId="4435" xr:uid="{00000000-0005-0000-0000-0000A23A0000}"/>
    <cellStyle name="Normal 8 3 8 2 2" xfId="8658" xr:uid="{00000000-0005-0000-0000-0000A33A0000}"/>
    <cellStyle name="Normal 8 3 8 2 2 2" xfId="17094" xr:uid="{00000000-0005-0000-0000-0000A43A0000}"/>
    <cellStyle name="Normal 8 3 8 2 3" xfId="12876" xr:uid="{00000000-0005-0000-0000-0000A53A0000}"/>
    <cellStyle name="Normal 8 3 8 3" xfId="6513" xr:uid="{00000000-0005-0000-0000-0000A63A0000}"/>
    <cellStyle name="Normal 8 3 8 3 2" xfId="14949" xr:uid="{00000000-0005-0000-0000-0000A73A0000}"/>
    <cellStyle name="Normal 8 3 8 4" xfId="10731" xr:uid="{00000000-0005-0000-0000-0000A83A0000}"/>
    <cellStyle name="Normal 8 3 9" xfId="2642" xr:uid="{00000000-0005-0000-0000-0000A93A0000}"/>
    <cellStyle name="Normal 8 3 9 2" xfId="6926" xr:uid="{00000000-0005-0000-0000-0000AA3A0000}"/>
    <cellStyle name="Normal 8 3 9 2 2" xfId="15362" xr:uid="{00000000-0005-0000-0000-0000AB3A0000}"/>
    <cellStyle name="Normal 8 3 9 3" xfId="11144" xr:uid="{00000000-0005-0000-0000-0000AC3A0000}"/>
    <cellStyle name="Normal 8 4" xfId="503" xr:uid="{00000000-0005-0000-0000-0000AD3A0000}"/>
    <cellStyle name="Normal 8 4 10" xfId="9087" xr:uid="{00000000-0005-0000-0000-0000AE3A0000}"/>
    <cellStyle name="Normal 8 4 2" xfId="504" xr:uid="{00000000-0005-0000-0000-0000AF3A0000}"/>
    <cellStyle name="Normal 8 4 2 2" xfId="505" xr:uid="{00000000-0005-0000-0000-0000B03A0000}"/>
    <cellStyle name="Normal 8 4 2 2 2" xfId="972" xr:uid="{00000000-0005-0000-0000-0000B13A0000}"/>
    <cellStyle name="Normal 8 4 2 2 2 2" xfId="3206" xr:uid="{00000000-0005-0000-0000-0000B23A0000}"/>
    <cellStyle name="Normal 8 4 2 2 2 2 2" xfId="7429" xr:uid="{00000000-0005-0000-0000-0000B33A0000}"/>
    <cellStyle name="Normal 8 4 2 2 2 2 2 2" xfId="15865" xr:uid="{00000000-0005-0000-0000-0000B43A0000}"/>
    <cellStyle name="Normal 8 4 2 2 2 2 3" xfId="11647" xr:uid="{00000000-0005-0000-0000-0000B53A0000}"/>
    <cellStyle name="Normal 8 4 2 2 2 3" xfId="5284" xr:uid="{00000000-0005-0000-0000-0000B63A0000}"/>
    <cellStyle name="Normal 8 4 2 2 2 3 2" xfId="13720" xr:uid="{00000000-0005-0000-0000-0000B73A0000}"/>
    <cellStyle name="Normal 8 4 2 2 2 4" xfId="9502" xr:uid="{00000000-0005-0000-0000-0000B83A0000}"/>
    <cellStyle name="Normal 8 4 2 2 3" xfId="1389" xr:uid="{00000000-0005-0000-0000-0000B93A0000}"/>
    <cellStyle name="Normal 8 4 2 2 3 2" xfId="3619" xr:uid="{00000000-0005-0000-0000-0000BA3A0000}"/>
    <cellStyle name="Normal 8 4 2 2 3 2 2" xfId="7842" xr:uid="{00000000-0005-0000-0000-0000BB3A0000}"/>
    <cellStyle name="Normal 8 4 2 2 3 2 2 2" xfId="16278" xr:uid="{00000000-0005-0000-0000-0000BC3A0000}"/>
    <cellStyle name="Normal 8 4 2 2 3 2 3" xfId="12060" xr:uid="{00000000-0005-0000-0000-0000BD3A0000}"/>
    <cellStyle name="Normal 8 4 2 2 3 3" xfId="5697" xr:uid="{00000000-0005-0000-0000-0000BE3A0000}"/>
    <cellStyle name="Normal 8 4 2 2 3 3 2" xfId="14133" xr:uid="{00000000-0005-0000-0000-0000BF3A0000}"/>
    <cellStyle name="Normal 8 4 2 2 3 4" xfId="9915" xr:uid="{00000000-0005-0000-0000-0000C03A0000}"/>
    <cellStyle name="Normal 8 4 2 2 4" xfId="1802" xr:uid="{00000000-0005-0000-0000-0000C13A0000}"/>
    <cellStyle name="Normal 8 4 2 2 4 2" xfId="4032" xr:uid="{00000000-0005-0000-0000-0000C23A0000}"/>
    <cellStyle name="Normal 8 4 2 2 4 2 2" xfId="8255" xr:uid="{00000000-0005-0000-0000-0000C33A0000}"/>
    <cellStyle name="Normal 8 4 2 2 4 2 2 2" xfId="16691" xr:uid="{00000000-0005-0000-0000-0000C43A0000}"/>
    <cellStyle name="Normal 8 4 2 2 4 2 3" xfId="12473" xr:uid="{00000000-0005-0000-0000-0000C53A0000}"/>
    <cellStyle name="Normal 8 4 2 2 4 3" xfId="6110" xr:uid="{00000000-0005-0000-0000-0000C63A0000}"/>
    <cellStyle name="Normal 8 4 2 2 4 3 2" xfId="14546" xr:uid="{00000000-0005-0000-0000-0000C73A0000}"/>
    <cellStyle name="Normal 8 4 2 2 4 4" xfId="10328" xr:uid="{00000000-0005-0000-0000-0000C83A0000}"/>
    <cellStyle name="Normal 8 4 2 2 5" xfId="2216" xr:uid="{00000000-0005-0000-0000-0000C93A0000}"/>
    <cellStyle name="Normal 8 4 2 2 5 2" xfId="4445" xr:uid="{00000000-0005-0000-0000-0000CA3A0000}"/>
    <cellStyle name="Normal 8 4 2 2 5 2 2" xfId="8668" xr:uid="{00000000-0005-0000-0000-0000CB3A0000}"/>
    <cellStyle name="Normal 8 4 2 2 5 2 2 2" xfId="17104" xr:uid="{00000000-0005-0000-0000-0000CC3A0000}"/>
    <cellStyle name="Normal 8 4 2 2 5 2 3" xfId="12886" xr:uid="{00000000-0005-0000-0000-0000CD3A0000}"/>
    <cellStyle name="Normal 8 4 2 2 5 3" xfId="6523" xr:uid="{00000000-0005-0000-0000-0000CE3A0000}"/>
    <cellStyle name="Normal 8 4 2 2 5 3 2" xfId="14959" xr:uid="{00000000-0005-0000-0000-0000CF3A0000}"/>
    <cellStyle name="Normal 8 4 2 2 5 4" xfId="10741" xr:uid="{00000000-0005-0000-0000-0000D03A0000}"/>
    <cellStyle name="Normal 8 4 2 2 6" xfId="2652" xr:uid="{00000000-0005-0000-0000-0000D13A0000}"/>
    <cellStyle name="Normal 8 4 2 2 6 2" xfId="6936" xr:uid="{00000000-0005-0000-0000-0000D23A0000}"/>
    <cellStyle name="Normal 8 4 2 2 6 2 2" xfId="15372" xr:uid="{00000000-0005-0000-0000-0000D33A0000}"/>
    <cellStyle name="Normal 8 4 2 2 6 3" xfId="11154" xr:uid="{00000000-0005-0000-0000-0000D43A0000}"/>
    <cellStyle name="Normal 8 4 2 2 7" xfId="4871" xr:uid="{00000000-0005-0000-0000-0000D53A0000}"/>
    <cellStyle name="Normal 8 4 2 2 7 2" xfId="13307" xr:uid="{00000000-0005-0000-0000-0000D63A0000}"/>
    <cellStyle name="Normal 8 4 2 2 8" xfId="9089" xr:uid="{00000000-0005-0000-0000-0000D73A0000}"/>
    <cellStyle name="Normal 8 4 2 3" xfId="971" xr:uid="{00000000-0005-0000-0000-0000D83A0000}"/>
    <cellStyle name="Normal 8 4 2 3 2" xfId="3205" xr:uid="{00000000-0005-0000-0000-0000D93A0000}"/>
    <cellStyle name="Normal 8 4 2 3 2 2" xfId="7428" xr:uid="{00000000-0005-0000-0000-0000DA3A0000}"/>
    <cellStyle name="Normal 8 4 2 3 2 2 2" xfId="15864" xr:uid="{00000000-0005-0000-0000-0000DB3A0000}"/>
    <cellStyle name="Normal 8 4 2 3 2 3" xfId="11646" xr:uid="{00000000-0005-0000-0000-0000DC3A0000}"/>
    <cellStyle name="Normal 8 4 2 3 3" xfId="5283" xr:uid="{00000000-0005-0000-0000-0000DD3A0000}"/>
    <cellStyle name="Normal 8 4 2 3 3 2" xfId="13719" xr:uid="{00000000-0005-0000-0000-0000DE3A0000}"/>
    <cellStyle name="Normal 8 4 2 3 4" xfId="9501" xr:uid="{00000000-0005-0000-0000-0000DF3A0000}"/>
    <cellStyle name="Normal 8 4 2 4" xfId="1388" xr:uid="{00000000-0005-0000-0000-0000E03A0000}"/>
    <cellStyle name="Normal 8 4 2 4 2" xfId="3618" xr:uid="{00000000-0005-0000-0000-0000E13A0000}"/>
    <cellStyle name="Normal 8 4 2 4 2 2" xfId="7841" xr:uid="{00000000-0005-0000-0000-0000E23A0000}"/>
    <cellStyle name="Normal 8 4 2 4 2 2 2" xfId="16277" xr:uid="{00000000-0005-0000-0000-0000E33A0000}"/>
    <cellStyle name="Normal 8 4 2 4 2 3" xfId="12059" xr:uid="{00000000-0005-0000-0000-0000E43A0000}"/>
    <cellStyle name="Normal 8 4 2 4 3" xfId="5696" xr:uid="{00000000-0005-0000-0000-0000E53A0000}"/>
    <cellStyle name="Normal 8 4 2 4 3 2" xfId="14132" xr:uid="{00000000-0005-0000-0000-0000E63A0000}"/>
    <cellStyle name="Normal 8 4 2 4 4" xfId="9914" xr:uid="{00000000-0005-0000-0000-0000E73A0000}"/>
    <cellStyle name="Normal 8 4 2 5" xfId="1801" xr:uid="{00000000-0005-0000-0000-0000E83A0000}"/>
    <cellStyle name="Normal 8 4 2 5 2" xfId="4031" xr:uid="{00000000-0005-0000-0000-0000E93A0000}"/>
    <cellStyle name="Normal 8 4 2 5 2 2" xfId="8254" xr:uid="{00000000-0005-0000-0000-0000EA3A0000}"/>
    <cellStyle name="Normal 8 4 2 5 2 2 2" xfId="16690" xr:uid="{00000000-0005-0000-0000-0000EB3A0000}"/>
    <cellStyle name="Normal 8 4 2 5 2 3" xfId="12472" xr:uid="{00000000-0005-0000-0000-0000EC3A0000}"/>
    <cellStyle name="Normal 8 4 2 5 3" xfId="6109" xr:uid="{00000000-0005-0000-0000-0000ED3A0000}"/>
    <cellStyle name="Normal 8 4 2 5 3 2" xfId="14545" xr:uid="{00000000-0005-0000-0000-0000EE3A0000}"/>
    <cellStyle name="Normal 8 4 2 5 4" xfId="10327" xr:uid="{00000000-0005-0000-0000-0000EF3A0000}"/>
    <cellStyle name="Normal 8 4 2 6" xfId="2215" xr:uid="{00000000-0005-0000-0000-0000F03A0000}"/>
    <cellStyle name="Normal 8 4 2 6 2" xfId="4444" xr:uid="{00000000-0005-0000-0000-0000F13A0000}"/>
    <cellStyle name="Normal 8 4 2 6 2 2" xfId="8667" xr:uid="{00000000-0005-0000-0000-0000F23A0000}"/>
    <cellStyle name="Normal 8 4 2 6 2 2 2" xfId="17103" xr:uid="{00000000-0005-0000-0000-0000F33A0000}"/>
    <cellStyle name="Normal 8 4 2 6 2 3" xfId="12885" xr:uid="{00000000-0005-0000-0000-0000F43A0000}"/>
    <cellStyle name="Normal 8 4 2 6 3" xfId="6522" xr:uid="{00000000-0005-0000-0000-0000F53A0000}"/>
    <cellStyle name="Normal 8 4 2 6 3 2" xfId="14958" xr:uid="{00000000-0005-0000-0000-0000F63A0000}"/>
    <cellStyle name="Normal 8 4 2 6 4" xfId="10740" xr:uid="{00000000-0005-0000-0000-0000F73A0000}"/>
    <cellStyle name="Normal 8 4 2 7" xfId="2651" xr:uid="{00000000-0005-0000-0000-0000F83A0000}"/>
    <cellStyle name="Normal 8 4 2 7 2" xfId="6935" xr:uid="{00000000-0005-0000-0000-0000F93A0000}"/>
    <cellStyle name="Normal 8 4 2 7 2 2" xfId="15371" xr:uid="{00000000-0005-0000-0000-0000FA3A0000}"/>
    <cellStyle name="Normal 8 4 2 7 3" xfId="11153" xr:uid="{00000000-0005-0000-0000-0000FB3A0000}"/>
    <cellStyle name="Normal 8 4 2 8" xfId="4870" xr:uid="{00000000-0005-0000-0000-0000FC3A0000}"/>
    <cellStyle name="Normal 8 4 2 8 2" xfId="13306" xr:uid="{00000000-0005-0000-0000-0000FD3A0000}"/>
    <cellStyle name="Normal 8 4 2 9" xfId="9088" xr:uid="{00000000-0005-0000-0000-0000FE3A0000}"/>
    <cellStyle name="Normal 8 4 3" xfId="506" xr:uid="{00000000-0005-0000-0000-0000FF3A0000}"/>
    <cellStyle name="Normal 8 4 3 2" xfId="973" xr:uid="{00000000-0005-0000-0000-0000003B0000}"/>
    <cellStyle name="Normal 8 4 3 2 2" xfId="3207" xr:uid="{00000000-0005-0000-0000-0000013B0000}"/>
    <cellStyle name="Normal 8 4 3 2 2 2" xfId="7430" xr:uid="{00000000-0005-0000-0000-0000023B0000}"/>
    <cellStyle name="Normal 8 4 3 2 2 2 2" xfId="15866" xr:uid="{00000000-0005-0000-0000-0000033B0000}"/>
    <cellStyle name="Normal 8 4 3 2 2 3" xfId="11648" xr:uid="{00000000-0005-0000-0000-0000043B0000}"/>
    <cellStyle name="Normal 8 4 3 2 3" xfId="5285" xr:uid="{00000000-0005-0000-0000-0000053B0000}"/>
    <cellStyle name="Normal 8 4 3 2 3 2" xfId="13721" xr:uid="{00000000-0005-0000-0000-0000063B0000}"/>
    <cellStyle name="Normal 8 4 3 2 4" xfId="9503" xr:uid="{00000000-0005-0000-0000-0000073B0000}"/>
    <cellStyle name="Normal 8 4 3 3" xfId="1390" xr:uid="{00000000-0005-0000-0000-0000083B0000}"/>
    <cellStyle name="Normal 8 4 3 3 2" xfId="3620" xr:uid="{00000000-0005-0000-0000-0000093B0000}"/>
    <cellStyle name="Normal 8 4 3 3 2 2" xfId="7843" xr:uid="{00000000-0005-0000-0000-00000A3B0000}"/>
    <cellStyle name="Normal 8 4 3 3 2 2 2" xfId="16279" xr:uid="{00000000-0005-0000-0000-00000B3B0000}"/>
    <cellStyle name="Normal 8 4 3 3 2 3" xfId="12061" xr:uid="{00000000-0005-0000-0000-00000C3B0000}"/>
    <cellStyle name="Normal 8 4 3 3 3" xfId="5698" xr:uid="{00000000-0005-0000-0000-00000D3B0000}"/>
    <cellStyle name="Normal 8 4 3 3 3 2" xfId="14134" xr:uid="{00000000-0005-0000-0000-00000E3B0000}"/>
    <cellStyle name="Normal 8 4 3 3 4" xfId="9916" xr:uid="{00000000-0005-0000-0000-00000F3B0000}"/>
    <cellStyle name="Normal 8 4 3 4" xfId="1803" xr:uid="{00000000-0005-0000-0000-0000103B0000}"/>
    <cellStyle name="Normal 8 4 3 4 2" xfId="4033" xr:uid="{00000000-0005-0000-0000-0000113B0000}"/>
    <cellStyle name="Normal 8 4 3 4 2 2" xfId="8256" xr:uid="{00000000-0005-0000-0000-0000123B0000}"/>
    <cellStyle name="Normal 8 4 3 4 2 2 2" xfId="16692" xr:uid="{00000000-0005-0000-0000-0000133B0000}"/>
    <cellStyle name="Normal 8 4 3 4 2 3" xfId="12474" xr:uid="{00000000-0005-0000-0000-0000143B0000}"/>
    <cellStyle name="Normal 8 4 3 4 3" xfId="6111" xr:uid="{00000000-0005-0000-0000-0000153B0000}"/>
    <cellStyle name="Normal 8 4 3 4 3 2" xfId="14547" xr:uid="{00000000-0005-0000-0000-0000163B0000}"/>
    <cellStyle name="Normal 8 4 3 4 4" xfId="10329" xr:uid="{00000000-0005-0000-0000-0000173B0000}"/>
    <cellStyle name="Normal 8 4 3 5" xfId="2217" xr:uid="{00000000-0005-0000-0000-0000183B0000}"/>
    <cellStyle name="Normal 8 4 3 5 2" xfId="4446" xr:uid="{00000000-0005-0000-0000-0000193B0000}"/>
    <cellStyle name="Normal 8 4 3 5 2 2" xfId="8669" xr:uid="{00000000-0005-0000-0000-00001A3B0000}"/>
    <cellStyle name="Normal 8 4 3 5 2 2 2" xfId="17105" xr:uid="{00000000-0005-0000-0000-00001B3B0000}"/>
    <cellStyle name="Normal 8 4 3 5 2 3" xfId="12887" xr:uid="{00000000-0005-0000-0000-00001C3B0000}"/>
    <cellStyle name="Normal 8 4 3 5 3" xfId="6524" xr:uid="{00000000-0005-0000-0000-00001D3B0000}"/>
    <cellStyle name="Normal 8 4 3 5 3 2" xfId="14960" xr:uid="{00000000-0005-0000-0000-00001E3B0000}"/>
    <cellStyle name="Normal 8 4 3 5 4" xfId="10742" xr:uid="{00000000-0005-0000-0000-00001F3B0000}"/>
    <cellStyle name="Normal 8 4 3 6" xfId="2653" xr:uid="{00000000-0005-0000-0000-0000203B0000}"/>
    <cellStyle name="Normal 8 4 3 6 2" xfId="6937" xr:uid="{00000000-0005-0000-0000-0000213B0000}"/>
    <cellStyle name="Normal 8 4 3 6 2 2" xfId="15373" xr:uid="{00000000-0005-0000-0000-0000223B0000}"/>
    <cellStyle name="Normal 8 4 3 6 3" xfId="11155" xr:uid="{00000000-0005-0000-0000-0000233B0000}"/>
    <cellStyle name="Normal 8 4 3 7" xfId="4872" xr:uid="{00000000-0005-0000-0000-0000243B0000}"/>
    <cellStyle name="Normal 8 4 3 7 2" xfId="13308" xr:uid="{00000000-0005-0000-0000-0000253B0000}"/>
    <cellStyle name="Normal 8 4 3 8" xfId="9090" xr:uid="{00000000-0005-0000-0000-0000263B0000}"/>
    <cellStyle name="Normal 8 4 4" xfId="970" xr:uid="{00000000-0005-0000-0000-0000273B0000}"/>
    <cellStyle name="Normal 8 4 4 2" xfId="3204" xr:uid="{00000000-0005-0000-0000-0000283B0000}"/>
    <cellStyle name="Normal 8 4 4 2 2" xfId="7427" xr:uid="{00000000-0005-0000-0000-0000293B0000}"/>
    <cellStyle name="Normal 8 4 4 2 2 2" xfId="15863" xr:uid="{00000000-0005-0000-0000-00002A3B0000}"/>
    <cellStyle name="Normal 8 4 4 2 3" xfId="11645" xr:uid="{00000000-0005-0000-0000-00002B3B0000}"/>
    <cellStyle name="Normal 8 4 4 3" xfId="5282" xr:uid="{00000000-0005-0000-0000-00002C3B0000}"/>
    <cellStyle name="Normal 8 4 4 3 2" xfId="13718" xr:uid="{00000000-0005-0000-0000-00002D3B0000}"/>
    <cellStyle name="Normal 8 4 4 4" xfId="9500" xr:uid="{00000000-0005-0000-0000-00002E3B0000}"/>
    <cellStyle name="Normal 8 4 5" xfId="1387" xr:uid="{00000000-0005-0000-0000-00002F3B0000}"/>
    <cellStyle name="Normal 8 4 5 2" xfId="3617" xr:uid="{00000000-0005-0000-0000-0000303B0000}"/>
    <cellStyle name="Normal 8 4 5 2 2" xfId="7840" xr:uid="{00000000-0005-0000-0000-0000313B0000}"/>
    <cellStyle name="Normal 8 4 5 2 2 2" xfId="16276" xr:uid="{00000000-0005-0000-0000-0000323B0000}"/>
    <cellStyle name="Normal 8 4 5 2 3" xfId="12058" xr:uid="{00000000-0005-0000-0000-0000333B0000}"/>
    <cellStyle name="Normal 8 4 5 3" xfId="5695" xr:uid="{00000000-0005-0000-0000-0000343B0000}"/>
    <cellStyle name="Normal 8 4 5 3 2" xfId="14131" xr:uid="{00000000-0005-0000-0000-0000353B0000}"/>
    <cellStyle name="Normal 8 4 5 4" xfId="9913" xr:uid="{00000000-0005-0000-0000-0000363B0000}"/>
    <cellStyle name="Normal 8 4 6" xfId="1800" xr:uid="{00000000-0005-0000-0000-0000373B0000}"/>
    <cellStyle name="Normal 8 4 6 2" xfId="4030" xr:uid="{00000000-0005-0000-0000-0000383B0000}"/>
    <cellStyle name="Normal 8 4 6 2 2" xfId="8253" xr:uid="{00000000-0005-0000-0000-0000393B0000}"/>
    <cellStyle name="Normal 8 4 6 2 2 2" xfId="16689" xr:uid="{00000000-0005-0000-0000-00003A3B0000}"/>
    <cellStyle name="Normal 8 4 6 2 3" xfId="12471" xr:uid="{00000000-0005-0000-0000-00003B3B0000}"/>
    <cellStyle name="Normal 8 4 6 3" xfId="6108" xr:uid="{00000000-0005-0000-0000-00003C3B0000}"/>
    <cellStyle name="Normal 8 4 6 3 2" xfId="14544" xr:uid="{00000000-0005-0000-0000-00003D3B0000}"/>
    <cellStyle name="Normal 8 4 6 4" xfId="10326" xr:uid="{00000000-0005-0000-0000-00003E3B0000}"/>
    <cellStyle name="Normal 8 4 7" xfId="2214" xr:uid="{00000000-0005-0000-0000-00003F3B0000}"/>
    <cellStyle name="Normal 8 4 7 2" xfId="4443" xr:uid="{00000000-0005-0000-0000-0000403B0000}"/>
    <cellStyle name="Normal 8 4 7 2 2" xfId="8666" xr:uid="{00000000-0005-0000-0000-0000413B0000}"/>
    <cellStyle name="Normal 8 4 7 2 2 2" xfId="17102" xr:uid="{00000000-0005-0000-0000-0000423B0000}"/>
    <cellStyle name="Normal 8 4 7 2 3" xfId="12884" xr:uid="{00000000-0005-0000-0000-0000433B0000}"/>
    <cellStyle name="Normal 8 4 7 3" xfId="6521" xr:uid="{00000000-0005-0000-0000-0000443B0000}"/>
    <cellStyle name="Normal 8 4 7 3 2" xfId="14957" xr:uid="{00000000-0005-0000-0000-0000453B0000}"/>
    <cellStyle name="Normal 8 4 7 4" xfId="10739" xr:uid="{00000000-0005-0000-0000-0000463B0000}"/>
    <cellStyle name="Normal 8 4 8" xfId="2650" xr:uid="{00000000-0005-0000-0000-0000473B0000}"/>
    <cellStyle name="Normal 8 4 8 2" xfId="6934" xr:uid="{00000000-0005-0000-0000-0000483B0000}"/>
    <cellStyle name="Normal 8 4 8 2 2" xfId="15370" xr:uid="{00000000-0005-0000-0000-0000493B0000}"/>
    <cellStyle name="Normal 8 4 8 3" xfId="11152" xr:uid="{00000000-0005-0000-0000-00004A3B0000}"/>
    <cellStyle name="Normal 8 4 9" xfId="4869" xr:uid="{00000000-0005-0000-0000-00004B3B0000}"/>
    <cellStyle name="Normal 8 4 9 2" xfId="13305" xr:uid="{00000000-0005-0000-0000-00004C3B0000}"/>
    <cellStyle name="Normal 8 5" xfId="507" xr:uid="{00000000-0005-0000-0000-00004D3B0000}"/>
    <cellStyle name="Normal 8 5 2" xfId="508" xr:uid="{00000000-0005-0000-0000-00004E3B0000}"/>
    <cellStyle name="Normal 8 5 2 2" xfId="975" xr:uid="{00000000-0005-0000-0000-00004F3B0000}"/>
    <cellStyle name="Normal 8 5 2 2 2" xfId="3209" xr:uid="{00000000-0005-0000-0000-0000503B0000}"/>
    <cellStyle name="Normal 8 5 2 2 2 2" xfId="7432" xr:uid="{00000000-0005-0000-0000-0000513B0000}"/>
    <cellStyle name="Normal 8 5 2 2 2 2 2" xfId="15868" xr:uid="{00000000-0005-0000-0000-0000523B0000}"/>
    <cellStyle name="Normal 8 5 2 2 2 3" xfId="11650" xr:uid="{00000000-0005-0000-0000-0000533B0000}"/>
    <cellStyle name="Normal 8 5 2 2 3" xfId="5287" xr:uid="{00000000-0005-0000-0000-0000543B0000}"/>
    <cellStyle name="Normal 8 5 2 2 3 2" xfId="13723" xr:uid="{00000000-0005-0000-0000-0000553B0000}"/>
    <cellStyle name="Normal 8 5 2 2 4" xfId="9505" xr:uid="{00000000-0005-0000-0000-0000563B0000}"/>
    <cellStyle name="Normal 8 5 2 3" xfId="1392" xr:uid="{00000000-0005-0000-0000-0000573B0000}"/>
    <cellStyle name="Normal 8 5 2 3 2" xfId="3622" xr:uid="{00000000-0005-0000-0000-0000583B0000}"/>
    <cellStyle name="Normal 8 5 2 3 2 2" xfId="7845" xr:uid="{00000000-0005-0000-0000-0000593B0000}"/>
    <cellStyle name="Normal 8 5 2 3 2 2 2" xfId="16281" xr:uid="{00000000-0005-0000-0000-00005A3B0000}"/>
    <cellStyle name="Normal 8 5 2 3 2 3" xfId="12063" xr:uid="{00000000-0005-0000-0000-00005B3B0000}"/>
    <cellStyle name="Normal 8 5 2 3 3" xfId="5700" xr:uid="{00000000-0005-0000-0000-00005C3B0000}"/>
    <cellStyle name="Normal 8 5 2 3 3 2" xfId="14136" xr:uid="{00000000-0005-0000-0000-00005D3B0000}"/>
    <cellStyle name="Normal 8 5 2 3 4" xfId="9918" xr:uid="{00000000-0005-0000-0000-00005E3B0000}"/>
    <cellStyle name="Normal 8 5 2 4" xfId="1805" xr:uid="{00000000-0005-0000-0000-00005F3B0000}"/>
    <cellStyle name="Normal 8 5 2 4 2" xfId="4035" xr:uid="{00000000-0005-0000-0000-0000603B0000}"/>
    <cellStyle name="Normal 8 5 2 4 2 2" xfId="8258" xr:uid="{00000000-0005-0000-0000-0000613B0000}"/>
    <cellStyle name="Normal 8 5 2 4 2 2 2" xfId="16694" xr:uid="{00000000-0005-0000-0000-0000623B0000}"/>
    <cellStyle name="Normal 8 5 2 4 2 3" xfId="12476" xr:uid="{00000000-0005-0000-0000-0000633B0000}"/>
    <cellStyle name="Normal 8 5 2 4 3" xfId="6113" xr:uid="{00000000-0005-0000-0000-0000643B0000}"/>
    <cellStyle name="Normal 8 5 2 4 3 2" xfId="14549" xr:uid="{00000000-0005-0000-0000-0000653B0000}"/>
    <cellStyle name="Normal 8 5 2 4 4" xfId="10331" xr:uid="{00000000-0005-0000-0000-0000663B0000}"/>
    <cellStyle name="Normal 8 5 2 5" xfId="2219" xr:uid="{00000000-0005-0000-0000-0000673B0000}"/>
    <cellStyle name="Normal 8 5 2 5 2" xfId="4448" xr:uid="{00000000-0005-0000-0000-0000683B0000}"/>
    <cellStyle name="Normal 8 5 2 5 2 2" xfId="8671" xr:uid="{00000000-0005-0000-0000-0000693B0000}"/>
    <cellStyle name="Normal 8 5 2 5 2 2 2" xfId="17107" xr:uid="{00000000-0005-0000-0000-00006A3B0000}"/>
    <cellStyle name="Normal 8 5 2 5 2 3" xfId="12889" xr:uid="{00000000-0005-0000-0000-00006B3B0000}"/>
    <cellStyle name="Normal 8 5 2 5 3" xfId="6526" xr:uid="{00000000-0005-0000-0000-00006C3B0000}"/>
    <cellStyle name="Normal 8 5 2 5 3 2" xfId="14962" xr:uid="{00000000-0005-0000-0000-00006D3B0000}"/>
    <cellStyle name="Normal 8 5 2 5 4" xfId="10744" xr:uid="{00000000-0005-0000-0000-00006E3B0000}"/>
    <cellStyle name="Normal 8 5 2 6" xfId="2655" xr:uid="{00000000-0005-0000-0000-00006F3B0000}"/>
    <cellStyle name="Normal 8 5 2 6 2" xfId="6939" xr:uid="{00000000-0005-0000-0000-0000703B0000}"/>
    <cellStyle name="Normal 8 5 2 6 2 2" xfId="15375" xr:uid="{00000000-0005-0000-0000-0000713B0000}"/>
    <cellStyle name="Normal 8 5 2 6 3" xfId="11157" xr:uid="{00000000-0005-0000-0000-0000723B0000}"/>
    <cellStyle name="Normal 8 5 2 7" xfId="4874" xr:uid="{00000000-0005-0000-0000-0000733B0000}"/>
    <cellStyle name="Normal 8 5 2 7 2" xfId="13310" xr:uid="{00000000-0005-0000-0000-0000743B0000}"/>
    <cellStyle name="Normal 8 5 2 8" xfId="9092" xr:uid="{00000000-0005-0000-0000-0000753B0000}"/>
    <cellStyle name="Normal 8 5 3" xfId="974" xr:uid="{00000000-0005-0000-0000-0000763B0000}"/>
    <cellStyle name="Normal 8 5 3 2" xfId="3208" xr:uid="{00000000-0005-0000-0000-0000773B0000}"/>
    <cellStyle name="Normal 8 5 3 2 2" xfId="7431" xr:uid="{00000000-0005-0000-0000-0000783B0000}"/>
    <cellStyle name="Normal 8 5 3 2 2 2" xfId="15867" xr:uid="{00000000-0005-0000-0000-0000793B0000}"/>
    <cellStyle name="Normal 8 5 3 2 3" xfId="11649" xr:uid="{00000000-0005-0000-0000-00007A3B0000}"/>
    <cellStyle name="Normal 8 5 3 3" xfId="5286" xr:uid="{00000000-0005-0000-0000-00007B3B0000}"/>
    <cellStyle name="Normal 8 5 3 3 2" xfId="13722" xr:uid="{00000000-0005-0000-0000-00007C3B0000}"/>
    <cellStyle name="Normal 8 5 3 4" xfId="9504" xr:uid="{00000000-0005-0000-0000-00007D3B0000}"/>
    <cellStyle name="Normal 8 5 4" xfId="1391" xr:uid="{00000000-0005-0000-0000-00007E3B0000}"/>
    <cellStyle name="Normal 8 5 4 2" xfId="3621" xr:uid="{00000000-0005-0000-0000-00007F3B0000}"/>
    <cellStyle name="Normal 8 5 4 2 2" xfId="7844" xr:uid="{00000000-0005-0000-0000-0000803B0000}"/>
    <cellStyle name="Normal 8 5 4 2 2 2" xfId="16280" xr:uid="{00000000-0005-0000-0000-0000813B0000}"/>
    <cellStyle name="Normal 8 5 4 2 3" xfId="12062" xr:uid="{00000000-0005-0000-0000-0000823B0000}"/>
    <cellStyle name="Normal 8 5 4 3" xfId="5699" xr:uid="{00000000-0005-0000-0000-0000833B0000}"/>
    <cellStyle name="Normal 8 5 4 3 2" xfId="14135" xr:uid="{00000000-0005-0000-0000-0000843B0000}"/>
    <cellStyle name="Normal 8 5 4 4" xfId="9917" xr:uid="{00000000-0005-0000-0000-0000853B0000}"/>
    <cellStyle name="Normal 8 5 5" xfId="1804" xr:uid="{00000000-0005-0000-0000-0000863B0000}"/>
    <cellStyle name="Normal 8 5 5 2" xfId="4034" xr:uid="{00000000-0005-0000-0000-0000873B0000}"/>
    <cellStyle name="Normal 8 5 5 2 2" xfId="8257" xr:uid="{00000000-0005-0000-0000-0000883B0000}"/>
    <cellStyle name="Normal 8 5 5 2 2 2" xfId="16693" xr:uid="{00000000-0005-0000-0000-0000893B0000}"/>
    <cellStyle name="Normal 8 5 5 2 3" xfId="12475" xr:uid="{00000000-0005-0000-0000-00008A3B0000}"/>
    <cellStyle name="Normal 8 5 5 3" xfId="6112" xr:uid="{00000000-0005-0000-0000-00008B3B0000}"/>
    <cellStyle name="Normal 8 5 5 3 2" xfId="14548" xr:uid="{00000000-0005-0000-0000-00008C3B0000}"/>
    <cellStyle name="Normal 8 5 5 4" xfId="10330" xr:uid="{00000000-0005-0000-0000-00008D3B0000}"/>
    <cellStyle name="Normal 8 5 6" xfId="2218" xr:uid="{00000000-0005-0000-0000-00008E3B0000}"/>
    <cellStyle name="Normal 8 5 6 2" xfId="4447" xr:uid="{00000000-0005-0000-0000-00008F3B0000}"/>
    <cellStyle name="Normal 8 5 6 2 2" xfId="8670" xr:uid="{00000000-0005-0000-0000-0000903B0000}"/>
    <cellStyle name="Normal 8 5 6 2 2 2" xfId="17106" xr:uid="{00000000-0005-0000-0000-0000913B0000}"/>
    <cellStyle name="Normal 8 5 6 2 3" xfId="12888" xr:uid="{00000000-0005-0000-0000-0000923B0000}"/>
    <cellStyle name="Normal 8 5 6 3" xfId="6525" xr:uid="{00000000-0005-0000-0000-0000933B0000}"/>
    <cellStyle name="Normal 8 5 6 3 2" xfId="14961" xr:uid="{00000000-0005-0000-0000-0000943B0000}"/>
    <cellStyle name="Normal 8 5 6 4" xfId="10743" xr:uid="{00000000-0005-0000-0000-0000953B0000}"/>
    <cellStyle name="Normal 8 5 7" xfId="2654" xr:uid="{00000000-0005-0000-0000-0000963B0000}"/>
    <cellStyle name="Normal 8 5 7 2" xfId="6938" xr:uid="{00000000-0005-0000-0000-0000973B0000}"/>
    <cellStyle name="Normal 8 5 7 2 2" xfId="15374" xr:uid="{00000000-0005-0000-0000-0000983B0000}"/>
    <cellStyle name="Normal 8 5 7 3" xfId="11156" xr:uid="{00000000-0005-0000-0000-0000993B0000}"/>
    <cellStyle name="Normal 8 5 8" xfId="4873" xr:uid="{00000000-0005-0000-0000-00009A3B0000}"/>
    <cellStyle name="Normal 8 5 8 2" xfId="13309" xr:uid="{00000000-0005-0000-0000-00009B3B0000}"/>
    <cellStyle name="Normal 8 5 9" xfId="9091" xr:uid="{00000000-0005-0000-0000-00009C3B0000}"/>
    <cellStyle name="Normal 8 6" xfId="509" xr:uid="{00000000-0005-0000-0000-00009D3B0000}"/>
    <cellStyle name="Normal 8 6 2" xfId="976" xr:uid="{00000000-0005-0000-0000-00009E3B0000}"/>
    <cellStyle name="Normal 8 6 2 2" xfId="3210" xr:uid="{00000000-0005-0000-0000-00009F3B0000}"/>
    <cellStyle name="Normal 8 6 2 2 2" xfId="7433" xr:uid="{00000000-0005-0000-0000-0000A03B0000}"/>
    <cellStyle name="Normal 8 6 2 2 2 2" xfId="15869" xr:uid="{00000000-0005-0000-0000-0000A13B0000}"/>
    <cellStyle name="Normal 8 6 2 2 3" xfId="11651" xr:uid="{00000000-0005-0000-0000-0000A23B0000}"/>
    <cellStyle name="Normal 8 6 2 3" xfId="5288" xr:uid="{00000000-0005-0000-0000-0000A33B0000}"/>
    <cellStyle name="Normal 8 6 2 3 2" xfId="13724" xr:uid="{00000000-0005-0000-0000-0000A43B0000}"/>
    <cellStyle name="Normal 8 6 2 4" xfId="9506" xr:uid="{00000000-0005-0000-0000-0000A53B0000}"/>
    <cellStyle name="Normal 8 6 3" xfId="1393" xr:uid="{00000000-0005-0000-0000-0000A63B0000}"/>
    <cellStyle name="Normal 8 6 3 2" xfId="3623" xr:uid="{00000000-0005-0000-0000-0000A73B0000}"/>
    <cellStyle name="Normal 8 6 3 2 2" xfId="7846" xr:uid="{00000000-0005-0000-0000-0000A83B0000}"/>
    <cellStyle name="Normal 8 6 3 2 2 2" xfId="16282" xr:uid="{00000000-0005-0000-0000-0000A93B0000}"/>
    <cellStyle name="Normal 8 6 3 2 3" xfId="12064" xr:uid="{00000000-0005-0000-0000-0000AA3B0000}"/>
    <cellStyle name="Normal 8 6 3 3" xfId="5701" xr:uid="{00000000-0005-0000-0000-0000AB3B0000}"/>
    <cellStyle name="Normal 8 6 3 3 2" xfId="14137" xr:uid="{00000000-0005-0000-0000-0000AC3B0000}"/>
    <cellStyle name="Normal 8 6 3 4" xfId="9919" xr:uid="{00000000-0005-0000-0000-0000AD3B0000}"/>
    <cellStyle name="Normal 8 6 4" xfId="1806" xr:uid="{00000000-0005-0000-0000-0000AE3B0000}"/>
    <cellStyle name="Normal 8 6 4 2" xfId="4036" xr:uid="{00000000-0005-0000-0000-0000AF3B0000}"/>
    <cellStyle name="Normal 8 6 4 2 2" xfId="8259" xr:uid="{00000000-0005-0000-0000-0000B03B0000}"/>
    <cellStyle name="Normal 8 6 4 2 2 2" xfId="16695" xr:uid="{00000000-0005-0000-0000-0000B13B0000}"/>
    <cellStyle name="Normal 8 6 4 2 3" xfId="12477" xr:uid="{00000000-0005-0000-0000-0000B23B0000}"/>
    <cellStyle name="Normal 8 6 4 3" xfId="6114" xr:uid="{00000000-0005-0000-0000-0000B33B0000}"/>
    <cellStyle name="Normal 8 6 4 3 2" xfId="14550" xr:uid="{00000000-0005-0000-0000-0000B43B0000}"/>
    <cellStyle name="Normal 8 6 4 4" xfId="10332" xr:uid="{00000000-0005-0000-0000-0000B53B0000}"/>
    <cellStyle name="Normal 8 6 5" xfId="2220" xr:uid="{00000000-0005-0000-0000-0000B63B0000}"/>
    <cellStyle name="Normal 8 6 5 2" xfId="4449" xr:uid="{00000000-0005-0000-0000-0000B73B0000}"/>
    <cellStyle name="Normal 8 6 5 2 2" xfId="8672" xr:uid="{00000000-0005-0000-0000-0000B83B0000}"/>
    <cellStyle name="Normal 8 6 5 2 2 2" xfId="17108" xr:uid="{00000000-0005-0000-0000-0000B93B0000}"/>
    <cellStyle name="Normal 8 6 5 2 3" xfId="12890" xr:uid="{00000000-0005-0000-0000-0000BA3B0000}"/>
    <cellStyle name="Normal 8 6 5 3" xfId="6527" xr:uid="{00000000-0005-0000-0000-0000BB3B0000}"/>
    <cellStyle name="Normal 8 6 5 3 2" xfId="14963" xr:uid="{00000000-0005-0000-0000-0000BC3B0000}"/>
    <cellStyle name="Normal 8 6 5 4" xfId="10745" xr:uid="{00000000-0005-0000-0000-0000BD3B0000}"/>
    <cellStyle name="Normal 8 6 6" xfId="2656" xr:uid="{00000000-0005-0000-0000-0000BE3B0000}"/>
    <cellStyle name="Normal 8 6 6 2" xfId="6940" xr:uid="{00000000-0005-0000-0000-0000BF3B0000}"/>
    <cellStyle name="Normal 8 6 6 2 2" xfId="15376" xr:uid="{00000000-0005-0000-0000-0000C03B0000}"/>
    <cellStyle name="Normal 8 6 6 3" xfId="11158" xr:uid="{00000000-0005-0000-0000-0000C13B0000}"/>
    <cellStyle name="Normal 8 6 7" xfId="4875" xr:uid="{00000000-0005-0000-0000-0000C23B0000}"/>
    <cellStyle name="Normal 8 6 7 2" xfId="13311" xr:uid="{00000000-0005-0000-0000-0000C33B0000}"/>
    <cellStyle name="Normal 8 6 8" xfId="9093" xr:uid="{00000000-0005-0000-0000-0000C43B0000}"/>
    <cellStyle name="Normal 8 7" xfId="945" xr:uid="{00000000-0005-0000-0000-0000C53B0000}"/>
    <cellStyle name="Normal 8 7 2" xfId="3179" xr:uid="{00000000-0005-0000-0000-0000C63B0000}"/>
    <cellStyle name="Normal 8 7 2 2" xfId="7402" xr:uid="{00000000-0005-0000-0000-0000C73B0000}"/>
    <cellStyle name="Normal 8 7 2 2 2" xfId="15838" xr:uid="{00000000-0005-0000-0000-0000C83B0000}"/>
    <cellStyle name="Normal 8 7 2 3" xfId="11620" xr:uid="{00000000-0005-0000-0000-0000C93B0000}"/>
    <cellStyle name="Normal 8 7 3" xfId="5257" xr:uid="{00000000-0005-0000-0000-0000CA3B0000}"/>
    <cellStyle name="Normal 8 7 3 2" xfId="13693" xr:uid="{00000000-0005-0000-0000-0000CB3B0000}"/>
    <cellStyle name="Normal 8 7 4" xfId="9475" xr:uid="{00000000-0005-0000-0000-0000CC3B0000}"/>
    <cellStyle name="Normal 8 8" xfId="1362" xr:uid="{00000000-0005-0000-0000-0000CD3B0000}"/>
    <cellStyle name="Normal 8 8 2" xfId="3592" xr:uid="{00000000-0005-0000-0000-0000CE3B0000}"/>
    <cellStyle name="Normal 8 8 2 2" xfId="7815" xr:uid="{00000000-0005-0000-0000-0000CF3B0000}"/>
    <cellStyle name="Normal 8 8 2 2 2" xfId="16251" xr:uid="{00000000-0005-0000-0000-0000D03B0000}"/>
    <cellStyle name="Normal 8 8 2 3" xfId="12033" xr:uid="{00000000-0005-0000-0000-0000D13B0000}"/>
    <cellStyle name="Normal 8 8 3" xfId="5670" xr:uid="{00000000-0005-0000-0000-0000D23B0000}"/>
    <cellStyle name="Normal 8 8 3 2" xfId="14106" xr:uid="{00000000-0005-0000-0000-0000D33B0000}"/>
    <cellStyle name="Normal 8 8 4" xfId="9888" xr:uid="{00000000-0005-0000-0000-0000D43B0000}"/>
    <cellStyle name="Normal 8 9" xfId="1775" xr:uid="{00000000-0005-0000-0000-0000D53B0000}"/>
    <cellStyle name="Normal 8 9 2" xfId="4005" xr:uid="{00000000-0005-0000-0000-0000D63B0000}"/>
    <cellStyle name="Normal 8 9 2 2" xfId="8228" xr:uid="{00000000-0005-0000-0000-0000D73B0000}"/>
    <cellStyle name="Normal 8 9 2 2 2" xfId="16664" xr:uid="{00000000-0005-0000-0000-0000D83B0000}"/>
    <cellStyle name="Normal 8 9 2 3" xfId="12446" xr:uid="{00000000-0005-0000-0000-0000D93B0000}"/>
    <cellStyle name="Normal 8 9 3" xfId="6083" xr:uid="{00000000-0005-0000-0000-0000DA3B0000}"/>
    <cellStyle name="Normal 8 9 3 2" xfId="14519" xr:uid="{00000000-0005-0000-0000-0000DB3B0000}"/>
    <cellStyle name="Normal 8 9 4" xfId="10301" xr:uid="{00000000-0005-0000-0000-0000DC3B0000}"/>
    <cellStyle name="Normal 9" xfId="510" xr:uid="{00000000-0005-0000-0000-0000DD3B0000}"/>
    <cellStyle name="Normal 9 2" xfId="511" xr:uid="{00000000-0005-0000-0000-0000DE3B0000}"/>
    <cellStyle name="Normal 9 2 10" xfId="2657" xr:uid="{00000000-0005-0000-0000-0000DF3B0000}"/>
    <cellStyle name="Normal 9 2 10 2" xfId="6941" xr:uid="{00000000-0005-0000-0000-0000E03B0000}"/>
    <cellStyle name="Normal 9 2 10 2 2" xfId="15377" xr:uid="{00000000-0005-0000-0000-0000E13B0000}"/>
    <cellStyle name="Normal 9 2 10 3" xfId="11159" xr:uid="{00000000-0005-0000-0000-0000E23B0000}"/>
    <cellStyle name="Normal 9 2 11" xfId="4876" xr:uid="{00000000-0005-0000-0000-0000E33B0000}"/>
    <cellStyle name="Normal 9 2 11 2" xfId="13312" xr:uid="{00000000-0005-0000-0000-0000E43B0000}"/>
    <cellStyle name="Normal 9 2 12" xfId="9094" xr:uid="{00000000-0005-0000-0000-0000E53B0000}"/>
    <cellStyle name="Normal 9 2 2" xfId="512" xr:uid="{00000000-0005-0000-0000-0000E63B0000}"/>
    <cellStyle name="Normal 9 2 2 10" xfId="4877" xr:uid="{00000000-0005-0000-0000-0000E73B0000}"/>
    <cellStyle name="Normal 9 2 2 10 2" xfId="13313" xr:uid="{00000000-0005-0000-0000-0000E83B0000}"/>
    <cellStyle name="Normal 9 2 2 11" xfId="9095" xr:uid="{00000000-0005-0000-0000-0000E93B0000}"/>
    <cellStyle name="Normal 9 2 2 2" xfId="513" xr:uid="{00000000-0005-0000-0000-0000EA3B0000}"/>
    <cellStyle name="Normal 9 2 2 2 10" xfId="9096" xr:uid="{00000000-0005-0000-0000-0000EB3B0000}"/>
    <cellStyle name="Normal 9 2 2 2 2" xfId="514" xr:uid="{00000000-0005-0000-0000-0000EC3B0000}"/>
    <cellStyle name="Normal 9 2 2 2 2 2" xfId="515" xr:uid="{00000000-0005-0000-0000-0000ED3B0000}"/>
    <cellStyle name="Normal 9 2 2 2 2 2 2" xfId="982" xr:uid="{00000000-0005-0000-0000-0000EE3B0000}"/>
    <cellStyle name="Normal 9 2 2 2 2 2 2 2" xfId="3215" xr:uid="{00000000-0005-0000-0000-0000EF3B0000}"/>
    <cellStyle name="Normal 9 2 2 2 2 2 2 2 2" xfId="7438" xr:uid="{00000000-0005-0000-0000-0000F03B0000}"/>
    <cellStyle name="Normal 9 2 2 2 2 2 2 2 2 2" xfId="15874" xr:uid="{00000000-0005-0000-0000-0000F13B0000}"/>
    <cellStyle name="Normal 9 2 2 2 2 2 2 2 3" xfId="11656" xr:uid="{00000000-0005-0000-0000-0000F23B0000}"/>
    <cellStyle name="Normal 9 2 2 2 2 2 2 3" xfId="5293" xr:uid="{00000000-0005-0000-0000-0000F33B0000}"/>
    <cellStyle name="Normal 9 2 2 2 2 2 2 3 2" xfId="13729" xr:uid="{00000000-0005-0000-0000-0000F43B0000}"/>
    <cellStyle name="Normal 9 2 2 2 2 2 2 4" xfId="9511" xr:uid="{00000000-0005-0000-0000-0000F53B0000}"/>
    <cellStyle name="Normal 9 2 2 2 2 2 3" xfId="1398" xr:uid="{00000000-0005-0000-0000-0000F63B0000}"/>
    <cellStyle name="Normal 9 2 2 2 2 2 3 2" xfId="3628" xr:uid="{00000000-0005-0000-0000-0000F73B0000}"/>
    <cellStyle name="Normal 9 2 2 2 2 2 3 2 2" xfId="7851" xr:uid="{00000000-0005-0000-0000-0000F83B0000}"/>
    <cellStyle name="Normal 9 2 2 2 2 2 3 2 2 2" xfId="16287" xr:uid="{00000000-0005-0000-0000-0000F93B0000}"/>
    <cellStyle name="Normal 9 2 2 2 2 2 3 2 3" xfId="12069" xr:uid="{00000000-0005-0000-0000-0000FA3B0000}"/>
    <cellStyle name="Normal 9 2 2 2 2 2 3 3" xfId="5706" xr:uid="{00000000-0005-0000-0000-0000FB3B0000}"/>
    <cellStyle name="Normal 9 2 2 2 2 2 3 3 2" xfId="14142" xr:uid="{00000000-0005-0000-0000-0000FC3B0000}"/>
    <cellStyle name="Normal 9 2 2 2 2 2 3 4" xfId="9924" xr:uid="{00000000-0005-0000-0000-0000FD3B0000}"/>
    <cellStyle name="Normal 9 2 2 2 2 2 4" xfId="1811" xr:uid="{00000000-0005-0000-0000-0000FE3B0000}"/>
    <cellStyle name="Normal 9 2 2 2 2 2 4 2" xfId="4041" xr:uid="{00000000-0005-0000-0000-0000FF3B0000}"/>
    <cellStyle name="Normal 9 2 2 2 2 2 4 2 2" xfId="8264" xr:uid="{00000000-0005-0000-0000-0000003C0000}"/>
    <cellStyle name="Normal 9 2 2 2 2 2 4 2 2 2" xfId="16700" xr:uid="{00000000-0005-0000-0000-0000013C0000}"/>
    <cellStyle name="Normal 9 2 2 2 2 2 4 2 3" xfId="12482" xr:uid="{00000000-0005-0000-0000-0000023C0000}"/>
    <cellStyle name="Normal 9 2 2 2 2 2 4 3" xfId="6119" xr:uid="{00000000-0005-0000-0000-0000033C0000}"/>
    <cellStyle name="Normal 9 2 2 2 2 2 4 3 2" xfId="14555" xr:uid="{00000000-0005-0000-0000-0000043C0000}"/>
    <cellStyle name="Normal 9 2 2 2 2 2 4 4" xfId="10337" xr:uid="{00000000-0005-0000-0000-0000053C0000}"/>
    <cellStyle name="Normal 9 2 2 2 2 2 5" xfId="2225" xr:uid="{00000000-0005-0000-0000-0000063C0000}"/>
    <cellStyle name="Normal 9 2 2 2 2 2 5 2" xfId="4454" xr:uid="{00000000-0005-0000-0000-0000073C0000}"/>
    <cellStyle name="Normal 9 2 2 2 2 2 5 2 2" xfId="8677" xr:uid="{00000000-0005-0000-0000-0000083C0000}"/>
    <cellStyle name="Normal 9 2 2 2 2 2 5 2 2 2" xfId="17113" xr:uid="{00000000-0005-0000-0000-0000093C0000}"/>
    <cellStyle name="Normal 9 2 2 2 2 2 5 2 3" xfId="12895" xr:uid="{00000000-0005-0000-0000-00000A3C0000}"/>
    <cellStyle name="Normal 9 2 2 2 2 2 5 3" xfId="6532" xr:uid="{00000000-0005-0000-0000-00000B3C0000}"/>
    <cellStyle name="Normal 9 2 2 2 2 2 5 3 2" xfId="14968" xr:uid="{00000000-0005-0000-0000-00000C3C0000}"/>
    <cellStyle name="Normal 9 2 2 2 2 2 5 4" xfId="10750" xr:uid="{00000000-0005-0000-0000-00000D3C0000}"/>
    <cellStyle name="Normal 9 2 2 2 2 2 6" xfId="2661" xr:uid="{00000000-0005-0000-0000-00000E3C0000}"/>
    <cellStyle name="Normal 9 2 2 2 2 2 6 2" xfId="6945" xr:uid="{00000000-0005-0000-0000-00000F3C0000}"/>
    <cellStyle name="Normal 9 2 2 2 2 2 6 2 2" xfId="15381" xr:uid="{00000000-0005-0000-0000-0000103C0000}"/>
    <cellStyle name="Normal 9 2 2 2 2 2 6 3" xfId="11163" xr:uid="{00000000-0005-0000-0000-0000113C0000}"/>
    <cellStyle name="Normal 9 2 2 2 2 2 7" xfId="4880" xr:uid="{00000000-0005-0000-0000-0000123C0000}"/>
    <cellStyle name="Normal 9 2 2 2 2 2 7 2" xfId="13316" xr:uid="{00000000-0005-0000-0000-0000133C0000}"/>
    <cellStyle name="Normal 9 2 2 2 2 2 8" xfId="9098" xr:uid="{00000000-0005-0000-0000-0000143C0000}"/>
    <cellStyle name="Normal 9 2 2 2 2 3" xfId="981" xr:uid="{00000000-0005-0000-0000-0000153C0000}"/>
    <cellStyle name="Normal 9 2 2 2 2 3 2" xfId="3214" xr:uid="{00000000-0005-0000-0000-0000163C0000}"/>
    <cellStyle name="Normal 9 2 2 2 2 3 2 2" xfId="7437" xr:uid="{00000000-0005-0000-0000-0000173C0000}"/>
    <cellStyle name="Normal 9 2 2 2 2 3 2 2 2" xfId="15873" xr:uid="{00000000-0005-0000-0000-0000183C0000}"/>
    <cellStyle name="Normal 9 2 2 2 2 3 2 3" xfId="11655" xr:uid="{00000000-0005-0000-0000-0000193C0000}"/>
    <cellStyle name="Normal 9 2 2 2 2 3 3" xfId="5292" xr:uid="{00000000-0005-0000-0000-00001A3C0000}"/>
    <cellStyle name="Normal 9 2 2 2 2 3 3 2" xfId="13728" xr:uid="{00000000-0005-0000-0000-00001B3C0000}"/>
    <cellStyle name="Normal 9 2 2 2 2 3 4" xfId="9510" xr:uid="{00000000-0005-0000-0000-00001C3C0000}"/>
    <cellStyle name="Normal 9 2 2 2 2 4" xfId="1397" xr:uid="{00000000-0005-0000-0000-00001D3C0000}"/>
    <cellStyle name="Normal 9 2 2 2 2 4 2" xfId="3627" xr:uid="{00000000-0005-0000-0000-00001E3C0000}"/>
    <cellStyle name="Normal 9 2 2 2 2 4 2 2" xfId="7850" xr:uid="{00000000-0005-0000-0000-00001F3C0000}"/>
    <cellStyle name="Normal 9 2 2 2 2 4 2 2 2" xfId="16286" xr:uid="{00000000-0005-0000-0000-0000203C0000}"/>
    <cellStyle name="Normal 9 2 2 2 2 4 2 3" xfId="12068" xr:uid="{00000000-0005-0000-0000-0000213C0000}"/>
    <cellStyle name="Normal 9 2 2 2 2 4 3" xfId="5705" xr:uid="{00000000-0005-0000-0000-0000223C0000}"/>
    <cellStyle name="Normal 9 2 2 2 2 4 3 2" xfId="14141" xr:uid="{00000000-0005-0000-0000-0000233C0000}"/>
    <cellStyle name="Normal 9 2 2 2 2 4 4" xfId="9923" xr:uid="{00000000-0005-0000-0000-0000243C0000}"/>
    <cellStyle name="Normal 9 2 2 2 2 5" xfId="1810" xr:uid="{00000000-0005-0000-0000-0000253C0000}"/>
    <cellStyle name="Normal 9 2 2 2 2 5 2" xfId="4040" xr:uid="{00000000-0005-0000-0000-0000263C0000}"/>
    <cellStyle name="Normal 9 2 2 2 2 5 2 2" xfId="8263" xr:uid="{00000000-0005-0000-0000-0000273C0000}"/>
    <cellStyle name="Normal 9 2 2 2 2 5 2 2 2" xfId="16699" xr:uid="{00000000-0005-0000-0000-0000283C0000}"/>
    <cellStyle name="Normal 9 2 2 2 2 5 2 3" xfId="12481" xr:uid="{00000000-0005-0000-0000-0000293C0000}"/>
    <cellStyle name="Normal 9 2 2 2 2 5 3" xfId="6118" xr:uid="{00000000-0005-0000-0000-00002A3C0000}"/>
    <cellStyle name="Normal 9 2 2 2 2 5 3 2" xfId="14554" xr:uid="{00000000-0005-0000-0000-00002B3C0000}"/>
    <cellStyle name="Normal 9 2 2 2 2 5 4" xfId="10336" xr:uid="{00000000-0005-0000-0000-00002C3C0000}"/>
    <cellStyle name="Normal 9 2 2 2 2 6" xfId="2224" xr:uid="{00000000-0005-0000-0000-00002D3C0000}"/>
    <cellStyle name="Normal 9 2 2 2 2 6 2" xfId="4453" xr:uid="{00000000-0005-0000-0000-00002E3C0000}"/>
    <cellStyle name="Normal 9 2 2 2 2 6 2 2" xfId="8676" xr:uid="{00000000-0005-0000-0000-00002F3C0000}"/>
    <cellStyle name="Normal 9 2 2 2 2 6 2 2 2" xfId="17112" xr:uid="{00000000-0005-0000-0000-0000303C0000}"/>
    <cellStyle name="Normal 9 2 2 2 2 6 2 3" xfId="12894" xr:uid="{00000000-0005-0000-0000-0000313C0000}"/>
    <cellStyle name="Normal 9 2 2 2 2 6 3" xfId="6531" xr:uid="{00000000-0005-0000-0000-0000323C0000}"/>
    <cellStyle name="Normal 9 2 2 2 2 6 3 2" xfId="14967" xr:uid="{00000000-0005-0000-0000-0000333C0000}"/>
    <cellStyle name="Normal 9 2 2 2 2 6 4" xfId="10749" xr:uid="{00000000-0005-0000-0000-0000343C0000}"/>
    <cellStyle name="Normal 9 2 2 2 2 7" xfId="2660" xr:uid="{00000000-0005-0000-0000-0000353C0000}"/>
    <cellStyle name="Normal 9 2 2 2 2 7 2" xfId="6944" xr:uid="{00000000-0005-0000-0000-0000363C0000}"/>
    <cellStyle name="Normal 9 2 2 2 2 7 2 2" xfId="15380" xr:uid="{00000000-0005-0000-0000-0000373C0000}"/>
    <cellStyle name="Normal 9 2 2 2 2 7 3" xfId="11162" xr:uid="{00000000-0005-0000-0000-0000383C0000}"/>
    <cellStyle name="Normal 9 2 2 2 2 8" xfId="4879" xr:uid="{00000000-0005-0000-0000-0000393C0000}"/>
    <cellStyle name="Normal 9 2 2 2 2 8 2" xfId="13315" xr:uid="{00000000-0005-0000-0000-00003A3C0000}"/>
    <cellStyle name="Normal 9 2 2 2 2 9" xfId="9097" xr:uid="{00000000-0005-0000-0000-00003B3C0000}"/>
    <cellStyle name="Normal 9 2 2 2 3" xfId="516" xr:uid="{00000000-0005-0000-0000-00003C3C0000}"/>
    <cellStyle name="Normal 9 2 2 2 3 2" xfId="983" xr:uid="{00000000-0005-0000-0000-00003D3C0000}"/>
    <cellStyle name="Normal 9 2 2 2 3 2 2" xfId="3216" xr:uid="{00000000-0005-0000-0000-00003E3C0000}"/>
    <cellStyle name="Normal 9 2 2 2 3 2 2 2" xfId="7439" xr:uid="{00000000-0005-0000-0000-00003F3C0000}"/>
    <cellStyle name="Normal 9 2 2 2 3 2 2 2 2" xfId="15875" xr:uid="{00000000-0005-0000-0000-0000403C0000}"/>
    <cellStyle name="Normal 9 2 2 2 3 2 2 3" xfId="11657" xr:uid="{00000000-0005-0000-0000-0000413C0000}"/>
    <cellStyle name="Normal 9 2 2 2 3 2 3" xfId="5294" xr:uid="{00000000-0005-0000-0000-0000423C0000}"/>
    <cellStyle name="Normal 9 2 2 2 3 2 3 2" xfId="13730" xr:uid="{00000000-0005-0000-0000-0000433C0000}"/>
    <cellStyle name="Normal 9 2 2 2 3 2 4" xfId="9512" xr:uid="{00000000-0005-0000-0000-0000443C0000}"/>
    <cellStyle name="Normal 9 2 2 2 3 3" xfId="1399" xr:uid="{00000000-0005-0000-0000-0000453C0000}"/>
    <cellStyle name="Normal 9 2 2 2 3 3 2" xfId="3629" xr:uid="{00000000-0005-0000-0000-0000463C0000}"/>
    <cellStyle name="Normal 9 2 2 2 3 3 2 2" xfId="7852" xr:uid="{00000000-0005-0000-0000-0000473C0000}"/>
    <cellStyle name="Normal 9 2 2 2 3 3 2 2 2" xfId="16288" xr:uid="{00000000-0005-0000-0000-0000483C0000}"/>
    <cellStyle name="Normal 9 2 2 2 3 3 2 3" xfId="12070" xr:uid="{00000000-0005-0000-0000-0000493C0000}"/>
    <cellStyle name="Normal 9 2 2 2 3 3 3" xfId="5707" xr:uid="{00000000-0005-0000-0000-00004A3C0000}"/>
    <cellStyle name="Normal 9 2 2 2 3 3 3 2" xfId="14143" xr:uid="{00000000-0005-0000-0000-00004B3C0000}"/>
    <cellStyle name="Normal 9 2 2 2 3 3 4" xfId="9925" xr:uid="{00000000-0005-0000-0000-00004C3C0000}"/>
    <cellStyle name="Normal 9 2 2 2 3 4" xfId="1812" xr:uid="{00000000-0005-0000-0000-00004D3C0000}"/>
    <cellStyle name="Normal 9 2 2 2 3 4 2" xfId="4042" xr:uid="{00000000-0005-0000-0000-00004E3C0000}"/>
    <cellStyle name="Normal 9 2 2 2 3 4 2 2" xfId="8265" xr:uid="{00000000-0005-0000-0000-00004F3C0000}"/>
    <cellStyle name="Normal 9 2 2 2 3 4 2 2 2" xfId="16701" xr:uid="{00000000-0005-0000-0000-0000503C0000}"/>
    <cellStyle name="Normal 9 2 2 2 3 4 2 3" xfId="12483" xr:uid="{00000000-0005-0000-0000-0000513C0000}"/>
    <cellStyle name="Normal 9 2 2 2 3 4 3" xfId="6120" xr:uid="{00000000-0005-0000-0000-0000523C0000}"/>
    <cellStyle name="Normal 9 2 2 2 3 4 3 2" xfId="14556" xr:uid="{00000000-0005-0000-0000-0000533C0000}"/>
    <cellStyle name="Normal 9 2 2 2 3 4 4" xfId="10338" xr:uid="{00000000-0005-0000-0000-0000543C0000}"/>
    <cellStyle name="Normal 9 2 2 2 3 5" xfId="2226" xr:uid="{00000000-0005-0000-0000-0000553C0000}"/>
    <cellStyle name="Normal 9 2 2 2 3 5 2" xfId="4455" xr:uid="{00000000-0005-0000-0000-0000563C0000}"/>
    <cellStyle name="Normal 9 2 2 2 3 5 2 2" xfId="8678" xr:uid="{00000000-0005-0000-0000-0000573C0000}"/>
    <cellStyle name="Normal 9 2 2 2 3 5 2 2 2" xfId="17114" xr:uid="{00000000-0005-0000-0000-0000583C0000}"/>
    <cellStyle name="Normal 9 2 2 2 3 5 2 3" xfId="12896" xr:uid="{00000000-0005-0000-0000-0000593C0000}"/>
    <cellStyle name="Normal 9 2 2 2 3 5 3" xfId="6533" xr:uid="{00000000-0005-0000-0000-00005A3C0000}"/>
    <cellStyle name="Normal 9 2 2 2 3 5 3 2" xfId="14969" xr:uid="{00000000-0005-0000-0000-00005B3C0000}"/>
    <cellStyle name="Normal 9 2 2 2 3 5 4" xfId="10751" xr:uid="{00000000-0005-0000-0000-00005C3C0000}"/>
    <cellStyle name="Normal 9 2 2 2 3 6" xfId="2662" xr:uid="{00000000-0005-0000-0000-00005D3C0000}"/>
    <cellStyle name="Normal 9 2 2 2 3 6 2" xfId="6946" xr:uid="{00000000-0005-0000-0000-00005E3C0000}"/>
    <cellStyle name="Normal 9 2 2 2 3 6 2 2" xfId="15382" xr:uid="{00000000-0005-0000-0000-00005F3C0000}"/>
    <cellStyle name="Normal 9 2 2 2 3 6 3" xfId="11164" xr:uid="{00000000-0005-0000-0000-0000603C0000}"/>
    <cellStyle name="Normal 9 2 2 2 3 7" xfId="4881" xr:uid="{00000000-0005-0000-0000-0000613C0000}"/>
    <cellStyle name="Normal 9 2 2 2 3 7 2" xfId="13317" xr:uid="{00000000-0005-0000-0000-0000623C0000}"/>
    <cellStyle name="Normal 9 2 2 2 3 8" xfId="9099" xr:uid="{00000000-0005-0000-0000-0000633C0000}"/>
    <cellStyle name="Normal 9 2 2 2 4" xfId="980" xr:uid="{00000000-0005-0000-0000-0000643C0000}"/>
    <cellStyle name="Normal 9 2 2 2 4 2" xfId="3213" xr:uid="{00000000-0005-0000-0000-0000653C0000}"/>
    <cellStyle name="Normal 9 2 2 2 4 2 2" xfId="7436" xr:uid="{00000000-0005-0000-0000-0000663C0000}"/>
    <cellStyle name="Normal 9 2 2 2 4 2 2 2" xfId="15872" xr:uid="{00000000-0005-0000-0000-0000673C0000}"/>
    <cellStyle name="Normal 9 2 2 2 4 2 3" xfId="11654" xr:uid="{00000000-0005-0000-0000-0000683C0000}"/>
    <cellStyle name="Normal 9 2 2 2 4 3" xfId="5291" xr:uid="{00000000-0005-0000-0000-0000693C0000}"/>
    <cellStyle name="Normal 9 2 2 2 4 3 2" xfId="13727" xr:uid="{00000000-0005-0000-0000-00006A3C0000}"/>
    <cellStyle name="Normal 9 2 2 2 4 4" xfId="9509" xr:uid="{00000000-0005-0000-0000-00006B3C0000}"/>
    <cellStyle name="Normal 9 2 2 2 5" xfId="1396" xr:uid="{00000000-0005-0000-0000-00006C3C0000}"/>
    <cellStyle name="Normal 9 2 2 2 5 2" xfId="3626" xr:uid="{00000000-0005-0000-0000-00006D3C0000}"/>
    <cellStyle name="Normal 9 2 2 2 5 2 2" xfId="7849" xr:uid="{00000000-0005-0000-0000-00006E3C0000}"/>
    <cellStyle name="Normal 9 2 2 2 5 2 2 2" xfId="16285" xr:uid="{00000000-0005-0000-0000-00006F3C0000}"/>
    <cellStyle name="Normal 9 2 2 2 5 2 3" xfId="12067" xr:uid="{00000000-0005-0000-0000-0000703C0000}"/>
    <cellStyle name="Normal 9 2 2 2 5 3" xfId="5704" xr:uid="{00000000-0005-0000-0000-0000713C0000}"/>
    <cellStyle name="Normal 9 2 2 2 5 3 2" xfId="14140" xr:uid="{00000000-0005-0000-0000-0000723C0000}"/>
    <cellStyle name="Normal 9 2 2 2 5 4" xfId="9922" xr:uid="{00000000-0005-0000-0000-0000733C0000}"/>
    <cellStyle name="Normal 9 2 2 2 6" xfId="1809" xr:uid="{00000000-0005-0000-0000-0000743C0000}"/>
    <cellStyle name="Normal 9 2 2 2 6 2" xfId="4039" xr:uid="{00000000-0005-0000-0000-0000753C0000}"/>
    <cellStyle name="Normal 9 2 2 2 6 2 2" xfId="8262" xr:uid="{00000000-0005-0000-0000-0000763C0000}"/>
    <cellStyle name="Normal 9 2 2 2 6 2 2 2" xfId="16698" xr:uid="{00000000-0005-0000-0000-0000773C0000}"/>
    <cellStyle name="Normal 9 2 2 2 6 2 3" xfId="12480" xr:uid="{00000000-0005-0000-0000-0000783C0000}"/>
    <cellStyle name="Normal 9 2 2 2 6 3" xfId="6117" xr:uid="{00000000-0005-0000-0000-0000793C0000}"/>
    <cellStyle name="Normal 9 2 2 2 6 3 2" xfId="14553" xr:uid="{00000000-0005-0000-0000-00007A3C0000}"/>
    <cellStyle name="Normal 9 2 2 2 6 4" xfId="10335" xr:uid="{00000000-0005-0000-0000-00007B3C0000}"/>
    <cellStyle name="Normal 9 2 2 2 7" xfId="2223" xr:uid="{00000000-0005-0000-0000-00007C3C0000}"/>
    <cellStyle name="Normal 9 2 2 2 7 2" xfId="4452" xr:uid="{00000000-0005-0000-0000-00007D3C0000}"/>
    <cellStyle name="Normal 9 2 2 2 7 2 2" xfId="8675" xr:uid="{00000000-0005-0000-0000-00007E3C0000}"/>
    <cellStyle name="Normal 9 2 2 2 7 2 2 2" xfId="17111" xr:uid="{00000000-0005-0000-0000-00007F3C0000}"/>
    <cellStyle name="Normal 9 2 2 2 7 2 3" xfId="12893" xr:uid="{00000000-0005-0000-0000-0000803C0000}"/>
    <cellStyle name="Normal 9 2 2 2 7 3" xfId="6530" xr:uid="{00000000-0005-0000-0000-0000813C0000}"/>
    <cellStyle name="Normal 9 2 2 2 7 3 2" xfId="14966" xr:uid="{00000000-0005-0000-0000-0000823C0000}"/>
    <cellStyle name="Normal 9 2 2 2 7 4" xfId="10748" xr:uid="{00000000-0005-0000-0000-0000833C0000}"/>
    <cellStyle name="Normal 9 2 2 2 8" xfId="2659" xr:uid="{00000000-0005-0000-0000-0000843C0000}"/>
    <cellStyle name="Normal 9 2 2 2 8 2" xfId="6943" xr:uid="{00000000-0005-0000-0000-0000853C0000}"/>
    <cellStyle name="Normal 9 2 2 2 8 2 2" xfId="15379" xr:uid="{00000000-0005-0000-0000-0000863C0000}"/>
    <cellStyle name="Normal 9 2 2 2 8 3" xfId="11161" xr:uid="{00000000-0005-0000-0000-0000873C0000}"/>
    <cellStyle name="Normal 9 2 2 2 9" xfId="4878" xr:uid="{00000000-0005-0000-0000-0000883C0000}"/>
    <cellStyle name="Normal 9 2 2 2 9 2" xfId="13314" xr:uid="{00000000-0005-0000-0000-0000893C0000}"/>
    <cellStyle name="Normal 9 2 2 3" xfId="517" xr:uid="{00000000-0005-0000-0000-00008A3C0000}"/>
    <cellStyle name="Normal 9 2 2 3 2" xfId="518" xr:uid="{00000000-0005-0000-0000-00008B3C0000}"/>
    <cellStyle name="Normal 9 2 2 3 2 2" xfId="985" xr:uid="{00000000-0005-0000-0000-00008C3C0000}"/>
    <cellStyle name="Normal 9 2 2 3 2 2 2" xfId="3218" xr:uid="{00000000-0005-0000-0000-00008D3C0000}"/>
    <cellStyle name="Normal 9 2 2 3 2 2 2 2" xfId="7441" xr:uid="{00000000-0005-0000-0000-00008E3C0000}"/>
    <cellStyle name="Normal 9 2 2 3 2 2 2 2 2" xfId="15877" xr:uid="{00000000-0005-0000-0000-00008F3C0000}"/>
    <cellStyle name="Normal 9 2 2 3 2 2 2 3" xfId="11659" xr:uid="{00000000-0005-0000-0000-0000903C0000}"/>
    <cellStyle name="Normal 9 2 2 3 2 2 3" xfId="5296" xr:uid="{00000000-0005-0000-0000-0000913C0000}"/>
    <cellStyle name="Normal 9 2 2 3 2 2 3 2" xfId="13732" xr:uid="{00000000-0005-0000-0000-0000923C0000}"/>
    <cellStyle name="Normal 9 2 2 3 2 2 4" xfId="9514" xr:uid="{00000000-0005-0000-0000-0000933C0000}"/>
    <cellStyle name="Normal 9 2 2 3 2 3" xfId="1401" xr:uid="{00000000-0005-0000-0000-0000943C0000}"/>
    <cellStyle name="Normal 9 2 2 3 2 3 2" xfId="3631" xr:uid="{00000000-0005-0000-0000-0000953C0000}"/>
    <cellStyle name="Normal 9 2 2 3 2 3 2 2" xfId="7854" xr:uid="{00000000-0005-0000-0000-0000963C0000}"/>
    <cellStyle name="Normal 9 2 2 3 2 3 2 2 2" xfId="16290" xr:uid="{00000000-0005-0000-0000-0000973C0000}"/>
    <cellStyle name="Normal 9 2 2 3 2 3 2 3" xfId="12072" xr:uid="{00000000-0005-0000-0000-0000983C0000}"/>
    <cellStyle name="Normal 9 2 2 3 2 3 3" xfId="5709" xr:uid="{00000000-0005-0000-0000-0000993C0000}"/>
    <cellStyle name="Normal 9 2 2 3 2 3 3 2" xfId="14145" xr:uid="{00000000-0005-0000-0000-00009A3C0000}"/>
    <cellStyle name="Normal 9 2 2 3 2 3 4" xfId="9927" xr:uid="{00000000-0005-0000-0000-00009B3C0000}"/>
    <cellStyle name="Normal 9 2 2 3 2 4" xfId="1814" xr:uid="{00000000-0005-0000-0000-00009C3C0000}"/>
    <cellStyle name="Normal 9 2 2 3 2 4 2" xfId="4044" xr:uid="{00000000-0005-0000-0000-00009D3C0000}"/>
    <cellStyle name="Normal 9 2 2 3 2 4 2 2" xfId="8267" xr:uid="{00000000-0005-0000-0000-00009E3C0000}"/>
    <cellStyle name="Normal 9 2 2 3 2 4 2 2 2" xfId="16703" xr:uid="{00000000-0005-0000-0000-00009F3C0000}"/>
    <cellStyle name="Normal 9 2 2 3 2 4 2 3" xfId="12485" xr:uid="{00000000-0005-0000-0000-0000A03C0000}"/>
    <cellStyle name="Normal 9 2 2 3 2 4 3" xfId="6122" xr:uid="{00000000-0005-0000-0000-0000A13C0000}"/>
    <cellStyle name="Normal 9 2 2 3 2 4 3 2" xfId="14558" xr:uid="{00000000-0005-0000-0000-0000A23C0000}"/>
    <cellStyle name="Normal 9 2 2 3 2 4 4" xfId="10340" xr:uid="{00000000-0005-0000-0000-0000A33C0000}"/>
    <cellStyle name="Normal 9 2 2 3 2 5" xfId="2228" xr:uid="{00000000-0005-0000-0000-0000A43C0000}"/>
    <cellStyle name="Normal 9 2 2 3 2 5 2" xfId="4457" xr:uid="{00000000-0005-0000-0000-0000A53C0000}"/>
    <cellStyle name="Normal 9 2 2 3 2 5 2 2" xfId="8680" xr:uid="{00000000-0005-0000-0000-0000A63C0000}"/>
    <cellStyle name="Normal 9 2 2 3 2 5 2 2 2" xfId="17116" xr:uid="{00000000-0005-0000-0000-0000A73C0000}"/>
    <cellStyle name="Normal 9 2 2 3 2 5 2 3" xfId="12898" xr:uid="{00000000-0005-0000-0000-0000A83C0000}"/>
    <cellStyle name="Normal 9 2 2 3 2 5 3" xfId="6535" xr:uid="{00000000-0005-0000-0000-0000A93C0000}"/>
    <cellStyle name="Normal 9 2 2 3 2 5 3 2" xfId="14971" xr:uid="{00000000-0005-0000-0000-0000AA3C0000}"/>
    <cellStyle name="Normal 9 2 2 3 2 5 4" xfId="10753" xr:uid="{00000000-0005-0000-0000-0000AB3C0000}"/>
    <cellStyle name="Normal 9 2 2 3 2 6" xfId="2664" xr:uid="{00000000-0005-0000-0000-0000AC3C0000}"/>
    <cellStyle name="Normal 9 2 2 3 2 6 2" xfId="6948" xr:uid="{00000000-0005-0000-0000-0000AD3C0000}"/>
    <cellStyle name="Normal 9 2 2 3 2 6 2 2" xfId="15384" xr:uid="{00000000-0005-0000-0000-0000AE3C0000}"/>
    <cellStyle name="Normal 9 2 2 3 2 6 3" xfId="11166" xr:uid="{00000000-0005-0000-0000-0000AF3C0000}"/>
    <cellStyle name="Normal 9 2 2 3 2 7" xfId="4883" xr:uid="{00000000-0005-0000-0000-0000B03C0000}"/>
    <cellStyle name="Normal 9 2 2 3 2 7 2" xfId="13319" xr:uid="{00000000-0005-0000-0000-0000B13C0000}"/>
    <cellStyle name="Normal 9 2 2 3 2 8" xfId="9101" xr:uid="{00000000-0005-0000-0000-0000B23C0000}"/>
    <cellStyle name="Normal 9 2 2 3 3" xfId="984" xr:uid="{00000000-0005-0000-0000-0000B33C0000}"/>
    <cellStyle name="Normal 9 2 2 3 3 2" xfId="3217" xr:uid="{00000000-0005-0000-0000-0000B43C0000}"/>
    <cellStyle name="Normal 9 2 2 3 3 2 2" xfId="7440" xr:uid="{00000000-0005-0000-0000-0000B53C0000}"/>
    <cellStyle name="Normal 9 2 2 3 3 2 2 2" xfId="15876" xr:uid="{00000000-0005-0000-0000-0000B63C0000}"/>
    <cellStyle name="Normal 9 2 2 3 3 2 3" xfId="11658" xr:uid="{00000000-0005-0000-0000-0000B73C0000}"/>
    <cellStyle name="Normal 9 2 2 3 3 3" xfId="5295" xr:uid="{00000000-0005-0000-0000-0000B83C0000}"/>
    <cellStyle name="Normal 9 2 2 3 3 3 2" xfId="13731" xr:uid="{00000000-0005-0000-0000-0000B93C0000}"/>
    <cellStyle name="Normal 9 2 2 3 3 4" xfId="9513" xr:uid="{00000000-0005-0000-0000-0000BA3C0000}"/>
    <cellStyle name="Normal 9 2 2 3 4" xfId="1400" xr:uid="{00000000-0005-0000-0000-0000BB3C0000}"/>
    <cellStyle name="Normal 9 2 2 3 4 2" xfId="3630" xr:uid="{00000000-0005-0000-0000-0000BC3C0000}"/>
    <cellStyle name="Normal 9 2 2 3 4 2 2" xfId="7853" xr:uid="{00000000-0005-0000-0000-0000BD3C0000}"/>
    <cellStyle name="Normal 9 2 2 3 4 2 2 2" xfId="16289" xr:uid="{00000000-0005-0000-0000-0000BE3C0000}"/>
    <cellStyle name="Normal 9 2 2 3 4 2 3" xfId="12071" xr:uid="{00000000-0005-0000-0000-0000BF3C0000}"/>
    <cellStyle name="Normal 9 2 2 3 4 3" xfId="5708" xr:uid="{00000000-0005-0000-0000-0000C03C0000}"/>
    <cellStyle name="Normal 9 2 2 3 4 3 2" xfId="14144" xr:uid="{00000000-0005-0000-0000-0000C13C0000}"/>
    <cellStyle name="Normal 9 2 2 3 4 4" xfId="9926" xr:uid="{00000000-0005-0000-0000-0000C23C0000}"/>
    <cellStyle name="Normal 9 2 2 3 5" xfId="1813" xr:uid="{00000000-0005-0000-0000-0000C33C0000}"/>
    <cellStyle name="Normal 9 2 2 3 5 2" xfId="4043" xr:uid="{00000000-0005-0000-0000-0000C43C0000}"/>
    <cellStyle name="Normal 9 2 2 3 5 2 2" xfId="8266" xr:uid="{00000000-0005-0000-0000-0000C53C0000}"/>
    <cellStyle name="Normal 9 2 2 3 5 2 2 2" xfId="16702" xr:uid="{00000000-0005-0000-0000-0000C63C0000}"/>
    <cellStyle name="Normal 9 2 2 3 5 2 3" xfId="12484" xr:uid="{00000000-0005-0000-0000-0000C73C0000}"/>
    <cellStyle name="Normal 9 2 2 3 5 3" xfId="6121" xr:uid="{00000000-0005-0000-0000-0000C83C0000}"/>
    <cellStyle name="Normal 9 2 2 3 5 3 2" xfId="14557" xr:uid="{00000000-0005-0000-0000-0000C93C0000}"/>
    <cellStyle name="Normal 9 2 2 3 5 4" xfId="10339" xr:uid="{00000000-0005-0000-0000-0000CA3C0000}"/>
    <cellStyle name="Normal 9 2 2 3 6" xfId="2227" xr:uid="{00000000-0005-0000-0000-0000CB3C0000}"/>
    <cellStyle name="Normal 9 2 2 3 6 2" xfId="4456" xr:uid="{00000000-0005-0000-0000-0000CC3C0000}"/>
    <cellStyle name="Normal 9 2 2 3 6 2 2" xfId="8679" xr:uid="{00000000-0005-0000-0000-0000CD3C0000}"/>
    <cellStyle name="Normal 9 2 2 3 6 2 2 2" xfId="17115" xr:uid="{00000000-0005-0000-0000-0000CE3C0000}"/>
    <cellStyle name="Normal 9 2 2 3 6 2 3" xfId="12897" xr:uid="{00000000-0005-0000-0000-0000CF3C0000}"/>
    <cellStyle name="Normal 9 2 2 3 6 3" xfId="6534" xr:uid="{00000000-0005-0000-0000-0000D03C0000}"/>
    <cellStyle name="Normal 9 2 2 3 6 3 2" xfId="14970" xr:uid="{00000000-0005-0000-0000-0000D13C0000}"/>
    <cellStyle name="Normal 9 2 2 3 6 4" xfId="10752" xr:uid="{00000000-0005-0000-0000-0000D23C0000}"/>
    <cellStyle name="Normal 9 2 2 3 7" xfId="2663" xr:uid="{00000000-0005-0000-0000-0000D33C0000}"/>
    <cellStyle name="Normal 9 2 2 3 7 2" xfId="6947" xr:uid="{00000000-0005-0000-0000-0000D43C0000}"/>
    <cellStyle name="Normal 9 2 2 3 7 2 2" xfId="15383" xr:uid="{00000000-0005-0000-0000-0000D53C0000}"/>
    <cellStyle name="Normal 9 2 2 3 7 3" xfId="11165" xr:uid="{00000000-0005-0000-0000-0000D63C0000}"/>
    <cellStyle name="Normal 9 2 2 3 8" xfId="4882" xr:uid="{00000000-0005-0000-0000-0000D73C0000}"/>
    <cellStyle name="Normal 9 2 2 3 8 2" xfId="13318" xr:uid="{00000000-0005-0000-0000-0000D83C0000}"/>
    <cellStyle name="Normal 9 2 2 3 9" xfId="9100" xr:uid="{00000000-0005-0000-0000-0000D93C0000}"/>
    <cellStyle name="Normal 9 2 2 4" xfId="519" xr:uid="{00000000-0005-0000-0000-0000DA3C0000}"/>
    <cellStyle name="Normal 9 2 2 4 2" xfId="986" xr:uid="{00000000-0005-0000-0000-0000DB3C0000}"/>
    <cellStyle name="Normal 9 2 2 4 2 2" xfId="3219" xr:uid="{00000000-0005-0000-0000-0000DC3C0000}"/>
    <cellStyle name="Normal 9 2 2 4 2 2 2" xfId="7442" xr:uid="{00000000-0005-0000-0000-0000DD3C0000}"/>
    <cellStyle name="Normal 9 2 2 4 2 2 2 2" xfId="15878" xr:uid="{00000000-0005-0000-0000-0000DE3C0000}"/>
    <cellStyle name="Normal 9 2 2 4 2 2 3" xfId="11660" xr:uid="{00000000-0005-0000-0000-0000DF3C0000}"/>
    <cellStyle name="Normal 9 2 2 4 2 3" xfId="5297" xr:uid="{00000000-0005-0000-0000-0000E03C0000}"/>
    <cellStyle name="Normal 9 2 2 4 2 3 2" xfId="13733" xr:uid="{00000000-0005-0000-0000-0000E13C0000}"/>
    <cellStyle name="Normal 9 2 2 4 2 4" xfId="9515" xr:uid="{00000000-0005-0000-0000-0000E23C0000}"/>
    <cellStyle name="Normal 9 2 2 4 3" xfId="1402" xr:uid="{00000000-0005-0000-0000-0000E33C0000}"/>
    <cellStyle name="Normal 9 2 2 4 3 2" xfId="3632" xr:uid="{00000000-0005-0000-0000-0000E43C0000}"/>
    <cellStyle name="Normal 9 2 2 4 3 2 2" xfId="7855" xr:uid="{00000000-0005-0000-0000-0000E53C0000}"/>
    <cellStyle name="Normal 9 2 2 4 3 2 2 2" xfId="16291" xr:uid="{00000000-0005-0000-0000-0000E63C0000}"/>
    <cellStyle name="Normal 9 2 2 4 3 2 3" xfId="12073" xr:uid="{00000000-0005-0000-0000-0000E73C0000}"/>
    <cellStyle name="Normal 9 2 2 4 3 3" xfId="5710" xr:uid="{00000000-0005-0000-0000-0000E83C0000}"/>
    <cellStyle name="Normal 9 2 2 4 3 3 2" xfId="14146" xr:uid="{00000000-0005-0000-0000-0000E93C0000}"/>
    <cellStyle name="Normal 9 2 2 4 3 4" xfId="9928" xr:uid="{00000000-0005-0000-0000-0000EA3C0000}"/>
    <cellStyle name="Normal 9 2 2 4 4" xfId="1815" xr:uid="{00000000-0005-0000-0000-0000EB3C0000}"/>
    <cellStyle name="Normal 9 2 2 4 4 2" xfId="4045" xr:uid="{00000000-0005-0000-0000-0000EC3C0000}"/>
    <cellStyle name="Normal 9 2 2 4 4 2 2" xfId="8268" xr:uid="{00000000-0005-0000-0000-0000ED3C0000}"/>
    <cellStyle name="Normal 9 2 2 4 4 2 2 2" xfId="16704" xr:uid="{00000000-0005-0000-0000-0000EE3C0000}"/>
    <cellStyle name="Normal 9 2 2 4 4 2 3" xfId="12486" xr:uid="{00000000-0005-0000-0000-0000EF3C0000}"/>
    <cellStyle name="Normal 9 2 2 4 4 3" xfId="6123" xr:uid="{00000000-0005-0000-0000-0000F03C0000}"/>
    <cellStyle name="Normal 9 2 2 4 4 3 2" xfId="14559" xr:uid="{00000000-0005-0000-0000-0000F13C0000}"/>
    <cellStyle name="Normal 9 2 2 4 4 4" xfId="10341" xr:uid="{00000000-0005-0000-0000-0000F23C0000}"/>
    <cellStyle name="Normal 9 2 2 4 5" xfId="2229" xr:uid="{00000000-0005-0000-0000-0000F33C0000}"/>
    <cellStyle name="Normal 9 2 2 4 5 2" xfId="4458" xr:uid="{00000000-0005-0000-0000-0000F43C0000}"/>
    <cellStyle name="Normal 9 2 2 4 5 2 2" xfId="8681" xr:uid="{00000000-0005-0000-0000-0000F53C0000}"/>
    <cellStyle name="Normal 9 2 2 4 5 2 2 2" xfId="17117" xr:uid="{00000000-0005-0000-0000-0000F63C0000}"/>
    <cellStyle name="Normal 9 2 2 4 5 2 3" xfId="12899" xr:uid="{00000000-0005-0000-0000-0000F73C0000}"/>
    <cellStyle name="Normal 9 2 2 4 5 3" xfId="6536" xr:uid="{00000000-0005-0000-0000-0000F83C0000}"/>
    <cellStyle name="Normal 9 2 2 4 5 3 2" xfId="14972" xr:uid="{00000000-0005-0000-0000-0000F93C0000}"/>
    <cellStyle name="Normal 9 2 2 4 5 4" xfId="10754" xr:uid="{00000000-0005-0000-0000-0000FA3C0000}"/>
    <cellStyle name="Normal 9 2 2 4 6" xfId="2665" xr:uid="{00000000-0005-0000-0000-0000FB3C0000}"/>
    <cellStyle name="Normal 9 2 2 4 6 2" xfId="6949" xr:uid="{00000000-0005-0000-0000-0000FC3C0000}"/>
    <cellStyle name="Normal 9 2 2 4 6 2 2" xfId="15385" xr:uid="{00000000-0005-0000-0000-0000FD3C0000}"/>
    <cellStyle name="Normal 9 2 2 4 6 3" xfId="11167" xr:uid="{00000000-0005-0000-0000-0000FE3C0000}"/>
    <cellStyle name="Normal 9 2 2 4 7" xfId="4884" xr:uid="{00000000-0005-0000-0000-0000FF3C0000}"/>
    <cellStyle name="Normal 9 2 2 4 7 2" xfId="13320" xr:uid="{00000000-0005-0000-0000-0000003D0000}"/>
    <cellStyle name="Normal 9 2 2 4 8" xfId="9102" xr:uid="{00000000-0005-0000-0000-0000013D0000}"/>
    <cellStyle name="Normal 9 2 2 5" xfId="979" xr:uid="{00000000-0005-0000-0000-0000023D0000}"/>
    <cellStyle name="Normal 9 2 2 5 2" xfId="3212" xr:uid="{00000000-0005-0000-0000-0000033D0000}"/>
    <cellStyle name="Normal 9 2 2 5 2 2" xfId="7435" xr:uid="{00000000-0005-0000-0000-0000043D0000}"/>
    <cellStyle name="Normal 9 2 2 5 2 2 2" xfId="15871" xr:uid="{00000000-0005-0000-0000-0000053D0000}"/>
    <cellStyle name="Normal 9 2 2 5 2 3" xfId="11653" xr:uid="{00000000-0005-0000-0000-0000063D0000}"/>
    <cellStyle name="Normal 9 2 2 5 3" xfId="5290" xr:uid="{00000000-0005-0000-0000-0000073D0000}"/>
    <cellStyle name="Normal 9 2 2 5 3 2" xfId="13726" xr:uid="{00000000-0005-0000-0000-0000083D0000}"/>
    <cellStyle name="Normal 9 2 2 5 4" xfId="9508" xr:uid="{00000000-0005-0000-0000-0000093D0000}"/>
    <cellStyle name="Normal 9 2 2 6" xfId="1395" xr:uid="{00000000-0005-0000-0000-00000A3D0000}"/>
    <cellStyle name="Normal 9 2 2 6 2" xfId="3625" xr:uid="{00000000-0005-0000-0000-00000B3D0000}"/>
    <cellStyle name="Normal 9 2 2 6 2 2" xfId="7848" xr:uid="{00000000-0005-0000-0000-00000C3D0000}"/>
    <cellStyle name="Normal 9 2 2 6 2 2 2" xfId="16284" xr:uid="{00000000-0005-0000-0000-00000D3D0000}"/>
    <cellStyle name="Normal 9 2 2 6 2 3" xfId="12066" xr:uid="{00000000-0005-0000-0000-00000E3D0000}"/>
    <cellStyle name="Normal 9 2 2 6 3" xfId="5703" xr:uid="{00000000-0005-0000-0000-00000F3D0000}"/>
    <cellStyle name="Normal 9 2 2 6 3 2" xfId="14139" xr:uid="{00000000-0005-0000-0000-0000103D0000}"/>
    <cellStyle name="Normal 9 2 2 6 4" xfId="9921" xr:uid="{00000000-0005-0000-0000-0000113D0000}"/>
    <cellStyle name="Normal 9 2 2 7" xfId="1808" xr:uid="{00000000-0005-0000-0000-0000123D0000}"/>
    <cellStyle name="Normal 9 2 2 7 2" xfId="4038" xr:uid="{00000000-0005-0000-0000-0000133D0000}"/>
    <cellStyle name="Normal 9 2 2 7 2 2" xfId="8261" xr:uid="{00000000-0005-0000-0000-0000143D0000}"/>
    <cellStyle name="Normal 9 2 2 7 2 2 2" xfId="16697" xr:uid="{00000000-0005-0000-0000-0000153D0000}"/>
    <cellStyle name="Normal 9 2 2 7 2 3" xfId="12479" xr:uid="{00000000-0005-0000-0000-0000163D0000}"/>
    <cellStyle name="Normal 9 2 2 7 3" xfId="6116" xr:uid="{00000000-0005-0000-0000-0000173D0000}"/>
    <cellStyle name="Normal 9 2 2 7 3 2" xfId="14552" xr:uid="{00000000-0005-0000-0000-0000183D0000}"/>
    <cellStyle name="Normal 9 2 2 7 4" xfId="10334" xr:uid="{00000000-0005-0000-0000-0000193D0000}"/>
    <cellStyle name="Normal 9 2 2 8" xfId="2222" xr:uid="{00000000-0005-0000-0000-00001A3D0000}"/>
    <cellStyle name="Normal 9 2 2 8 2" xfId="4451" xr:uid="{00000000-0005-0000-0000-00001B3D0000}"/>
    <cellStyle name="Normal 9 2 2 8 2 2" xfId="8674" xr:uid="{00000000-0005-0000-0000-00001C3D0000}"/>
    <cellStyle name="Normal 9 2 2 8 2 2 2" xfId="17110" xr:uid="{00000000-0005-0000-0000-00001D3D0000}"/>
    <cellStyle name="Normal 9 2 2 8 2 3" xfId="12892" xr:uid="{00000000-0005-0000-0000-00001E3D0000}"/>
    <cellStyle name="Normal 9 2 2 8 3" xfId="6529" xr:uid="{00000000-0005-0000-0000-00001F3D0000}"/>
    <cellStyle name="Normal 9 2 2 8 3 2" xfId="14965" xr:uid="{00000000-0005-0000-0000-0000203D0000}"/>
    <cellStyle name="Normal 9 2 2 8 4" xfId="10747" xr:uid="{00000000-0005-0000-0000-0000213D0000}"/>
    <cellStyle name="Normal 9 2 2 9" xfId="2658" xr:uid="{00000000-0005-0000-0000-0000223D0000}"/>
    <cellStyle name="Normal 9 2 2 9 2" xfId="6942" xr:uid="{00000000-0005-0000-0000-0000233D0000}"/>
    <cellStyle name="Normal 9 2 2 9 2 2" xfId="15378" xr:uid="{00000000-0005-0000-0000-0000243D0000}"/>
    <cellStyle name="Normal 9 2 2 9 3" xfId="11160" xr:uid="{00000000-0005-0000-0000-0000253D0000}"/>
    <cellStyle name="Normal 9 2 3" xfId="520" xr:uid="{00000000-0005-0000-0000-0000263D0000}"/>
    <cellStyle name="Normal 9 2 3 10" xfId="9103" xr:uid="{00000000-0005-0000-0000-0000273D0000}"/>
    <cellStyle name="Normal 9 2 3 2" xfId="521" xr:uid="{00000000-0005-0000-0000-0000283D0000}"/>
    <cellStyle name="Normal 9 2 3 2 2" xfId="522" xr:uid="{00000000-0005-0000-0000-0000293D0000}"/>
    <cellStyle name="Normal 9 2 3 2 2 2" xfId="989" xr:uid="{00000000-0005-0000-0000-00002A3D0000}"/>
    <cellStyle name="Normal 9 2 3 2 2 2 2" xfId="3222" xr:uid="{00000000-0005-0000-0000-00002B3D0000}"/>
    <cellStyle name="Normal 9 2 3 2 2 2 2 2" xfId="7445" xr:uid="{00000000-0005-0000-0000-00002C3D0000}"/>
    <cellStyle name="Normal 9 2 3 2 2 2 2 2 2" xfId="15881" xr:uid="{00000000-0005-0000-0000-00002D3D0000}"/>
    <cellStyle name="Normal 9 2 3 2 2 2 2 3" xfId="11663" xr:uid="{00000000-0005-0000-0000-00002E3D0000}"/>
    <cellStyle name="Normal 9 2 3 2 2 2 3" xfId="5300" xr:uid="{00000000-0005-0000-0000-00002F3D0000}"/>
    <cellStyle name="Normal 9 2 3 2 2 2 3 2" xfId="13736" xr:uid="{00000000-0005-0000-0000-0000303D0000}"/>
    <cellStyle name="Normal 9 2 3 2 2 2 4" xfId="9518" xr:uid="{00000000-0005-0000-0000-0000313D0000}"/>
    <cellStyle name="Normal 9 2 3 2 2 3" xfId="1405" xr:uid="{00000000-0005-0000-0000-0000323D0000}"/>
    <cellStyle name="Normal 9 2 3 2 2 3 2" xfId="3635" xr:uid="{00000000-0005-0000-0000-0000333D0000}"/>
    <cellStyle name="Normal 9 2 3 2 2 3 2 2" xfId="7858" xr:uid="{00000000-0005-0000-0000-0000343D0000}"/>
    <cellStyle name="Normal 9 2 3 2 2 3 2 2 2" xfId="16294" xr:uid="{00000000-0005-0000-0000-0000353D0000}"/>
    <cellStyle name="Normal 9 2 3 2 2 3 2 3" xfId="12076" xr:uid="{00000000-0005-0000-0000-0000363D0000}"/>
    <cellStyle name="Normal 9 2 3 2 2 3 3" xfId="5713" xr:uid="{00000000-0005-0000-0000-0000373D0000}"/>
    <cellStyle name="Normal 9 2 3 2 2 3 3 2" xfId="14149" xr:uid="{00000000-0005-0000-0000-0000383D0000}"/>
    <cellStyle name="Normal 9 2 3 2 2 3 4" xfId="9931" xr:uid="{00000000-0005-0000-0000-0000393D0000}"/>
    <cellStyle name="Normal 9 2 3 2 2 4" xfId="1818" xr:uid="{00000000-0005-0000-0000-00003A3D0000}"/>
    <cellStyle name="Normal 9 2 3 2 2 4 2" xfId="4048" xr:uid="{00000000-0005-0000-0000-00003B3D0000}"/>
    <cellStyle name="Normal 9 2 3 2 2 4 2 2" xfId="8271" xr:uid="{00000000-0005-0000-0000-00003C3D0000}"/>
    <cellStyle name="Normal 9 2 3 2 2 4 2 2 2" xfId="16707" xr:uid="{00000000-0005-0000-0000-00003D3D0000}"/>
    <cellStyle name="Normal 9 2 3 2 2 4 2 3" xfId="12489" xr:uid="{00000000-0005-0000-0000-00003E3D0000}"/>
    <cellStyle name="Normal 9 2 3 2 2 4 3" xfId="6126" xr:uid="{00000000-0005-0000-0000-00003F3D0000}"/>
    <cellStyle name="Normal 9 2 3 2 2 4 3 2" xfId="14562" xr:uid="{00000000-0005-0000-0000-0000403D0000}"/>
    <cellStyle name="Normal 9 2 3 2 2 4 4" xfId="10344" xr:uid="{00000000-0005-0000-0000-0000413D0000}"/>
    <cellStyle name="Normal 9 2 3 2 2 5" xfId="2232" xr:uid="{00000000-0005-0000-0000-0000423D0000}"/>
    <cellStyle name="Normal 9 2 3 2 2 5 2" xfId="4461" xr:uid="{00000000-0005-0000-0000-0000433D0000}"/>
    <cellStyle name="Normal 9 2 3 2 2 5 2 2" xfId="8684" xr:uid="{00000000-0005-0000-0000-0000443D0000}"/>
    <cellStyle name="Normal 9 2 3 2 2 5 2 2 2" xfId="17120" xr:uid="{00000000-0005-0000-0000-0000453D0000}"/>
    <cellStyle name="Normal 9 2 3 2 2 5 2 3" xfId="12902" xr:uid="{00000000-0005-0000-0000-0000463D0000}"/>
    <cellStyle name="Normal 9 2 3 2 2 5 3" xfId="6539" xr:uid="{00000000-0005-0000-0000-0000473D0000}"/>
    <cellStyle name="Normal 9 2 3 2 2 5 3 2" xfId="14975" xr:uid="{00000000-0005-0000-0000-0000483D0000}"/>
    <cellStyle name="Normal 9 2 3 2 2 5 4" xfId="10757" xr:uid="{00000000-0005-0000-0000-0000493D0000}"/>
    <cellStyle name="Normal 9 2 3 2 2 6" xfId="2668" xr:uid="{00000000-0005-0000-0000-00004A3D0000}"/>
    <cellStyle name="Normal 9 2 3 2 2 6 2" xfId="6952" xr:uid="{00000000-0005-0000-0000-00004B3D0000}"/>
    <cellStyle name="Normal 9 2 3 2 2 6 2 2" xfId="15388" xr:uid="{00000000-0005-0000-0000-00004C3D0000}"/>
    <cellStyle name="Normal 9 2 3 2 2 6 3" xfId="11170" xr:uid="{00000000-0005-0000-0000-00004D3D0000}"/>
    <cellStyle name="Normal 9 2 3 2 2 7" xfId="4887" xr:uid="{00000000-0005-0000-0000-00004E3D0000}"/>
    <cellStyle name="Normal 9 2 3 2 2 7 2" xfId="13323" xr:uid="{00000000-0005-0000-0000-00004F3D0000}"/>
    <cellStyle name="Normal 9 2 3 2 2 8" xfId="9105" xr:uid="{00000000-0005-0000-0000-0000503D0000}"/>
    <cellStyle name="Normal 9 2 3 2 3" xfId="988" xr:uid="{00000000-0005-0000-0000-0000513D0000}"/>
    <cellStyle name="Normal 9 2 3 2 3 2" xfId="3221" xr:uid="{00000000-0005-0000-0000-0000523D0000}"/>
    <cellStyle name="Normal 9 2 3 2 3 2 2" xfId="7444" xr:uid="{00000000-0005-0000-0000-0000533D0000}"/>
    <cellStyle name="Normal 9 2 3 2 3 2 2 2" xfId="15880" xr:uid="{00000000-0005-0000-0000-0000543D0000}"/>
    <cellStyle name="Normal 9 2 3 2 3 2 3" xfId="11662" xr:uid="{00000000-0005-0000-0000-0000553D0000}"/>
    <cellStyle name="Normal 9 2 3 2 3 3" xfId="5299" xr:uid="{00000000-0005-0000-0000-0000563D0000}"/>
    <cellStyle name="Normal 9 2 3 2 3 3 2" xfId="13735" xr:uid="{00000000-0005-0000-0000-0000573D0000}"/>
    <cellStyle name="Normal 9 2 3 2 3 4" xfId="9517" xr:uid="{00000000-0005-0000-0000-0000583D0000}"/>
    <cellStyle name="Normal 9 2 3 2 4" xfId="1404" xr:uid="{00000000-0005-0000-0000-0000593D0000}"/>
    <cellStyle name="Normal 9 2 3 2 4 2" xfId="3634" xr:uid="{00000000-0005-0000-0000-00005A3D0000}"/>
    <cellStyle name="Normal 9 2 3 2 4 2 2" xfId="7857" xr:uid="{00000000-0005-0000-0000-00005B3D0000}"/>
    <cellStyle name="Normal 9 2 3 2 4 2 2 2" xfId="16293" xr:uid="{00000000-0005-0000-0000-00005C3D0000}"/>
    <cellStyle name="Normal 9 2 3 2 4 2 3" xfId="12075" xr:uid="{00000000-0005-0000-0000-00005D3D0000}"/>
    <cellStyle name="Normal 9 2 3 2 4 3" xfId="5712" xr:uid="{00000000-0005-0000-0000-00005E3D0000}"/>
    <cellStyle name="Normal 9 2 3 2 4 3 2" xfId="14148" xr:uid="{00000000-0005-0000-0000-00005F3D0000}"/>
    <cellStyle name="Normal 9 2 3 2 4 4" xfId="9930" xr:uid="{00000000-0005-0000-0000-0000603D0000}"/>
    <cellStyle name="Normal 9 2 3 2 5" xfId="1817" xr:uid="{00000000-0005-0000-0000-0000613D0000}"/>
    <cellStyle name="Normal 9 2 3 2 5 2" xfId="4047" xr:uid="{00000000-0005-0000-0000-0000623D0000}"/>
    <cellStyle name="Normal 9 2 3 2 5 2 2" xfId="8270" xr:uid="{00000000-0005-0000-0000-0000633D0000}"/>
    <cellStyle name="Normal 9 2 3 2 5 2 2 2" xfId="16706" xr:uid="{00000000-0005-0000-0000-0000643D0000}"/>
    <cellStyle name="Normal 9 2 3 2 5 2 3" xfId="12488" xr:uid="{00000000-0005-0000-0000-0000653D0000}"/>
    <cellStyle name="Normal 9 2 3 2 5 3" xfId="6125" xr:uid="{00000000-0005-0000-0000-0000663D0000}"/>
    <cellStyle name="Normal 9 2 3 2 5 3 2" xfId="14561" xr:uid="{00000000-0005-0000-0000-0000673D0000}"/>
    <cellStyle name="Normal 9 2 3 2 5 4" xfId="10343" xr:uid="{00000000-0005-0000-0000-0000683D0000}"/>
    <cellStyle name="Normal 9 2 3 2 6" xfId="2231" xr:uid="{00000000-0005-0000-0000-0000693D0000}"/>
    <cellStyle name="Normal 9 2 3 2 6 2" xfId="4460" xr:uid="{00000000-0005-0000-0000-00006A3D0000}"/>
    <cellStyle name="Normal 9 2 3 2 6 2 2" xfId="8683" xr:uid="{00000000-0005-0000-0000-00006B3D0000}"/>
    <cellStyle name="Normal 9 2 3 2 6 2 2 2" xfId="17119" xr:uid="{00000000-0005-0000-0000-00006C3D0000}"/>
    <cellStyle name="Normal 9 2 3 2 6 2 3" xfId="12901" xr:uid="{00000000-0005-0000-0000-00006D3D0000}"/>
    <cellStyle name="Normal 9 2 3 2 6 3" xfId="6538" xr:uid="{00000000-0005-0000-0000-00006E3D0000}"/>
    <cellStyle name="Normal 9 2 3 2 6 3 2" xfId="14974" xr:uid="{00000000-0005-0000-0000-00006F3D0000}"/>
    <cellStyle name="Normal 9 2 3 2 6 4" xfId="10756" xr:uid="{00000000-0005-0000-0000-0000703D0000}"/>
    <cellStyle name="Normal 9 2 3 2 7" xfId="2667" xr:uid="{00000000-0005-0000-0000-0000713D0000}"/>
    <cellStyle name="Normal 9 2 3 2 7 2" xfId="6951" xr:uid="{00000000-0005-0000-0000-0000723D0000}"/>
    <cellStyle name="Normal 9 2 3 2 7 2 2" xfId="15387" xr:uid="{00000000-0005-0000-0000-0000733D0000}"/>
    <cellStyle name="Normal 9 2 3 2 7 3" xfId="11169" xr:uid="{00000000-0005-0000-0000-0000743D0000}"/>
    <cellStyle name="Normal 9 2 3 2 8" xfId="4886" xr:uid="{00000000-0005-0000-0000-0000753D0000}"/>
    <cellStyle name="Normal 9 2 3 2 8 2" xfId="13322" xr:uid="{00000000-0005-0000-0000-0000763D0000}"/>
    <cellStyle name="Normal 9 2 3 2 9" xfId="9104" xr:uid="{00000000-0005-0000-0000-0000773D0000}"/>
    <cellStyle name="Normal 9 2 3 3" xfId="523" xr:uid="{00000000-0005-0000-0000-0000783D0000}"/>
    <cellStyle name="Normal 9 2 3 3 2" xfId="990" xr:uid="{00000000-0005-0000-0000-0000793D0000}"/>
    <cellStyle name="Normal 9 2 3 3 2 2" xfId="3223" xr:uid="{00000000-0005-0000-0000-00007A3D0000}"/>
    <cellStyle name="Normal 9 2 3 3 2 2 2" xfId="7446" xr:uid="{00000000-0005-0000-0000-00007B3D0000}"/>
    <cellStyle name="Normal 9 2 3 3 2 2 2 2" xfId="15882" xr:uid="{00000000-0005-0000-0000-00007C3D0000}"/>
    <cellStyle name="Normal 9 2 3 3 2 2 3" xfId="11664" xr:uid="{00000000-0005-0000-0000-00007D3D0000}"/>
    <cellStyle name="Normal 9 2 3 3 2 3" xfId="5301" xr:uid="{00000000-0005-0000-0000-00007E3D0000}"/>
    <cellStyle name="Normal 9 2 3 3 2 3 2" xfId="13737" xr:uid="{00000000-0005-0000-0000-00007F3D0000}"/>
    <cellStyle name="Normal 9 2 3 3 2 4" xfId="9519" xr:uid="{00000000-0005-0000-0000-0000803D0000}"/>
    <cellStyle name="Normal 9 2 3 3 3" xfId="1406" xr:uid="{00000000-0005-0000-0000-0000813D0000}"/>
    <cellStyle name="Normal 9 2 3 3 3 2" xfId="3636" xr:uid="{00000000-0005-0000-0000-0000823D0000}"/>
    <cellStyle name="Normal 9 2 3 3 3 2 2" xfId="7859" xr:uid="{00000000-0005-0000-0000-0000833D0000}"/>
    <cellStyle name="Normal 9 2 3 3 3 2 2 2" xfId="16295" xr:uid="{00000000-0005-0000-0000-0000843D0000}"/>
    <cellStyle name="Normal 9 2 3 3 3 2 3" xfId="12077" xr:uid="{00000000-0005-0000-0000-0000853D0000}"/>
    <cellStyle name="Normal 9 2 3 3 3 3" xfId="5714" xr:uid="{00000000-0005-0000-0000-0000863D0000}"/>
    <cellStyle name="Normal 9 2 3 3 3 3 2" xfId="14150" xr:uid="{00000000-0005-0000-0000-0000873D0000}"/>
    <cellStyle name="Normal 9 2 3 3 3 4" xfId="9932" xr:uid="{00000000-0005-0000-0000-0000883D0000}"/>
    <cellStyle name="Normal 9 2 3 3 4" xfId="1819" xr:uid="{00000000-0005-0000-0000-0000893D0000}"/>
    <cellStyle name="Normal 9 2 3 3 4 2" xfId="4049" xr:uid="{00000000-0005-0000-0000-00008A3D0000}"/>
    <cellStyle name="Normal 9 2 3 3 4 2 2" xfId="8272" xr:uid="{00000000-0005-0000-0000-00008B3D0000}"/>
    <cellStyle name="Normal 9 2 3 3 4 2 2 2" xfId="16708" xr:uid="{00000000-0005-0000-0000-00008C3D0000}"/>
    <cellStyle name="Normal 9 2 3 3 4 2 3" xfId="12490" xr:uid="{00000000-0005-0000-0000-00008D3D0000}"/>
    <cellStyle name="Normal 9 2 3 3 4 3" xfId="6127" xr:uid="{00000000-0005-0000-0000-00008E3D0000}"/>
    <cellStyle name="Normal 9 2 3 3 4 3 2" xfId="14563" xr:uid="{00000000-0005-0000-0000-00008F3D0000}"/>
    <cellStyle name="Normal 9 2 3 3 4 4" xfId="10345" xr:uid="{00000000-0005-0000-0000-0000903D0000}"/>
    <cellStyle name="Normal 9 2 3 3 5" xfId="2233" xr:uid="{00000000-0005-0000-0000-0000913D0000}"/>
    <cellStyle name="Normal 9 2 3 3 5 2" xfId="4462" xr:uid="{00000000-0005-0000-0000-0000923D0000}"/>
    <cellStyle name="Normal 9 2 3 3 5 2 2" xfId="8685" xr:uid="{00000000-0005-0000-0000-0000933D0000}"/>
    <cellStyle name="Normal 9 2 3 3 5 2 2 2" xfId="17121" xr:uid="{00000000-0005-0000-0000-0000943D0000}"/>
    <cellStyle name="Normal 9 2 3 3 5 2 3" xfId="12903" xr:uid="{00000000-0005-0000-0000-0000953D0000}"/>
    <cellStyle name="Normal 9 2 3 3 5 3" xfId="6540" xr:uid="{00000000-0005-0000-0000-0000963D0000}"/>
    <cellStyle name="Normal 9 2 3 3 5 3 2" xfId="14976" xr:uid="{00000000-0005-0000-0000-0000973D0000}"/>
    <cellStyle name="Normal 9 2 3 3 5 4" xfId="10758" xr:uid="{00000000-0005-0000-0000-0000983D0000}"/>
    <cellStyle name="Normal 9 2 3 3 6" xfId="2669" xr:uid="{00000000-0005-0000-0000-0000993D0000}"/>
    <cellStyle name="Normal 9 2 3 3 6 2" xfId="6953" xr:uid="{00000000-0005-0000-0000-00009A3D0000}"/>
    <cellStyle name="Normal 9 2 3 3 6 2 2" xfId="15389" xr:uid="{00000000-0005-0000-0000-00009B3D0000}"/>
    <cellStyle name="Normal 9 2 3 3 6 3" xfId="11171" xr:uid="{00000000-0005-0000-0000-00009C3D0000}"/>
    <cellStyle name="Normal 9 2 3 3 7" xfId="4888" xr:uid="{00000000-0005-0000-0000-00009D3D0000}"/>
    <cellStyle name="Normal 9 2 3 3 7 2" xfId="13324" xr:uid="{00000000-0005-0000-0000-00009E3D0000}"/>
    <cellStyle name="Normal 9 2 3 3 8" xfId="9106" xr:uid="{00000000-0005-0000-0000-00009F3D0000}"/>
    <cellStyle name="Normal 9 2 3 4" xfId="987" xr:uid="{00000000-0005-0000-0000-0000A03D0000}"/>
    <cellStyle name="Normal 9 2 3 4 2" xfId="3220" xr:uid="{00000000-0005-0000-0000-0000A13D0000}"/>
    <cellStyle name="Normal 9 2 3 4 2 2" xfId="7443" xr:uid="{00000000-0005-0000-0000-0000A23D0000}"/>
    <cellStyle name="Normal 9 2 3 4 2 2 2" xfId="15879" xr:uid="{00000000-0005-0000-0000-0000A33D0000}"/>
    <cellStyle name="Normal 9 2 3 4 2 3" xfId="11661" xr:uid="{00000000-0005-0000-0000-0000A43D0000}"/>
    <cellStyle name="Normal 9 2 3 4 3" xfId="5298" xr:uid="{00000000-0005-0000-0000-0000A53D0000}"/>
    <cellStyle name="Normal 9 2 3 4 3 2" xfId="13734" xr:uid="{00000000-0005-0000-0000-0000A63D0000}"/>
    <cellStyle name="Normal 9 2 3 4 4" xfId="9516" xr:uid="{00000000-0005-0000-0000-0000A73D0000}"/>
    <cellStyle name="Normal 9 2 3 5" xfId="1403" xr:uid="{00000000-0005-0000-0000-0000A83D0000}"/>
    <cellStyle name="Normal 9 2 3 5 2" xfId="3633" xr:uid="{00000000-0005-0000-0000-0000A93D0000}"/>
    <cellStyle name="Normal 9 2 3 5 2 2" xfId="7856" xr:uid="{00000000-0005-0000-0000-0000AA3D0000}"/>
    <cellStyle name="Normal 9 2 3 5 2 2 2" xfId="16292" xr:uid="{00000000-0005-0000-0000-0000AB3D0000}"/>
    <cellStyle name="Normal 9 2 3 5 2 3" xfId="12074" xr:uid="{00000000-0005-0000-0000-0000AC3D0000}"/>
    <cellStyle name="Normal 9 2 3 5 3" xfId="5711" xr:uid="{00000000-0005-0000-0000-0000AD3D0000}"/>
    <cellStyle name="Normal 9 2 3 5 3 2" xfId="14147" xr:uid="{00000000-0005-0000-0000-0000AE3D0000}"/>
    <cellStyle name="Normal 9 2 3 5 4" xfId="9929" xr:uid="{00000000-0005-0000-0000-0000AF3D0000}"/>
    <cellStyle name="Normal 9 2 3 6" xfId="1816" xr:uid="{00000000-0005-0000-0000-0000B03D0000}"/>
    <cellStyle name="Normal 9 2 3 6 2" xfId="4046" xr:uid="{00000000-0005-0000-0000-0000B13D0000}"/>
    <cellStyle name="Normal 9 2 3 6 2 2" xfId="8269" xr:uid="{00000000-0005-0000-0000-0000B23D0000}"/>
    <cellStyle name="Normal 9 2 3 6 2 2 2" xfId="16705" xr:uid="{00000000-0005-0000-0000-0000B33D0000}"/>
    <cellStyle name="Normal 9 2 3 6 2 3" xfId="12487" xr:uid="{00000000-0005-0000-0000-0000B43D0000}"/>
    <cellStyle name="Normal 9 2 3 6 3" xfId="6124" xr:uid="{00000000-0005-0000-0000-0000B53D0000}"/>
    <cellStyle name="Normal 9 2 3 6 3 2" xfId="14560" xr:uid="{00000000-0005-0000-0000-0000B63D0000}"/>
    <cellStyle name="Normal 9 2 3 6 4" xfId="10342" xr:uid="{00000000-0005-0000-0000-0000B73D0000}"/>
    <cellStyle name="Normal 9 2 3 7" xfId="2230" xr:uid="{00000000-0005-0000-0000-0000B83D0000}"/>
    <cellStyle name="Normal 9 2 3 7 2" xfId="4459" xr:uid="{00000000-0005-0000-0000-0000B93D0000}"/>
    <cellStyle name="Normal 9 2 3 7 2 2" xfId="8682" xr:uid="{00000000-0005-0000-0000-0000BA3D0000}"/>
    <cellStyle name="Normal 9 2 3 7 2 2 2" xfId="17118" xr:uid="{00000000-0005-0000-0000-0000BB3D0000}"/>
    <cellStyle name="Normal 9 2 3 7 2 3" xfId="12900" xr:uid="{00000000-0005-0000-0000-0000BC3D0000}"/>
    <cellStyle name="Normal 9 2 3 7 3" xfId="6537" xr:uid="{00000000-0005-0000-0000-0000BD3D0000}"/>
    <cellStyle name="Normal 9 2 3 7 3 2" xfId="14973" xr:uid="{00000000-0005-0000-0000-0000BE3D0000}"/>
    <cellStyle name="Normal 9 2 3 7 4" xfId="10755" xr:uid="{00000000-0005-0000-0000-0000BF3D0000}"/>
    <cellStyle name="Normal 9 2 3 8" xfId="2666" xr:uid="{00000000-0005-0000-0000-0000C03D0000}"/>
    <cellStyle name="Normal 9 2 3 8 2" xfId="6950" xr:uid="{00000000-0005-0000-0000-0000C13D0000}"/>
    <cellStyle name="Normal 9 2 3 8 2 2" xfId="15386" xr:uid="{00000000-0005-0000-0000-0000C23D0000}"/>
    <cellStyle name="Normal 9 2 3 8 3" xfId="11168" xr:uid="{00000000-0005-0000-0000-0000C33D0000}"/>
    <cellStyle name="Normal 9 2 3 9" xfId="4885" xr:uid="{00000000-0005-0000-0000-0000C43D0000}"/>
    <cellStyle name="Normal 9 2 3 9 2" xfId="13321" xr:uid="{00000000-0005-0000-0000-0000C53D0000}"/>
    <cellStyle name="Normal 9 2 4" xfId="524" xr:uid="{00000000-0005-0000-0000-0000C63D0000}"/>
    <cellStyle name="Normal 9 2 4 2" xfId="525" xr:uid="{00000000-0005-0000-0000-0000C73D0000}"/>
    <cellStyle name="Normal 9 2 4 2 2" xfId="992" xr:uid="{00000000-0005-0000-0000-0000C83D0000}"/>
    <cellStyle name="Normal 9 2 4 2 2 2" xfId="3225" xr:uid="{00000000-0005-0000-0000-0000C93D0000}"/>
    <cellStyle name="Normal 9 2 4 2 2 2 2" xfId="7448" xr:uid="{00000000-0005-0000-0000-0000CA3D0000}"/>
    <cellStyle name="Normal 9 2 4 2 2 2 2 2" xfId="15884" xr:uid="{00000000-0005-0000-0000-0000CB3D0000}"/>
    <cellStyle name="Normal 9 2 4 2 2 2 3" xfId="11666" xr:uid="{00000000-0005-0000-0000-0000CC3D0000}"/>
    <cellStyle name="Normal 9 2 4 2 2 3" xfId="5303" xr:uid="{00000000-0005-0000-0000-0000CD3D0000}"/>
    <cellStyle name="Normal 9 2 4 2 2 3 2" xfId="13739" xr:uid="{00000000-0005-0000-0000-0000CE3D0000}"/>
    <cellStyle name="Normal 9 2 4 2 2 4" xfId="9521" xr:uid="{00000000-0005-0000-0000-0000CF3D0000}"/>
    <cellStyle name="Normal 9 2 4 2 3" xfId="1408" xr:uid="{00000000-0005-0000-0000-0000D03D0000}"/>
    <cellStyle name="Normal 9 2 4 2 3 2" xfId="3638" xr:uid="{00000000-0005-0000-0000-0000D13D0000}"/>
    <cellStyle name="Normal 9 2 4 2 3 2 2" xfId="7861" xr:uid="{00000000-0005-0000-0000-0000D23D0000}"/>
    <cellStyle name="Normal 9 2 4 2 3 2 2 2" xfId="16297" xr:uid="{00000000-0005-0000-0000-0000D33D0000}"/>
    <cellStyle name="Normal 9 2 4 2 3 2 3" xfId="12079" xr:uid="{00000000-0005-0000-0000-0000D43D0000}"/>
    <cellStyle name="Normal 9 2 4 2 3 3" xfId="5716" xr:uid="{00000000-0005-0000-0000-0000D53D0000}"/>
    <cellStyle name="Normal 9 2 4 2 3 3 2" xfId="14152" xr:uid="{00000000-0005-0000-0000-0000D63D0000}"/>
    <cellStyle name="Normal 9 2 4 2 3 4" xfId="9934" xr:uid="{00000000-0005-0000-0000-0000D73D0000}"/>
    <cellStyle name="Normal 9 2 4 2 4" xfId="1821" xr:uid="{00000000-0005-0000-0000-0000D83D0000}"/>
    <cellStyle name="Normal 9 2 4 2 4 2" xfId="4051" xr:uid="{00000000-0005-0000-0000-0000D93D0000}"/>
    <cellStyle name="Normal 9 2 4 2 4 2 2" xfId="8274" xr:uid="{00000000-0005-0000-0000-0000DA3D0000}"/>
    <cellStyle name="Normal 9 2 4 2 4 2 2 2" xfId="16710" xr:uid="{00000000-0005-0000-0000-0000DB3D0000}"/>
    <cellStyle name="Normal 9 2 4 2 4 2 3" xfId="12492" xr:uid="{00000000-0005-0000-0000-0000DC3D0000}"/>
    <cellStyle name="Normal 9 2 4 2 4 3" xfId="6129" xr:uid="{00000000-0005-0000-0000-0000DD3D0000}"/>
    <cellStyle name="Normal 9 2 4 2 4 3 2" xfId="14565" xr:uid="{00000000-0005-0000-0000-0000DE3D0000}"/>
    <cellStyle name="Normal 9 2 4 2 4 4" xfId="10347" xr:uid="{00000000-0005-0000-0000-0000DF3D0000}"/>
    <cellStyle name="Normal 9 2 4 2 5" xfId="2235" xr:uid="{00000000-0005-0000-0000-0000E03D0000}"/>
    <cellStyle name="Normal 9 2 4 2 5 2" xfId="4464" xr:uid="{00000000-0005-0000-0000-0000E13D0000}"/>
    <cellStyle name="Normal 9 2 4 2 5 2 2" xfId="8687" xr:uid="{00000000-0005-0000-0000-0000E23D0000}"/>
    <cellStyle name="Normal 9 2 4 2 5 2 2 2" xfId="17123" xr:uid="{00000000-0005-0000-0000-0000E33D0000}"/>
    <cellStyle name="Normal 9 2 4 2 5 2 3" xfId="12905" xr:uid="{00000000-0005-0000-0000-0000E43D0000}"/>
    <cellStyle name="Normal 9 2 4 2 5 3" xfId="6542" xr:uid="{00000000-0005-0000-0000-0000E53D0000}"/>
    <cellStyle name="Normal 9 2 4 2 5 3 2" xfId="14978" xr:uid="{00000000-0005-0000-0000-0000E63D0000}"/>
    <cellStyle name="Normal 9 2 4 2 5 4" xfId="10760" xr:uid="{00000000-0005-0000-0000-0000E73D0000}"/>
    <cellStyle name="Normal 9 2 4 2 6" xfId="2671" xr:uid="{00000000-0005-0000-0000-0000E83D0000}"/>
    <cellStyle name="Normal 9 2 4 2 6 2" xfId="6955" xr:uid="{00000000-0005-0000-0000-0000E93D0000}"/>
    <cellStyle name="Normal 9 2 4 2 6 2 2" xfId="15391" xr:uid="{00000000-0005-0000-0000-0000EA3D0000}"/>
    <cellStyle name="Normal 9 2 4 2 6 3" xfId="11173" xr:uid="{00000000-0005-0000-0000-0000EB3D0000}"/>
    <cellStyle name="Normal 9 2 4 2 7" xfId="4890" xr:uid="{00000000-0005-0000-0000-0000EC3D0000}"/>
    <cellStyle name="Normal 9 2 4 2 7 2" xfId="13326" xr:uid="{00000000-0005-0000-0000-0000ED3D0000}"/>
    <cellStyle name="Normal 9 2 4 2 8" xfId="9108" xr:uid="{00000000-0005-0000-0000-0000EE3D0000}"/>
    <cellStyle name="Normal 9 2 4 3" xfId="991" xr:uid="{00000000-0005-0000-0000-0000EF3D0000}"/>
    <cellStyle name="Normal 9 2 4 3 2" xfId="3224" xr:uid="{00000000-0005-0000-0000-0000F03D0000}"/>
    <cellStyle name="Normal 9 2 4 3 2 2" xfId="7447" xr:uid="{00000000-0005-0000-0000-0000F13D0000}"/>
    <cellStyle name="Normal 9 2 4 3 2 2 2" xfId="15883" xr:uid="{00000000-0005-0000-0000-0000F23D0000}"/>
    <cellStyle name="Normal 9 2 4 3 2 3" xfId="11665" xr:uid="{00000000-0005-0000-0000-0000F33D0000}"/>
    <cellStyle name="Normal 9 2 4 3 3" xfId="5302" xr:uid="{00000000-0005-0000-0000-0000F43D0000}"/>
    <cellStyle name="Normal 9 2 4 3 3 2" xfId="13738" xr:uid="{00000000-0005-0000-0000-0000F53D0000}"/>
    <cellStyle name="Normal 9 2 4 3 4" xfId="9520" xr:uid="{00000000-0005-0000-0000-0000F63D0000}"/>
    <cellStyle name="Normal 9 2 4 4" xfId="1407" xr:uid="{00000000-0005-0000-0000-0000F73D0000}"/>
    <cellStyle name="Normal 9 2 4 4 2" xfId="3637" xr:uid="{00000000-0005-0000-0000-0000F83D0000}"/>
    <cellStyle name="Normal 9 2 4 4 2 2" xfId="7860" xr:uid="{00000000-0005-0000-0000-0000F93D0000}"/>
    <cellStyle name="Normal 9 2 4 4 2 2 2" xfId="16296" xr:uid="{00000000-0005-0000-0000-0000FA3D0000}"/>
    <cellStyle name="Normal 9 2 4 4 2 3" xfId="12078" xr:uid="{00000000-0005-0000-0000-0000FB3D0000}"/>
    <cellStyle name="Normal 9 2 4 4 3" xfId="5715" xr:uid="{00000000-0005-0000-0000-0000FC3D0000}"/>
    <cellStyle name="Normal 9 2 4 4 3 2" xfId="14151" xr:uid="{00000000-0005-0000-0000-0000FD3D0000}"/>
    <cellStyle name="Normal 9 2 4 4 4" xfId="9933" xr:uid="{00000000-0005-0000-0000-0000FE3D0000}"/>
    <cellStyle name="Normal 9 2 4 5" xfId="1820" xr:uid="{00000000-0005-0000-0000-0000FF3D0000}"/>
    <cellStyle name="Normal 9 2 4 5 2" xfId="4050" xr:uid="{00000000-0005-0000-0000-0000003E0000}"/>
    <cellStyle name="Normal 9 2 4 5 2 2" xfId="8273" xr:uid="{00000000-0005-0000-0000-0000013E0000}"/>
    <cellStyle name="Normal 9 2 4 5 2 2 2" xfId="16709" xr:uid="{00000000-0005-0000-0000-0000023E0000}"/>
    <cellStyle name="Normal 9 2 4 5 2 3" xfId="12491" xr:uid="{00000000-0005-0000-0000-0000033E0000}"/>
    <cellStyle name="Normal 9 2 4 5 3" xfId="6128" xr:uid="{00000000-0005-0000-0000-0000043E0000}"/>
    <cellStyle name="Normal 9 2 4 5 3 2" xfId="14564" xr:uid="{00000000-0005-0000-0000-0000053E0000}"/>
    <cellStyle name="Normal 9 2 4 5 4" xfId="10346" xr:uid="{00000000-0005-0000-0000-0000063E0000}"/>
    <cellStyle name="Normal 9 2 4 6" xfId="2234" xr:uid="{00000000-0005-0000-0000-0000073E0000}"/>
    <cellStyle name="Normal 9 2 4 6 2" xfId="4463" xr:uid="{00000000-0005-0000-0000-0000083E0000}"/>
    <cellStyle name="Normal 9 2 4 6 2 2" xfId="8686" xr:uid="{00000000-0005-0000-0000-0000093E0000}"/>
    <cellStyle name="Normal 9 2 4 6 2 2 2" xfId="17122" xr:uid="{00000000-0005-0000-0000-00000A3E0000}"/>
    <cellStyle name="Normal 9 2 4 6 2 3" xfId="12904" xr:uid="{00000000-0005-0000-0000-00000B3E0000}"/>
    <cellStyle name="Normal 9 2 4 6 3" xfId="6541" xr:uid="{00000000-0005-0000-0000-00000C3E0000}"/>
    <cellStyle name="Normal 9 2 4 6 3 2" xfId="14977" xr:uid="{00000000-0005-0000-0000-00000D3E0000}"/>
    <cellStyle name="Normal 9 2 4 6 4" xfId="10759" xr:uid="{00000000-0005-0000-0000-00000E3E0000}"/>
    <cellStyle name="Normal 9 2 4 7" xfId="2670" xr:uid="{00000000-0005-0000-0000-00000F3E0000}"/>
    <cellStyle name="Normal 9 2 4 7 2" xfId="6954" xr:uid="{00000000-0005-0000-0000-0000103E0000}"/>
    <cellStyle name="Normal 9 2 4 7 2 2" xfId="15390" xr:uid="{00000000-0005-0000-0000-0000113E0000}"/>
    <cellStyle name="Normal 9 2 4 7 3" xfId="11172" xr:uid="{00000000-0005-0000-0000-0000123E0000}"/>
    <cellStyle name="Normal 9 2 4 8" xfId="4889" xr:uid="{00000000-0005-0000-0000-0000133E0000}"/>
    <cellStyle name="Normal 9 2 4 8 2" xfId="13325" xr:uid="{00000000-0005-0000-0000-0000143E0000}"/>
    <cellStyle name="Normal 9 2 4 9" xfId="9107" xr:uid="{00000000-0005-0000-0000-0000153E0000}"/>
    <cellStyle name="Normal 9 2 5" xfId="526" xr:uid="{00000000-0005-0000-0000-0000163E0000}"/>
    <cellStyle name="Normal 9 2 5 2" xfId="993" xr:uid="{00000000-0005-0000-0000-0000173E0000}"/>
    <cellStyle name="Normal 9 2 5 2 2" xfId="3226" xr:uid="{00000000-0005-0000-0000-0000183E0000}"/>
    <cellStyle name="Normal 9 2 5 2 2 2" xfId="7449" xr:uid="{00000000-0005-0000-0000-0000193E0000}"/>
    <cellStyle name="Normal 9 2 5 2 2 2 2" xfId="15885" xr:uid="{00000000-0005-0000-0000-00001A3E0000}"/>
    <cellStyle name="Normal 9 2 5 2 2 3" xfId="11667" xr:uid="{00000000-0005-0000-0000-00001B3E0000}"/>
    <cellStyle name="Normal 9 2 5 2 3" xfId="5304" xr:uid="{00000000-0005-0000-0000-00001C3E0000}"/>
    <cellStyle name="Normal 9 2 5 2 3 2" xfId="13740" xr:uid="{00000000-0005-0000-0000-00001D3E0000}"/>
    <cellStyle name="Normal 9 2 5 2 4" xfId="9522" xr:uid="{00000000-0005-0000-0000-00001E3E0000}"/>
    <cellStyle name="Normal 9 2 5 3" xfId="1409" xr:uid="{00000000-0005-0000-0000-00001F3E0000}"/>
    <cellStyle name="Normal 9 2 5 3 2" xfId="3639" xr:uid="{00000000-0005-0000-0000-0000203E0000}"/>
    <cellStyle name="Normal 9 2 5 3 2 2" xfId="7862" xr:uid="{00000000-0005-0000-0000-0000213E0000}"/>
    <cellStyle name="Normal 9 2 5 3 2 2 2" xfId="16298" xr:uid="{00000000-0005-0000-0000-0000223E0000}"/>
    <cellStyle name="Normal 9 2 5 3 2 3" xfId="12080" xr:uid="{00000000-0005-0000-0000-0000233E0000}"/>
    <cellStyle name="Normal 9 2 5 3 3" xfId="5717" xr:uid="{00000000-0005-0000-0000-0000243E0000}"/>
    <cellStyle name="Normal 9 2 5 3 3 2" xfId="14153" xr:uid="{00000000-0005-0000-0000-0000253E0000}"/>
    <cellStyle name="Normal 9 2 5 3 4" xfId="9935" xr:uid="{00000000-0005-0000-0000-0000263E0000}"/>
    <cellStyle name="Normal 9 2 5 4" xfId="1822" xr:uid="{00000000-0005-0000-0000-0000273E0000}"/>
    <cellStyle name="Normal 9 2 5 4 2" xfId="4052" xr:uid="{00000000-0005-0000-0000-0000283E0000}"/>
    <cellStyle name="Normal 9 2 5 4 2 2" xfId="8275" xr:uid="{00000000-0005-0000-0000-0000293E0000}"/>
    <cellStyle name="Normal 9 2 5 4 2 2 2" xfId="16711" xr:uid="{00000000-0005-0000-0000-00002A3E0000}"/>
    <cellStyle name="Normal 9 2 5 4 2 3" xfId="12493" xr:uid="{00000000-0005-0000-0000-00002B3E0000}"/>
    <cellStyle name="Normal 9 2 5 4 3" xfId="6130" xr:uid="{00000000-0005-0000-0000-00002C3E0000}"/>
    <cellStyle name="Normal 9 2 5 4 3 2" xfId="14566" xr:uid="{00000000-0005-0000-0000-00002D3E0000}"/>
    <cellStyle name="Normal 9 2 5 4 4" xfId="10348" xr:uid="{00000000-0005-0000-0000-00002E3E0000}"/>
    <cellStyle name="Normal 9 2 5 5" xfId="2236" xr:uid="{00000000-0005-0000-0000-00002F3E0000}"/>
    <cellStyle name="Normal 9 2 5 5 2" xfId="4465" xr:uid="{00000000-0005-0000-0000-0000303E0000}"/>
    <cellStyle name="Normal 9 2 5 5 2 2" xfId="8688" xr:uid="{00000000-0005-0000-0000-0000313E0000}"/>
    <cellStyle name="Normal 9 2 5 5 2 2 2" xfId="17124" xr:uid="{00000000-0005-0000-0000-0000323E0000}"/>
    <cellStyle name="Normal 9 2 5 5 2 3" xfId="12906" xr:uid="{00000000-0005-0000-0000-0000333E0000}"/>
    <cellStyle name="Normal 9 2 5 5 3" xfId="6543" xr:uid="{00000000-0005-0000-0000-0000343E0000}"/>
    <cellStyle name="Normal 9 2 5 5 3 2" xfId="14979" xr:uid="{00000000-0005-0000-0000-0000353E0000}"/>
    <cellStyle name="Normal 9 2 5 5 4" xfId="10761" xr:uid="{00000000-0005-0000-0000-0000363E0000}"/>
    <cellStyle name="Normal 9 2 5 6" xfId="2672" xr:uid="{00000000-0005-0000-0000-0000373E0000}"/>
    <cellStyle name="Normal 9 2 5 6 2" xfId="6956" xr:uid="{00000000-0005-0000-0000-0000383E0000}"/>
    <cellStyle name="Normal 9 2 5 6 2 2" xfId="15392" xr:uid="{00000000-0005-0000-0000-0000393E0000}"/>
    <cellStyle name="Normal 9 2 5 6 3" xfId="11174" xr:uid="{00000000-0005-0000-0000-00003A3E0000}"/>
    <cellStyle name="Normal 9 2 5 7" xfId="4891" xr:uid="{00000000-0005-0000-0000-00003B3E0000}"/>
    <cellStyle name="Normal 9 2 5 7 2" xfId="13327" xr:uid="{00000000-0005-0000-0000-00003C3E0000}"/>
    <cellStyle name="Normal 9 2 5 8" xfId="9109" xr:uid="{00000000-0005-0000-0000-00003D3E0000}"/>
    <cellStyle name="Normal 9 2 6" xfId="978" xr:uid="{00000000-0005-0000-0000-00003E3E0000}"/>
    <cellStyle name="Normal 9 2 6 2" xfId="3211" xr:uid="{00000000-0005-0000-0000-00003F3E0000}"/>
    <cellStyle name="Normal 9 2 6 2 2" xfId="7434" xr:uid="{00000000-0005-0000-0000-0000403E0000}"/>
    <cellStyle name="Normal 9 2 6 2 2 2" xfId="15870" xr:uid="{00000000-0005-0000-0000-0000413E0000}"/>
    <cellStyle name="Normal 9 2 6 2 3" xfId="11652" xr:uid="{00000000-0005-0000-0000-0000423E0000}"/>
    <cellStyle name="Normal 9 2 6 3" xfId="5289" xr:uid="{00000000-0005-0000-0000-0000433E0000}"/>
    <cellStyle name="Normal 9 2 6 3 2" xfId="13725" xr:uid="{00000000-0005-0000-0000-0000443E0000}"/>
    <cellStyle name="Normal 9 2 6 4" xfId="9507" xr:uid="{00000000-0005-0000-0000-0000453E0000}"/>
    <cellStyle name="Normal 9 2 7" xfId="1394" xr:uid="{00000000-0005-0000-0000-0000463E0000}"/>
    <cellStyle name="Normal 9 2 7 2" xfId="3624" xr:uid="{00000000-0005-0000-0000-0000473E0000}"/>
    <cellStyle name="Normal 9 2 7 2 2" xfId="7847" xr:uid="{00000000-0005-0000-0000-0000483E0000}"/>
    <cellStyle name="Normal 9 2 7 2 2 2" xfId="16283" xr:uid="{00000000-0005-0000-0000-0000493E0000}"/>
    <cellStyle name="Normal 9 2 7 2 3" xfId="12065" xr:uid="{00000000-0005-0000-0000-00004A3E0000}"/>
    <cellStyle name="Normal 9 2 7 3" xfId="5702" xr:uid="{00000000-0005-0000-0000-00004B3E0000}"/>
    <cellStyle name="Normal 9 2 7 3 2" xfId="14138" xr:uid="{00000000-0005-0000-0000-00004C3E0000}"/>
    <cellStyle name="Normal 9 2 7 4" xfId="9920" xr:uid="{00000000-0005-0000-0000-00004D3E0000}"/>
    <cellStyle name="Normal 9 2 8" xfId="1807" xr:uid="{00000000-0005-0000-0000-00004E3E0000}"/>
    <cellStyle name="Normal 9 2 8 2" xfId="4037" xr:uid="{00000000-0005-0000-0000-00004F3E0000}"/>
    <cellStyle name="Normal 9 2 8 2 2" xfId="8260" xr:uid="{00000000-0005-0000-0000-0000503E0000}"/>
    <cellStyle name="Normal 9 2 8 2 2 2" xfId="16696" xr:uid="{00000000-0005-0000-0000-0000513E0000}"/>
    <cellStyle name="Normal 9 2 8 2 3" xfId="12478" xr:uid="{00000000-0005-0000-0000-0000523E0000}"/>
    <cellStyle name="Normal 9 2 8 3" xfId="6115" xr:uid="{00000000-0005-0000-0000-0000533E0000}"/>
    <cellStyle name="Normal 9 2 8 3 2" xfId="14551" xr:uid="{00000000-0005-0000-0000-0000543E0000}"/>
    <cellStyle name="Normal 9 2 8 4" xfId="10333" xr:uid="{00000000-0005-0000-0000-0000553E0000}"/>
    <cellStyle name="Normal 9 2 9" xfId="2221" xr:uid="{00000000-0005-0000-0000-0000563E0000}"/>
    <cellStyle name="Normal 9 2 9 2" xfId="4450" xr:uid="{00000000-0005-0000-0000-0000573E0000}"/>
    <cellStyle name="Normal 9 2 9 2 2" xfId="8673" xr:uid="{00000000-0005-0000-0000-0000583E0000}"/>
    <cellStyle name="Normal 9 2 9 2 2 2" xfId="17109" xr:uid="{00000000-0005-0000-0000-0000593E0000}"/>
    <cellStyle name="Normal 9 2 9 2 3" xfId="12891" xr:uid="{00000000-0005-0000-0000-00005A3E0000}"/>
    <cellStyle name="Normal 9 2 9 3" xfId="6528" xr:uid="{00000000-0005-0000-0000-00005B3E0000}"/>
    <cellStyle name="Normal 9 2 9 3 2" xfId="14964" xr:uid="{00000000-0005-0000-0000-00005C3E0000}"/>
    <cellStyle name="Normal 9 2 9 4" xfId="10746" xr:uid="{00000000-0005-0000-0000-00005D3E0000}"/>
    <cellStyle name="Normal 9 3" xfId="527" xr:uid="{00000000-0005-0000-0000-00005E3E0000}"/>
    <cellStyle name="Normal 9 3 10" xfId="4892" xr:uid="{00000000-0005-0000-0000-00005F3E0000}"/>
    <cellStyle name="Normal 9 3 10 2" xfId="13328" xr:uid="{00000000-0005-0000-0000-0000603E0000}"/>
    <cellStyle name="Normal 9 3 11" xfId="9110" xr:uid="{00000000-0005-0000-0000-0000613E0000}"/>
    <cellStyle name="Normal 9 3 2" xfId="528" xr:uid="{00000000-0005-0000-0000-0000623E0000}"/>
    <cellStyle name="Normal 9 3 2 10" xfId="9111" xr:uid="{00000000-0005-0000-0000-0000633E0000}"/>
    <cellStyle name="Normal 9 3 2 2" xfId="529" xr:uid="{00000000-0005-0000-0000-0000643E0000}"/>
    <cellStyle name="Normal 9 3 2 2 2" xfId="530" xr:uid="{00000000-0005-0000-0000-0000653E0000}"/>
    <cellStyle name="Normal 9 3 2 2 2 2" xfId="997" xr:uid="{00000000-0005-0000-0000-0000663E0000}"/>
    <cellStyle name="Normal 9 3 2 2 2 2 2" xfId="3230" xr:uid="{00000000-0005-0000-0000-0000673E0000}"/>
    <cellStyle name="Normal 9 3 2 2 2 2 2 2" xfId="7453" xr:uid="{00000000-0005-0000-0000-0000683E0000}"/>
    <cellStyle name="Normal 9 3 2 2 2 2 2 2 2" xfId="15889" xr:uid="{00000000-0005-0000-0000-0000693E0000}"/>
    <cellStyle name="Normal 9 3 2 2 2 2 2 3" xfId="11671" xr:uid="{00000000-0005-0000-0000-00006A3E0000}"/>
    <cellStyle name="Normal 9 3 2 2 2 2 3" xfId="5308" xr:uid="{00000000-0005-0000-0000-00006B3E0000}"/>
    <cellStyle name="Normal 9 3 2 2 2 2 3 2" xfId="13744" xr:uid="{00000000-0005-0000-0000-00006C3E0000}"/>
    <cellStyle name="Normal 9 3 2 2 2 2 4" xfId="9526" xr:uid="{00000000-0005-0000-0000-00006D3E0000}"/>
    <cellStyle name="Normal 9 3 2 2 2 3" xfId="1413" xr:uid="{00000000-0005-0000-0000-00006E3E0000}"/>
    <cellStyle name="Normal 9 3 2 2 2 3 2" xfId="3643" xr:uid="{00000000-0005-0000-0000-00006F3E0000}"/>
    <cellStyle name="Normal 9 3 2 2 2 3 2 2" xfId="7866" xr:uid="{00000000-0005-0000-0000-0000703E0000}"/>
    <cellStyle name="Normal 9 3 2 2 2 3 2 2 2" xfId="16302" xr:uid="{00000000-0005-0000-0000-0000713E0000}"/>
    <cellStyle name="Normal 9 3 2 2 2 3 2 3" xfId="12084" xr:uid="{00000000-0005-0000-0000-0000723E0000}"/>
    <cellStyle name="Normal 9 3 2 2 2 3 3" xfId="5721" xr:uid="{00000000-0005-0000-0000-0000733E0000}"/>
    <cellStyle name="Normal 9 3 2 2 2 3 3 2" xfId="14157" xr:uid="{00000000-0005-0000-0000-0000743E0000}"/>
    <cellStyle name="Normal 9 3 2 2 2 3 4" xfId="9939" xr:uid="{00000000-0005-0000-0000-0000753E0000}"/>
    <cellStyle name="Normal 9 3 2 2 2 4" xfId="1826" xr:uid="{00000000-0005-0000-0000-0000763E0000}"/>
    <cellStyle name="Normal 9 3 2 2 2 4 2" xfId="4056" xr:uid="{00000000-0005-0000-0000-0000773E0000}"/>
    <cellStyle name="Normal 9 3 2 2 2 4 2 2" xfId="8279" xr:uid="{00000000-0005-0000-0000-0000783E0000}"/>
    <cellStyle name="Normal 9 3 2 2 2 4 2 2 2" xfId="16715" xr:uid="{00000000-0005-0000-0000-0000793E0000}"/>
    <cellStyle name="Normal 9 3 2 2 2 4 2 3" xfId="12497" xr:uid="{00000000-0005-0000-0000-00007A3E0000}"/>
    <cellStyle name="Normal 9 3 2 2 2 4 3" xfId="6134" xr:uid="{00000000-0005-0000-0000-00007B3E0000}"/>
    <cellStyle name="Normal 9 3 2 2 2 4 3 2" xfId="14570" xr:uid="{00000000-0005-0000-0000-00007C3E0000}"/>
    <cellStyle name="Normal 9 3 2 2 2 4 4" xfId="10352" xr:uid="{00000000-0005-0000-0000-00007D3E0000}"/>
    <cellStyle name="Normal 9 3 2 2 2 5" xfId="2240" xr:uid="{00000000-0005-0000-0000-00007E3E0000}"/>
    <cellStyle name="Normal 9 3 2 2 2 5 2" xfId="4469" xr:uid="{00000000-0005-0000-0000-00007F3E0000}"/>
    <cellStyle name="Normal 9 3 2 2 2 5 2 2" xfId="8692" xr:uid="{00000000-0005-0000-0000-0000803E0000}"/>
    <cellStyle name="Normal 9 3 2 2 2 5 2 2 2" xfId="17128" xr:uid="{00000000-0005-0000-0000-0000813E0000}"/>
    <cellStyle name="Normal 9 3 2 2 2 5 2 3" xfId="12910" xr:uid="{00000000-0005-0000-0000-0000823E0000}"/>
    <cellStyle name="Normal 9 3 2 2 2 5 3" xfId="6547" xr:uid="{00000000-0005-0000-0000-0000833E0000}"/>
    <cellStyle name="Normal 9 3 2 2 2 5 3 2" xfId="14983" xr:uid="{00000000-0005-0000-0000-0000843E0000}"/>
    <cellStyle name="Normal 9 3 2 2 2 5 4" xfId="10765" xr:uid="{00000000-0005-0000-0000-0000853E0000}"/>
    <cellStyle name="Normal 9 3 2 2 2 6" xfId="2676" xr:uid="{00000000-0005-0000-0000-0000863E0000}"/>
    <cellStyle name="Normal 9 3 2 2 2 6 2" xfId="6960" xr:uid="{00000000-0005-0000-0000-0000873E0000}"/>
    <cellStyle name="Normal 9 3 2 2 2 6 2 2" xfId="15396" xr:uid="{00000000-0005-0000-0000-0000883E0000}"/>
    <cellStyle name="Normal 9 3 2 2 2 6 3" xfId="11178" xr:uid="{00000000-0005-0000-0000-0000893E0000}"/>
    <cellStyle name="Normal 9 3 2 2 2 7" xfId="4895" xr:uid="{00000000-0005-0000-0000-00008A3E0000}"/>
    <cellStyle name="Normal 9 3 2 2 2 7 2" xfId="13331" xr:uid="{00000000-0005-0000-0000-00008B3E0000}"/>
    <cellStyle name="Normal 9 3 2 2 2 8" xfId="9113" xr:uid="{00000000-0005-0000-0000-00008C3E0000}"/>
    <cellStyle name="Normal 9 3 2 2 3" xfId="996" xr:uid="{00000000-0005-0000-0000-00008D3E0000}"/>
    <cellStyle name="Normal 9 3 2 2 3 2" xfId="3229" xr:uid="{00000000-0005-0000-0000-00008E3E0000}"/>
    <cellStyle name="Normal 9 3 2 2 3 2 2" xfId="7452" xr:uid="{00000000-0005-0000-0000-00008F3E0000}"/>
    <cellStyle name="Normal 9 3 2 2 3 2 2 2" xfId="15888" xr:uid="{00000000-0005-0000-0000-0000903E0000}"/>
    <cellStyle name="Normal 9 3 2 2 3 2 3" xfId="11670" xr:uid="{00000000-0005-0000-0000-0000913E0000}"/>
    <cellStyle name="Normal 9 3 2 2 3 3" xfId="5307" xr:uid="{00000000-0005-0000-0000-0000923E0000}"/>
    <cellStyle name="Normal 9 3 2 2 3 3 2" xfId="13743" xr:uid="{00000000-0005-0000-0000-0000933E0000}"/>
    <cellStyle name="Normal 9 3 2 2 3 4" xfId="9525" xr:uid="{00000000-0005-0000-0000-0000943E0000}"/>
    <cellStyle name="Normal 9 3 2 2 4" xfId="1412" xr:uid="{00000000-0005-0000-0000-0000953E0000}"/>
    <cellStyle name="Normal 9 3 2 2 4 2" xfId="3642" xr:uid="{00000000-0005-0000-0000-0000963E0000}"/>
    <cellStyle name="Normal 9 3 2 2 4 2 2" xfId="7865" xr:uid="{00000000-0005-0000-0000-0000973E0000}"/>
    <cellStyle name="Normal 9 3 2 2 4 2 2 2" xfId="16301" xr:uid="{00000000-0005-0000-0000-0000983E0000}"/>
    <cellStyle name="Normal 9 3 2 2 4 2 3" xfId="12083" xr:uid="{00000000-0005-0000-0000-0000993E0000}"/>
    <cellStyle name="Normal 9 3 2 2 4 3" xfId="5720" xr:uid="{00000000-0005-0000-0000-00009A3E0000}"/>
    <cellStyle name="Normal 9 3 2 2 4 3 2" xfId="14156" xr:uid="{00000000-0005-0000-0000-00009B3E0000}"/>
    <cellStyle name="Normal 9 3 2 2 4 4" xfId="9938" xr:uid="{00000000-0005-0000-0000-00009C3E0000}"/>
    <cellStyle name="Normal 9 3 2 2 5" xfId="1825" xr:uid="{00000000-0005-0000-0000-00009D3E0000}"/>
    <cellStyle name="Normal 9 3 2 2 5 2" xfId="4055" xr:uid="{00000000-0005-0000-0000-00009E3E0000}"/>
    <cellStyle name="Normal 9 3 2 2 5 2 2" xfId="8278" xr:uid="{00000000-0005-0000-0000-00009F3E0000}"/>
    <cellStyle name="Normal 9 3 2 2 5 2 2 2" xfId="16714" xr:uid="{00000000-0005-0000-0000-0000A03E0000}"/>
    <cellStyle name="Normal 9 3 2 2 5 2 3" xfId="12496" xr:uid="{00000000-0005-0000-0000-0000A13E0000}"/>
    <cellStyle name="Normal 9 3 2 2 5 3" xfId="6133" xr:uid="{00000000-0005-0000-0000-0000A23E0000}"/>
    <cellStyle name="Normal 9 3 2 2 5 3 2" xfId="14569" xr:uid="{00000000-0005-0000-0000-0000A33E0000}"/>
    <cellStyle name="Normal 9 3 2 2 5 4" xfId="10351" xr:uid="{00000000-0005-0000-0000-0000A43E0000}"/>
    <cellStyle name="Normal 9 3 2 2 6" xfId="2239" xr:uid="{00000000-0005-0000-0000-0000A53E0000}"/>
    <cellStyle name="Normal 9 3 2 2 6 2" xfId="4468" xr:uid="{00000000-0005-0000-0000-0000A63E0000}"/>
    <cellStyle name="Normal 9 3 2 2 6 2 2" xfId="8691" xr:uid="{00000000-0005-0000-0000-0000A73E0000}"/>
    <cellStyle name="Normal 9 3 2 2 6 2 2 2" xfId="17127" xr:uid="{00000000-0005-0000-0000-0000A83E0000}"/>
    <cellStyle name="Normal 9 3 2 2 6 2 3" xfId="12909" xr:uid="{00000000-0005-0000-0000-0000A93E0000}"/>
    <cellStyle name="Normal 9 3 2 2 6 3" xfId="6546" xr:uid="{00000000-0005-0000-0000-0000AA3E0000}"/>
    <cellStyle name="Normal 9 3 2 2 6 3 2" xfId="14982" xr:uid="{00000000-0005-0000-0000-0000AB3E0000}"/>
    <cellStyle name="Normal 9 3 2 2 6 4" xfId="10764" xr:uid="{00000000-0005-0000-0000-0000AC3E0000}"/>
    <cellStyle name="Normal 9 3 2 2 7" xfId="2675" xr:uid="{00000000-0005-0000-0000-0000AD3E0000}"/>
    <cellStyle name="Normal 9 3 2 2 7 2" xfId="6959" xr:uid="{00000000-0005-0000-0000-0000AE3E0000}"/>
    <cellStyle name="Normal 9 3 2 2 7 2 2" xfId="15395" xr:uid="{00000000-0005-0000-0000-0000AF3E0000}"/>
    <cellStyle name="Normal 9 3 2 2 7 3" xfId="11177" xr:uid="{00000000-0005-0000-0000-0000B03E0000}"/>
    <cellStyle name="Normal 9 3 2 2 8" xfId="4894" xr:uid="{00000000-0005-0000-0000-0000B13E0000}"/>
    <cellStyle name="Normal 9 3 2 2 8 2" xfId="13330" xr:uid="{00000000-0005-0000-0000-0000B23E0000}"/>
    <cellStyle name="Normal 9 3 2 2 9" xfId="9112" xr:uid="{00000000-0005-0000-0000-0000B33E0000}"/>
    <cellStyle name="Normal 9 3 2 3" xfId="531" xr:uid="{00000000-0005-0000-0000-0000B43E0000}"/>
    <cellStyle name="Normal 9 3 2 3 2" xfId="998" xr:uid="{00000000-0005-0000-0000-0000B53E0000}"/>
    <cellStyle name="Normal 9 3 2 3 2 2" xfId="3231" xr:uid="{00000000-0005-0000-0000-0000B63E0000}"/>
    <cellStyle name="Normal 9 3 2 3 2 2 2" xfId="7454" xr:uid="{00000000-0005-0000-0000-0000B73E0000}"/>
    <cellStyle name="Normal 9 3 2 3 2 2 2 2" xfId="15890" xr:uid="{00000000-0005-0000-0000-0000B83E0000}"/>
    <cellStyle name="Normal 9 3 2 3 2 2 3" xfId="11672" xr:uid="{00000000-0005-0000-0000-0000B93E0000}"/>
    <cellStyle name="Normal 9 3 2 3 2 3" xfId="5309" xr:uid="{00000000-0005-0000-0000-0000BA3E0000}"/>
    <cellStyle name="Normal 9 3 2 3 2 3 2" xfId="13745" xr:uid="{00000000-0005-0000-0000-0000BB3E0000}"/>
    <cellStyle name="Normal 9 3 2 3 2 4" xfId="9527" xr:uid="{00000000-0005-0000-0000-0000BC3E0000}"/>
    <cellStyle name="Normal 9 3 2 3 3" xfId="1414" xr:uid="{00000000-0005-0000-0000-0000BD3E0000}"/>
    <cellStyle name="Normal 9 3 2 3 3 2" xfId="3644" xr:uid="{00000000-0005-0000-0000-0000BE3E0000}"/>
    <cellStyle name="Normal 9 3 2 3 3 2 2" xfId="7867" xr:uid="{00000000-0005-0000-0000-0000BF3E0000}"/>
    <cellStyle name="Normal 9 3 2 3 3 2 2 2" xfId="16303" xr:uid="{00000000-0005-0000-0000-0000C03E0000}"/>
    <cellStyle name="Normal 9 3 2 3 3 2 3" xfId="12085" xr:uid="{00000000-0005-0000-0000-0000C13E0000}"/>
    <cellStyle name="Normal 9 3 2 3 3 3" xfId="5722" xr:uid="{00000000-0005-0000-0000-0000C23E0000}"/>
    <cellStyle name="Normal 9 3 2 3 3 3 2" xfId="14158" xr:uid="{00000000-0005-0000-0000-0000C33E0000}"/>
    <cellStyle name="Normal 9 3 2 3 3 4" xfId="9940" xr:uid="{00000000-0005-0000-0000-0000C43E0000}"/>
    <cellStyle name="Normal 9 3 2 3 4" xfId="1827" xr:uid="{00000000-0005-0000-0000-0000C53E0000}"/>
    <cellStyle name="Normal 9 3 2 3 4 2" xfId="4057" xr:uid="{00000000-0005-0000-0000-0000C63E0000}"/>
    <cellStyle name="Normal 9 3 2 3 4 2 2" xfId="8280" xr:uid="{00000000-0005-0000-0000-0000C73E0000}"/>
    <cellStyle name="Normal 9 3 2 3 4 2 2 2" xfId="16716" xr:uid="{00000000-0005-0000-0000-0000C83E0000}"/>
    <cellStyle name="Normal 9 3 2 3 4 2 3" xfId="12498" xr:uid="{00000000-0005-0000-0000-0000C93E0000}"/>
    <cellStyle name="Normal 9 3 2 3 4 3" xfId="6135" xr:uid="{00000000-0005-0000-0000-0000CA3E0000}"/>
    <cellStyle name="Normal 9 3 2 3 4 3 2" xfId="14571" xr:uid="{00000000-0005-0000-0000-0000CB3E0000}"/>
    <cellStyle name="Normal 9 3 2 3 4 4" xfId="10353" xr:uid="{00000000-0005-0000-0000-0000CC3E0000}"/>
    <cellStyle name="Normal 9 3 2 3 5" xfId="2241" xr:uid="{00000000-0005-0000-0000-0000CD3E0000}"/>
    <cellStyle name="Normal 9 3 2 3 5 2" xfId="4470" xr:uid="{00000000-0005-0000-0000-0000CE3E0000}"/>
    <cellStyle name="Normal 9 3 2 3 5 2 2" xfId="8693" xr:uid="{00000000-0005-0000-0000-0000CF3E0000}"/>
    <cellStyle name="Normal 9 3 2 3 5 2 2 2" xfId="17129" xr:uid="{00000000-0005-0000-0000-0000D03E0000}"/>
    <cellStyle name="Normal 9 3 2 3 5 2 3" xfId="12911" xr:uid="{00000000-0005-0000-0000-0000D13E0000}"/>
    <cellStyle name="Normal 9 3 2 3 5 3" xfId="6548" xr:uid="{00000000-0005-0000-0000-0000D23E0000}"/>
    <cellStyle name="Normal 9 3 2 3 5 3 2" xfId="14984" xr:uid="{00000000-0005-0000-0000-0000D33E0000}"/>
    <cellStyle name="Normal 9 3 2 3 5 4" xfId="10766" xr:uid="{00000000-0005-0000-0000-0000D43E0000}"/>
    <cellStyle name="Normal 9 3 2 3 6" xfId="2677" xr:uid="{00000000-0005-0000-0000-0000D53E0000}"/>
    <cellStyle name="Normal 9 3 2 3 6 2" xfId="6961" xr:uid="{00000000-0005-0000-0000-0000D63E0000}"/>
    <cellStyle name="Normal 9 3 2 3 6 2 2" xfId="15397" xr:uid="{00000000-0005-0000-0000-0000D73E0000}"/>
    <cellStyle name="Normal 9 3 2 3 6 3" xfId="11179" xr:uid="{00000000-0005-0000-0000-0000D83E0000}"/>
    <cellStyle name="Normal 9 3 2 3 7" xfId="4896" xr:uid="{00000000-0005-0000-0000-0000D93E0000}"/>
    <cellStyle name="Normal 9 3 2 3 7 2" xfId="13332" xr:uid="{00000000-0005-0000-0000-0000DA3E0000}"/>
    <cellStyle name="Normal 9 3 2 3 8" xfId="9114" xr:uid="{00000000-0005-0000-0000-0000DB3E0000}"/>
    <cellStyle name="Normal 9 3 2 4" xfId="995" xr:uid="{00000000-0005-0000-0000-0000DC3E0000}"/>
    <cellStyle name="Normal 9 3 2 4 2" xfId="3228" xr:uid="{00000000-0005-0000-0000-0000DD3E0000}"/>
    <cellStyle name="Normal 9 3 2 4 2 2" xfId="7451" xr:uid="{00000000-0005-0000-0000-0000DE3E0000}"/>
    <cellStyle name="Normal 9 3 2 4 2 2 2" xfId="15887" xr:uid="{00000000-0005-0000-0000-0000DF3E0000}"/>
    <cellStyle name="Normal 9 3 2 4 2 3" xfId="11669" xr:uid="{00000000-0005-0000-0000-0000E03E0000}"/>
    <cellStyle name="Normal 9 3 2 4 3" xfId="5306" xr:uid="{00000000-0005-0000-0000-0000E13E0000}"/>
    <cellStyle name="Normal 9 3 2 4 3 2" xfId="13742" xr:uid="{00000000-0005-0000-0000-0000E23E0000}"/>
    <cellStyle name="Normal 9 3 2 4 4" xfId="9524" xr:uid="{00000000-0005-0000-0000-0000E33E0000}"/>
    <cellStyle name="Normal 9 3 2 5" xfId="1411" xr:uid="{00000000-0005-0000-0000-0000E43E0000}"/>
    <cellStyle name="Normal 9 3 2 5 2" xfId="3641" xr:uid="{00000000-0005-0000-0000-0000E53E0000}"/>
    <cellStyle name="Normal 9 3 2 5 2 2" xfId="7864" xr:uid="{00000000-0005-0000-0000-0000E63E0000}"/>
    <cellStyle name="Normal 9 3 2 5 2 2 2" xfId="16300" xr:uid="{00000000-0005-0000-0000-0000E73E0000}"/>
    <cellStyle name="Normal 9 3 2 5 2 3" xfId="12082" xr:uid="{00000000-0005-0000-0000-0000E83E0000}"/>
    <cellStyle name="Normal 9 3 2 5 3" xfId="5719" xr:uid="{00000000-0005-0000-0000-0000E93E0000}"/>
    <cellStyle name="Normal 9 3 2 5 3 2" xfId="14155" xr:uid="{00000000-0005-0000-0000-0000EA3E0000}"/>
    <cellStyle name="Normal 9 3 2 5 4" xfId="9937" xr:uid="{00000000-0005-0000-0000-0000EB3E0000}"/>
    <cellStyle name="Normal 9 3 2 6" xfId="1824" xr:uid="{00000000-0005-0000-0000-0000EC3E0000}"/>
    <cellStyle name="Normal 9 3 2 6 2" xfId="4054" xr:uid="{00000000-0005-0000-0000-0000ED3E0000}"/>
    <cellStyle name="Normal 9 3 2 6 2 2" xfId="8277" xr:uid="{00000000-0005-0000-0000-0000EE3E0000}"/>
    <cellStyle name="Normal 9 3 2 6 2 2 2" xfId="16713" xr:uid="{00000000-0005-0000-0000-0000EF3E0000}"/>
    <cellStyle name="Normal 9 3 2 6 2 3" xfId="12495" xr:uid="{00000000-0005-0000-0000-0000F03E0000}"/>
    <cellStyle name="Normal 9 3 2 6 3" xfId="6132" xr:uid="{00000000-0005-0000-0000-0000F13E0000}"/>
    <cellStyle name="Normal 9 3 2 6 3 2" xfId="14568" xr:uid="{00000000-0005-0000-0000-0000F23E0000}"/>
    <cellStyle name="Normal 9 3 2 6 4" xfId="10350" xr:uid="{00000000-0005-0000-0000-0000F33E0000}"/>
    <cellStyle name="Normal 9 3 2 7" xfId="2238" xr:uid="{00000000-0005-0000-0000-0000F43E0000}"/>
    <cellStyle name="Normal 9 3 2 7 2" xfId="4467" xr:uid="{00000000-0005-0000-0000-0000F53E0000}"/>
    <cellStyle name="Normal 9 3 2 7 2 2" xfId="8690" xr:uid="{00000000-0005-0000-0000-0000F63E0000}"/>
    <cellStyle name="Normal 9 3 2 7 2 2 2" xfId="17126" xr:uid="{00000000-0005-0000-0000-0000F73E0000}"/>
    <cellStyle name="Normal 9 3 2 7 2 3" xfId="12908" xr:uid="{00000000-0005-0000-0000-0000F83E0000}"/>
    <cellStyle name="Normal 9 3 2 7 3" xfId="6545" xr:uid="{00000000-0005-0000-0000-0000F93E0000}"/>
    <cellStyle name="Normal 9 3 2 7 3 2" xfId="14981" xr:uid="{00000000-0005-0000-0000-0000FA3E0000}"/>
    <cellStyle name="Normal 9 3 2 7 4" xfId="10763" xr:uid="{00000000-0005-0000-0000-0000FB3E0000}"/>
    <cellStyle name="Normal 9 3 2 8" xfId="2674" xr:uid="{00000000-0005-0000-0000-0000FC3E0000}"/>
    <cellStyle name="Normal 9 3 2 8 2" xfId="6958" xr:uid="{00000000-0005-0000-0000-0000FD3E0000}"/>
    <cellStyle name="Normal 9 3 2 8 2 2" xfId="15394" xr:uid="{00000000-0005-0000-0000-0000FE3E0000}"/>
    <cellStyle name="Normal 9 3 2 8 3" xfId="11176" xr:uid="{00000000-0005-0000-0000-0000FF3E0000}"/>
    <cellStyle name="Normal 9 3 2 9" xfId="4893" xr:uid="{00000000-0005-0000-0000-0000003F0000}"/>
    <cellStyle name="Normal 9 3 2 9 2" xfId="13329" xr:uid="{00000000-0005-0000-0000-0000013F0000}"/>
    <cellStyle name="Normal 9 3 3" xfId="532" xr:uid="{00000000-0005-0000-0000-0000023F0000}"/>
    <cellStyle name="Normal 9 3 3 2" xfId="533" xr:uid="{00000000-0005-0000-0000-0000033F0000}"/>
    <cellStyle name="Normal 9 3 3 2 2" xfId="1000" xr:uid="{00000000-0005-0000-0000-0000043F0000}"/>
    <cellStyle name="Normal 9 3 3 2 2 2" xfId="3233" xr:uid="{00000000-0005-0000-0000-0000053F0000}"/>
    <cellStyle name="Normal 9 3 3 2 2 2 2" xfId="7456" xr:uid="{00000000-0005-0000-0000-0000063F0000}"/>
    <cellStyle name="Normal 9 3 3 2 2 2 2 2" xfId="15892" xr:uid="{00000000-0005-0000-0000-0000073F0000}"/>
    <cellStyle name="Normal 9 3 3 2 2 2 3" xfId="11674" xr:uid="{00000000-0005-0000-0000-0000083F0000}"/>
    <cellStyle name="Normal 9 3 3 2 2 3" xfId="5311" xr:uid="{00000000-0005-0000-0000-0000093F0000}"/>
    <cellStyle name="Normal 9 3 3 2 2 3 2" xfId="13747" xr:uid="{00000000-0005-0000-0000-00000A3F0000}"/>
    <cellStyle name="Normal 9 3 3 2 2 4" xfId="9529" xr:uid="{00000000-0005-0000-0000-00000B3F0000}"/>
    <cellStyle name="Normal 9 3 3 2 3" xfId="1416" xr:uid="{00000000-0005-0000-0000-00000C3F0000}"/>
    <cellStyle name="Normal 9 3 3 2 3 2" xfId="3646" xr:uid="{00000000-0005-0000-0000-00000D3F0000}"/>
    <cellStyle name="Normal 9 3 3 2 3 2 2" xfId="7869" xr:uid="{00000000-0005-0000-0000-00000E3F0000}"/>
    <cellStyle name="Normal 9 3 3 2 3 2 2 2" xfId="16305" xr:uid="{00000000-0005-0000-0000-00000F3F0000}"/>
    <cellStyle name="Normal 9 3 3 2 3 2 3" xfId="12087" xr:uid="{00000000-0005-0000-0000-0000103F0000}"/>
    <cellStyle name="Normal 9 3 3 2 3 3" xfId="5724" xr:uid="{00000000-0005-0000-0000-0000113F0000}"/>
    <cellStyle name="Normal 9 3 3 2 3 3 2" xfId="14160" xr:uid="{00000000-0005-0000-0000-0000123F0000}"/>
    <cellStyle name="Normal 9 3 3 2 3 4" xfId="9942" xr:uid="{00000000-0005-0000-0000-0000133F0000}"/>
    <cellStyle name="Normal 9 3 3 2 4" xfId="1829" xr:uid="{00000000-0005-0000-0000-0000143F0000}"/>
    <cellStyle name="Normal 9 3 3 2 4 2" xfId="4059" xr:uid="{00000000-0005-0000-0000-0000153F0000}"/>
    <cellStyle name="Normal 9 3 3 2 4 2 2" xfId="8282" xr:uid="{00000000-0005-0000-0000-0000163F0000}"/>
    <cellStyle name="Normal 9 3 3 2 4 2 2 2" xfId="16718" xr:uid="{00000000-0005-0000-0000-0000173F0000}"/>
    <cellStyle name="Normal 9 3 3 2 4 2 3" xfId="12500" xr:uid="{00000000-0005-0000-0000-0000183F0000}"/>
    <cellStyle name="Normal 9 3 3 2 4 3" xfId="6137" xr:uid="{00000000-0005-0000-0000-0000193F0000}"/>
    <cellStyle name="Normal 9 3 3 2 4 3 2" xfId="14573" xr:uid="{00000000-0005-0000-0000-00001A3F0000}"/>
    <cellStyle name="Normal 9 3 3 2 4 4" xfId="10355" xr:uid="{00000000-0005-0000-0000-00001B3F0000}"/>
    <cellStyle name="Normal 9 3 3 2 5" xfId="2243" xr:uid="{00000000-0005-0000-0000-00001C3F0000}"/>
    <cellStyle name="Normal 9 3 3 2 5 2" xfId="4472" xr:uid="{00000000-0005-0000-0000-00001D3F0000}"/>
    <cellStyle name="Normal 9 3 3 2 5 2 2" xfId="8695" xr:uid="{00000000-0005-0000-0000-00001E3F0000}"/>
    <cellStyle name="Normal 9 3 3 2 5 2 2 2" xfId="17131" xr:uid="{00000000-0005-0000-0000-00001F3F0000}"/>
    <cellStyle name="Normal 9 3 3 2 5 2 3" xfId="12913" xr:uid="{00000000-0005-0000-0000-0000203F0000}"/>
    <cellStyle name="Normal 9 3 3 2 5 3" xfId="6550" xr:uid="{00000000-0005-0000-0000-0000213F0000}"/>
    <cellStyle name="Normal 9 3 3 2 5 3 2" xfId="14986" xr:uid="{00000000-0005-0000-0000-0000223F0000}"/>
    <cellStyle name="Normal 9 3 3 2 5 4" xfId="10768" xr:uid="{00000000-0005-0000-0000-0000233F0000}"/>
    <cellStyle name="Normal 9 3 3 2 6" xfId="2679" xr:uid="{00000000-0005-0000-0000-0000243F0000}"/>
    <cellStyle name="Normal 9 3 3 2 6 2" xfId="6963" xr:uid="{00000000-0005-0000-0000-0000253F0000}"/>
    <cellStyle name="Normal 9 3 3 2 6 2 2" xfId="15399" xr:uid="{00000000-0005-0000-0000-0000263F0000}"/>
    <cellStyle name="Normal 9 3 3 2 6 3" xfId="11181" xr:uid="{00000000-0005-0000-0000-0000273F0000}"/>
    <cellStyle name="Normal 9 3 3 2 7" xfId="4898" xr:uid="{00000000-0005-0000-0000-0000283F0000}"/>
    <cellStyle name="Normal 9 3 3 2 7 2" xfId="13334" xr:uid="{00000000-0005-0000-0000-0000293F0000}"/>
    <cellStyle name="Normal 9 3 3 2 8" xfId="9116" xr:uid="{00000000-0005-0000-0000-00002A3F0000}"/>
    <cellStyle name="Normal 9 3 3 3" xfId="999" xr:uid="{00000000-0005-0000-0000-00002B3F0000}"/>
    <cellStyle name="Normal 9 3 3 3 2" xfId="3232" xr:uid="{00000000-0005-0000-0000-00002C3F0000}"/>
    <cellStyle name="Normal 9 3 3 3 2 2" xfId="7455" xr:uid="{00000000-0005-0000-0000-00002D3F0000}"/>
    <cellStyle name="Normal 9 3 3 3 2 2 2" xfId="15891" xr:uid="{00000000-0005-0000-0000-00002E3F0000}"/>
    <cellStyle name="Normal 9 3 3 3 2 3" xfId="11673" xr:uid="{00000000-0005-0000-0000-00002F3F0000}"/>
    <cellStyle name="Normal 9 3 3 3 3" xfId="5310" xr:uid="{00000000-0005-0000-0000-0000303F0000}"/>
    <cellStyle name="Normal 9 3 3 3 3 2" xfId="13746" xr:uid="{00000000-0005-0000-0000-0000313F0000}"/>
    <cellStyle name="Normal 9 3 3 3 4" xfId="9528" xr:uid="{00000000-0005-0000-0000-0000323F0000}"/>
    <cellStyle name="Normal 9 3 3 4" xfId="1415" xr:uid="{00000000-0005-0000-0000-0000333F0000}"/>
    <cellStyle name="Normal 9 3 3 4 2" xfId="3645" xr:uid="{00000000-0005-0000-0000-0000343F0000}"/>
    <cellStyle name="Normal 9 3 3 4 2 2" xfId="7868" xr:uid="{00000000-0005-0000-0000-0000353F0000}"/>
    <cellStyle name="Normal 9 3 3 4 2 2 2" xfId="16304" xr:uid="{00000000-0005-0000-0000-0000363F0000}"/>
    <cellStyle name="Normal 9 3 3 4 2 3" xfId="12086" xr:uid="{00000000-0005-0000-0000-0000373F0000}"/>
    <cellStyle name="Normal 9 3 3 4 3" xfId="5723" xr:uid="{00000000-0005-0000-0000-0000383F0000}"/>
    <cellStyle name="Normal 9 3 3 4 3 2" xfId="14159" xr:uid="{00000000-0005-0000-0000-0000393F0000}"/>
    <cellStyle name="Normal 9 3 3 4 4" xfId="9941" xr:uid="{00000000-0005-0000-0000-00003A3F0000}"/>
    <cellStyle name="Normal 9 3 3 5" xfId="1828" xr:uid="{00000000-0005-0000-0000-00003B3F0000}"/>
    <cellStyle name="Normal 9 3 3 5 2" xfId="4058" xr:uid="{00000000-0005-0000-0000-00003C3F0000}"/>
    <cellStyle name="Normal 9 3 3 5 2 2" xfId="8281" xr:uid="{00000000-0005-0000-0000-00003D3F0000}"/>
    <cellStyle name="Normal 9 3 3 5 2 2 2" xfId="16717" xr:uid="{00000000-0005-0000-0000-00003E3F0000}"/>
    <cellStyle name="Normal 9 3 3 5 2 3" xfId="12499" xr:uid="{00000000-0005-0000-0000-00003F3F0000}"/>
    <cellStyle name="Normal 9 3 3 5 3" xfId="6136" xr:uid="{00000000-0005-0000-0000-0000403F0000}"/>
    <cellStyle name="Normal 9 3 3 5 3 2" xfId="14572" xr:uid="{00000000-0005-0000-0000-0000413F0000}"/>
    <cellStyle name="Normal 9 3 3 5 4" xfId="10354" xr:uid="{00000000-0005-0000-0000-0000423F0000}"/>
    <cellStyle name="Normal 9 3 3 6" xfId="2242" xr:uid="{00000000-0005-0000-0000-0000433F0000}"/>
    <cellStyle name="Normal 9 3 3 6 2" xfId="4471" xr:uid="{00000000-0005-0000-0000-0000443F0000}"/>
    <cellStyle name="Normal 9 3 3 6 2 2" xfId="8694" xr:uid="{00000000-0005-0000-0000-0000453F0000}"/>
    <cellStyle name="Normal 9 3 3 6 2 2 2" xfId="17130" xr:uid="{00000000-0005-0000-0000-0000463F0000}"/>
    <cellStyle name="Normal 9 3 3 6 2 3" xfId="12912" xr:uid="{00000000-0005-0000-0000-0000473F0000}"/>
    <cellStyle name="Normal 9 3 3 6 3" xfId="6549" xr:uid="{00000000-0005-0000-0000-0000483F0000}"/>
    <cellStyle name="Normal 9 3 3 6 3 2" xfId="14985" xr:uid="{00000000-0005-0000-0000-0000493F0000}"/>
    <cellStyle name="Normal 9 3 3 6 4" xfId="10767" xr:uid="{00000000-0005-0000-0000-00004A3F0000}"/>
    <cellStyle name="Normal 9 3 3 7" xfId="2678" xr:uid="{00000000-0005-0000-0000-00004B3F0000}"/>
    <cellStyle name="Normal 9 3 3 7 2" xfId="6962" xr:uid="{00000000-0005-0000-0000-00004C3F0000}"/>
    <cellStyle name="Normal 9 3 3 7 2 2" xfId="15398" xr:uid="{00000000-0005-0000-0000-00004D3F0000}"/>
    <cellStyle name="Normal 9 3 3 7 3" xfId="11180" xr:uid="{00000000-0005-0000-0000-00004E3F0000}"/>
    <cellStyle name="Normal 9 3 3 8" xfId="4897" xr:uid="{00000000-0005-0000-0000-00004F3F0000}"/>
    <cellStyle name="Normal 9 3 3 8 2" xfId="13333" xr:uid="{00000000-0005-0000-0000-0000503F0000}"/>
    <cellStyle name="Normal 9 3 3 9" xfId="9115" xr:uid="{00000000-0005-0000-0000-0000513F0000}"/>
    <cellStyle name="Normal 9 3 4" xfId="534" xr:uid="{00000000-0005-0000-0000-0000523F0000}"/>
    <cellStyle name="Normal 9 3 4 2" xfId="1001" xr:uid="{00000000-0005-0000-0000-0000533F0000}"/>
    <cellStyle name="Normal 9 3 4 2 2" xfId="3234" xr:uid="{00000000-0005-0000-0000-0000543F0000}"/>
    <cellStyle name="Normal 9 3 4 2 2 2" xfId="7457" xr:uid="{00000000-0005-0000-0000-0000553F0000}"/>
    <cellStyle name="Normal 9 3 4 2 2 2 2" xfId="15893" xr:uid="{00000000-0005-0000-0000-0000563F0000}"/>
    <cellStyle name="Normal 9 3 4 2 2 3" xfId="11675" xr:uid="{00000000-0005-0000-0000-0000573F0000}"/>
    <cellStyle name="Normal 9 3 4 2 3" xfId="5312" xr:uid="{00000000-0005-0000-0000-0000583F0000}"/>
    <cellStyle name="Normal 9 3 4 2 3 2" xfId="13748" xr:uid="{00000000-0005-0000-0000-0000593F0000}"/>
    <cellStyle name="Normal 9 3 4 2 4" xfId="9530" xr:uid="{00000000-0005-0000-0000-00005A3F0000}"/>
    <cellStyle name="Normal 9 3 4 3" xfId="1417" xr:uid="{00000000-0005-0000-0000-00005B3F0000}"/>
    <cellStyle name="Normal 9 3 4 3 2" xfId="3647" xr:uid="{00000000-0005-0000-0000-00005C3F0000}"/>
    <cellStyle name="Normal 9 3 4 3 2 2" xfId="7870" xr:uid="{00000000-0005-0000-0000-00005D3F0000}"/>
    <cellStyle name="Normal 9 3 4 3 2 2 2" xfId="16306" xr:uid="{00000000-0005-0000-0000-00005E3F0000}"/>
    <cellStyle name="Normal 9 3 4 3 2 3" xfId="12088" xr:uid="{00000000-0005-0000-0000-00005F3F0000}"/>
    <cellStyle name="Normal 9 3 4 3 3" xfId="5725" xr:uid="{00000000-0005-0000-0000-0000603F0000}"/>
    <cellStyle name="Normal 9 3 4 3 3 2" xfId="14161" xr:uid="{00000000-0005-0000-0000-0000613F0000}"/>
    <cellStyle name="Normal 9 3 4 3 4" xfId="9943" xr:uid="{00000000-0005-0000-0000-0000623F0000}"/>
    <cellStyle name="Normal 9 3 4 4" xfId="1830" xr:uid="{00000000-0005-0000-0000-0000633F0000}"/>
    <cellStyle name="Normal 9 3 4 4 2" xfId="4060" xr:uid="{00000000-0005-0000-0000-0000643F0000}"/>
    <cellStyle name="Normal 9 3 4 4 2 2" xfId="8283" xr:uid="{00000000-0005-0000-0000-0000653F0000}"/>
    <cellStyle name="Normal 9 3 4 4 2 2 2" xfId="16719" xr:uid="{00000000-0005-0000-0000-0000663F0000}"/>
    <cellStyle name="Normal 9 3 4 4 2 3" xfId="12501" xr:uid="{00000000-0005-0000-0000-0000673F0000}"/>
    <cellStyle name="Normal 9 3 4 4 3" xfId="6138" xr:uid="{00000000-0005-0000-0000-0000683F0000}"/>
    <cellStyle name="Normal 9 3 4 4 3 2" xfId="14574" xr:uid="{00000000-0005-0000-0000-0000693F0000}"/>
    <cellStyle name="Normal 9 3 4 4 4" xfId="10356" xr:uid="{00000000-0005-0000-0000-00006A3F0000}"/>
    <cellStyle name="Normal 9 3 4 5" xfId="2244" xr:uid="{00000000-0005-0000-0000-00006B3F0000}"/>
    <cellStyle name="Normal 9 3 4 5 2" xfId="4473" xr:uid="{00000000-0005-0000-0000-00006C3F0000}"/>
    <cellStyle name="Normal 9 3 4 5 2 2" xfId="8696" xr:uid="{00000000-0005-0000-0000-00006D3F0000}"/>
    <cellStyle name="Normal 9 3 4 5 2 2 2" xfId="17132" xr:uid="{00000000-0005-0000-0000-00006E3F0000}"/>
    <cellStyle name="Normal 9 3 4 5 2 3" xfId="12914" xr:uid="{00000000-0005-0000-0000-00006F3F0000}"/>
    <cellStyle name="Normal 9 3 4 5 3" xfId="6551" xr:uid="{00000000-0005-0000-0000-0000703F0000}"/>
    <cellStyle name="Normal 9 3 4 5 3 2" xfId="14987" xr:uid="{00000000-0005-0000-0000-0000713F0000}"/>
    <cellStyle name="Normal 9 3 4 5 4" xfId="10769" xr:uid="{00000000-0005-0000-0000-0000723F0000}"/>
    <cellStyle name="Normal 9 3 4 6" xfId="2680" xr:uid="{00000000-0005-0000-0000-0000733F0000}"/>
    <cellStyle name="Normal 9 3 4 6 2" xfId="6964" xr:uid="{00000000-0005-0000-0000-0000743F0000}"/>
    <cellStyle name="Normal 9 3 4 6 2 2" xfId="15400" xr:uid="{00000000-0005-0000-0000-0000753F0000}"/>
    <cellStyle name="Normal 9 3 4 6 3" xfId="11182" xr:uid="{00000000-0005-0000-0000-0000763F0000}"/>
    <cellStyle name="Normal 9 3 4 7" xfId="4899" xr:uid="{00000000-0005-0000-0000-0000773F0000}"/>
    <cellStyle name="Normal 9 3 4 7 2" xfId="13335" xr:uid="{00000000-0005-0000-0000-0000783F0000}"/>
    <cellStyle name="Normal 9 3 4 8" xfId="9117" xr:uid="{00000000-0005-0000-0000-0000793F0000}"/>
    <cellStyle name="Normal 9 3 5" xfId="994" xr:uid="{00000000-0005-0000-0000-00007A3F0000}"/>
    <cellStyle name="Normal 9 3 5 2" xfId="3227" xr:uid="{00000000-0005-0000-0000-00007B3F0000}"/>
    <cellStyle name="Normal 9 3 5 2 2" xfId="7450" xr:uid="{00000000-0005-0000-0000-00007C3F0000}"/>
    <cellStyle name="Normal 9 3 5 2 2 2" xfId="15886" xr:uid="{00000000-0005-0000-0000-00007D3F0000}"/>
    <cellStyle name="Normal 9 3 5 2 3" xfId="11668" xr:uid="{00000000-0005-0000-0000-00007E3F0000}"/>
    <cellStyle name="Normal 9 3 5 3" xfId="5305" xr:uid="{00000000-0005-0000-0000-00007F3F0000}"/>
    <cellStyle name="Normal 9 3 5 3 2" xfId="13741" xr:uid="{00000000-0005-0000-0000-0000803F0000}"/>
    <cellStyle name="Normal 9 3 5 4" xfId="9523" xr:uid="{00000000-0005-0000-0000-0000813F0000}"/>
    <cellStyle name="Normal 9 3 6" xfId="1410" xr:uid="{00000000-0005-0000-0000-0000823F0000}"/>
    <cellStyle name="Normal 9 3 6 2" xfId="3640" xr:uid="{00000000-0005-0000-0000-0000833F0000}"/>
    <cellStyle name="Normal 9 3 6 2 2" xfId="7863" xr:uid="{00000000-0005-0000-0000-0000843F0000}"/>
    <cellStyle name="Normal 9 3 6 2 2 2" xfId="16299" xr:uid="{00000000-0005-0000-0000-0000853F0000}"/>
    <cellStyle name="Normal 9 3 6 2 3" xfId="12081" xr:uid="{00000000-0005-0000-0000-0000863F0000}"/>
    <cellStyle name="Normal 9 3 6 3" xfId="5718" xr:uid="{00000000-0005-0000-0000-0000873F0000}"/>
    <cellStyle name="Normal 9 3 6 3 2" xfId="14154" xr:uid="{00000000-0005-0000-0000-0000883F0000}"/>
    <cellStyle name="Normal 9 3 6 4" xfId="9936" xr:uid="{00000000-0005-0000-0000-0000893F0000}"/>
    <cellStyle name="Normal 9 3 7" xfId="1823" xr:uid="{00000000-0005-0000-0000-00008A3F0000}"/>
    <cellStyle name="Normal 9 3 7 2" xfId="4053" xr:uid="{00000000-0005-0000-0000-00008B3F0000}"/>
    <cellStyle name="Normal 9 3 7 2 2" xfId="8276" xr:uid="{00000000-0005-0000-0000-00008C3F0000}"/>
    <cellStyle name="Normal 9 3 7 2 2 2" xfId="16712" xr:uid="{00000000-0005-0000-0000-00008D3F0000}"/>
    <cellStyle name="Normal 9 3 7 2 3" xfId="12494" xr:uid="{00000000-0005-0000-0000-00008E3F0000}"/>
    <cellStyle name="Normal 9 3 7 3" xfId="6131" xr:uid="{00000000-0005-0000-0000-00008F3F0000}"/>
    <cellStyle name="Normal 9 3 7 3 2" xfId="14567" xr:uid="{00000000-0005-0000-0000-0000903F0000}"/>
    <cellStyle name="Normal 9 3 7 4" xfId="10349" xr:uid="{00000000-0005-0000-0000-0000913F0000}"/>
    <cellStyle name="Normal 9 3 8" xfId="2237" xr:uid="{00000000-0005-0000-0000-0000923F0000}"/>
    <cellStyle name="Normal 9 3 8 2" xfId="4466" xr:uid="{00000000-0005-0000-0000-0000933F0000}"/>
    <cellStyle name="Normal 9 3 8 2 2" xfId="8689" xr:uid="{00000000-0005-0000-0000-0000943F0000}"/>
    <cellStyle name="Normal 9 3 8 2 2 2" xfId="17125" xr:uid="{00000000-0005-0000-0000-0000953F0000}"/>
    <cellStyle name="Normal 9 3 8 2 3" xfId="12907" xr:uid="{00000000-0005-0000-0000-0000963F0000}"/>
    <cellStyle name="Normal 9 3 8 3" xfId="6544" xr:uid="{00000000-0005-0000-0000-0000973F0000}"/>
    <cellStyle name="Normal 9 3 8 3 2" xfId="14980" xr:uid="{00000000-0005-0000-0000-0000983F0000}"/>
    <cellStyle name="Normal 9 3 8 4" xfId="10762" xr:uid="{00000000-0005-0000-0000-0000993F0000}"/>
    <cellStyle name="Normal 9 3 9" xfId="2673" xr:uid="{00000000-0005-0000-0000-00009A3F0000}"/>
    <cellStyle name="Normal 9 3 9 2" xfId="6957" xr:uid="{00000000-0005-0000-0000-00009B3F0000}"/>
    <cellStyle name="Normal 9 3 9 2 2" xfId="15393" xr:uid="{00000000-0005-0000-0000-00009C3F0000}"/>
    <cellStyle name="Normal 9 3 9 3" xfId="11175" xr:uid="{00000000-0005-0000-0000-00009D3F0000}"/>
    <cellStyle name="Normal 9 4" xfId="535" xr:uid="{00000000-0005-0000-0000-00009E3F0000}"/>
    <cellStyle name="Normal 9 4 2" xfId="1002" xr:uid="{00000000-0005-0000-0000-00009F3F0000}"/>
    <cellStyle name="Normal 9 5" xfId="536" xr:uid="{00000000-0005-0000-0000-0000A03F0000}"/>
    <cellStyle name="Normal 9 5 2" xfId="537" xr:uid="{00000000-0005-0000-0000-0000A13F0000}"/>
    <cellStyle name="Normal 9 5 2 2" xfId="1004" xr:uid="{00000000-0005-0000-0000-0000A23F0000}"/>
    <cellStyle name="Normal 9 5 2 2 2" xfId="3236" xr:uid="{00000000-0005-0000-0000-0000A33F0000}"/>
    <cellStyle name="Normal 9 5 2 2 2 2" xfId="7459" xr:uid="{00000000-0005-0000-0000-0000A43F0000}"/>
    <cellStyle name="Normal 9 5 2 2 2 2 2" xfId="15895" xr:uid="{00000000-0005-0000-0000-0000A53F0000}"/>
    <cellStyle name="Normal 9 5 2 2 2 3" xfId="11677" xr:uid="{00000000-0005-0000-0000-0000A63F0000}"/>
    <cellStyle name="Normal 9 5 2 2 3" xfId="5314" xr:uid="{00000000-0005-0000-0000-0000A73F0000}"/>
    <cellStyle name="Normal 9 5 2 2 3 2" xfId="13750" xr:uid="{00000000-0005-0000-0000-0000A83F0000}"/>
    <cellStyle name="Normal 9 5 2 2 4" xfId="9532" xr:uid="{00000000-0005-0000-0000-0000A93F0000}"/>
    <cellStyle name="Normal 9 5 2 3" xfId="1419" xr:uid="{00000000-0005-0000-0000-0000AA3F0000}"/>
    <cellStyle name="Normal 9 5 2 3 2" xfId="3649" xr:uid="{00000000-0005-0000-0000-0000AB3F0000}"/>
    <cellStyle name="Normal 9 5 2 3 2 2" xfId="7872" xr:uid="{00000000-0005-0000-0000-0000AC3F0000}"/>
    <cellStyle name="Normal 9 5 2 3 2 2 2" xfId="16308" xr:uid="{00000000-0005-0000-0000-0000AD3F0000}"/>
    <cellStyle name="Normal 9 5 2 3 2 3" xfId="12090" xr:uid="{00000000-0005-0000-0000-0000AE3F0000}"/>
    <cellStyle name="Normal 9 5 2 3 3" xfId="5727" xr:uid="{00000000-0005-0000-0000-0000AF3F0000}"/>
    <cellStyle name="Normal 9 5 2 3 3 2" xfId="14163" xr:uid="{00000000-0005-0000-0000-0000B03F0000}"/>
    <cellStyle name="Normal 9 5 2 3 4" xfId="9945" xr:uid="{00000000-0005-0000-0000-0000B13F0000}"/>
    <cellStyle name="Normal 9 5 2 4" xfId="1832" xr:uid="{00000000-0005-0000-0000-0000B23F0000}"/>
    <cellStyle name="Normal 9 5 2 4 2" xfId="4062" xr:uid="{00000000-0005-0000-0000-0000B33F0000}"/>
    <cellStyle name="Normal 9 5 2 4 2 2" xfId="8285" xr:uid="{00000000-0005-0000-0000-0000B43F0000}"/>
    <cellStyle name="Normal 9 5 2 4 2 2 2" xfId="16721" xr:uid="{00000000-0005-0000-0000-0000B53F0000}"/>
    <cellStyle name="Normal 9 5 2 4 2 3" xfId="12503" xr:uid="{00000000-0005-0000-0000-0000B63F0000}"/>
    <cellStyle name="Normal 9 5 2 4 3" xfId="6140" xr:uid="{00000000-0005-0000-0000-0000B73F0000}"/>
    <cellStyle name="Normal 9 5 2 4 3 2" xfId="14576" xr:uid="{00000000-0005-0000-0000-0000B83F0000}"/>
    <cellStyle name="Normal 9 5 2 4 4" xfId="10358" xr:uid="{00000000-0005-0000-0000-0000B93F0000}"/>
    <cellStyle name="Normal 9 5 2 5" xfId="2246" xr:uid="{00000000-0005-0000-0000-0000BA3F0000}"/>
    <cellStyle name="Normal 9 5 2 5 2" xfId="4475" xr:uid="{00000000-0005-0000-0000-0000BB3F0000}"/>
    <cellStyle name="Normal 9 5 2 5 2 2" xfId="8698" xr:uid="{00000000-0005-0000-0000-0000BC3F0000}"/>
    <cellStyle name="Normal 9 5 2 5 2 2 2" xfId="17134" xr:uid="{00000000-0005-0000-0000-0000BD3F0000}"/>
    <cellStyle name="Normal 9 5 2 5 2 3" xfId="12916" xr:uid="{00000000-0005-0000-0000-0000BE3F0000}"/>
    <cellStyle name="Normal 9 5 2 5 3" xfId="6553" xr:uid="{00000000-0005-0000-0000-0000BF3F0000}"/>
    <cellStyle name="Normal 9 5 2 5 3 2" xfId="14989" xr:uid="{00000000-0005-0000-0000-0000C03F0000}"/>
    <cellStyle name="Normal 9 5 2 5 4" xfId="10771" xr:uid="{00000000-0005-0000-0000-0000C13F0000}"/>
    <cellStyle name="Normal 9 5 2 6" xfId="2682" xr:uid="{00000000-0005-0000-0000-0000C23F0000}"/>
    <cellStyle name="Normal 9 5 2 6 2" xfId="6966" xr:uid="{00000000-0005-0000-0000-0000C33F0000}"/>
    <cellStyle name="Normal 9 5 2 6 2 2" xfId="15402" xr:uid="{00000000-0005-0000-0000-0000C43F0000}"/>
    <cellStyle name="Normal 9 5 2 6 3" xfId="11184" xr:uid="{00000000-0005-0000-0000-0000C53F0000}"/>
    <cellStyle name="Normal 9 5 2 7" xfId="4901" xr:uid="{00000000-0005-0000-0000-0000C63F0000}"/>
    <cellStyle name="Normal 9 5 2 7 2" xfId="13337" xr:uid="{00000000-0005-0000-0000-0000C73F0000}"/>
    <cellStyle name="Normal 9 5 2 8" xfId="9119" xr:uid="{00000000-0005-0000-0000-0000C83F0000}"/>
    <cellStyle name="Normal 9 5 3" xfId="1003" xr:uid="{00000000-0005-0000-0000-0000C93F0000}"/>
    <cellStyle name="Normal 9 5 3 2" xfId="3235" xr:uid="{00000000-0005-0000-0000-0000CA3F0000}"/>
    <cellStyle name="Normal 9 5 3 2 2" xfId="7458" xr:uid="{00000000-0005-0000-0000-0000CB3F0000}"/>
    <cellStyle name="Normal 9 5 3 2 2 2" xfId="15894" xr:uid="{00000000-0005-0000-0000-0000CC3F0000}"/>
    <cellStyle name="Normal 9 5 3 2 3" xfId="11676" xr:uid="{00000000-0005-0000-0000-0000CD3F0000}"/>
    <cellStyle name="Normal 9 5 3 3" xfId="5313" xr:uid="{00000000-0005-0000-0000-0000CE3F0000}"/>
    <cellStyle name="Normal 9 5 3 3 2" xfId="13749" xr:uid="{00000000-0005-0000-0000-0000CF3F0000}"/>
    <cellStyle name="Normal 9 5 3 4" xfId="9531" xr:uid="{00000000-0005-0000-0000-0000D03F0000}"/>
    <cellStyle name="Normal 9 5 4" xfId="1418" xr:uid="{00000000-0005-0000-0000-0000D13F0000}"/>
    <cellStyle name="Normal 9 5 4 2" xfId="3648" xr:uid="{00000000-0005-0000-0000-0000D23F0000}"/>
    <cellStyle name="Normal 9 5 4 2 2" xfId="7871" xr:uid="{00000000-0005-0000-0000-0000D33F0000}"/>
    <cellStyle name="Normal 9 5 4 2 2 2" xfId="16307" xr:uid="{00000000-0005-0000-0000-0000D43F0000}"/>
    <cellStyle name="Normal 9 5 4 2 3" xfId="12089" xr:uid="{00000000-0005-0000-0000-0000D53F0000}"/>
    <cellStyle name="Normal 9 5 4 3" xfId="5726" xr:uid="{00000000-0005-0000-0000-0000D63F0000}"/>
    <cellStyle name="Normal 9 5 4 3 2" xfId="14162" xr:uid="{00000000-0005-0000-0000-0000D73F0000}"/>
    <cellStyle name="Normal 9 5 4 4" xfId="9944" xr:uid="{00000000-0005-0000-0000-0000D83F0000}"/>
    <cellStyle name="Normal 9 5 5" xfId="1831" xr:uid="{00000000-0005-0000-0000-0000D93F0000}"/>
    <cellStyle name="Normal 9 5 5 2" xfId="4061" xr:uid="{00000000-0005-0000-0000-0000DA3F0000}"/>
    <cellStyle name="Normal 9 5 5 2 2" xfId="8284" xr:uid="{00000000-0005-0000-0000-0000DB3F0000}"/>
    <cellStyle name="Normal 9 5 5 2 2 2" xfId="16720" xr:uid="{00000000-0005-0000-0000-0000DC3F0000}"/>
    <cellStyle name="Normal 9 5 5 2 3" xfId="12502" xr:uid="{00000000-0005-0000-0000-0000DD3F0000}"/>
    <cellStyle name="Normal 9 5 5 3" xfId="6139" xr:uid="{00000000-0005-0000-0000-0000DE3F0000}"/>
    <cellStyle name="Normal 9 5 5 3 2" xfId="14575" xr:uid="{00000000-0005-0000-0000-0000DF3F0000}"/>
    <cellStyle name="Normal 9 5 5 4" xfId="10357" xr:uid="{00000000-0005-0000-0000-0000E03F0000}"/>
    <cellStyle name="Normal 9 5 6" xfId="2245" xr:uid="{00000000-0005-0000-0000-0000E13F0000}"/>
    <cellStyle name="Normal 9 5 6 2" xfId="4474" xr:uid="{00000000-0005-0000-0000-0000E23F0000}"/>
    <cellStyle name="Normal 9 5 6 2 2" xfId="8697" xr:uid="{00000000-0005-0000-0000-0000E33F0000}"/>
    <cellStyle name="Normal 9 5 6 2 2 2" xfId="17133" xr:uid="{00000000-0005-0000-0000-0000E43F0000}"/>
    <cellStyle name="Normal 9 5 6 2 3" xfId="12915" xr:uid="{00000000-0005-0000-0000-0000E53F0000}"/>
    <cellStyle name="Normal 9 5 6 3" xfId="6552" xr:uid="{00000000-0005-0000-0000-0000E63F0000}"/>
    <cellStyle name="Normal 9 5 6 3 2" xfId="14988" xr:uid="{00000000-0005-0000-0000-0000E73F0000}"/>
    <cellStyle name="Normal 9 5 6 4" xfId="10770" xr:uid="{00000000-0005-0000-0000-0000E83F0000}"/>
    <cellStyle name="Normal 9 5 7" xfId="2681" xr:uid="{00000000-0005-0000-0000-0000E93F0000}"/>
    <cellStyle name="Normal 9 5 7 2" xfId="6965" xr:uid="{00000000-0005-0000-0000-0000EA3F0000}"/>
    <cellStyle name="Normal 9 5 7 2 2" xfId="15401" xr:uid="{00000000-0005-0000-0000-0000EB3F0000}"/>
    <cellStyle name="Normal 9 5 7 3" xfId="11183" xr:uid="{00000000-0005-0000-0000-0000EC3F0000}"/>
    <cellStyle name="Normal 9 5 8" xfId="4900" xr:uid="{00000000-0005-0000-0000-0000ED3F0000}"/>
    <cellStyle name="Normal 9 5 8 2" xfId="13336" xr:uid="{00000000-0005-0000-0000-0000EE3F0000}"/>
    <cellStyle name="Normal 9 5 9" xfId="9118" xr:uid="{00000000-0005-0000-0000-0000EF3F0000}"/>
    <cellStyle name="Normal 9 6" xfId="538" xr:uid="{00000000-0005-0000-0000-0000F03F0000}"/>
    <cellStyle name="Normal 9 6 2" xfId="1005" xr:uid="{00000000-0005-0000-0000-0000F13F0000}"/>
    <cellStyle name="Normal 9 6 2 2" xfId="3237" xr:uid="{00000000-0005-0000-0000-0000F23F0000}"/>
    <cellStyle name="Normal 9 6 2 2 2" xfId="7460" xr:uid="{00000000-0005-0000-0000-0000F33F0000}"/>
    <cellStyle name="Normal 9 6 2 2 2 2" xfId="15896" xr:uid="{00000000-0005-0000-0000-0000F43F0000}"/>
    <cellStyle name="Normal 9 6 2 2 3" xfId="11678" xr:uid="{00000000-0005-0000-0000-0000F53F0000}"/>
    <cellStyle name="Normal 9 6 2 3" xfId="5315" xr:uid="{00000000-0005-0000-0000-0000F63F0000}"/>
    <cellStyle name="Normal 9 6 2 3 2" xfId="13751" xr:uid="{00000000-0005-0000-0000-0000F73F0000}"/>
    <cellStyle name="Normal 9 6 2 4" xfId="9533" xr:uid="{00000000-0005-0000-0000-0000F83F0000}"/>
    <cellStyle name="Normal 9 6 3" xfId="1420" xr:uid="{00000000-0005-0000-0000-0000F93F0000}"/>
    <cellStyle name="Normal 9 6 3 2" xfId="3650" xr:uid="{00000000-0005-0000-0000-0000FA3F0000}"/>
    <cellStyle name="Normal 9 6 3 2 2" xfId="7873" xr:uid="{00000000-0005-0000-0000-0000FB3F0000}"/>
    <cellStyle name="Normal 9 6 3 2 2 2" xfId="16309" xr:uid="{00000000-0005-0000-0000-0000FC3F0000}"/>
    <cellStyle name="Normal 9 6 3 2 3" xfId="12091" xr:uid="{00000000-0005-0000-0000-0000FD3F0000}"/>
    <cellStyle name="Normal 9 6 3 3" xfId="5728" xr:uid="{00000000-0005-0000-0000-0000FE3F0000}"/>
    <cellStyle name="Normal 9 6 3 3 2" xfId="14164" xr:uid="{00000000-0005-0000-0000-0000FF3F0000}"/>
    <cellStyle name="Normal 9 6 3 4" xfId="9946" xr:uid="{00000000-0005-0000-0000-000000400000}"/>
    <cellStyle name="Normal 9 6 4" xfId="1833" xr:uid="{00000000-0005-0000-0000-000001400000}"/>
    <cellStyle name="Normal 9 6 4 2" xfId="4063" xr:uid="{00000000-0005-0000-0000-000002400000}"/>
    <cellStyle name="Normal 9 6 4 2 2" xfId="8286" xr:uid="{00000000-0005-0000-0000-000003400000}"/>
    <cellStyle name="Normal 9 6 4 2 2 2" xfId="16722" xr:uid="{00000000-0005-0000-0000-000004400000}"/>
    <cellStyle name="Normal 9 6 4 2 3" xfId="12504" xr:uid="{00000000-0005-0000-0000-000005400000}"/>
    <cellStyle name="Normal 9 6 4 3" xfId="6141" xr:uid="{00000000-0005-0000-0000-000006400000}"/>
    <cellStyle name="Normal 9 6 4 3 2" xfId="14577" xr:uid="{00000000-0005-0000-0000-000007400000}"/>
    <cellStyle name="Normal 9 6 4 4" xfId="10359" xr:uid="{00000000-0005-0000-0000-000008400000}"/>
    <cellStyle name="Normal 9 6 5" xfId="2247" xr:uid="{00000000-0005-0000-0000-000009400000}"/>
    <cellStyle name="Normal 9 6 5 2" xfId="4476" xr:uid="{00000000-0005-0000-0000-00000A400000}"/>
    <cellStyle name="Normal 9 6 5 2 2" xfId="8699" xr:uid="{00000000-0005-0000-0000-00000B400000}"/>
    <cellStyle name="Normal 9 6 5 2 2 2" xfId="17135" xr:uid="{00000000-0005-0000-0000-00000C400000}"/>
    <cellStyle name="Normal 9 6 5 2 3" xfId="12917" xr:uid="{00000000-0005-0000-0000-00000D400000}"/>
    <cellStyle name="Normal 9 6 5 3" xfId="6554" xr:uid="{00000000-0005-0000-0000-00000E400000}"/>
    <cellStyle name="Normal 9 6 5 3 2" xfId="14990" xr:uid="{00000000-0005-0000-0000-00000F400000}"/>
    <cellStyle name="Normal 9 6 5 4" xfId="10772" xr:uid="{00000000-0005-0000-0000-000010400000}"/>
    <cellStyle name="Normal 9 6 6" xfId="2683" xr:uid="{00000000-0005-0000-0000-000011400000}"/>
    <cellStyle name="Normal 9 6 6 2" xfId="6967" xr:uid="{00000000-0005-0000-0000-000012400000}"/>
    <cellStyle name="Normal 9 6 6 2 2" xfId="15403" xr:uid="{00000000-0005-0000-0000-000013400000}"/>
    <cellStyle name="Normal 9 6 6 3" xfId="11185" xr:uid="{00000000-0005-0000-0000-000014400000}"/>
    <cellStyle name="Normal 9 6 7" xfId="4902" xr:uid="{00000000-0005-0000-0000-000015400000}"/>
    <cellStyle name="Normal 9 6 7 2" xfId="13338" xr:uid="{00000000-0005-0000-0000-000016400000}"/>
    <cellStyle name="Normal 9 6 8" xfId="9120" xr:uid="{00000000-0005-0000-0000-000017400000}"/>
    <cellStyle name="Normal 9 7" xfId="977" xr:uid="{00000000-0005-0000-0000-000018400000}"/>
    <cellStyle name="Normal_07-190 basis matrix" xfId="539" xr:uid="{00000000-0005-0000-0000-000019400000}"/>
    <cellStyle name="Normal_07-190 basis matrix 2" xfId="540" xr:uid="{00000000-0005-0000-0000-00001A400000}"/>
    <cellStyle name="Normal_1" xfId="541" xr:uid="{00000000-0005-0000-0000-00001B400000}"/>
    <cellStyle name="Normal_100%RENTS" xfId="542" xr:uid="{00000000-0005-0000-0000-00001C400000}"/>
    <cellStyle name="Normal_Contact  Development Universal Application 8-02" xfId="4503" xr:uid="{00000000-0005-0000-0000-00001D400000}"/>
    <cellStyle name="Normal_CTCAC 9% Application 7-18-07 practice run 3" xfId="543" xr:uid="{00000000-0005-0000-0000-00001E400000}"/>
    <cellStyle name="Normal_CTCAC 9% Application 7-18-07 practice run 3 2 2" xfId="4497" xr:uid="{00000000-0005-0000-0000-00001F400000}"/>
    <cellStyle name="Normal_CTCAC 9% Application 7-18-07 practice run 3 3" xfId="1834" xr:uid="{00000000-0005-0000-0000-000020400000}"/>
    <cellStyle name="Note 2" xfId="544" xr:uid="{00000000-0005-0000-0000-000021400000}"/>
    <cellStyle name="Note 2 2" xfId="545" xr:uid="{00000000-0005-0000-0000-000022400000}"/>
    <cellStyle name="Note 2 2 10" xfId="2824" xr:uid="{00000000-0005-0000-0000-000023400000}"/>
    <cellStyle name="Note 2 2 10 2" xfId="7048" xr:uid="{00000000-0005-0000-0000-000024400000}"/>
    <cellStyle name="Note 2 2 10 2 2" xfId="15484" xr:uid="{00000000-0005-0000-0000-000025400000}"/>
    <cellStyle name="Note 2 2 10 3" xfId="11266" xr:uid="{00000000-0005-0000-0000-000026400000}"/>
    <cellStyle name="Note 2 2 11" xfId="4903" xr:uid="{00000000-0005-0000-0000-000027400000}"/>
    <cellStyle name="Note 2 2 11 2" xfId="13339" xr:uid="{00000000-0005-0000-0000-000028400000}"/>
    <cellStyle name="Note 2 2 12" xfId="9121" xr:uid="{00000000-0005-0000-0000-000029400000}"/>
    <cellStyle name="Note 2 2 2" xfId="546" xr:uid="{00000000-0005-0000-0000-00002A400000}"/>
    <cellStyle name="Note 2 2 2 10" xfId="4904" xr:uid="{00000000-0005-0000-0000-00002B400000}"/>
    <cellStyle name="Note 2 2 2 10 2" xfId="13340" xr:uid="{00000000-0005-0000-0000-00002C400000}"/>
    <cellStyle name="Note 2 2 2 11" xfId="9122" xr:uid="{00000000-0005-0000-0000-00002D400000}"/>
    <cellStyle name="Note 2 2 2 2" xfId="547" xr:uid="{00000000-0005-0000-0000-00002E400000}"/>
    <cellStyle name="Note 2 2 2 2 10" xfId="9123" xr:uid="{00000000-0005-0000-0000-00002F400000}"/>
    <cellStyle name="Note 2 2 2 2 2" xfId="1008" xr:uid="{00000000-0005-0000-0000-000030400000}"/>
    <cellStyle name="Note 2 2 2 2 2 2" xfId="3240" xr:uid="{00000000-0005-0000-0000-000031400000}"/>
    <cellStyle name="Note 2 2 2 2 2 2 2" xfId="7463" xr:uid="{00000000-0005-0000-0000-000032400000}"/>
    <cellStyle name="Note 2 2 2 2 2 2 2 2" xfId="15899" xr:uid="{00000000-0005-0000-0000-000033400000}"/>
    <cellStyle name="Note 2 2 2 2 2 2 3" xfId="11681" xr:uid="{00000000-0005-0000-0000-000034400000}"/>
    <cellStyle name="Note 2 2 2 2 2 3" xfId="5318" xr:uid="{00000000-0005-0000-0000-000035400000}"/>
    <cellStyle name="Note 2 2 2 2 2 3 2" xfId="13754" xr:uid="{00000000-0005-0000-0000-000036400000}"/>
    <cellStyle name="Note 2 2 2 2 2 4" xfId="9536" xr:uid="{00000000-0005-0000-0000-000037400000}"/>
    <cellStyle name="Note 2 2 2 2 3" xfId="1423" xr:uid="{00000000-0005-0000-0000-000038400000}"/>
    <cellStyle name="Note 2 2 2 2 3 2" xfId="3653" xr:uid="{00000000-0005-0000-0000-000039400000}"/>
    <cellStyle name="Note 2 2 2 2 3 2 2" xfId="7876" xr:uid="{00000000-0005-0000-0000-00003A400000}"/>
    <cellStyle name="Note 2 2 2 2 3 2 2 2" xfId="16312" xr:uid="{00000000-0005-0000-0000-00003B400000}"/>
    <cellStyle name="Note 2 2 2 2 3 2 3" xfId="12094" xr:uid="{00000000-0005-0000-0000-00003C400000}"/>
    <cellStyle name="Note 2 2 2 2 3 3" xfId="5731" xr:uid="{00000000-0005-0000-0000-00003D400000}"/>
    <cellStyle name="Note 2 2 2 2 3 3 2" xfId="14167" xr:uid="{00000000-0005-0000-0000-00003E400000}"/>
    <cellStyle name="Note 2 2 2 2 3 4" xfId="9949" xr:uid="{00000000-0005-0000-0000-00003F400000}"/>
    <cellStyle name="Note 2 2 2 2 4" xfId="1837" xr:uid="{00000000-0005-0000-0000-000040400000}"/>
    <cellStyle name="Note 2 2 2 2 4 2" xfId="4066" xr:uid="{00000000-0005-0000-0000-000041400000}"/>
    <cellStyle name="Note 2 2 2 2 4 2 2" xfId="8289" xr:uid="{00000000-0005-0000-0000-000042400000}"/>
    <cellStyle name="Note 2 2 2 2 4 2 2 2" xfId="16725" xr:uid="{00000000-0005-0000-0000-000043400000}"/>
    <cellStyle name="Note 2 2 2 2 4 2 3" xfId="12507" xr:uid="{00000000-0005-0000-0000-000044400000}"/>
    <cellStyle name="Note 2 2 2 2 4 3" xfId="6144" xr:uid="{00000000-0005-0000-0000-000045400000}"/>
    <cellStyle name="Note 2 2 2 2 4 3 2" xfId="14580" xr:uid="{00000000-0005-0000-0000-000046400000}"/>
    <cellStyle name="Note 2 2 2 2 4 4" xfId="10362" xr:uid="{00000000-0005-0000-0000-000047400000}"/>
    <cellStyle name="Note 2 2 2 2 5" xfId="2250" xr:uid="{00000000-0005-0000-0000-000048400000}"/>
    <cellStyle name="Note 2 2 2 2 5 2" xfId="4479" xr:uid="{00000000-0005-0000-0000-000049400000}"/>
    <cellStyle name="Note 2 2 2 2 5 2 2" xfId="8702" xr:uid="{00000000-0005-0000-0000-00004A400000}"/>
    <cellStyle name="Note 2 2 2 2 5 2 2 2" xfId="17138" xr:uid="{00000000-0005-0000-0000-00004B400000}"/>
    <cellStyle name="Note 2 2 2 2 5 2 3" xfId="12920" xr:uid="{00000000-0005-0000-0000-00004C400000}"/>
    <cellStyle name="Note 2 2 2 2 5 3" xfId="6557" xr:uid="{00000000-0005-0000-0000-00004D400000}"/>
    <cellStyle name="Note 2 2 2 2 5 3 2" xfId="14993" xr:uid="{00000000-0005-0000-0000-00004E400000}"/>
    <cellStyle name="Note 2 2 2 2 5 4" xfId="10775" xr:uid="{00000000-0005-0000-0000-00004F400000}"/>
    <cellStyle name="Note 2 2 2 2 6" xfId="2686" xr:uid="{00000000-0005-0000-0000-000050400000}"/>
    <cellStyle name="Note 2 2 2 2 6 2" xfId="6970" xr:uid="{00000000-0005-0000-0000-000051400000}"/>
    <cellStyle name="Note 2 2 2 2 6 2 2" xfId="15406" xr:uid="{00000000-0005-0000-0000-000052400000}"/>
    <cellStyle name="Note 2 2 2 2 6 3" xfId="11188" xr:uid="{00000000-0005-0000-0000-000053400000}"/>
    <cellStyle name="Note 2 2 2 2 7" xfId="2745" xr:uid="{00000000-0005-0000-0000-000054400000}"/>
    <cellStyle name="Note 2 2 2 2 8" xfId="2826" xr:uid="{00000000-0005-0000-0000-000055400000}"/>
    <cellStyle name="Note 2 2 2 2 8 2" xfId="7050" xr:uid="{00000000-0005-0000-0000-000056400000}"/>
    <cellStyle name="Note 2 2 2 2 8 2 2" xfId="15486" xr:uid="{00000000-0005-0000-0000-000057400000}"/>
    <cellStyle name="Note 2 2 2 2 8 3" xfId="11268" xr:uid="{00000000-0005-0000-0000-000058400000}"/>
    <cellStyle name="Note 2 2 2 2 9" xfId="4905" xr:uid="{00000000-0005-0000-0000-000059400000}"/>
    <cellStyle name="Note 2 2 2 2 9 2" xfId="13341" xr:uid="{00000000-0005-0000-0000-00005A400000}"/>
    <cellStyle name="Note 2 2 2 3" xfId="1007" xr:uid="{00000000-0005-0000-0000-00005B400000}"/>
    <cellStyle name="Note 2 2 2 3 2" xfId="3239" xr:uid="{00000000-0005-0000-0000-00005C400000}"/>
    <cellStyle name="Note 2 2 2 3 2 2" xfId="7462" xr:uid="{00000000-0005-0000-0000-00005D400000}"/>
    <cellStyle name="Note 2 2 2 3 2 2 2" xfId="15898" xr:uid="{00000000-0005-0000-0000-00005E400000}"/>
    <cellStyle name="Note 2 2 2 3 2 3" xfId="11680" xr:uid="{00000000-0005-0000-0000-00005F400000}"/>
    <cellStyle name="Note 2 2 2 3 3" xfId="5317" xr:uid="{00000000-0005-0000-0000-000060400000}"/>
    <cellStyle name="Note 2 2 2 3 3 2" xfId="13753" xr:uid="{00000000-0005-0000-0000-000061400000}"/>
    <cellStyle name="Note 2 2 2 3 4" xfId="9535" xr:uid="{00000000-0005-0000-0000-000062400000}"/>
    <cellStyle name="Note 2 2 2 4" xfId="1422" xr:uid="{00000000-0005-0000-0000-000063400000}"/>
    <cellStyle name="Note 2 2 2 4 2" xfId="3652" xr:uid="{00000000-0005-0000-0000-000064400000}"/>
    <cellStyle name="Note 2 2 2 4 2 2" xfId="7875" xr:uid="{00000000-0005-0000-0000-000065400000}"/>
    <cellStyle name="Note 2 2 2 4 2 2 2" xfId="16311" xr:uid="{00000000-0005-0000-0000-000066400000}"/>
    <cellStyle name="Note 2 2 2 4 2 3" xfId="12093" xr:uid="{00000000-0005-0000-0000-000067400000}"/>
    <cellStyle name="Note 2 2 2 4 3" xfId="5730" xr:uid="{00000000-0005-0000-0000-000068400000}"/>
    <cellStyle name="Note 2 2 2 4 3 2" xfId="14166" xr:uid="{00000000-0005-0000-0000-000069400000}"/>
    <cellStyle name="Note 2 2 2 4 4" xfId="9948" xr:uid="{00000000-0005-0000-0000-00006A400000}"/>
    <cellStyle name="Note 2 2 2 5" xfId="1836" xr:uid="{00000000-0005-0000-0000-00006B400000}"/>
    <cellStyle name="Note 2 2 2 5 2" xfId="4065" xr:uid="{00000000-0005-0000-0000-00006C400000}"/>
    <cellStyle name="Note 2 2 2 5 2 2" xfId="8288" xr:uid="{00000000-0005-0000-0000-00006D400000}"/>
    <cellStyle name="Note 2 2 2 5 2 2 2" xfId="16724" xr:uid="{00000000-0005-0000-0000-00006E400000}"/>
    <cellStyle name="Note 2 2 2 5 2 3" xfId="12506" xr:uid="{00000000-0005-0000-0000-00006F400000}"/>
    <cellStyle name="Note 2 2 2 5 3" xfId="6143" xr:uid="{00000000-0005-0000-0000-000070400000}"/>
    <cellStyle name="Note 2 2 2 5 3 2" xfId="14579" xr:uid="{00000000-0005-0000-0000-000071400000}"/>
    <cellStyle name="Note 2 2 2 5 4" xfId="10361" xr:uid="{00000000-0005-0000-0000-000072400000}"/>
    <cellStyle name="Note 2 2 2 6" xfId="2249" xr:uid="{00000000-0005-0000-0000-000073400000}"/>
    <cellStyle name="Note 2 2 2 6 2" xfId="4478" xr:uid="{00000000-0005-0000-0000-000074400000}"/>
    <cellStyle name="Note 2 2 2 6 2 2" xfId="8701" xr:uid="{00000000-0005-0000-0000-000075400000}"/>
    <cellStyle name="Note 2 2 2 6 2 2 2" xfId="17137" xr:uid="{00000000-0005-0000-0000-000076400000}"/>
    <cellStyle name="Note 2 2 2 6 2 3" xfId="12919" xr:uid="{00000000-0005-0000-0000-000077400000}"/>
    <cellStyle name="Note 2 2 2 6 3" xfId="6556" xr:uid="{00000000-0005-0000-0000-000078400000}"/>
    <cellStyle name="Note 2 2 2 6 3 2" xfId="14992" xr:uid="{00000000-0005-0000-0000-000079400000}"/>
    <cellStyle name="Note 2 2 2 6 4" xfId="10774" xr:uid="{00000000-0005-0000-0000-00007A400000}"/>
    <cellStyle name="Note 2 2 2 7" xfId="2685" xr:uid="{00000000-0005-0000-0000-00007B400000}"/>
    <cellStyle name="Note 2 2 2 7 2" xfId="6969" xr:uid="{00000000-0005-0000-0000-00007C400000}"/>
    <cellStyle name="Note 2 2 2 7 2 2" xfId="15405" xr:uid="{00000000-0005-0000-0000-00007D400000}"/>
    <cellStyle name="Note 2 2 2 7 3" xfId="11187" xr:uid="{00000000-0005-0000-0000-00007E400000}"/>
    <cellStyle name="Note 2 2 2 8" xfId="2744" xr:uid="{00000000-0005-0000-0000-00007F400000}"/>
    <cellStyle name="Note 2 2 2 9" xfId="2825" xr:uid="{00000000-0005-0000-0000-000080400000}"/>
    <cellStyle name="Note 2 2 2 9 2" xfId="7049" xr:uid="{00000000-0005-0000-0000-000081400000}"/>
    <cellStyle name="Note 2 2 2 9 2 2" xfId="15485" xr:uid="{00000000-0005-0000-0000-000082400000}"/>
    <cellStyle name="Note 2 2 2 9 3" xfId="11267" xr:uid="{00000000-0005-0000-0000-000083400000}"/>
    <cellStyle name="Note 2 2 3" xfId="548" xr:uid="{00000000-0005-0000-0000-000084400000}"/>
    <cellStyle name="Note 2 2 3 10" xfId="9124" xr:uid="{00000000-0005-0000-0000-000085400000}"/>
    <cellStyle name="Note 2 2 3 2" xfId="1009" xr:uid="{00000000-0005-0000-0000-000086400000}"/>
    <cellStyle name="Note 2 2 3 2 2" xfId="3241" xr:uid="{00000000-0005-0000-0000-000087400000}"/>
    <cellStyle name="Note 2 2 3 2 2 2" xfId="7464" xr:uid="{00000000-0005-0000-0000-000088400000}"/>
    <cellStyle name="Note 2 2 3 2 2 2 2" xfId="15900" xr:uid="{00000000-0005-0000-0000-000089400000}"/>
    <cellStyle name="Note 2 2 3 2 2 3" xfId="11682" xr:uid="{00000000-0005-0000-0000-00008A400000}"/>
    <cellStyle name="Note 2 2 3 2 3" xfId="5319" xr:uid="{00000000-0005-0000-0000-00008B400000}"/>
    <cellStyle name="Note 2 2 3 2 3 2" xfId="13755" xr:uid="{00000000-0005-0000-0000-00008C400000}"/>
    <cellStyle name="Note 2 2 3 2 4" xfId="9537" xr:uid="{00000000-0005-0000-0000-00008D400000}"/>
    <cellStyle name="Note 2 2 3 3" xfId="1424" xr:uid="{00000000-0005-0000-0000-00008E400000}"/>
    <cellStyle name="Note 2 2 3 3 2" xfId="3654" xr:uid="{00000000-0005-0000-0000-00008F400000}"/>
    <cellStyle name="Note 2 2 3 3 2 2" xfId="7877" xr:uid="{00000000-0005-0000-0000-000090400000}"/>
    <cellStyle name="Note 2 2 3 3 2 2 2" xfId="16313" xr:uid="{00000000-0005-0000-0000-000091400000}"/>
    <cellStyle name="Note 2 2 3 3 2 3" xfId="12095" xr:uid="{00000000-0005-0000-0000-000092400000}"/>
    <cellStyle name="Note 2 2 3 3 3" xfId="5732" xr:uid="{00000000-0005-0000-0000-000093400000}"/>
    <cellStyle name="Note 2 2 3 3 3 2" xfId="14168" xr:uid="{00000000-0005-0000-0000-000094400000}"/>
    <cellStyle name="Note 2 2 3 3 4" xfId="9950" xr:uid="{00000000-0005-0000-0000-000095400000}"/>
    <cellStyle name="Note 2 2 3 4" xfId="1838" xr:uid="{00000000-0005-0000-0000-000096400000}"/>
    <cellStyle name="Note 2 2 3 4 2" xfId="4067" xr:uid="{00000000-0005-0000-0000-000097400000}"/>
    <cellStyle name="Note 2 2 3 4 2 2" xfId="8290" xr:uid="{00000000-0005-0000-0000-000098400000}"/>
    <cellStyle name="Note 2 2 3 4 2 2 2" xfId="16726" xr:uid="{00000000-0005-0000-0000-000099400000}"/>
    <cellStyle name="Note 2 2 3 4 2 3" xfId="12508" xr:uid="{00000000-0005-0000-0000-00009A400000}"/>
    <cellStyle name="Note 2 2 3 4 3" xfId="6145" xr:uid="{00000000-0005-0000-0000-00009B400000}"/>
    <cellStyle name="Note 2 2 3 4 3 2" xfId="14581" xr:uid="{00000000-0005-0000-0000-00009C400000}"/>
    <cellStyle name="Note 2 2 3 4 4" xfId="10363" xr:uid="{00000000-0005-0000-0000-00009D400000}"/>
    <cellStyle name="Note 2 2 3 5" xfId="2251" xr:uid="{00000000-0005-0000-0000-00009E400000}"/>
    <cellStyle name="Note 2 2 3 5 2" xfId="4480" xr:uid="{00000000-0005-0000-0000-00009F400000}"/>
    <cellStyle name="Note 2 2 3 5 2 2" xfId="8703" xr:uid="{00000000-0005-0000-0000-0000A0400000}"/>
    <cellStyle name="Note 2 2 3 5 2 2 2" xfId="17139" xr:uid="{00000000-0005-0000-0000-0000A1400000}"/>
    <cellStyle name="Note 2 2 3 5 2 3" xfId="12921" xr:uid="{00000000-0005-0000-0000-0000A2400000}"/>
    <cellStyle name="Note 2 2 3 5 3" xfId="6558" xr:uid="{00000000-0005-0000-0000-0000A3400000}"/>
    <cellStyle name="Note 2 2 3 5 3 2" xfId="14994" xr:uid="{00000000-0005-0000-0000-0000A4400000}"/>
    <cellStyle name="Note 2 2 3 5 4" xfId="10776" xr:uid="{00000000-0005-0000-0000-0000A5400000}"/>
    <cellStyle name="Note 2 2 3 6" xfId="2687" xr:uid="{00000000-0005-0000-0000-0000A6400000}"/>
    <cellStyle name="Note 2 2 3 6 2" xfId="6971" xr:uid="{00000000-0005-0000-0000-0000A7400000}"/>
    <cellStyle name="Note 2 2 3 6 2 2" xfId="15407" xr:uid="{00000000-0005-0000-0000-0000A8400000}"/>
    <cellStyle name="Note 2 2 3 6 3" xfId="11189" xr:uid="{00000000-0005-0000-0000-0000A9400000}"/>
    <cellStyle name="Note 2 2 3 7" xfId="2746" xr:uid="{00000000-0005-0000-0000-0000AA400000}"/>
    <cellStyle name="Note 2 2 3 8" xfId="2827" xr:uid="{00000000-0005-0000-0000-0000AB400000}"/>
    <cellStyle name="Note 2 2 3 8 2" xfId="7051" xr:uid="{00000000-0005-0000-0000-0000AC400000}"/>
    <cellStyle name="Note 2 2 3 8 2 2" xfId="15487" xr:uid="{00000000-0005-0000-0000-0000AD400000}"/>
    <cellStyle name="Note 2 2 3 8 3" xfId="11269" xr:uid="{00000000-0005-0000-0000-0000AE400000}"/>
    <cellStyle name="Note 2 2 3 9" xfId="4906" xr:uid="{00000000-0005-0000-0000-0000AF400000}"/>
    <cellStyle name="Note 2 2 3 9 2" xfId="13342" xr:uid="{00000000-0005-0000-0000-0000B0400000}"/>
    <cellStyle name="Note 2 2 4" xfId="1006" xr:uid="{00000000-0005-0000-0000-0000B1400000}"/>
    <cellStyle name="Note 2 2 4 2" xfId="3238" xr:uid="{00000000-0005-0000-0000-0000B2400000}"/>
    <cellStyle name="Note 2 2 4 2 2" xfId="7461" xr:uid="{00000000-0005-0000-0000-0000B3400000}"/>
    <cellStyle name="Note 2 2 4 2 2 2" xfId="15897" xr:uid="{00000000-0005-0000-0000-0000B4400000}"/>
    <cellStyle name="Note 2 2 4 2 3" xfId="11679" xr:uid="{00000000-0005-0000-0000-0000B5400000}"/>
    <cellStyle name="Note 2 2 4 3" xfId="5316" xr:uid="{00000000-0005-0000-0000-0000B6400000}"/>
    <cellStyle name="Note 2 2 4 3 2" xfId="13752" xr:uid="{00000000-0005-0000-0000-0000B7400000}"/>
    <cellStyle name="Note 2 2 4 4" xfId="9534" xr:uid="{00000000-0005-0000-0000-0000B8400000}"/>
    <cellStyle name="Note 2 2 5" xfId="1421" xr:uid="{00000000-0005-0000-0000-0000B9400000}"/>
    <cellStyle name="Note 2 2 5 2" xfId="3651" xr:uid="{00000000-0005-0000-0000-0000BA400000}"/>
    <cellStyle name="Note 2 2 5 2 2" xfId="7874" xr:uid="{00000000-0005-0000-0000-0000BB400000}"/>
    <cellStyle name="Note 2 2 5 2 2 2" xfId="16310" xr:uid="{00000000-0005-0000-0000-0000BC400000}"/>
    <cellStyle name="Note 2 2 5 2 3" xfId="12092" xr:uid="{00000000-0005-0000-0000-0000BD400000}"/>
    <cellStyle name="Note 2 2 5 3" xfId="5729" xr:uid="{00000000-0005-0000-0000-0000BE400000}"/>
    <cellStyle name="Note 2 2 5 3 2" xfId="14165" xr:uid="{00000000-0005-0000-0000-0000BF400000}"/>
    <cellStyle name="Note 2 2 5 4" xfId="9947" xr:uid="{00000000-0005-0000-0000-0000C0400000}"/>
    <cellStyle name="Note 2 2 6" xfId="1835" xr:uid="{00000000-0005-0000-0000-0000C1400000}"/>
    <cellStyle name="Note 2 2 6 2" xfId="4064" xr:uid="{00000000-0005-0000-0000-0000C2400000}"/>
    <cellStyle name="Note 2 2 6 2 2" xfId="8287" xr:uid="{00000000-0005-0000-0000-0000C3400000}"/>
    <cellStyle name="Note 2 2 6 2 2 2" xfId="16723" xr:uid="{00000000-0005-0000-0000-0000C4400000}"/>
    <cellStyle name="Note 2 2 6 2 3" xfId="12505" xr:uid="{00000000-0005-0000-0000-0000C5400000}"/>
    <cellStyle name="Note 2 2 6 3" xfId="6142" xr:uid="{00000000-0005-0000-0000-0000C6400000}"/>
    <cellStyle name="Note 2 2 6 3 2" xfId="14578" xr:uid="{00000000-0005-0000-0000-0000C7400000}"/>
    <cellStyle name="Note 2 2 6 4" xfId="10360" xr:uid="{00000000-0005-0000-0000-0000C8400000}"/>
    <cellStyle name="Note 2 2 7" xfId="2248" xr:uid="{00000000-0005-0000-0000-0000C9400000}"/>
    <cellStyle name="Note 2 2 7 2" xfId="4477" xr:uid="{00000000-0005-0000-0000-0000CA400000}"/>
    <cellStyle name="Note 2 2 7 2 2" xfId="8700" xr:uid="{00000000-0005-0000-0000-0000CB400000}"/>
    <cellStyle name="Note 2 2 7 2 2 2" xfId="17136" xr:uid="{00000000-0005-0000-0000-0000CC400000}"/>
    <cellStyle name="Note 2 2 7 2 3" xfId="12918" xr:uid="{00000000-0005-0000-0000-0000CD400000}"/>
    <cellStyle name="Note 2 2 7 3" xfId="6555" xr:uid="{00000000-0005-0000-0000-0000CE400000}"/>
    <cellStyle name="Note 2 2 7 3 2" xfId="14991" xr:uid="{00000000-0005-0000-0000-0000CF400000}"/>
    <cellStyle name="Note 2 2 7 4" xfId="10773" xr:uid="{00000000-0005-0000-0000-0000D0400000}"/>
    <cellStyle name="Note 2 2 8" xfId="2684" xr:uid="{00000000-0005-0000-0000-0000D1400000}"/>
    <cellStyle name="Note 2 2 8 2" xfId="6968" xr:uid="{00000000-0005-0000-0000-0000D2400000}"/>
    <cellStyle name="Note 2 2 8 2 2" xfId="15404" xr:uid="{00000000-0005-0000-0000-0000D3400000}"/>
    <cellStyle name="Note 2 2 8 3" xfId="11186" xr:uid="{00000000-0005-0000-0000-0000D4400000}"/>
    <cellStyle name="Note 2 2 9" xfId="2743" xr:uid="{00000000-0005-0000-0000-0000D5400000}"/>
    <cellStyle name="Note 2 3" xfId="549" xr:uid="{00000000-0005-0000-0000-0000D6400000}"/>
    <cellStyle name="Note 2 3 10" xfId="4907" xr:uid="{00000000-0005-0000-0000-0000D7400000}"/>
    <cellStyle name="Note 2 3 10 2" xfId="13343" xr:uid="{00000000-0005-0000-0000-0000D8400000}"/>
    <cellStyle name="Note 2 3 11" xfId="9125" xr:uid="{00000000-0005-0000-0000-0000D9400000}"/>
    <cellStyle name="Note 2 3 2" xfId="550" xr:uid="{00000000-0005-0000-0000-0000DA400000}"/>
    <cellStyle name="Note 2 3 2 10" xfId="9126" xr:uid="{00000000-0005-0000-0000-0000DB400000}"/>
    <cellStyle name="Note 2 3 2 2" xfId="1011" xr:uid="{00000000-0005-0000-0000-0000DC400000}"/>
    <cellStyle name="Note 2 3 2 2 2" xfId="3243" xr:uid="{00000000-0005-0000-0000-0000DD400000}"/>
    <cellStyle name="Note 2 3 2 2 2 2" xfId="7466" xr:uid="{00000000-0005-0000-0000-0000DE400000}"/>
    <cellStyle name="Note 2 3 2 2 2 2 2" xfId="15902" xr:uid="{00000000-0005-0000-0000-0000DF400000}"/>
    <cellStyle name="Note 2 3 2 2 2 3" xfId="11684" xr:uid="{00000000-0005-0000-0000-0000E0400000}"/>
    <cellStyle name="Note 2 3 2 2 3" xfId="5321" xr:uid="{00000000-0005-0000-0000-0000E1400000}"/>
    <cellStyle name="Note 2 3 2 2 3 2" xfId="13757" xr:uid="{00000000-0005-0000-0000-0000E2400000}"/>
    <cellStyle name="Note 2 3 2 2 4" xfId="9539" xr:uid="{00000000-0005-0000-0000-0000E3400000}"/>
    <cellStyle name="Note 2 3 2 3" xfId="1426" xr:uid="{00000000-0005-0000-0000-0000E4400000}"/>
    <cellStyle name="Note 2 3 2 3 2" xfId="3656" xr:uid="{00000000-0005-0000-0000-0000E5400000}"/>
    <cellStyle name="Note 2 3 2 3 2 2" xfId="7879" xr:uid="{00000000-0005-0000-0000-0000E6400000}"/>
    <cellStyle name="Note 2 3 2 3 2 2 2" xfId="16315" xr:uid="{00000000-0005-0000-0000-0000E7400000}"/>
    <cellStyle name="Note 2 3 2 3 2 3" xfId="12097" xr:uid="{00000000-0005-0000-0000-0000E8400000}"/>
    <cellStyle name="Note 2 3 2 3 3" xfId="5734" xr:uid="{00000000-0005-0000-0000-0000E9400000}"/>
    <cellStyle name="Note 2 3 2 3 3 2" xfId="14170" xr:uid="{00000000-0005-0000-0000-0000EA400000}"/>
    <cellStyle name="Note 2 3 2 3 4" xfId="9952" xr:uid="{00000000-0005-0000-0000-0000EB400000}"/>
    <cellStyle name="Note 2 3 2 4" xfId="1840" xr:uid="{00000000-0005-0000-0000-0000EC400000}"/>
    <cellStyle name="Note 2 3 2 4 2" xfId="4069" xr:uid="{00000000-0005-0000-0000-0000ED400000}"/>
    <cellStyle name="Note 2 3 2 4 2 2" xfId="8292" xr:uid="{00000000-0005-0000-0000-0000EE400000}"/>
    <cellStyle name="Note 2 3 2 4 2 2 2" xfId="16728" xr:uid="{00000000-0005-0000-0000-0000EF400000}"/>
    <cellStyle name="Note 2 3 2 4 2 3" xfId="12510" xr:uid="{00000000-0005-0000-0000-0000F0400000}"/>
    <cellStyle name="Note 2 3 2 4 3" xfId="6147" xr:uid="{00000000-0005-0000-0000-0000F1400000}"/>
    <cellStyle name="Note 2 3 2 4 3 2" xfId="14583" xr:uid="{00000000-0005-0000-0000-0000F2400000}"/>
    <cellStyle name="Note 2 3 2 4 4" xfId="10365" xr:uid="{00000000-0005-0000-0000-0000F3400000}"/>
    <cellStyle name="Note 2 3 2 5" xfId="2253" xr:uid="{00000000-0005-0000-0000-0000F4400000}"/>
    <cellStyle name="Note 2 3 2 5 2" xfId="4482" xr:uid="{00000000-0005-0000-0000-0000F5400000}"/>
    <cellStyle name="Note 2 3 2 5 2 2" xfId="8705" xr:uid="{00000000-0005-0000-0000-0000F6400000}"/>
    <cellStyle name="Note 2 3 2 5 2 2 2" xfId="17141" xr:uid="{00000000-0005-0000-0000-0000F7400000}"/>
    <cellStyle name="Note 2 3 2 5 2 3" xfId="12923" xr:uid="{00000000-0005-0000-0000-0000F8400000}"/>
    <cellStyle name="Note 2 3 2 5 3" xfId="6560" xr:uid="{00000000-0005-0000-0000-0000F9400000}"/>
    <cellStyle name="Note 2 3 2 5 3 2" xfId="14996" xr:uid="{00000000-0005-0000-0000-0000FA400000}"/>
    <cellStyle name="Note 2 3 2 5 4" xfId="10778" xr:uid="{00000000-0005-0000-0000-0000FB400000}"/>
    <cellStyle name="Note 2 3 2 6" xfId="2689" xr:uid="{00000000-0005-0000-0000-0000FC400000}"/>
    <cellStyle name="Note 2 3 2 6 2" xfId="6973" xr:uid="{00000000-0005-0000-0000-0000FD400000}"/>
    <cellStyle name="Note 2 3 2 6 2 2" xfId="15409" xr:uid="{00000000-0005-0000-0000-0000FE400000}"/>
    <cellStyle name="Note 2 3 2 6 3" xfId="11191" xr:uid="{00000000-0005-0000-0000-0000FF400000}"/>
    <cellStyle name="Note 2 3 2 7" xfId="2748" xr:uid="{00000000-0005-0000-0000-000000410000}"/>
    <cellStyle name="Note 2 3 2 8" xfId="2829" xr:uid="{00000000-0005-0000-0000-000001410000}"/>
    <cellStyle name="Note 2 3 2 8 2" xfId="7053" xr:uid="{00000000-0005-0000-0000-000002410000}"/>
    <cellStyle name="Note 2 3 2 8 2 2" xfId="15489" xr:uid="{00000000-0005-0000-0000-000003410000}"/>
    <cellStyle name="Note 2 3 2 8 3" xfId="11271" xr:uid="{00000000-0005-0000-0000-000004410000}"/>
    <cellStyle name="Note 2 3 2 9" xfId="4908" xr:uid="{00000000-0005-0000-0000-000005410000}"/>
    <cellStyle name="Note 2 3 2 9 2" xfId="13344" xr:uid="{00000000-0005-0000-0000-000006410000}"/>
    <cellStyle name="Note 2 3 3" xfId="1010" xr:uid="{00000000-0005-0000-0000-000007410000}"/>
    <cellStyle name="Note 2 3 3 2" xfId="3242" xr:uid="{00000000-0005-0000-0000-000008410000}"/>
    <cellStyle name="Note 2 3 3 2 2" xfId="7465" xr:uid="{00000000-0005-0000-0000-000009410000}"/>
    <cellStyle name="Note 2 3 3 2 2 2" xfId="15901" xr:uid="{00000000-0005-0000-0000-00000A410000}"/>
    <cellStyle name="Note 2 3 3 2 3" xfId="11683" xr:uid="{00000000-0005-0000-0000-00000B410000}"/>
    <cellStyle name="Note 2 3 3 3" xfId="5320" xr:uid="{00000000-0005-0000-0000-00000C410000}"/>
    <cellStyle name="Note 2 3 3 3 2" xfId="13756" xr:uid="{00000000-0005-0000-0000-00000D410000}"/>
    <cellStyle name="Note 2 3 3 4" xfId="9538" xr:uid="{00000000-0005-0000-0000-00000E410000}"/>
    <cellStyle name="Note 2 3 4" xfId="1425" xr:uid="{00000000-0005-0000-0000-00000F410000}"/>
    <cellStyle name="Note 2 3 4 2" xfId="3655" xr:uid="{00000000-0005-0000-0000-000010410000}"/>
    <cellStyle name="Note 2 3 4 2 2" xfId="7878" xr:uid="{00000000-0005-0000-0000-000011410000}"/>
    <cellStyle name="Note 2 3 4 2 2 2" xfId="16314" xr:uid="{00000000-0005-0000-0000-000012410000}"/>
    <cellStyle name="Note 2 3 4 2 3" xfId="12096" xr:uid="{00000000-0005-0000-0000-000013410000}"/>
    <cellStyle name="Note 2 3 4 3" xfId="5733" xr:uid="{00000000-0005-0000-0000-000014410000}"/>
    <cellStyle name="Note 2 3 4 3 2" xfId="14169" xr:uid="{00000000-0005-0000-0000-000015410000}"/>
    <cellStyle name="Note 2 3 4 4" xfId="9951" xr:uid="{00000000-0005-0000-0000-000016410000}"/>
    <cellStyle name="Note 2 3 5" xfId="1839" xr:uid="{00000000-0005-0000-0000-000017410000}"/>
    <cellStyle name="Note 2 3 5 2" xfId="4068" xr:uid="{00000000-0005-0000-0000-000018410000}"/>
    <cellStyle name="Note 2 3 5 2 2" xfId="8291" xr:uid="{00000000-0005-0000-0000-000019410000}"/>
    <cellStyle name="Note 2 3 5 2 2 2" xfId="16727" xr:uid="{00000000-0005-0000-0000-00001A410000}"/>
    <cellStyle name="Note 2 3 5 2 3" xfId="12509" xr:uid="{00000000-0005-0000-0000-00001B410000}"/>
    <cellStyle name="Note 2 3 5 3" xfId="6146" xr:uid="{00000000-0005-0000-0000-00001C410000}"/>
    <cellStyle name="Note 2 3 5 3 2" xfId="14582" xr:uid="{00000000-0005-0000-0000-00001D410000}"/>
    <cellStyle name="Note 2 3 5 4" xfId="10364" xr:uid="{00000000-0005-0000-0000-00001E410000}"/>
    <cellStyle name="Note 2 3 6" xfId="2252" xr:uid="{00000000-0005-0000-0000-00001F410000}"/>
    <cellStyle name="Note 2 3 6 2" xfId="4481" xr:uid="{00000000-0005-0000-0000-000020410000}"/>
    <cellStyle name="Note 2 3 6 2 2" xfId="8704" xr:uid="{00000000-0005-0000-0000-000021410000}"/>
    <cellStyle name="Note 2 3 6 2 2 2" xfId="17140" xr:uid="{00000000-0005-0000-0000-000022410000}"/>
    <cellStyle name="Note 2 3 6 2 3" xfId="12922" xr:uid="{00000000-0005-0000-0000-000023410000}"/>
    <cellStyle name="Note 2 3 6 3" xfId="6559" xr:uid="{00000000-0005-0000-0000-000024410000}"/>
    <cellStyle name="Note 2 3 6 3 2" xfId="14995" xr:uid="{00000000-0005-0000-0000-000025410000}"/>
    <cellStyle name="Note 2 3 6 4" xfId="10777" xr:uid="{00000000-0005-0000-0000-000026410000}"/>
    <cellStyle name="Note 2 3 7" xfId="2688" xr:uid="{00000000-0005-0000-0000-000027410000}"/>
    <cellStyle name="Note 2 3 7 2" xfId="6972" xr:uid="{00000000-0005-0000-0000-000028410000}"/>
    <cellStyle name="Note 2 3 7 2 2" xfId="15408" xr:uid="{00000000-0005-0000-0000-000029410000}"/>
    <cellStyle name="Note 2 3 7 3" xfId="11190" xr:uid="{00000000-0005-0000-0000-00002A410000}"/>
    <cellStyle name="Note 2 3 8" xfId="2747" xr:uid="{00000000-0005-0000-0000-00002B410000}"/>
    <cellStyle name="Note 2 3 9" xfId="2828" xr:uid="{00000000-0005-0000-0000-00002C410000}"/>
    <cellStyle name="Note 2 3 9 2" xfId="7052" xr:uid="{00000000-0005-0000-0000-00002D410000}"/>
    <cellStyle name="Note 2 3 9 2 2" xfId="15488" xr:uid="{00000000-0005-0000-0000-00002E410000}"/>
    <cellStyle name="Note 2 3 9 3" xfId="11270" xr:uid="{00000000-0005-0000-0000-00002F410000}"/>
    <cellStyle name="Note 2 4" xfId="551" xr:uid="{00000000-0005-0000-0000-000030410000}"/>
    <cellStyle name="Note 2 4 10" xfId="9127" xr:uid="{00000000-0005-0000-0000-000031410000}"/>
    <cellStyle name="Note 2 4 2" xfId="1012" xr:uid="{00000000-0005-0000-0000-000032410000}"/>
    <cellStyle name="Note 2 4 2 2" xfId="3244" xr:uid="{00000000-0005-0000-0000-000033410000}"/>
    <cellStyle name="Note 2 4 2 2 2" xfId="7467" xr:uid="{00000000-0005-0000-0000-000034410000}"/>
    <cellStyle name="Note 2 4 2 2 2 2" xfId="15903" xr:uid="{00000000-0005-0000-0000-000035410000}"/>
    <cellStyle name="Note 2 4 2 2 3" xfId="11685" xr:uid="{00000000-0005-0000-0000-000036410000}"/>
    <cellStyle name="Note 2 4 2 3" xfId="5322" xr:uid="{00000000-0005-0000-0000-000037410000}"/>
    <cellStyle name="Note 2 4 2 3 2" xfId="13758" xr:uid="{00000000-0005-0000-0000-000038410000}"/>
    <cellStyle name="Note 2 4 2 4" xfId="9540" xr:uid="{00000000-0005-0000-0000-000039410000}"/>
    <cellStyle name="Note 2 4 3" xfId="1427" xr:uid="{00000000-0005-0000-0000-00003A410000}"/>
    <cellStyle name="Note 2 4 3 2" xfId="3657" xr:uid="{00000000-0005-0000-0000-00003B410000}"/>
    <cellStyle name="Note 2 4 3 2 2" xfId="7880" xr:uid="{00000000-0005-0000-0000-00003C410000}"/>
    <cellStyle name="Note 2 4 3 2 2 2" xfId="16316" xr:uid="{00000000-0005-0000-0000-00003D410000}"/>
    <cellStyle name="Note 2 4 3 2 3" xfId="12098" xr:uid="{00000000-0005-0000-0000-00003E410000}"/>
    <cellStyle name="Note 2 4 3 3" xfId="5735" xr:uid="{00000000-0005-0000-0000-00003F410000}"/>
    <cellStyle name="Note 2 4 3 3 2" xfId="14171" xr:uid="{00000000-0005-0000-0000-000040410000}"/>
    <cellStyle name="Note 2 4 3 4" xfId="9953" xr:uid="{00000000-0005-0000-0000-000041410000}"/>
    <cellStyle name="Note 2 4 4" xfId="1841" xr:uid="{00000000-0005-0000-0000-000042410000}"/>
    <cellStyle name="Note 2 4 4 2" xfId="4070" xr:uid="{00000000-0005-0000-0000-000043410000}"/>
    <cellStyle name="Note 2 4 4 2 2" xfId="8293" xr:uid="{00000000-0005-0000-0000-000044410000}"/>
    <cellStyle name="Note 2 4 4 2 2 2" xfId="16729" xr:uid="{00000000-0005-0000-0000-000045410000}"/>
    <cellStyle name="Note 2 4 4 2 3" xfId="12511" xr:uid="{00000000-0005-0000-0000-000046410000}"/>
    <cellStyle name="Note 2 4 4 3" xfId="6148" xr:uid="{00000000-0005-0000-0000-000047410000}"/>
    <cellStyle name="Note 2 4 4 3 2" xfId="14584" xr:uid="{00000000-0005-0000-0000-000048410000}"/>
    <cellStyle name="Note 2 4 4 4" xfId="10366" xr:uid="{00000000-0005-0000-0000-000049410000}"/>
    <cellStyle name="Note 2 4 5" xfId="2254" xr:uid="{00000000-0005-0000-0000-00004A410000}"/>
    <cellStyle name="Note 2 4 5 2" xfId="4483" xr:uid="{00000000-0005-0000-0000-00004B410000}"/>
    <cellStyle name="Note 2 4 5 2 2" xfId="8706" xr:uid="{00000000-0005-0000-0000-00004C410000}"/>
    <cellStyle name="Note 2 4 5 2 2 2" xfId="17142" xr:uid="{00000000-0005-0000-0000-00004D410000}"/>
    <cellStyle name="Note 2 4 5 2 3" xfId="12924" xr:uid="{00000000-0005-0000-0000-00004E410000}"/>
    <cellStyle name="Note 2 4 5 3" xfId="6561" xr:uid="{00000000-0005-0000-0000-00004F410000}"/>
    <cellStyle name="Note 2 4 5 3 2" xfId="14997" xr:uid="{00000000-0005-0000-0000-000050410000}"/>
    <cellStyle name="Note 2 4 5 4" xfId="10779" xr:uid="{00000000-0005-0000-0000-000051410000}"/>
    <cellStyle name="Note 2 4 6" xfId="2690" xr:uid="{00000000-0005-0000-0000-000052410000}"/>
    <cellStyle name="Note 2 4 6 2" xfId="6974" xr:uid="{00000000-0005-0000-0000-000053410000}"/>
    <cellStyle name="Note 2 4 6 2 2" xfId="15410" xr:uid="{00000000-0005-0000-0000-000054410000}"/>
    <cellStyle name="Note 2 4 6 3" xfId="11192" xr:uid="{00000000-0005-0000-0000-000055410000}"/>
    <cellStyle name="Note 2 4 7" xfId="2749" xr:uid="{00000000-0005-0000-0000-000056410000}"/>
    <cellStyle name="Note 2 4 8" xfId="2830" xr:uid="{00000000-0005-0000-0000-000057410000}"/>
    <cellStyle name="Note 2 4 8 2" xfId="7054" xr:uid="{00000000-0005-0000-0000-000058410000}"/>
    <cellStyle name="Note 2 4 8 2 2" xfId="15490" xr:uid="{00000000-0005-0000-0000-000059410000}"/>
    <cellStyle name="Note 2 4 8 3" xfId="11272" xr:uid="{00000000-0005-0000-0000-00005A410000}"/>
    <cellStyle name="Note 2 4 9" xfId="4909" xr:uid="{00000000-0005-0000-0000-00005B410000}"/>
    <cellStyle name="Note 2 4 9 2" xfId="13345" xr:uid="{00000000-0005-0000-0000-00005C410000}"/>
    <cellStyle name="Note 2 5" xfId="552" xr:uid="{00000000-0005-0000-0000-00005D410000}"/>
    <cellStyle name="Note 2 5 10" xfId="9128" xr:uid="{00000000-0005-0000-0000-00005E410000}"/>
    <cellStyle name="Note 2 5 2" xfId="1013" xr:uid="{00000000-0005-0000-0000-00005F410000}"/>
    <cellStyle name="Note 2 5 2 2" xfId="3245" xr:uid="{00000000-0005-0000-0000-000060410000}"/>
    <cellStyle name="Note 2 5 2 2 2" xfId="7468" xr:uid="{00000000-0005-0000-0000-000061410000}"/>
    <cellStyle name="Note 2 5 2 2 2 2" xfId="15904" xr:uid="{00000000-0005-0000-0000-000062410000}"/>
    <cellStyle name="Note 2 5 2 2 3" xfId="11686" xr:uid="{00000000-0005-0000-0000-000063410000}"/>
    <cellStyle name="Note 2 5 2 3" xfId="5323" xr:uid="{00000000-0005-0000-0000-000064410000}"/>
    <cellStyle name="Note 2 5 2 3 2" xfId="13759" xr:uid="{00000000-0005-0000-0000-000065410000}"/>
    <cellStyle name="Note 2 5 2 4" xfId="9541" xr:uid="{00000000-0005-0000-0000-000066410000}"/>
    <cellStyle name="Note 2 5 3" xfId="1428" xr:uid="{00000000-0005-0000-0000-000067410000}"/>
    <cellStyle name="Note 2 5 3 2" xfId="3658" xr:uid="{00000000-0005-0000-0000-000068410000}"/>
    <cellStyle name="Note 2 5 3 2 2" xfId="7881" xr:uid="{00000000-0005-0000-0000-000069410000}"/>
    <cellStyle name="Note 2 5 3 2 2 2" xfId="16317" xr:uid="{00000000-0005-0000-0000-00006A410000}"/>
    <cellStyle name="Note 2 5 3 2 3" xfId="12099" xr:uid="{00000000-0005-0000-0000-00006B410000}"/>
    <cellStyle name="Note 2 5 3 3" xfId="5736" xr:uid="{00000000-0005-0000-0000-00006C410000}"/>
    <cellStyle name="Note 2 5 3 3 2" xfId="14172" xr:uid="{00000000-0005-0000-0000-00006D410000}"/>
    <cellStyle name="Note 2 5 3 4" xfId="9954" xr:uid="{00000000-0005-0000-0000-00006E410000}"/>
    <cellStyle name="Note 2 5 4" xfId="1842" xr:uid="{00000000-0005-0000-0000-00006F410000}"/>
    <cellStyle name="Note 2 5 4 2" xfId="4071" xr:uid="{00000000-0005-0000-0000-000070410000}"/>
    <cellStyle name="Note 2 5 4 2 2" xfId="8294" xr:uid="{00000000-0005-0000-0000-000071410000}"/>
    <cellStyle name="Note 2 5 4 2 2 2" xfId="16730" xr:uid="{00000000-0005-0000-0000-000072410000}"/>
    <cellStyle name="Note 2 5 4 2 3" xfId="12512" xr:uid="{00000000-0005-0000-0000-000073410000}"/>
    <cellStyle name="Note 2 5 4 3" xfId="6149" xr:uid="{00000000-0005-0000-0000-000074410000}"/>
    <cellStyle name="Note 2 5 4 3 2" xfId="14585" xr:uid="{00000000-0005-0000-0000-000075410000}"/>
    <cellStyle name="Note 2 5 4 4" xfId="10367" xr:uid="{00000000-0005-0000-0000-000076410000}"/>
    <cellStyle name="Note 2 5 5" xfId="2255" xr:uid="{00000000-0005-0000-0000-000077410000}"/>
    <cellStyle name="Note 2 5 5 2" xfId="4484" xr:uid="{00000000-0005-0000-0000-000078410000}"/>
    <cellStyle name="Note 2 5 5 2 2" xfId="8707" xr:uid="{00000000-0005-0000-0000-000079410000}"/>
    <cellStyle name="Note 2 5 5 2 2 2" xfId="17143" xr:uid="{00000000-0005-0000-0000-00007A410000}"/>
    <cellStyle name="Note 2 5 5 2 3" xfId="12925" xr:uid="{00000000-0005-0000-0000-00007B410000}"/>
    <cellStyle name="Note 2 5 5 3" xfId="6562" xr:uid="{00000000-0005-0000-0000-00007C410000}"/>
    <cellStyle name="Note 2 5 5 3 2" xfId="14998" xr:uid="{00000000-0005-0000-0000-00007D410000}"/>
    <cellStyle name="Note 2 5 5 4" xfId="10780" xr:uid="{00000000-0005-0000-0000-00007E410000}"/>
    <cellStyle name="Note 2 5 6" xfId="2691" xr:uid="{00000000-0005-0000-0000-00007F410000}"/>
    <cellStyle name="Note 2 5 6 2" xfId="6975" xr:uid="{00000000-0005-0000-0000-000080410000}"/>
    <cellStyle name="Note 2 5 6 2 2" xfId="15411" xr:uid="{00000000-0005-0000-0000-000081410000}"/>
    <cellStyle name="Note 2 5 6 3" xfId="11193" xr:uid="{00000000-0005-0000-0000-000082410000}"/>
    <cellStyle name="Note 2 5 7" xfId="2750" xr:uid="{00000000-0005-0000-0000-000083410000}"/>
    <cellStyle name="Note 2 5 8" xfId="2831" xr:uid="{00000000-0005-0000-0000-000084410000}"/>
    <cellStyle name="Note 2 5 8 2" xfId="7055" xr:uid="{00000000-0005-0000-0000-000085410000}"/>
    <cellStyle name="Note 2 5 8 2 2" xfId="15491" xr:uid="{00000000-0005-0000-0000-000086410000}"/>
    <cellStyle name="Note 2 5 8 3" xfId="11273" xr:uid="{00000000-0005-0000-0000-000087410000}"/>
    <cellStyle name="Note 2 5 9" xfId="4910" xr:uid="{00000000-0005-0000-0000-000088410000}"/>
    <cellStyle name="Note 2 5 9 2" xfId="13346" xr:uid="{00000000-0005-0000-0000-000089410000}"/>
    <cellStyle name="Note 3" xfId="553" xr:uid="{00000000-0005-0000-0000-00008A410000}"/>
    <cellStyle name="Note 3 2" xfId="554" xr:uid="{00000000-0005-0000-0000-00008B410000}"/>
    <cellStyle name="Note 3 2 10" xfId="2832" xr:uid="{00000000-0005-0000-0000-00008C410000}"/>
    <cellStyle name="Note 3 2 10 2" xfId="7056" xr:uid="{00000000-0005-0000-0000-00008D410000}"/>
    <cellStyle name="Note 3 2 10 2 2" xfId="15492" xr:uid="{00000000-0005-0000-0000-00008E410000}"/>
    <cellStyle name="Note 3 2 10 3" xfId="11274" xr:uid="{00000000-0005-0000-0000-00008F410000}"/>
    <cellStyle name="Note 3 2 11" xfId="4911" xr:uid="{00000000-0005-0000-0000-000090410000}"/>
    <cellStyle name="Note 3 2 11 2" xfId="13347" xr:uid="{00000000-0005-0000-0000-000091410000}"/>
    <cellStyle name="Note 3 2 12" xfId="9129" xr:uid="{00000000-0005-0000-0000-000092410000}"/>
    <cellStyle name="Note 3 2 2" xfId="555" xr:uid="{00000000-0005-0000-0000-000093410000}"/>
    <cellStyle name="Note 3 2 2 10" xfId="4912" xr:uid="{00000000-0005-0000-0000-000094410000}"/>
    <cellStyle name="Note 3 2 2 10 2" xfId="13348" xr:uid="{00000000-0005-0000-0000-000095410000}"/>
    <cellStyle name="Note 3 2 2 11" xfId="9130" xr:uid="{00000000-0005-0000-0000-000096410000}"/>
    <cellStyle name="Note 3 2 2 2" xfId="556" xr:uid="{00000000-0005-0000-0000-000097410000}"/>
    <cellStyle name="Note 3 2 2 2 10" xfId="9131" xr:uid="{00000000-0005-0000-0000-000098410000}"/>
    <cellStyle name="Note 3 2 2 2 2" xfId="1016" xr:uid="{00000000-0005-0000-0000-000099410000}"/>
    <cellStyle name="Note 3 2 2 2 2 2" xfId="3248" xr:uid="{00000000-0005-0000-0000-00009A410000}"/>
    <cellStyle name="Note 3 2 2 2 2 2 2" xfId="7471" xr:uid="{00000000-0005-0000-0000-00009B410000}"/>
    <cellStyle name="Note 3 2 2 2 2 2 2 2" xfId="15907" xr:uid="{00000000-0005-0000-0000-00009C410000}"/>
    <cellStyle name="Note 3 2 2 2 2 2 3" xfId="11689" xr:uid="{00000000-0005-0000-0000-00009D410000}"/>
    <cellStyle name="Note 3 2 2 2 2 3" xfId="5326" xr:uid="{00000000-0005-0000-0000-00009E410000}"/>
    <cellStyle name="Note 3 2 2 2 2 3 2" xfId="13762" xr:uid="{00000000-0005-0000-0000-00009F410000}"/>
    <cellStyle name="Note 3 2 2 2 2 4" xfId="9544" xr:uid="{00000000-0005-0000-0000-0000A0410000}"/>
    <cellStyle name="Note 3 2 2 2 3" xfId="1431" xr:uid="{00000000-0005-0000-0000-0000A1410000}"/>
    <cellStyle name="Note 3 2 2 2 3 2" xfId="3661" xr:uid="{00000000-0005-0000-0000-0000A2410000}"/>
    <cellStyle name="Note 3 2 2 2 3 2 2" xfId="7884" xr:uid="{00000000-0005-0000-0000-0000A3410000}"/>
    <cellStyle name="Note 3 2 2 2 3 2 2 2" xfId="16320" xr:uid="{00000000-0005-0000-0000-0000A4410000}"/>
    <cellStyle name="Note 3 2 2 2 3 2 3" xfId="12102" xr:uid="{00000000-0005-0000-0000-0000A5410000}"/>
    <cellStyle name="Note 3 2 2 2 3 3" xfId="5739" xr:uid="{00000000-0005-0000-0000-0000A6410000}"/>
    <cellStyle name="Note 3 2 2 2 3 3 2" xfId="14175" xr:uid="{00000000-0005-0000-0000-0000A7410000}"/>
    <cellStyle name="Note 3 2 2 2 3 4" xfId="9957" xr:uid="{00000000-0005-0000-0000-0000A8410000}"/>
    <cellStyle name="Note 3 2 2 2 4" xfId="1845" xr:uid="{00000000-0005-0000-0000-0000A9410000}"/>
    <cellStyle name="Note 3 2 2 2 4 2" xfId="4074" xr:uid="{00000000-0005-0000-0000-0000AA410000}"/>
    <cellStyle name="Note 3 2 2 2 4 2 2" xfId="8297" xr:uid="{00000000-0005-0000-0000-0000AB410000}"/>
    <cellStyle name="Note 3 2 2 2 4 2 2 2" xfId="16733" xr:uid="{00000000-0005-0000-0000-0000AC410000}"/>
    <cellStyle name="Note 3 2 2 2 4 2 3" xfId="12515" xr:uid="{00000000-0005-0000-0000-0000AD410000}"/>
    <cellStyle name="Note 3 2 2 2 4 3" xfId="6152" xr:uid="{00000000-0005-0000-0000-0000AE410000}"/>
    <cellStyle name="Note 3 2 2 2 4 3 2" xfId="14588" xr:uid="{00000000-0005-0000-0000-0000AF410000}"/>
    <cellStyle name="Note 3 2 2 2 4 4" xfId="10370" xr:uid="{00000000-0005-0000-0000-0000B0410000}"/>
    <cellStyle name="Note 3 2 2 2 5" xfId="2258" xr:uid="{00000000-0005-0000-0000-0000B1410000}"/>
    <cellStyle name="Note 3 2 2 2 5 2" xfId="4487" xr:uid="{00000000-0005-0000-0000-0000B2410000}"/>
    <cellStyle name="Note 3 2 2 2 5 2 2" xfId="8710" xr:uid="{00000000-0005-0000-0000-0000B3410000}"/>
    <cellStyle name="Note 3 2 2 2 5 2 2 2" xfId="17146" xr:uid="{00000000-0005-0000-0000-0000B4410000}"/>
    <cellStyle name="Note 3 2 2 2 5 2 3" xfId="12928" xr:uid="{00000000-0005-0000-0000-0000B5410000}"/>
    <cellStyle name="Note 3 2 2 2 5 3" xfId="6565" xr:uid="{00000000-0005-0000-0000-0000B6410000}"/>
    <cellStyle name="Note 3 2 2 2 5 3 2" xfId="15001" xr:uid="{00000000-0005-0000-0000-0000B7410000}"/>
    <cellStyle name="Note 3 2 2 2 5 4" xfId="10783" xr:uid="{00000000-0005-0000-0000-0000B8410000}"/>
    <cellStyle name="Note 3 2 2 2 6" xfId="2694" xr:uid="{00000000-0005-0000-0000-0000B9410000}"/>
    <cellStyle name="Note 3 2 2 2 6 2" xfId="6978" xr:uid="{00000000-0005-0000-0000-0000BA410000}"/>
    <cellStyle name="Note 3 2 2 2 6 2 2" xfId="15414" xr:uid="{00000000-0005-0000-0000-0000BB410000}"/>
    <cellStyle name="Note 3 2 2 2 6 3" xfId="11196" xr:uid="{00000000-0005-0000-0000-0000BC410000}"/>
    <cellStyle name="Note 3 2 2 2 7" xfId="2753" xr:uid="{00000000-0005-0000-0000-0000BD410000}"/>
    <cellStyle name="Note 3 2 2 2 8" xfId="2834" xr:uid="{00000000-0005-0000-0000-0000BE410000}"/>
    <cellStyle name="Note 3 2 2 2 8 2" xfId="7058" xr:uid="{00000000-0005-0000-0000-0000BF410000}"/>
    <cellStyle name="Note 3 2 2 2 8 2 2" xfId="15494" xr:uid="{00000000-0005-0000-0000-0000C0410000}"/>
    <cellStyle name="Note 3 2 2 2 8 3" xfId="11276" xr:uid="{00000000-0005-0000-0000-0000C1410000}"/>
    <cellStyle name="Note 3 2 2 2 9" xfId="4913" xr:uid="{00000000-0005-0000-0000-0000C2410000}"/>
    <cellStyle name="Note 3 2 2 2 9 2" xfId="13349" xr:uid="{00000000-0005-0000-0000-0000C3410000}"/>
    <cellStyle name="Note 3 2 2 3" xfId="1015" xr:uid="{00000000-0005-0000-0000-0000C4410000}"/>
    <cellStyle name="Note 3 2 2 3 2" xfId="3247" xr:uid="{00000000-0005-0000-0000-0000C5410000}"/>
    <cellStyle name="Note 3 2 2 3 2 2" xfId="7470" xr:uid="{00000000-0005-0000-0000-0000C6410000}"/>
    <cellStyle name="Note 3 2 2 3 2 2 2" xfId="15906" xr:uid="{00000000-0005-0000-0000-0000C7410000}"/>
    <cellStyle name="Note 3 2 2 3 2 3" xfId="11688" xr:uid="{00000000-0005-0000-0000-0000C8410000}"/>
    <cellStyle name="Note 3 2 2 3 3" xfId="5325" xr:uid="{00000000-0005-0000-0000-0000C9410000}"/>
    <cellStyle name="Note 3 2 2 3 3 2" xfId="13761" xr:uid="{00000000-0005-0000-0000-0000CA410000}"/>
    <cellStyle name="Note 3 2 2 3 4" xfId="9543" xr:uid="{00000000-0005-0000-0000-0000CB410000}"/>
    <cellStyle name="Note 3 2 2 4" xfId="1430" xr:uid="{00000000-0005-0000-0000-0000CC410000}"/>
    <cellStyle name="Note 3 2 2 4 2" xfId="3660" xr:uid="{00000000-0005-0000-0000-0000CD410000}"/>
    <cellStyle name="Note 3 2 2 4 2 2" xfId="7883" xr:uid="{00000000-0005-0000-0000-0000CE410000}"/>
    <cellStyle name="Note 3 2 2 4 2 2 2" xfId="16319" xr:uid="{00000000-0005-0000-0000-0000CF410000}"/>
    <cellStyle name="Note 3 2 2 4 2 3" xfId="12101" xr:uid="{00000000-0005-0000-0000-0000D0410000}"/>
    <cellStyle name="Note 3 2 2 4 3" xfId="5738" xr:uid="{00000000-0005-0000-0000-0000D1410000}"/>
    <cellStyle name="Note 3 2 2 4 3 2" xfId="14174" xr:uid="{00000000-0005-0000-0000-0000D2410000}"/>
    <cellStyle name="Note 3 2 2 4 4" xfId="9956" xr:uid="{00000000-0005-0000-0000-0000D3410000}"/>
    <cellStyle name="Note 3 2 2 5" xfId="1844" xr:uid="{00000000-0005-0000-0000-0000D4410000}"/>
    <cellStyle name="Note 3 2 2 5 2" xfId="4073" xr:uid="{00000000-0005-0000-0000-0000D5410000}"/>
    <cellStyle name="Note 3 2 2 5 2 2" xfId="8296" xr:uid="{00000000-0005-0000-0000-0000D6410000}"/>
    <cellStyle name="Note 3 2 2 5 2 2 2" xfId="16732" xr:uid="{00000000-0005-0000-0000-0000D7410000}"/>
    <cellStyle name="Note 3 2 2 5 2 3" xfId="12514" xr:uid="{00000000-0005-0000-0000-0000D8410000}"/>
    <cellStyle name="Note 3 2 2 5 3" xfId="6151" xr:uid="{00000000-0005-0000-0000-0000D9410000}"/>
    <cellStyle name="Note 3 2 2 5 3 2" xfId="14587" xr:uid="{00000000-0005-0000-0000-0000DA410000}"/>
    <cellStyle name="Note 3 2 2 5 4" xfId="10369" xr:uid="{00000000-0005-0000-0000-0000DB410000}"/>
    <cellStyle name="Note 3 2 2 6" xfId="2257" xr:uid="{00000000-0005-0000-0000-0000DC410000}"/>
    <cellStyle name="Note 3 2 2 6 2" xfId="4486" xr:uid="{00000000-0005-0000-0000-0000DD410000}"/>
    <cellStyle name="Note 3 2 2 6 2 2" xfId="8709" xr:uid="{00000000-0005-0000-0000-0000DE410000}"/>
    <cellStyle name="Note 3 2 2 6 2 2 2" xfId="17145" xr:uid="{00000000-0005-0000-0000-0000DF410000}"/>
    <cellStyle name="Note 3 2 2 6 2 3" xfId="12927" xr:uid="{00000000-0005-0000-0000-0000E0410000}"/>
    <cellStyle name="Note 3 2 2 6 3" xfId="6564" xr:uid="{00000000-0005-0000-0000-0000E1410000}"/>
    <cellStyle name="Note 3 2 2 6 3 2" xfId="15000" xr:uid="{00000000-0005-0000-0000-0000E2410000}"/>
    <cellStyle name="Note 3 2 2 6 4" xfId="10782" xr:uid="{00000000-0005-0000-0000-0000E3410000}"/>
    <cellStyle name="Note 3 2 2 7" xfId="2693" xr:uid="{00000000-0005-0000-0000-0000E4410000}"/>
    <cellStyle name="Note 3 2 2 7 2" xfId="6977" xr:uid="{00000000-0005-0000-0000-0000E5410000}"/>
    <cellStyle name="Note 3 2 2 7 2 2" xfId="15413" xr:uid="{00000000-0005-0000-0000-0000E6410000}"/>
    <cellStyle name="Note 3 2 2 7 3" xfId="11195" xr:uid="{00000000-0005-0000-0000-0000E7410000}"/>
    <cellStyle name="Note 3 2 2 8" xfId="2752" xr:uid="{00000000-0005-0000-0000-0000E8410000}"/>
    <cellStyle name="Note 3 2 2 9" xfId="2833" xr:uid="{00000000-0005-0000-0000-0000E9410000}"/>
    <cellStyle name="Note 3 2 2 9 2" xfId="7057" xr:uid="{00000000-0005-0000-0000-0000EA410000}"/>
    <cellStyle name="Note 3 2 2 9 2 2" xfId="15493" xr:uid="{00000000-0005-0000-0000-0000EB410000}"/>
    <cellStyle name="Note 3 2 2 9 3" xfId="11275" xr:uid="{00000000-0005-0000-0000-0000EC410000}"/>
    <cellStyle name="Note 3 2 3" xfId="557" xr:uid="{00000000-0005-0000-0000-0000ED410000}"/>
    <cellStyle name="Note 3 2 3 10" xfId="9132" xr:uid="{00000000-0005-0000-0000-0000EE410000}"/>
    <cellStyle name="Note 3 2 3 2" xfId="1017" xr:uid="{00000000-0005-0000-0000-0000EF410000}"/>
    <cellStyle name="Note 3 2 3 2 2" xfId="3249" xr:uid="{00000000-0005-0000-0000-0000F0410000}"/>
    <cellStyle name="Note 3 2 3 2 2 2" xfId="7472" xr:uid="{00000000-0005-0000-0000-0000F1410000}"/>
    <cellStyle name="Note 3 2 3 2 2 2 2" xfId="15908" xr:uid="{00000000-0005-0000-0000-0000F2410000}"/>
    <cellStyle name="Note 3 2 3 2 2 3" xfId="11690" xr:uid="{00000000-0005-0000-0000-0000F3410000}"/>
    <cellStyle name="Note 3 2 3 2 3" xfId="5327" xr:uid="{00000000-0005-0000-0000-0000F4410000}"/>
    <cellStyle name="Note 3 2 3 2 3 2" xfId="13763" xr:uid="{00000000-0005-0000-0000-0000F5410000}"/>
    <cellStyle name="Note 3 2 3 2 4" xfId="9545" xr:uid="{00000000-0005-0000-0000-0000F6410000}"/>
    <cellStyle name="Note 3 2 3 3" xfId="1432" xr:uid="{00000000-0005-0000-0000-0000F7410000}"/>
    <cellStyle name="Note 3 2 3 3 2" xfId="3662" xr:uid="{00000000-0005-0000-0000-0000F8410000}"/>
    <cellStyle name="Note 3 2 3 3 2 2" xfId="7885" xr:uid="{00000000-0005-0000-0000-0000F9410000}"/>
    <cellStyle name="Note 3 2 3 3 2 2 2" xfId="16321" xr:uid="{00000000-0005-0000-0000-0000FA410000}"/>
    <cellStyle name="Note 3 2 3 3 2 3" xfId="12103" xr:uid="{00000000-0005-0000-0000-0000FB410000}"/>
    <cellStyle name="Note 3 2 3 3 3" xfId="5740" xr:uid="{00000000-0005-0000-0000-0000FC410000}"/>
    <cellStyle name="Note 3 2 3 3 3 2" xfId="14176" xr:uid="{00000000-0005-0000-0000-0000FD410000}"/>
    <cellStyle name="Note 3 2 3 3 4" xfId="9958" xr:uid="{00000000-0005-0000-0000-0000FE410000}"/>
    <cellStyle name="Note 3 2 3 4" xfId="1846" xr:uid="{00000000-0005-0000-0000-0000FF410000}"/>
    <cellStyle name="Note 3 2 3 4 2" xfId="4075" xr:uid="{00000000-0005-0000-0000-000000420000}"/>
    <cellStyle name="Note 3 2 3 4 2 2" xfId="8298" xr:uid="{00000000-0005-0000-0000-000001420000}"/>
    <cellStyle name="Note 3 2 3 4 2 2 2" xfId="16734" xr:uid="{00000000-0005-0000-0000-000002420000}"/>
    <cellStyle name="Note 3 2 3 4 2 3" xfId="12516" xr:uid="{00000000-0005-0000-0000-000003420000}"/>
    <cellStyle name="Note 3 2 3 4 3" xfId="6153" xr:uid="{00000000-0005-0000-0000-000004420000}"/>
    <cellStyle name="Note 3 2 3 4 3 2" xfId="14589" xr:uid="{00000000-0005-0000-0000-000005420000}"/>
    <cellStyle name="Note 3 2 3 4 4" xfId="10371" xr:uid="{00000000-0005-0000-0000-000006420000}"/>
    <cellStyle name="Note 3 2 3 5" xfId="2259" xr:uid="{00000000-0005-0000-0000-000007420000}"/>
    <cellStyle name="Note 3 2 3 5 2" xfId="4488" xr:uid="{00000000-0005-0000-0000-000008420000}"/>
    <cellStyle name="Note 3 2 3 5 2 2" xfId="8711" xr:uid="{00000000-0005-0000-0000-000009420000}"/>
    <cellStyle name="Note 3 2 3 5 2 2 2" xfId="17147" xr:uid="{00000000-0005-0000-0000-00000A420000}"/>
    <cellStyle name="Note 3 2 3 5 2 3" xfId="12929" xr:uid="{00000000-0005-0000-0000-00000B420000}"/>
    <cellStyle name="Note 3 2 3 5 3" xfId="6566" xr:uid="{00000000-0005-0000-0000-00000C420000}"/>
    <cellStyle name="Note 3 2 3 5 3 2" xfId="15002" xr:uid="{00000000-0005-0000-0000-00000D420000}"/>
    <cellStyle name="Note 3 2 3 5 4" xfId="10784" xr:uid="{00000000-0005-0000-0000-00000E420000}"/>
    <cellStyle name="Note 3 2 3 6" xfId="2695" xr:uid="{00000000-0005-0000-0000-00000F420000}"/>
    <cellStyle name="Note 3 2 3 6 2" xfId="6979" xr:uid="{00000000-0005-0000-0000-000010420000}"/>
    <cellStyle name="Note 3 2 3 6 2 2" xfId="15415" xr:uid="{00000000-0005-0000-0000-000011420000}"/>
    <cellStyle name="Note 3 2 3 6 3" xfId="11197" xr:uid="{00000000-0005-0000-0000-000012420000}"/>
    <cellStyle name="Note 3 2 3 7" xfId="2754" xr:uid="{00000000-0005-0000-0000-000013420000}"/>
    <cellStyle name="Note 3 2 3 8" xfId="2835" xr:uid="{00000000-0005-0000-0000-000014420000}"/>
    <cellStyle name="Note 3 2 3 8 2" xfId="7059" xr:uid="{00000000-0005-0000-0000-000015420000}"/>
    <cellStyle name="Note 3 2 3 8 2 2" xfId="15495" xr:uid="{00000000-0005-0000-0000-000016420000}"/>
    <cellStyle name="Note 3 2 3 8 3" xfId="11277" xr:uid="{00000000-0005-0000-0000-000017420000}"/>
    <cellStyle name="Note 3 2 3 9" xfId="4914" xr:uid="{00000000-0005-0000-0000-000018420000}"/>
    <cellStyle name="Note 3 2 3 9 2" xfId="13350" xr:uid="{00000000-0005-0000-0000-000019420000}"/>
    <cellStyle name="Note 3 2 4" xfId="1014" xr:uid="{00000000-0005-0000-0000-00001A420000}"/>
    <cellStyle name="Note 3 2 4 2" xfId="3246" xr:uid="{00000000-0005-0000-0000-00001B420000}"/>
    <cellStyle name="Note 3 2 4 2 2" xfId="7469" xr:uid="{00000000-0005-0000-0000-00001C420000}"/>
    <cellStyle name="Note 3 2 4 2 2 2" xfId="15905" xr:uid="{00000000-0005-0000-0000-00001D420000}"/>
    <cellStyle name="Note 3 2 4 2 3" xfId="11687" xr:uid="{00000000-0005-0000-0000-00001E420000}"/>
    <cellStyle name="Note 3 2 4 3" xfId="5324" xr:uid="{00000000-0005-0000-0000-00001F420000}"/>
    <cellStyle name="Note 3 2 4 3 2" xfId="13760" xr:uid="{00000000-0005-0000-0000-000020420000}"/>
    <cellStyle name="Note 3 2 4 4" xfId="9542" xr:uid="{00000000-0005-0000-0000-000021420000}"/>
    <cellStyle name="Note 3 2 5" xfId="1429" xr:uid="{00000000-0005-0000-0000-000022420000}"/>
    <cellStyle name="Note 3 2 5 2" xfId="3659" xr:uid="{00000000-0005-0000-0000-000023420000}"/>
    <cellStyle name="Note 3 2 5 2 2" xfId="7882" xr:uid="{00000000-0005-0000-0000-000024420000}"/>
    <cellStyle name="Note 3 2 5 2 2 2" xfId="16318" xr:uid="{00000000-0005-0000-0000-000025420000}"/>
    <cellStyle name="Note 3 2 5 2 3" xfId="12100" xr:uid="{00000000-0005-0000-0000-000026420000}"/>
    <cellStyle name="Note 3 2 5 3" xfId="5737" xr:uid="{00000000-0005-0000-0000-000027420000}"/>
    <cellStyle name="Note 3 2 5 3 2" xfId="14173" xr:uid="{00000000-0005-0000-0000-000028420000}"/>
    <cellStyle name="Note 3 2 5 4" xfId="9955" xr:uid="{00000000-0005-0000-0000-000029420000}"/>
    <cellStyle name="Note 3 2 6" xfId="1843" xr:uid="{00000000-0005-0000-0000-00002A420000}"/>
    <cellStyle name="Note 3 2 6 2" xfId="4072" xr:uid="{00000000-0005-0000-0000-00002B420000}"/>
    <cellStyle name="Note 3 2 6 2 2" xfId="8295" xr:uid="{00000000-0005-0000-0000-00002C420000}"/>
    <cellStyle name="Note 3 2 6 2 2 2" xfId="16731" xr:uid="{00000000-0005-0000-0000-00002D420000}"/>
    <cellStyle name="Note 3 2 6 2 3" xfId="12513" xr:uid="{00000000-0005-0000-0000-00002E420000}"/>
    <cellStyle name="Note 3 2 6 3" xfId="6150" xr:uid="{00000000-0005-0000-0000-00002F420000}"/>
    <cellStyle name="Note 3 2 6 3 2" xfId="14586" xr:uid="{00000000-0005-0000-0000-000030420000}"/>
    <cellStyle name="Note 3 2 6 4" xfId="10368" xr:uid="{00000000-0005-0000-0000-000031420000}"/>
    <cellStyle name="Note 3 2 7" xfId="2256" xr:uid="{00000000-0005-0000-0000-000032420000}"/>
    <cellStyle name="Note 3 2 7 2" xfId="4485" xr:uid="{00000000-0005-0000-0000-000033420000}"/>
    <cellStyle name="Note 3 2 7 2 2" xfId="8708" xr:uid="{00000000-0005-0000-0000-000034420000}"/>
    <cellStyle name="Note 3 2 7 2 2 2" xfId="17144" xr:uid="{00000000-0005-0000-0000-000035420000}"/>
    <cellStyle name="Note 3 2 7 2 3" xfId="12926" xr:uid="{00000000-0005-0000-0000-000036420000}"/>
    <cellStyle name="Note 3 2 7 3" xfId="6563" xr:uid="{00000000-0005-0000-0000-000037420000}"/>
    <cellStyle name="Note 3 2 7 3 2" xfId="14999" xr:uid="{00000000-0005-0000-0000-000038420000}"/>
    <cellStyle name="Note 3 2 7 4" xfId="10781" xr:uid="{00000000-0005-0000-0000-000039420000}"/>
    <cellStyle name="Note 3 2 8" xfId="2692" xr:uid="{00000000-0005-0000-0000-00003A420000}"/>
    <cellStyle name="Note 3 2 8 2" xfId="6976" xr:uid="{00000000-0005-0000-0000-00003B420000}"/>
    <cellStyle name="Note 3 2 8 2 2" xfId="15412" xr:uid="{00000000-0005-0000-0000-00003C420000}"/>
    <cellStyle name="Note 3 2 8 3" xfId="11194" xr:uid="{00000000-0005-0000-0000-00003D420000}"/>
    <cellStyle name="Note 3 2 9" xfId="2751" xr:uid="{00000000-0005-0000-0000-00003E420000}"/>
    <cellStyle name="Note 3 3" xfId="558" xr:uid="{00000000-0005-0000-0000-00003F420000}"/>
    <cellStyle name="Note 3 3 10" xfId="4915" xr:uid="{00000000-0005-0000-0000-000040420000}"/>
    <cellStyle name="Note 3 3 10 2" xfId="13351" xr:uid="{00000000-0005-0000-0000-000041420000}"/>
    <cellStyle name="Note 3 3 11" xfId="9133" xr:uid="{00000000-0005-0000-0000-000042420000}"/>
    <cellStyle name="Note 3 3 2" xfId="559" xr:uid="{00000000-0005-0000-0000-000043420000}"/>
    <cellStyle name="Note 3 3 2 10" xfId="9134" xr:uid="{00000000-0005-0000-0000-000044420000}"/>
    <cellStyle name="Note 3 3 2 2" xfId="1019" xr:uid="{00000000-0005-0000-0000-000045420000}"/>
    <cellStyle name="Note 3 3 2 2 2" xfId="3251" xr:uid="{00000000-0005-0000-0000-000046420000}"/>
    <cellStyle name="Note 3 3 2 2 2 2" xfId="7474" xr:uid="{00000000-0005-0000-0000-000047420000}"/>
    <cellStyle name="Note 3 3 2 2 2 2 2" xfId="15910" xr:uid="{00000000-0005-0000-0000-000048420000}"/>
    <cellStyle name="Note 3 3 2 2 2 3" xfId="11692" xr:uid="{00000000-0005-0000-0000-000049420000}"/>
    <cellStyle name="Note 3 3 2 2 3" xfId="5329" xr:uid="{00000000-0005-0000-0000-00004A420000}"/>
    <cellStyle name="Note 3 3 2 2 3 2" xfId="13765" xr:uid="{00000000-0005-0000-0000-00004B420000}"/>
    <cellStyle name="Note 3 3 2 2 4" xfId="9547" xr:uid="{00000000-0005-0000-0000-00004C420000}"/>
    <cellStyle name="Note 3 3 2 3" xfId="1434" xr:uid="{00000000-0005-0000-0000-00004D420000}"/>
    <cellStyle name="Note 3 3 2 3 2" xfId="3664" xr:uid="{00000000-0005-0000-0000-00004E420000}"/>
    <cellStyle name="Note 3 3 2 3 2 2" xfId="7887" xr:uid="{00000000-0005-0000-0000-00004F420000}"/>
    <cellStyle name="Note 3 3 2 3 2 2 2" xfId="16323" xr:uid="{00000000-0005-0000-0000-000050420000}"/>
    <cellStyle name="Note 3 3 2 3 2 3" xfId="12105" xr:uid="{00000000-0005-0000-0000-000051420000}"/>
    <cellStyle name="Note 3 3 2 3 3" xfId="5742" xr:uid="{00000000-0005-0000-0000-000052420000}"/>
    <cellStyle name="Note 3 3 2 3 3 2" xfId="14178" xr:uid="{00000000-0005-0000-0000-000053420000}"/>
    <cellStyle name="Note 3 3 2 3 4" xfId="9960" xr:uid="{00000000-0005-0000-0000-000054420000}"/>
    <cellStyle name="Note 3 3 2 4" xfId="1848" xr:uid="{00000000-0005-0000-0000-000055420000}"/>
    <cellStyle name="Note 3 3 2 4 2" xfId="4077" xr:uid="{00000000-0005-0000-0000-000056420000}"/>
    <cellStyle name="Note 3 3 2 4 2 2" xfId="8300" xr:uid="{00000000-0005-0000-0000-000057420000}"/>
    <cellStyle name="Note 3 3 2 4 2 2 2" xfId="16736" xr:uid="{00000000-0005-0000-0000-000058420000}"/>
    <cellStyle name="Note 3 3 2 4 2 3" xfId="12518" xr:uid="{00000000-0005-0000-0000-000059420000}"/>
    <cellStyle name="Note 3 3 2 4 3" xfId="6155" xr:uid="{00000000-0005-0000-0000-00005A420000}"/>
    <cellStyle name="Note 3 3 2 4 3 2" xfId="14591" xr:uid="{00000000-0005-0000-0000-00005B420000}"/>
    <cellStyle name="Note 3 3 2 4 4" xfId="10373" xr:uid="{00000000-0005-0000-0000-00005C420000}"/>
    <cellStyle name="Note 3 3 2 5" xfId="2261" xr:uid="{00000000-0005-0000-0000-00005D420000}"/>
    <cellStyle name="Note 3 3 2 5 2" xfId="4490" xr:uid="{00000000-0005-0000-0000-00005E420000}"/>
    <cellStyle name="Note 3 3 2 5 2 2" xfId="8713" xr:uid="{00000000-0005-0000-0000-00005F420000}"/>
    <cellStyle name="Note 3 3 2 5 2 2 2" xfId="17149" xr:uid="{00000000-0005-0000-0000-000060420000}"/>
    <cellStyle name="Note 3 3 2 5 2 3" xfId="12931" xr:uid="{00000000-0005-0000-0000-000061420000}"/>
    <cellStyle name="Note 3 3 2 5 3" xfId="6568" xr:uid="{00000000-0005-0000-0000-000062420000}"/>
    <cellStyle name="Note 3 3 2 5 3 2" xfId="15004" xr:uid="{00000000-0005-0000-0000-000063420000}"/>
    <cellStyle name="Note 3 3 2 5 4" xfId="10786" xr:uid="{00000000-0005-0000-0000-000064420000}"/>
    <cellStyle name="Note 3 3 2 6" xfId="2697" xr:uid="{00000000-0005-0000-0000-000065420000}"/>
    <cellStyle name="Note 3 3 2 6 2" xfId="6981" xr:uid="{00000000-0005-0000-0000-000066420000}"/>
    <cellStyle name="Note 3 3 2 6 2 2" xfId="15417" xr:uid="{00000000-0005-0000-0000-000067420000}"/>
    <cellStyle name="Note 3 3 2 6 3" xfId="11199" xr:uid="{00000000-0005-0000-0000-000068420000}"/>
    <cellStyle name="Note 3 3 2 7" xfId="2756" xr:uid="{00000000-0005-0000-0000-000069420000}"/>
    <cellStyle name="Note 3 3 2 8" xfId="2837" xr:uid="{00000000-0005-0000-0000-00006A420000}"/>
    <cellStyle name="Note 3 3 2 8 2" xfId="7061" xr:uid="{00000000-0005-0000-0000-00006B420000}"/>
    <cellStyle name="Note 3 3 2 8 2 2" xfId="15497" xr:uid="{00000000-0005-0000-0000-00006C420000}"/>
    <cellStyle name="Note 3 3 2 8 3" xfId="11279" xr:uid="{00000000-0005-0000-0000-00006D420000}"/>
    <cellStyle name="Note 3 3 2 9" xfId="4916" xr:uid="{00000000-0005-0000-0000-00006E420000}"/>
    <cellStyle name="Note 3 3 2 9 2" xfId="13352" xr:uid="{00000000-0005-0000-0000-00006F420000}"/>
    <cellStyle name="Note 3 3 3" xfId="1018" xr:uid="{00000000-0005-0000-0000-000070420000}"/>
    <cellStyle name="Note 3 3 3 2" xfId="3250" xr:uid="{00000000-0005-0000-0000-000071420000}"/>
    <cellStyle name="Note 3 3 3 2 2" xfId="7473" xr:uid="{00000000-0005-0000-0000-000072420000}"/>
    <cellStyle name="Note 3 3 3 2 2 2" xfId="15909" xr:uid="{00000000-0005-0000-0000-000073420000}"/>
    <cellStyle name="Note 3 3 3 2 3" xfId="11691" xr:uid="{00000000-0005-0000-0000-000074420000}"/>
    <cellStyle name="Note 3 3 3 3" xfId="5328" xr:uid="{00000000-0005-0000-0000-000075420000}"/>
    <cellStyle name="Note 3 3 3 3 2" xfId="13764" xr:uid="{00000000-0005-0000-0000-000076420000}"/>
    <cellStyle name="Note 3 3 3 4" xfId="9546" xr:uid="{00000000-0005-0000-0000-000077420000}"/>
    <cellStyle name="Note 3 3 4" xfId="1433" xr:uid="{00000000-0005-0000-0000-000078420000}"/>
    <cellStyle name="Note 3 3 4 2" xfId="3663" xr:uid="{00000000-0005-0000-0000-000079420000}"/>
    <cellStyle name="Note 3 3 4 2 2" xfId="7886" xr:uid="{00000000-0005-0000-0000-00007A420000}"/>
    <cellStyle name="Note 3 3 4 2 2 2" xfId="16322" xr:uid="{00000000-0005-0000-0000-00007B420000}"/>
    <cellStyle name="Note 3 3 4 2 3" xfId="12104" xr:uid="{00000000-0005-0000-0000-00007C420000}"/>
    <cellStyle name="Note 3 3 4 3" xfId="5741" xr:uid="{00000000-0005-0000-0000-00007D420000}"/>
    <cellStyle name="Note 3 3 4 3 2" xfId="14177" xr:uid="{00000000-0005-0000-0000-00007E420000}"/>
    <cellStyle name="Note 3 3 4 4" xfId="9959" xr:uid="{00000000-0005-0000-0000-00007F420000}"/>
    <cellStyle name="Note 3 3 5" xfId="1847" xr:uid="{00000000-0005-0000-0000-000080420000}"/>
    <cellStyle name="Note 3 3 5 2" xfId="4076" xr:uid="{00000000-0005-0000-0000-000081420000}"/>
    <cellStyle name="Note 3 3 5 2 2" xfId="8299" xr:uid="{00000000-0005-0000-0000-000082420000}"/>
    <cellStyle name="Note 3 3 5 2 2 2" xfId="16735" xr:uid="{00000000-0005-0000-0000-000083420000}"/>
    <cellStyle name="Note 3 3 5 2 3" xfId="12517" xr:uid="{00000000-0005-0000-0000-000084420000}"/>
    <cellStyle name="Note 3 3 5 3" xfId="6154" xr:uid="{00000000-0005-0000-0000-000085420000}"/>
    <cellStyle name="Note 3 3 5 3 2" xfId="14590" xr:uid="{00000000-0005-0000-0000-000086420000}"/>
    <cellStyle name="Note 3 3 5 4" xfId="10372" xr:uid="{00000000-0005-0000-0000-000087420000}"/>
    <cellStyle name="Note 3 3 6" xfId="2260" xr:uid="{00000000-0005-0000-0000-000088420000}"/>
    <cellStyle name="Note 3 3 6 2" xfId="4489" xr:uid="{00000000-0005-0000-0000-000089420000}"/>
    <cellStyle name="Note 3 3 6 2 2" xfId="8712" xr:uid="{00000000-0005-0000-0000-00008A420000}"/>
    <cellStyle name="Note 3 3 6 2 2 2" xfId="17148" xr:uid="{00000000-0005-0000-0000-00008B420000}"/>
    <cellStyle name="Note 3 3 6 2 3" xfId="12930" xr:uid="{00000000-0005-0000-0000-00008C420000}"/>
    <cellStyle name="Note 3 3 6 3" xfId="6567" xr:uid="{00000000-0005-0000-0000-00008D420000}"/>
    <cellStyle name="Note 3 3 6 3 2" xfId="15003" xr:uid="{00000000-0005-0000-0000-00008E420000}"/>
    <cellStyle name="Note 3 3 6 4" xfId="10785" xr:uid="{00000000-0005-0000-0000-00008F420000}"/>
    <cellStyle name="Note 3 3 7" xfId="2696" xr:uid="{00000000-0005-0000-0000-000090420000}"/>
    <cellStyle name="Note 3 3 7 2" xfId="6980" xr:uid="{00000000-0005-0000-0000-000091420000}"/>
    <cellStyle name="Note 3 3 7 2 2" xfId="15416" xr:uid="{00000000-0005-0000-0000-000092420000}"/>
    <cellStyle name="Note 3 3 7 3" xfId="11198" xr:uid="{00000000-0005-0000-0000-000093420000}"/>
    <cellStyle name="Note 3 3 8" xfId="2755" xr:uid="{00000000-0005-0000-0000-000094420000}"/>
    <cellStyle name="Note 3 3 9" xfId="2836" xr:uid="{00000000-0005-0000-0000-000095420000}"/>
    <cellStyle name="Note 3 3 9 2" xfId="7060" xr:uid="{00000000-0005-0000-0000-000096420000}"/>
    <cellStyle name="Note 3 3 9 2 2" xfId="15496" xr:uid="{00000000-0005-0000-0000-000097420000}"/>
    <cellStyle name="Note 3 3 9 3" xfId="11278" xr:uid="{00000000-0005-0000-0000-000098420000}"/>
    <cellStyle name="Note 3 4" xfId="560" xr:uid="{00000000-0005-0000-0000-000099420000}"/>
    <cellStyle name="Note 3 4 10" xfId="9135" xr:uid="{00000000-0005-0000-0000-00009A420000}"/>
    <cellStyle name="Note 3 4 2" xfId="1020" xr:uid="{00000000-0005-0000-0000-00009B420000}"/>
    <cellStyle name="Note 3 4 2 2" xfId="3252" xr:uid="{00000000-0005-0000-0000-00009C420000}"/>
    <cellStyle name="Note 3 4 2 2 2" xfId="7475" xr:uid="{00000000-0005-0000-0000-00009D420000}"/>
    <cellStyle name="Note 3 4 2 2 2 2" xfId="15911" xr:uid="{00000000-0005-0000-0000-00009E420000}"/>
    <cellStyle name="Note 3 4 2 2 3" xfId="11693" xr:uid="{00000000-0005-0000-0000-00009F420000}"/>
    <cellStyle name="Note 3 4 2 3" xfId="5330" xr:uid="{00000000-0005-0000-0000-0000A0420000}"/>
    <cellStyle name="Note 3 4 2 3 2" xfId="13766" xr:uid="{00000000-0005-0000-0000-0000A1420000}"/>
    <cellStyle name="Note 3 4 2 4" xfId="9548" xr:uid="{00000000-0005-0000-0000-0000A2420000}"/>
    <cellStyle name="Note 3 4 3" xfId="1435" xr:uid="{00000000-0005-0000-0000-0000A3420000}"/>
    <cellStyle name="Note 3 4 3 2" xfId="3665" xr:uid="{00000000-0005-0000-0000-0000A4420000}"/>
    <cellStyle name="Note 3 4 3 2 2" xfId="7888" xr:uid="{00000000-0005-0000-0000-0000A5420000}"/>
    <cellStyle name="Note 3 4 3 2 2 2" xfId="16324" xr:uid="{00000000-0005-0000-0000-0000A6420000}"/>
    <cellStyle name="Note 3 4 3 2 3" xfId="12106" xr:uid="{00000000-0005-0000-0000-0000A7420000}"/>
    <cellStyle name="Note 3 4 3 3" xfId="5743" xr:uid="{00000000-0005-0000-0000-0000A8420000}"/>
    <cellStyle name="Note 3 4 3 3 2" xfId="14179" xr:uid="{00000000-0005-0000-0000-0000A9420000}"/>
    <cellStyle name="Note 3 4 3 4" xfId="9961" xr:uid="{00000000-0005-0000-0000-0000AA420000}"/>
    <cellStyle name="Note 3 4 4" xfId="1849" xr:uid="{00000000-0005-0000-0000-0000AB420000}"/>
    <cellStyle name="Note 3 4 4 2" xfId="4078" xr:uid="{00000000-0005-0000-0000-0000AC420000}"/>
    <cellStyle name="Note 3 4 4 2 2" xfId="8301" xr:uid="{00000000-0005-0000-0000-0000AD420000}"/>
    <cellStyle name="Note 3 4 4 2 2 2" xfId="16737" xr:uid="{00000000-0005-0000-0000-0000AE420000}"/>
    <cellStyle name="Note 3 4 4 2 3" xfId="12519" xr:uid="{00000000-0005-0000-0000-0000AF420000}"/>
    <cellStyle name="Note 3 4 4 3" xfId="6156" xr:uid="{00000000-0005-0000-0000-0000B0420000}"/>
    <cellStyle name="Note 3 4 4 3 2" xfId="14592" xr:uid="{00000000-0005-0000-0000-0000B1420000}"/>
    <cellStyle name="Note 3 4 4 4" xfId="10374" xr:uid="{00000000-0005-0000-0000-0000B2420000}"/>
    <cellStyle name="Note 3 4 5" xfId="2262" xr:uid="{00000000-0005-0000-0000-0000B3420000}"/>
    <cellStyle name="Note 3 4 5 2" xfId="4491" xr:uid="{00000000-0005-0000-0000-0000B4420000}"/>
    <cellStyle name="Note 3 4 5 2 2" xfId="8714" xr:uid="{00000000-0005-0000-0000-0000B5420000}"/>
    <cellStyle name="Note 3 4 5 2 2 2" xfId="17150" xr:uid="{00000000-0005-0000-0000-0000B6420000}"/>
    <cellStyle name="Note 3 4 5 2 3" xfId="12932" xr:uid="{00000000-0005-0000-0000-0000B7420000}"/>
    <cellStyle name="Note 3 4 5 3" xfId="6569" xr:uid="{00000000-0005-0000-0000-0000B8420000}"/>
    <cellStyle name="Note 3 4 5 3 2" xfId="15005" xr:uid="{00000000-0005-0000-0000-0000B9420000}"/>
    <cellStyle name="Note 3 4 5 4" xfId="10787" xr:uid="{00000000-0005-0000-0000-0000BA420000}"/>
    <cellStyle name="Note 3 4 6" xfId="2698" xr:uid="{00000000-0005-0000-0000-0000BB420000}"/>
    <cellStyle name="Note 3 4 6 2" xfId="6982" xr:uid="{00000000-0005-0000-0000-0000BC420000}"/>
    <cellStyle name="Note 3 4 6 2 2" xfId="15418" xr:uid="{00000000-0005-0000-0000-0000BD420000}"/>
    <cellStyle name="Note 3 4 6 3" xfId="11200" xr:uid="{00000000-0005-0000-0000-0000BE420000}"/>
    <cellStyle name="Note 3 4 7" xfId="2757" xr:uid="{00000000-0005-0000-0000-0000BF420000}"/>
    <cellStyle name="Note 3 4 8" xfId="2838" xr:uid="{00000000-0005-0000-0000-0000C0420000}"/>
    <cellStyle name="Note 3 4 8 2" xfId="7062" xr:uid="{00000000-0005-0000-0000-0000C1420000}"/>
    <cellStyle name="Note 3 4 8 2 2" xfId="15498" xr:uid="{00000000-0005-0000-0000-0000C2420000}"/>
    <cellStyle name="Note 3 4 8 3" xfId="11280" xr:uid="{00000000-0005-0000-0000-0000C3420000}"/>
    <cellStyle name="Note 3 4 9" xfId="4917" xr:uid="{00000000-0005-0000-0000-0000C4420000}"/>
    <cellStyle name="Note 3 4 9 2" xfId="13353" xr:uid="{00000000-0005-0000-0000-0000C5420000}"/>
    <cellStyle name="Note 3 5" xfId="561" xr:uid="{00000000-0005-0000-0000-0000C6420000}"/>
    <cellStyle name="Note 3 5 10" xfId="9136" xr:uid="{00000000-0005-0000-0000-0000C7420000}"/>
    <cellStyle name="Note 3 5 2" xfId="1021" xr:uid="{00000000-0005-0000-0000-0000C8420000}"/>
    <cellStyle name="Note 3 5 2 2" xfId="3253" xr:uid="{00000000-0005-0000-0000-0000C9420000}"/>
    <cellStyle name="Note 3 5 2 2 2" xfId="7476" xr:uid="{00000000-0005-0000-0000-0000CA420000}"/>
    <cellStyle name="Note 3 5 2 2 2 2" xfId="15912" xr:uid="{00000000-0005-0000-0000-0000CB420000}"/>
    <cellStyle name="Note 3 5 2 2 3" xfId="11694" xr:uid="{00000000-0005-0000-0000-0000CC420000}"/>
    <cellStyle name="Note 3 5 2 3" xfId="5331" xr:uid="{00000000-0005-0000-0000-0000CD420000}"/>
    <cellStyle name="Note 3 5 2 3 2" xfId="13767" xr:uid="{00000000-0005-0000-0000-0000CE420000}"/>
    <cellStyle name="Note 3 5 2 4" xfId="9549" xr:uid="{00000000-0005-0000-0000-0000CF420000}"/>
    <cellStyle name="Note 3 5 3" xfId="1436" xr:uid="{00000000-0005-0000-0000-0000D0420000}"/>
    <cellStyle name="Note 3 5 3 2" xfId="3666" xr:uid="{00000000-0005-0000-0000-0000D1420000}"/>
    <cellStyle name="Note 3 5 3 2 2" xfId="7889" xr:uid="{00000000-0005-0000-0000-0000D2420000}"/>
    <cellStyle name="Note 3 5 3 2 2 2" xfId="16325" xr:uid="{00000000-0005-0000-0000-0000D3420000}"/>
    <cellStyle name="Note 3 5 3 2 3" xfId="12107" xr:uid="{00000000-0005-0000-0000-0000D4420000}"/>
    <cellStyle name="Note 3 5 3 3" xfId="5744" xr:uid="{00000000-0005-0000-0000-0000D5420000}"/>
    <cellStyle name="Note 3 5 3 3 2" xfId="14180" xr:uid="{00000000-0005-0000-0000-0000D6420000}"/>
    <cellStyle name="Note 3 5 3 4" xfId="9962" xr:uid="{00000000-0005-0000-0000-0000D7420000}"/>
    <cellStyle name="Note 3 5 4" xfId="1850" xr:uid="{00000000-0005-0000-0000-0000D8420000}"/>
    <cellStyle name="Note 3 5 4 2" xfId="4079" xr:uid="{00000000-0005-0000-0000-0000D9420000}"/>
    <cellStyle name="Note 3 5 4 2 2" xfId="8302" xr:uid="{00000000-0005-0000-0000-0000DA420000}"/>
    <cellStyle name="Note 3 5 4 2 2 2" xfId="16738" xr:uid="{00000000-0005-0000-0000-0000DB420000}"/>
    <cellStyle name="Note 3 5 4 2 3" xfId="12520" xr:uid="{00000000-0005-0000-0000-0000DC420000}"/>
    <cellStyle name="Note 3 5 4 3" xfId="6157" xr:uid="{00000000-0005-0000-0000-0000DD420000}"/>
    <cellStyle name="Note 3 5 4 3 2" xfId="14593" xr:uid="{00000000-0005-0000-0000-0000DE420000}"/>
    <cellStyle name="Note 3 5 4 4" xfId="10375" xr:uid="{00000000-0005-0000-0000-0000DF420000}"/>
    <cellStyle name="Note 3 5 5" xfId="2263" xr:uid="{00000000-0005-0000-0000-0000E0420000}"/>
    <cellStyle name="Note 3 5 5 2" xfId="4492" xr:uid="{00000000-0005-0000-0000-0000E1420000}"/>
    <cellStyle name="Note 3 5 5 2 2" xfId="8715" xr:uid="{00000000-0005-0000-0000-0000E2420000}"/>
    <cellStyle name="Note 3 5 5 2 2 2" xfId="17151" xr:uid="{00000000-0005-0000-0000-0000E3420000}"/>
    <cellStyle name="Note 3 5 5 2 3" xfId="12933" xr:uid="{00000000-0005-0000-0000-0000E4420000}"/>
    <cellStyle name="Note 3 5 5 3" xfId="6570" xr:uid="{00000000-0005-0000-0000-0000E5420000}"/>
    <cellStyle name="Note 3 5 5 3 2" xfId="15006" xr:uid="{00000000-0005-0000-0000-0000E6420000}"/>
    <cellStyle name="Note 3 5 5 4" xfId="10788" xr:uid="{00000000-0005-0000-0000-0000E7420000}"/>
    <cellStyle name="Note 3 5 6" xfId="2699" xr:uid="{00000000-0005-0000-0000-0000E8420000}"/>
    <cellStyle name="Note 3 5 6 2" xfId="6983" xr:uid="{00000000-0005-0000-0000-0000E9420000}"/>
    <cellStyle name="Note 3 5 6 2 2" xfId="15419" xr:uid="{00000000-0005-0000-0000-0000EA420000}"/>
    <cellStyle name="Note 3 5 6 3" xfId="11201" xr:uid="{00000000-0005-0000-0000-0000EB420000}"/>
    <cellStyle name="Note 3 5 7" xfId="2758" xr:uid="{00000000-0005-0000-0000-0000EC420000}"/>
    <cellStyle name="Note 3 5 8" xfId="2839" xr:uid="{00000000-0005-0000-0000-0000ED420000}"/>
    <cellStyle name="Note 3 5 8 2" xfId="7063" xr:uid="{00000000-0005-0000-0000-0000EE420000}"/>
    <cellStyle name="Note 3 5 8 2 2" xfId="15499" xr:uid="{00000000-0005-0000-0000-0000EF420000}"/>
    <cellStyle name="Note 3 5 8 3" xfId="11281" xr:uid="{00000000-0005-0000-0000-0000F0420000}"/>
    <cellStyle name="Note 3 5 9" xfId="4918" xr:uid="{00000000-0005-0000-0000-0000F1420000}"/>
    <cellStyle name="Note 3 5 9 2" xfId="13354" xr:uid="{00000000-0005-0000-0000-0000F2420000}"/>
    <cellStyle name="Output" xfId="562" builtinId="21" customBuiltin="1"/>
    <cellStyle name="Output 2" xfId="563" xr:uid="{00000000-0005-0000-0000-0000F4420000}"/>
    <cellStyle name="Percent" xfId="4494" builtinId="5"/>
    <cellStyle name="Percent 2" xfId="1022" xr:uid="{00000000-0005-0000-0000-0000F6420000}"/>
    <cellStyle name="Percent 3" xfId="4499" xr:uid="{00000000-0005-0000-0000-0000F7420000}"/>
    <cellStyle name="Percent 3 2" xfId="12937" xr:uid="{00000000-0005-0000-0000-0000F8420000}"/>
    <cellStyle name="Percent 4" xfId="4502" xr:uid="{00000000-0005-0000-0000-0000F9420000}"/>
    <cellStyle name="Percent 4 2" xfId="8718" xr:uid="{00000000-0005-0000-0000-0000FA420000}"/>
    <cellStyle name="Percent 4 2 2" xfId="17154" xr:uid="{00000000-0005-0000-0000-0000FB420000}"/>
    <cellStyle name="Percent 4 3" xfId="8721" xr:uid="{00000000-0005-0000-0000-0000FC420000}"/>
    <cellStyle name="Percent 4 3 2" xfId="17157" xr:uid="{00000000-0005-0000-0000-0000FD420000}"/>
    <cellStyle name="Percent 4 4" xfId="12940" xr:uid="{00000000-0005-0000-0000-0000FE420000}"/>
    <cellStyle name="Text Entry" xfId="564" xr:uid="{00000000-0005-0000-0000-0000FF420000}"/>
    <cellStyle name="Title 2" xfId="565" xr:uid="{00000000-0005-0000-0000-000000430000}"/>
    <cellStyle name="Title 2 2" xfId="2759" xr:uid="{00000000-0005-0000-0000-000001430000}"/>
    <cellStyle name="Title 2 3" xfId="2840" xr:uid="{00000000-0005-0000-0000-000002430000}"/>
    <cellStyle name="Total" xfId="566" builtinId="25" customBuiltin="1"/>
    <cellStyle name="Total 2" xfId="567" xr:uid="{00000000-0005-0000-0000-000004430000}"/>
    <cellStyle name="Warning Text" xfId="568" builtinId="11" customBuiltin="1"/>
  </cellStyles>
  <dxfs count="154">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als-San%20Diego/Mt%20Etna/900%20-%20Proformas/Taormina/Taormina%20CDLAC%20application%20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als-San%20Diego/Mt%20Etna/400%20-%20Financing/Taormina/CDLAC%20&amp;%20Bond%20Issuance/431%20-%20Inducement%20App/02-Application/03-TCAC%20Workbook/03%20-%20TCAC%20Workbook%20-%20Taorm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External)"/>
      <sheetName val="HCD"/>
      <sheetName val="CDLAC score TB"/>
      <sheetName val="Project Summary (Internal)"/>
      <sheetName val="S&amp;U Qtr"/>
      <sheetName val="Soft Cost Budget"/>
      <sheetName val="Predev A&amp;E Fees"/>
      <sheetName val="Operating Budget"/>
      <sheetName val="Sheet1"/>
      <sheetName val="LIHTC &amp; BASIS CALCULATION"/>
      <sheetName val="55 Year CF"/>
      <sheetName val="Solar Credit Calc"/>
      <sheetName val="DebtAmortization"/>
      <sheetName val="Rent Calculator"/>
      <sheetName val="C-Bond Sizing"/>
      <sheetName val="Lease-up"/>
      <sheetName val="Interest Calculation"/>
      <sheetName val="CapitalAcct&amp;IRR"/>
      <sheetName val="Residual"/>
      <sheetName val="SOV"/>
      <sheetName val="Predev, A&amp;E, Impact Fees"/>
    </sheetNames>
    <sheetDataSet>
      <sheetData sheetId="0"/>
      <sheetData sheetId="1"/>
      <sheetData sheetId="2"/>
      <sheetData sheetId="3">
        <row r="42">
          <cell r="M42">
            <v>11646387.853336751</v>
          </cell>
        </row>
        <row r="44">
          <cell r="M44">
            <v>42700000</v>
          </cell>
        </row>
      </sheetData>
      <sheetData sheetId="4">
        <row r="7">
          <cell r="S7">
            <v>3076262.1236173399</v>
          </cell>
          <cell r="W7">
            <v>30762621.236173399</v>
          </cell>
        </row>
        <row r="12">
          <cell r="W12">
            <v>25140000</v>
          </cell>
        </row>
        <row r="14">
          <cell r="W14">
            <v>1277601.2881440148</v>
          </cell>
        </row>
        <row r="15">
          <cell r="W15">
            <v>2500000</v>
          </cell>
        </row>
        <row r="16">
          <cell r="W16">
            <v>12510000</v>
          </cell>
        </row>
        <row r="17">
          <cell r="W17">
            <v>5500000</v>
          </cell>
        </row>
        <row r="19">
          <cell r="S19">
            <v>3600000</v>
          </cell>
          <cell r="W19">
            <v>4000000</v>
          </cell>
        </row>
        <row r="28">
          <cell r="W28">
            <v>81690222.524317414</v>
          </cell>
        </row>
        <row r="34">
          <cell r="W34">
            <v>12510000</v>
          </cell>
        </row>
        <row r="35">
          <cell r="E35">
            <v>62000</v>
          </cell>
        </row>
        <row r="60">
          <cell r="AA60">
            <v>5074928</v>
          </cell>
        </row>
        <row r="61">
          <cell r="W61">
            <v>1300000</v>
          </cell>
        </row>
        <row r="62">
          <cell r="AA62">
            <v>34557962</v>
          </cell>
        </row>
        <row r="64">
          <cell r="AA64">
            <v>1624507</v>
          </cell>
        </row>
        <row r="66">
          <cell r="AA66">
            <v>2842888</v>
          </cell>
        </row>
        <row r="68">
          <cell r="AA68">
            <v>1056714.4849999999</v>
          </cell>
        </row>
        <row r="75">
          <cell r="AA75">
            <v>1141456.5150000001</v>
          </cell>
        </row>
        <row r="76">
          <cell r="W76">
            <v>115500</v>
          </cell>
        </row>
        <row r="92">
          <cell r="W92">
            <v>599500</v>
          </cell>
        </row>
        <row r="95">
          <cell r="W95">
            <v>2354675.2869565217</v>
          </cell>
        </row>
        <row r="96">
          <cell r="W96">
            <v>437151.08889278641</v>
          </cell>
        </row>
        <row r="100">
          <cell r="W100">
            <v>2563201.5235006418</v>
          </cell>
        </row>
        <row r="101">
          <cell r="W101">
            <v>656250</v>
          </cell>
        </row>
        <row r="103">
          <cell r="W103">
            <v>518463.87853336753</v>
          </cell>
        </row>
        <row r="106">
          <cell r="W106">
            <v>60000</v>
          </cell>
        </row>
        <row r="107">
          <cell r="W107">
            <v>35000</v>
          </cell>
        </row>
        <row r="109">
          <cell r="W109">
            <v>325000</v>
          </cell>
        </row>
        <row r="110">
          <cell r="W110">
            <v>25000</v>
          </cell>
        </row>
        <row r="112">
          <cell r="W112">
            <v>210111.13043478262</v>
          </cell>
        </row>
        <row r="113">
          <cell r="W113">
            <v>25000</v>
          </cell>
        </row>
        <row r="118">
          <cell r="W118">
            <v>125700</v>
          </cell>
        </row>
        <row r="120">
          <cell r="W120">
            <v>5000</v>
          </cell>
        </row>
        <row r="123">
          <cell r="W123">
            <v>79050</v>
          </cell>
        </row>
        <row r="128">
          <cell r="W128">
            <v>60000</v>
          </cell>
        </row>
        <row r="129">
          <cell r="W129">
            <v>25000</v>
          </cell>
        </row>
        <row r="130">
          <cell r="W130">
            <v>90000</v>
          </cell>
        </row>
        <row r="131">
          <cell r="W131">
            <v>50000</v>
          </cell>
        </row>
        <row r="132">
          <cell r="W132">
            <v>50000</v>
          </cell>
        </row>
        <row r="133">
          <cell r="W133">
            <v>75000</v>
          </cell>
        </row>
        <row r="134">
          <cell r="W134">
            <v>25000</v>
          </cell>
        </row>
        <row r="138">
          <cell r="W138">
            <v>550720.01306964725</v>
          </cell>
        </row>
        <row r="147">
          <cell r="W147">
            <v>8500</v>
          </cell>
        </row>
        <row r="149">
          <cell r="W149">
            <v>13000</v>
          </cell>
        </row>
        <row r="150">
          <cell r="E150">
            <v>36280</v>
          </cell>
        </row>
        <row r="158">
          <cell r="W158">
            <v>91914.742961992582</v>
          </cell>
        </row>
        <row r="159">
          <cell r="W159">
            <v>31107.832712002055</v>
          </cell>
        </row>
        <row r="160">
          <cell r="W160">
            <v>505000</v>
          </cell>
        </row>
        <row r="161">
          <cell r="W161">
            <v>2633555</v>
          </cell>
        </row>
        <row r="165">
          <cell r="W165">
            <v>160000</v>
          </cell>
        </row>
        <row r="166">
          <cell r="W166">
            <v>15000</v>
          </cell>
        </row>
        <row r="167">
          <cell r="W167">
            <v>165000</v>
          </cell>
        </row>
        <row r="168">
          <cell r="W168">
            <v>50000</v>
          </cell>
        </row>
        <row r="170">
          <cell r="W170">
            <v>80000</v>
          </cell>
        </row>
        <row r="171">
          <cell r="W171">
            <v>0</v>
          </cell>
        </row>
        <row r="176">
          <cell r="W176">
            <v>8670086.0272556636</v>
          </cell>
        </row>
      </sheetData>
      <sheetData sheetId="5"/>
      <sheetData sheetId="6"/>
      <sheetData sheetId="7">
        <row r="17">
          <cell r="I17">
            <v>85</v>
          </cell>
        </row>
        <row r="18">
          <cell r="D18">
            <v>12</v>
          </cell>
          <cell r="J18">
            <v>1749</v>
          </cell>
        </row>
        <row r="19">
          <cell r="D19">
            <v>37</v>
          </cell>
          <cell r="J19">
            <v>1379</v>
          </cell>
        </row>
        <row r="20">
          <cell r="D20">
            <v>7</v>
          </cell>
          <cell r="J20">
            <v>1135</v>
          </cell>
        </row>
        <row r="22">
          <cell r="D22">
            <v>7</v>
          </cell>
          <cell r="J22">
            <v>647</v>
          </cell>
        </row>
        <row r="24">
          <cell r="I24">
            <v>114</v>
          </cell>
        </row>
        <row r="25">
          <cell r="D25">
            <v>8</v>
          </cell>
          <cell r="J25">
            <v>2228</v>
          </cell>
        </row>
        <row r="26">
          <cell r="D26">
            <v>21</v>
          </cell>
          <cell r="J26">
            <v>1642</v>
          </cell>
        </row>
        <row r="27">
          <cell r="D27">
            <v>4</v>
          </cell>
          <cell r="J27">
            <v>1349</v>
          </cell>
        </row>
        <row r="29">
          <cell r="D29">
            <v>4</v>
          </cell>
          <cell r="J29">
            <v>764</v>
          </cell>
        </row>
        <row r="31">
          <cell r="I31">
            <v>145</v>
          </cell>
        </row>
        <row r="32">
          <cell r="D32">
            <v>8</v>
          </cell>
          <cell r="J32">
            <v>2562</v>
          </cell>
        </row>
        <row r="33">
          <cell r="D33">
            <v>19</v>
          </cell>
          <cell r="J33">
            <v>1885</v>
          </cell>
        </row>
        <row r="34">
          <cell r="D34">
            <v>4</v>
          </cell>
          <cell r="J34">
            <v>1546</v>
          </cell>
        </row>
        <row r="36">
          <cell r="D36">
            <v>4</v>
          </cell>
          <cell r="J36">
            <v>870</v>
          </cell>
        </row>
        <row r="57">
          <cell r="K57">
            <v>16320</v>
          </cell>
        </row>
        <row r="58">
          <cell r="K58">
            <v>16320</v>
          </cell>
        </row>
        <row r="72">
          <cell r="K72">
            <v>146200</v>
          </cell>
        </row>
        <row r="73">
          <cell r="K73">
            <v>225080</v>
          </cell>
        </row>
        <row r="74">
          <cell r="K74">
            <v>217600</v>
          </cell>
        </row>
        <row r="75">
          <cell r="K75">
            <v>40256</v>
          </cell>
        </row>
        <row r="76">
          <cell r="K76">
            <v>6800</v>
          </cell>
        </row>
        <row r="82">
          <cell r="K82">
            <v>51000</v>
          </cell>
        </row>
        <row r="83">
          <cell r="K83">
            <v>35000</v>
          </cell>
        </row>
        <row r="84">
          <cell r="K84">
            <v>32970</v>
          </cell>
        </row>
        <row r="96">
          <cell r="C96">
            <v>1336910.052278589</v>
          </cell>
        </row>
      </sheetData>
      <sheetData sheetId="8"/>
      <sheetData sheetId="9">
        <row r="75">
          <cell r="D75">
            <v>1674035.7563980871</v>
          </cell>
        </row>
        <row r="76">
          <cell r="D76">
            <v>562500</v>
          </cell>
        </row>
        <row r="78">
          <cell r="D78">
            <v>345642.58568891167</v>
          </cell>
        </row>
        <row r="82">
          <cell r="D82">
            <v>23333.333333333332</v>
          </cell>
        </row>
        <row r="84">
          <cell r="D84">
            <v>216666.66666666666</v>
          </cell>
        </row>
        <row r="85">
          <cell r="D85">
            <v>16666.666666666664</v>
          </cell>
        </row>
        <row r="87">
          <cell r="D87">
            <v>210111.13043478262</v>
          </cell>
        </row>
        <row r="103">
          <cell r="D103">
            <v>40000</v>
          </cell>
        </row>
        <row r="105">
          <cell r="D105">
            <v>45000</v>
          </cell>
        </row>
        <row r="109">
          <cell r="D109">
            <v>25000</v>
          </cell>
        </row>
        <row r="184">
          <cell r="B184">
            <v>0.89</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9">
          <cell r="AO639">
            <v>4000000</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575</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2499</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2500</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2501</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2502</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2503</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2504</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2511</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2195</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2512</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2513</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679</v>
      </c>
      <c r="F42" s="1898" t="s">
        <v>1328</v>
      </c>
    </row>
    <row r="43" spans="1:38" s="1898" customFormat="1" ht="13.1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9" t="s">
        <v>1424</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714</v>
      </c>
      <c r="G48" s="6" t="s">
        <v>2505</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8" t="s">
        <v>2506</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0" t="s">
        <v>1355</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601</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08" t="s">
        <v>2507</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8" t="s">
        <v>1330</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534</v>
      </c>
      <c r="G69" s="1898" t="s">
        <v>1331</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8" t="s">
        <v>1332</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534</v>
      </c>
      <c r="G74" s="1898" t="s">
        <v>1333</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1334</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1335</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1336</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1337</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1338</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1339</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2508</v>
      </c>
      <c r="F140" s="5"/>
      <c r="G140" s="5"/>
      <c r="H140" s="5"/>
    </row>
    <row r="141" spans="4:37">
      <c r="E141" t="s">
        <v>117</v>
      </c>
      <c r="F141" t="s">
        <v>55</v>
      </c>
    </row>
    <row r="142" spans="4:37">
      <c r="E142" t="s">
        <v>118</v>
      </c>
      <c r="F142" t="s">
        <v>491</v>
      </c>
    </row>
    <row r="143" spans="4:37"/>
    <row r="144" spans="4:37">
      <c r="D144" s="5" t="s">
        <v>446</v>
      </c>
      <c r="E144" s="5" t="s">
        <v>2509</v>
      </c>
    </row>
    <row r="145" spans="3:7">
      <c r="E145" s="327" t="s">
        <v>2510</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8" t="s">
        <v>1340</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8" t="s">
        <v>1315</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900" t="s">
        <v>1404</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1406</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1405</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1" t="s">
        <v>1395</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1438</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1126</v>
      </c>
      <c r="B2" s="1948"/>
      <c r="C2" s="1949"/>
      <c r="D2" s="1949"/>
      <c r="E2" s="1949"/>
      <c r="F2" s="1949"/>
      <c r="G2" s="1949"/>
    </row>
    <row r="3" spans="1:9" s="256" customFormat="1">
      <c r="A3" s="1948" t="s">
        <v>1061</v>
      </c>
      <c r="B3" s="1948"/>
      <c r="C3" s="1949"/>
      <c r="D3" s="1949"/>
      <c r="E3" s="1949"/>
      <c r="F3" s="1949"/>
      <c r="G3" s="1949"/>
      <c r="I3" s="669" t="s">
        <v>313</v>
      </c>
    </row>
    <row r="4" spans="1:9">
      <c r="I4" s="670" t="s">
        <v>1127</v>
      </c>
    </row>
    <row r="5" spans="1:9" s="39" customFormat="1">
      <c r="A5" s="1952" t="s">
        <v>1062</v>
      </c>
      <c r="B5" s="1952"/>
      <c r="C5" s="1953"/>
      <c r="D5" s="1953"/>
      <c r="E5" s="1953"/>
      <c r="F5" s="1953"/>
      <c r="G5" s="1953"/>
      <c r="I5" s="670" t="s">
        <v>1128</v>
      </c>
    </row>
    <row r="6" spans="1:9" s="39" customFormat="1">
      <c r="A6" s="1952" t="s">
        <v>864</v>
      </c>
      <c r="B6" s="1952"/>
      <c r="C6" s="1953"/>
      <c r="D6" s="1953"/>
      <c r="E6" s="1953"/>
      <c r="F6" s="1953"/>
      <c r="G6" s="1953"/>
      <c r="I6" s="669" t="s">
        <v>617</v>
      </c>
    </row>
    <row r="7" spans="1:9" ht="11.85" customHeight="1"/>
    <row r="8" spans="1:9" s="39" customFormat="1">
      <c r="A8" s="1950" t="s">
        <v>1223</v>
      </c>
      <c r="B8" s="1950"/>
      <c r="C8" s="1951"/>
      <c r="D8" s="1951"/>
      <c r="E8" s="1951"/>
      <c r="F8" s="1951"/>
      <c r="G8" s="1951"/>
    </row>
    <row r="9" spans="1:9" s="39" customFormat="1">
      <c r="A9" s="1950" t="s">
        <v>1224</v>
      </c>
      <c r="B9" s="1950"/>
      <c r="C9" s="1951"/>
      <c r="D9" s="1951"/>
      <c r="E9" s="1951"/>
      <c r="F9" s="1951"/>
      <c r="G9" s="1951"/>
    </row>
    <row r="10" spans="1:9">
      <c r="A10" s="258"/>
      <c r="B10" s="258"/>
      <c r="C10" s="255"/>
      <c r="D10" s="255"/>
      <c r="E10" s="255"/>
      <c r="F10" s="255"/>
    </row>
    <row r="11" spans="1:9">
      <c r="A11" s="1954" t="s">
        <v>1226</v>
      </c>
      <c r="B11" s="1954"/>
      <c r="C11" s="1954"/>
      <c r="D11" s="1954"/>
      <c r="E11" s="1954"/>
      <c r="F11" s="1954"/>
      <c r="G11" s="1954"/>
    </row>
    <row r="12" spans="1:9">
      <c r="A12" s="255"/>
      <c r="B12" s="665"/>
      <c r="E12" s="50"/>
    </row>
    <row r="13" spans="1:9" ht="13.15" customHeight="1">
      <c r="C13" s="255"/>
      <c r="D13" s="1972" t="s">
        <v>1225</v>
      </c>
      <c r="E13" s="1972"/>
      <c r="F13" s="1972"/>
    </row>
    <row r="14" spans="1:9">
      <c r="C14" s="255"/>
      <c r="D14" s="1972"/>
      <c r="E14" s="1972"/>
      <c r="F14" s="1972"/>
    </row>
    <row r="15" spans="1:9">
      <c r="A15" s="260"/>
      <c r="B15" s="260"/>
      <c r="C15" s="260"/>
      <c r="D15" s="1911" t="s">
        <v>1208</v>
      </c>
      <c r="E15" s="1911"/>
      <c r="F15" s="1911"/>
    </row>
    <row r="16" spans="1:9">
      <c r="A16" s="260"/>
      <c r="B16" s="260"/>
      <c r="C16" s="260"/>
      <c r="D16" s="327"/>
    </row>
    <row r="17" spans="1:7" ht="14.25">
      <c r="A17" s="261"/>
      <c r="B17" s="671" t="s">
        <v>313</v>
      </c>
      <c r="C17" s="313"/>
      <c r="D17" s="1898" t="s">
        <v>1209</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1210</v>
      </c>
      <c r="E21" s="1964"/>
      <c r="F21" s="1964"/>
    </row>
    <row r="22" spans="1:7" ht="14.25">
      <c r="A22" s="261"/>
      <c r="B22" s="261"/>
      <c r="D22" s="135"/>
    </row>
    <row r="23" spans="1:7" ht="14.25">
      <c r="A23" s="261"/>
      <c r="B23" s="671" t="s">
        <v>313</v>
      </c>
      <c r="D23" s="1898" t="s">
        <v>1211</v>
      </c>
      <c r="E23" s="1898"/>
      <c r="F23" s="1898"/>
    </row>
    <row r="24" spans="1:7" ht="14.25">
      <c r="A24" s="261"/>
      <c r="B24" s="261"/>
      <c r="D24" s="1898"/>
      <c r="E24" s="1898"/>
      <c r="F24" s="1898"/>
    </row>
    <row r="25" spans="1:7"/>
    <row r="26" spans="1:7" ht="14.25">
      <c r="A26" s="261"/>
      <c r="B26" s="671" t="s">
        <v>313</v>
      </c>
      <c r="D26" s="1933" t="s">
        <v>1212</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1213</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1214</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1215</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1216</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1217</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1218</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1219</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1220</v>
      </c>
      <c r="E61" s="1899"/>
      <c r="F61" s="1899"/>
    </row>
    <row r="62" spans="1:7">
      <c r="D62" s="1899"/>
      <c r="E62" s="1899"/>
      <c r="F62" s="1899"/>
    </row>
    <row r="63" spans="1:7"/>
    <row r="64" spans="1:7" ht="14.25">
      <c r="A64" s="261"/>
      <c r="B64" s="671" t="s">
        <v>313</v>
      </c>
      <c r="D64" s="1899" t="s">
        <v>1221</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1222</v>
      </c>
      <c r="E68" s="1898"/>
      <c r="F68" s="1898"/>
    </row>
    <row r="69" spans="1:7">
      <c r="D69" s="1898"/>
      <c r="E69" s="1898"/>
      <c r="F69" s="1898"/>
    </row>
    <row r="70" spans="1:7" ht="14.25">
      <c r="A70" s="261"/>
      <c r="B70" s="261"/>
      <c r="D70" s="135"/>
    </row>
    <row r="71" spans="1:7">
      <c r="A71" s="1918" t="s">
        <v>1129</v>
      </c>
      <c r="B71" s="1918"/>
      <c r="C71" s="1918"/>
      <c r="D71" s="1918"/>
      <c r="E71" s="1918"/>
      <c r="F71" s="1918"/>
      <c r="G71" s="1918"/>
    </row>
    <row r="72" spans="1:7"/>
    <row r="73" spans="1:7">
      <c r="C73" s="262"/>
      <c r="D73" s="1947" t="s">
        <v>1227</v>
      </c>
      <c r="E73" s="1947"/>
      <c r="F73" s="1947"/>
    </row>
    <row r="74" spans="1:7">
      <c r="A74" s="135"/>
      <c r="B74" s="135"/>
      <c r="D74" s="1898" t="s">
        <v>1254</v>
      </c>
      <c r="E74" s="1898"/>
      <c r="F74" s="1898"/>
    </row>
    <row r="75" spans="1:7">
      <c r="A75" s="135"/>
      <c r="B75" s="135"/>
    </row>
    <row r="76" spans="1:7" ht="14.25">
      <c r="A76" s="261"/>
      <c r="B76" s="671" t="s">
        <v>313</v>
      </c>
      <c r="D76" s="1898" t="s">
        <v>1228</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313</v>
      </c>
      <c r="C83" s="697"/>
      <c r="D83" s="1927" t="s">
        <v>1327</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1229</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1230</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1231</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1232</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1233</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8" t="s">
        <v>1341</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0" t="s">
        <v>1234</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313</v>
      </c>
      <c r="C159" s="325"/>
      <c r="D159" s="1906" t="s">
        <v>1235</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1236</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1130</v>
      </c>
      <c r="B168" s="1918"/>
      <c r="C168" s="1918"/>
      <c r="D168" s="1918"/>
      <c r="E168" s="1918"/>
      <c r="F168" s="1918"/>
      <c r="G168" s="1918"/>
    </row>
    <row r="169" spans="1:7" ht="12" customHeight="1">
      <c r="D169" s="135"/>
      <c r="E169" s="135"/>
      <c r="F169" s="135"/>
    </row>
    <row r="170" spans="1:7">
      <c r="B170" s="1946" t="s">
        <v>464</v>
      </c>
      <c r="C170" s="1946"/>
      <c r="D170" s="1946"/>
      <c r="E170" s="1946"/>
      <c r="F170" s="1946"/>
    </row>
    <row r="171" spans="1:7" ht="12" customHeight="1">
      <c r="A171" s="255"/>
      <c r="B171" s="665"/>
      <c r="C171" s="255"/>
    </row>
    <row r="172" spans="1:7">
      <c r="A172" s="1918" t="s">
        <v>1131</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1239</v>
      </c>
      <c r="E174" s="1942"/>
      <c r="F174" s="1942"/>
      <c r="G174" s="57"/>
    </row>
    <row r="175" spans="1:7">
      <c r="A175" s="264"/>
      <c r="B175" s="264"/>
      <c r="C175" s="265"/>
      <c r="D175" s="1942"/>
      <c r="E175" s="1942"/>
      <c r="F175" s="1942"/>
      <c r="G175" s="57"/>
    </row>
    <row r="176" spans="1:7" s="711" customFormat="1">
      <c r="A176" s="713"/>
      <c r="B176" s="713"/>
      <c r="C176" s="265"/>
      <c r="D176" s="1943" t="s">
        <v>1240</v>
      </c>
      <c r="E176" s="1943"/>
      <c r="F176" s="1943"/>
      <c r="G176" s="57"/>
    </row>
    <row r="177" spans="1:7" ht="12" customHeight="1">
      <c r="A177" s="264"/>
      <c r="B177" s="264"/>
      <c r="C177" s="265"/>
      <c r="D177" s="57"/>
      <c r="E177" s="49"/>
      <c r="F177" s="57"/>
      <c r="G177" s="57"/>
    </row>
    <row r="178" spans="1:7" ht="14.25">
      <c r="A178" s="261"/>
      <c r="B178" s="671" t="s">
        <v>313</v>
      </c>
      <c r="C178" s="265"/>
      <c r="D178" s="1936" t="s">
        <v>1238</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1147</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1237</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1132</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1261</v>
      </c>
      <c r="E194" s="1923"/>
      <c r="F194" s="1923"/>
    </row>
    <row r="195" spans="1:6" ht="12" customHeight="1">
      <c r="A195" s="23"/>
      <c r="B195" s="667"/>
      <c r="C195" s="23"/>
    </row>
    <row r="196" spans="1:6" ht="13.15" customHeight="1">
      <c r="A196" s="23"/>
      <c r="C196" s="23"/>
      <c r="D196" s="1921" t="s">
        <v>571</v>
      </c>
      <c r="E196" s="1921"/>
      <c r="F196" s="1921"/>
    </row>
    <row r="197" spans="1:6" ht="14.25">
      <c r="A197" s="261"/>
      <c r="B197" s="671" t="s">
        <v>313</v>
      </c>
      <c r="D197" s="1898" t="s">
        <v>1255</v>
      </c>
      <c r="E197" s="1898"/>
      <c r="F197" s="1898"/>
    </row>
    <row r="198" spans="1:6" ht="14.25">
      <c r="A198" s="261"/>
      <c r="B198" s="261"/>
      <c r="D198" s="1898"/>
      <c r="E198" s="1898"/>
      <c r="F198" s="1898"/>
    </row>
    <row r="199" spans="1:6"/>
    <row r="200" spans="1:6" ht="14.25">
      <c r="A200" s="261"/>
      <c r="B200" s="671" t="s">
        <v>313</v>
      </c>
      <c r="D200" s="1898" t="s">
        <v>1256</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1257</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1258</v>
      </c>
      <c r="E210" s="1912"/>
      <c r="F210" s="1912"/>
    </row>
    <row r="211" spans="1:7" ht="14.25">
      <c r="A211" s="261"/>
      <c r="B211" s="261"/>
      <c r="D211" s="1912"/>
      <c r="E211" s="1912"/>
      <c r="F211" s="1912"/>
    </row>
    <row r="212" spans="1:7" ht="14.25">
      <c r="A212" s="261"/>
      <c r="B212" s="261"/>
      <c r="D212" s="1946" t="s">
        <v>946</v>
      </c>
      <c r="E212" s="1946"/>
      <c r="F212" s="1946"/>
    </row>
    <row r="213" spans="1:7" ht="14.25">
      <c r="A213" s="261"/>
      <c r="B213" s="261"/>
      <c r="D213" s="135"/>
      <c r="E213" s="135"/>
      <c r="F213" s="135"/>
    </row>
    <row r="214" spans="1:7" ht="14.45" customHeight="1">
      <c r="A214" s="261"/>
      <c r="B214" s="671" t="s">
        <v>313</v>
      </c>
      <c r="D214" s="1912" t="s">
        <v>1260</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1259</v>
      </c>
      <c r="E220" s="1898"/>
      <c r="F220" s="1898"/>
    </row>
    <row r="221" spans="1:7" ht="14.25">
      <c r="A221" s="261"/>
      <c r="B221" s="261"/>
      <c r="D221" s="1898"/>
      <c r="E221" s="1898"/>
      <c r="F221" s="1898"/>
    </row>
    <row r="222" spans="1:7">
      <c r="D222" s="29"/>
    </row>
    <row r="223" spans="1:7">
      <c r="A223" s="1918" t="s">
        <v>1133</v>
      </c>
      <c r="B223" s="1918"/>
      <c r="C223" s="1918"/>
      <c r="D223" s="1918"/>
      <c r="E223" s="1918"/>
      <c r="F223" s="1918"/>
      <c r="G223" s="1918"/>
    </row>
    <row r="224" spans="1:7">
      <c r="D224" s="29"/>
    </row>
    <row r="225" spans="1:6">
      <c r="C225" s="262"/>
      <c r="D225" s="1921" t="s">
        <v>1262</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1263</v>
      </c>
      <c r="E228" s="1922"/>
      <c r="F228" s="1922"/>
    </row>
    <row r="229" spans="1:6" ht="14.25">
      <c r="A229" s="261"/>
      <c r="B229" s="261"/>
      <c r="D229" s="1922"/>
      <c r="E229" s="1922"/>
      <c r="F229" s="1922"/>
    </row>
    <row r="230" spans="1:6">
      <c r="D230" s="135"/>
      <c r="E230" s="135"/>
      <c r="F230" s="135"/>
    </row>
    <row r="231" spans="1:6" ht="14.45" customHeight="1">
      <c r="A231" s="261"/>
      <c r="B231" s="671" t="s">
        <v>313</v>
      </c>
      <c r="D231" s="1912" t="s">
        <v>1264</v>
      </c>
      <c r="E231" s="1912"/>
      <c r="F231" s="1912"/>
    </row>
    <row r="232" spans="1:6">
      <c r="D232" s="1912"/>
      <c r="E232" s="1912"/>
      <c r="F232" s="1912"/>
    </row>
    <row r="233" spans="1:6">
      <c r="D233" s="1923" t="s">
        <v>937</v>
      </c>
      <c r="E233" s="1923"/>
      <c r="F233" s="1923"/>
    </row>
    <row r="234" spans="1:6">
      <c r="D234" s="135"/>
      <c r="E234" s="135"/>
      <c r="F234" s="135"/>
    </row>
    <row r="235" spans="1:6" ht="14.45" customHeight="1">
      <c r="A235" s="261"/>
      <c r="B235" s="671" t="s">
        <v>313</v>
      </c>
      <c r="D235" s="1912" t="s">
        <v>1266</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1265</v>
      </c>
      <c r="E241" s="1898"/>
      <c r="F241" s="1898"/>
    </row>
    <row r="242" spans="1:7">
      <c r="D242" s="1898"/>
      <c r="E242" s="1898"/>
      <c r="F242" s="1898"/>
    </row>
    <row r="243" spans="1:7">
      <c r="D243" s="1898"/>
      <c r="E243" s="1898"/>
      <c r="F243" s="1898"/>
    </row>
    <row r="244" spans="1:7">
      <c r="D244" s="263"/>
      <c r="E244" s="135"/>
      <c r="F244" s="135"/>
    </row>
    <row r="245" spans="1:7">
      <c r="A245" s="1918" t="s">
        <v>1134</v>
      </c>
      <c r="B245" s="1918"/>
      <c r="C245" s="1918"/>
      <c r="D245" s="1918"/>
      <c r="E245" s="1918"/>
      <c r="F245" s="1918"/>
      <c r="G245" s="1918"/>
    </row>
    <row r="246" spans="1:7">
      <c r="D246" s="263"/>
      <c r="E246" s="135"/>
      <c r="F246" s="135"/>
    </row>
    <row r="247" spans="1:7">
      <c r="C247" s="255"/>
      <c r="D247" s="1947" t="s">
        <v>1267</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1268</v>
      </c>
      <c r="E251" s="1929"/>
      <c r="F251" s="1929"/>
    </row>
    <row r="252" spans="1:7">
      <c r="E252" s="135"/>
      <c r="F252" s="135"/>
    </row>
    <row r="253" spans="1:7" ht="14.25">
      <c r="A253" s="261"/>
      <c r="B253" s="671" t="s">
        <v>313</v>
      </c>
      <c r="D253" s="1898" t="s">
        <v>1269</v>
      </c>
      <c r="E253" s="1898"/>
      <c r="F253" s="1898"/>
    </row>
    <row r="254" spans="1:7" ht="14.25">
      <c r="A254" s="261"/>
      <c r="B254" s="261"/>
      <c r="D254" s="1898"/>
      <c r="E254" s="1898"/>
      <c r="F254" s="1898"/>
    </row>
    <row r="255" spans="1:7">
      <c r="D255" s="135"/>
      <c r="E255" s="135"/>
      <c r="F255" s="135"/>
    </row>
    <row r="256" spans="1:7" ht="14.25">
      <c r="A256" s="261"/>
      <c r="B256" s="671" t="s">
        <v>313</v>
      </c>
      <c r="D256" s="1912" t="s">
        <v>1270</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1271</v>
      </c>
      <c r="E260" s="1898"/>
      <c r="F260" s="1898"/>
    </row>
    <row r="261" spans="1:7" ht="14.25">
      <c r="A261" s="261"/>
      <c r="B261" s="261"/>
      <c r="D261" s="1898"/>
      <c r="E261" s="1898"/>
      <c r="F261" s="1898"/>
    </row>
    <row r="262" spans="1:7">
      <c r="A262" s="23"/>
      <c r="B262" s="667"/>
      <c r="E262" s="135"/>
      <c r="F262" s="135"/>
    </row>
    <row r="263" spans="1:7">
      <c r="A263" s="1918" t="s">
        <v>1135</v>
      </c>
      <c r="B263" s="1918"/>
      <c r="C263" s="1918"/>
      <c r="D263" s="1918"/>
      <c r="E263" s="1918"/>
      <c r="F263" s="1918"/>
      <c r="G263" s="1918"/>
    </row>
    <row r="264" spans="1:7">
      <c r="A264" s="23"/>
      <c r="B264" s="667"/>
      <c r="D264" s="135"/>
      <c r="E264" s="135"/>
      <c r="F264" s="135"/>
    </row>
    <row r="265" spans="1:7">
      <c r="C265" s="23"/>
      <c r="D265" s="1921" t="s">
        <v>708</v>
      </c>
      <c r="E265" s="1921"/>
      <c r="F265" s="1921"/>
    </row>
    <row r="266" spans="1:7">
      <c r="C266" s="23"/>
      <c r="D266" s="1911" t="s">
        <v>1272</v>
      </c>
      <c r="E266" s="1911"/>
      <c r="F266" s="1911"/>
    </row>
    <row r="267" spans="1:7">
      <c r="C267" s="23"/>
      <c r="D267" s="259"/>
    </row>
    <row r="268" spans="1:7">
      <c r="A268" s="273"/>
      <c r="B268" s="671" t="s">
        <v>313</v>
      </c>
      <c r="D268" s="1911" t="s">
        <v>1273</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1274</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1275</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1276</v>
      </c>
      <c r="E279" s="1911"/>
      <c r="F279" s="1911"/>
    </row>
    <row r="280" spans="1:7">
      <c r="E280" s="135"/>
      <c r="F280" s="135"/>
    </row>
    <row r="281" spans="1:7" ht="14.25">
      <c r="A281" s="261"/>
      <c r="B281" s="671" t="s">
        <v>313</v>
      </c>
      <c r="D281" s="1912" t="s">
        <v>1277</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1278</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1279</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1038</v>
      </c>
      <c r="E314" s="1930"/>
      <c r="F314" s="1930"/>
      <c r="G314" s="12"/>
    </row>
    <row r="315" spans="1:7" s="711" customFormat="1" ht="13.5" thickTop="1">
      <c r="A315" s="723"/>
      <c r="B315" s="723"/>
      <c r="C315" s="723"/>
      <c r="D315" s="1931" t="s">
        <v>1280</v>
      </c>
      <c r="E315" s="1931"/>
      <c r="F315" s="1931"/>
    </row>
    <row r="316" spans="1:7">
      <c r="A316" s="325"/>
      <c r="B316" s="325"/>
      <c r="C316" s="325"/>
      <c r="D316" s="464"/>
      <c r="E316" s="464"/>
      <c r="F316" s="135"/>
      <c r="G316" s="12"/>
    </row>
    <row r="317" spans="1:7" ht="14.25">
      <c r="A317" s="261"/>
      <c r="B317" s="671" t="s">
        <v>313</v>
      </c>
      <c r="C317" s="325"/>
      <c r="D317" s="1932" t="s">
        <v>1281</v>
      </c>
      <c r="E317" s="1932"/>
      <c r="F317" s="1932"/>
      <c r="G317" s="12"/>
    </row>
    <row r="318" spans="1:7">
      <c r="A318" s="325"/>
      <c r="B318" s="325"/>
      <c r="C318" s="325"/>
      <c r="D318" s="464"/>
      <c r="E318" s="464"/>
      <c r="F318" s="135"/>
      <c r="G318" s="12"/>
    </row>
    <row r="319" spans="1:7">
      <c r="A319" s="325"/>
      <c r="B319" s="671" t="s">
        <v>313</v>
      </c>
      <c r="C319" s="325"/>
      <c r="D319" s="1927" t="s">
        <v>1282</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1283</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1284</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1285</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1286</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1287</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1288</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1289</v>
      </c>
      <c r="E405" s="1911"/>
      <c r="F405" s="1911"/>
    </row>
    <row r="406" spans="1:7">
      <c r="D406" s="1928" t="s">
        <v>1058</v>
      </c>
      <c r="E406" s="1928"/>
      <c r="F406" s="1928"/>
    </row>
    <row r="407" spans="1:7">
      <c r="D407" s="1912" t="s">
        <v>1290</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1291</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1292</v>
      </c>
      <c r="E416" s="1912"/>
      <c r="F416" s="1912"/>
      <c r="G416" s="12"/>
    </row>
    <row r="417" spans="1:7">
      <c r="D417" s="1912"/>
      <c r="E417" s="1912"/>
      <c r="F417" s="1912"/>
      <c r="G417" s="12"/>
    </row>
    <row r="418" spans="1:7">
      <c r="D418" s="135"/>
      <c r="E418" s="135"/>
      <c r="F418" s="135"/>
      <c r="G418" s="12"/>
    </row>
    <row r="419" spans="1:7" ht="14.25">
      <c r="B419" s="671" t="s">
        <v>313</v>
      </c>
      <c r="C419" s="261"/>
      <c r="D419" s="1912" t="s">
        <v>1293</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1294</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1295</v>
      </c>
      <c r="E440" s="1913"/>
      <c r="F440" s="1913"/>
    </row>
    <row r="441" spans="1:7">
      <c r="A441" s="135"/>
      <c r="B441" s="135"/>
    </row>
    <row r="442" spans="1:7">
      <c r="A442" s="1918" t="s">
        <v>1136</v>
      </c>
      <c r="B442" s="1918"/>
      <c r="C442" s="1918"/>
      <c r="D442" s="1918"/>
      <c r="E442" s="1918"/>
      <c r="F442" s="1918"/>
      <c r="G442" s="1918"/>
    </row>
    <row r="443" spans="1:7">
      <c r="A443" s="135"/>
      <c r="B443" s="135"/>
    </row>
    <row r="444" spans="1:7">
      <c r="D444" s="1914" t="s">
        <v>931</v>
      </c>
      <c r="E444" s="1914"/>
      <c r="F444" s="1914"/>
    </row>
    <row r="445" spans="1:7" s="39" customFormat="1" ht="14.25">
      <c r="A445" s="400"/>
      <c r="B445" s="400"/>
      <c r="C445" s="273"/>
      <c r="D445" s="1915" t="s">
        <v>1296</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1297</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1298</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1299</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1300</v>
      </c>
      <c r="E459" s="1911"/>
      <c r="F459" s="1911"/>
      <c r="G459" s="12"/>
    </row>
    <row r="460" spans="1:7" ht="14.25">
      <c r="A460" s="261"/>
      <c r="B460" s="261"/>
      <c r="D460" s="722"/>
      <c r="E460" s="6"/>
      <c r="F460" s="6"/>
      <c r="G460" s="12"/>
    </row>
    <row r="461" spans="1:7" ht="14.25">
      <c r="A461" s="261"/>
      <c r="B461" s="671" t="s">
        <v>313</v>
      </c>
      <c r="D461" s="1898" t="s">
        <v>1301</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1302</v>
      </c>
      <c r="E464" s="1911"/>
      <c r="F464" s="1911"/>
      <c r="G464" s="12"/>
    </row>
    <row r="465" spans="1:7" ht="14.25">
      <c r="A465" s="261"/>
      <c r="B465" s="261"/>
      <c r="D465" s="135"/>
    </row>
    <row r="466" spans="1:7">
      <c r="A466" s="1918" t="s">
        <v>1137</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835</v>
      </c>
      <c r="E468" s="1919"/>
      <c r="F468" s="1919"/>
      <c r="G468" s="182"/>
    </row>
    <row r="469" spans="1:7" customFormat="1" ht="13.15" customHeight="1">
      <c r="A469" s="260"/>
      <c r="B469" s="260"/>
      <c r="C469" s="313"/>
      <c r="D469" s="1920" t="s">
        <v>1180</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313</v>
      </c>
      <c r="C475" s="313"/>
      <c r="D475" s="1960" t="s">
        <v>1171</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313</v>
      </c>
      <c r="C481" s="313"/>
      <c r="D481" s="1960" t="s">
        <v>1174</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0" t="s">
        <v>1172</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313</v>
      </c>
      <c r="C490" s="313"/>
      <c r="D490" s="1960" t="s">
        <v>1173</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1317</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313</v>
      </c>
      <c r="C506" s="10"/>
      <c r="D506" s="1960" t="s">
        <v>1175</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1138</v>
      </c>
      <c r="B510" s="1918"/>
      <c r="C510" s="1918"/>
      <c r="D510" s="1918"/>
      <c r="E510" s="1918"/>
      <c r="F510" s="1918"/>
      <c r="G510" s="1918"/>
    </row>
    <row r="511" spans="1:7">
      <c r="A511" s="135"/>
      <c r="B511" s="135"/>
      <c r="C511" s="266"/>
      <c r="F511" s="134"/>
    </row>
    <row r="512" spans="1:7">
      <c r="B512" s="1946" t="s">
        <v>464</v>
      </c>
      <c r="C512" s="1946"/>
      <c r="D512" s="1946"/>
      <c r="E512" s="1946"/>
      <c r="F512" s="1946"/>
    </row>
    <row r="513" spans="1:7">
      <c r="A513" s="135"/>
      <c r="B513" s="135"/>
      <c r="C513" s="266"/>
      <c r="D513" s="135"/>
      <c r="F513" s="135"/>
    </row>
    <row r="514" spans="1:7">
      <c r="A514" s="1968" t="s">
        <v>1139</v>
      </c>
      <c r="B514" s="1968"/>
      <c r="C514" s="1968"/>
      <c r="D514" s="1968"/>
      <c r="E514" s="1968"/>
      <c r="F514" s="1968"/>
      <c r="G514" s="1968"/>
    </row>
    <row r="515" spans="1:7">
      <c r="A515" s="135"/>
      <c r="B515" s="135"/>
      <c r="C515" s="266"/>
      <c r="D515" s="135"/>
      <c r="F515" s="135"/>
    </row>
    <row r="516" spans="1:7">
      <c r="C516" s="266"/>
      <c r="D516" s="1921" t="s">
        <v>709</v>
      </c>
      <c r="E516" s="1921"/>
      <c r="F516" s="1921"/>
    </row>
    <row r="517" spans="1:7" s="674" customFormat="1">
      <c r="A517" s="691"/>
      <c r="B517" s="691"/>
      <c r="C517" s="266"/>
      <c r="D517" s="1911" t="s">
        <v>1196</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932</v>
      </c>
      <c r="E519" s="1911"/>
      <c r="F519" s="1911"/>
      <c r="G519" s="12"/>
    </row>
    <row r="520" spans="1:7" ht="13.15" customHeight="1">
      <c r="A520" s="266"/>
      <c r="B520" s="266"/>
      <c r="C520" s="266"/>
      <c r="D520" s="696"/>
      <c r="E520" s="669"/>
      <c r="F520" s="669"/>
      <c r="G520" s="12"/>
    </row>
    <row r="521" spans="1:7" ht="14.25">
      <c r="A521" s="261"/>
      <c r="B521" s="671" t="s">
        <v>313</v>
      </c>
      <c r="C521" s="266"/>
      <c r="D521" s="1898" t="s">
        <v>1197</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1198</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1199</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1200</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1318</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1201</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1202</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1203</v>
      </c>
      <c r="E543" s="1911"/>
      <c r="F543" s="1911"/>
      <c r="G543" s="57"/>
    </row>
    <row r="544" spans="1:7">
      <c r="A544" s="23"/>
      <c r="B544" s="667"/>
      <c r="C544" s="266"/>
      <c r="D544" s="1911" t="s">
        <v>865</v>
      </c>
      <c r="E544" s="1911"/>
      <c r="F544" s="1911"/>
      <c r="G544" s="57"/>
    </row>
    <row r="545" spans="1:7">
      <c r="A545" s="23"/>
      <c r="B545" s="667"/>
      <c r="C545" s="266"/>
      <c r="D545" s="6"/>
      <c r="E545" s="1929" t="s">
        <v>1204</v>
      </c>
      <c r="F545" s="1929"/>
      <c r="G545" s="57"/>
    </row>
    <row r="546" spans="1:7" ht="14.25">
      <c r="A546" s="261"/>
      <c r="B546" s="261"/>
      <c r="C546" s="266"/>
      <c r="E546" s="135"/>
      <c r="F546" s="135"/>
      <c r="G546" s="57"/>
    </row>
    <row r="547" spans="1:7" ht="14.25">
      <c r="A547" s="261"/>
      <c r="B547" s="671" t="s">
        <v>313</v>
      </c>
      <c r="C547" s="266"/>
      <c r="D547" s="1973" t="s">
        <v>1205</v>
      </c>
      <c r="E547" s="1973"/>
      <c r="F547" s="1973"/>
      <c r="G547" s="57"/>
    </row>
    <row r="548" spans="1:7">
      <c r="C548" s="266"/>
      <c r="D548" s="1898" t="s">
        <v>1206</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1207</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1140</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1156</v>
      </c>
      <c r="E560" s="1941"/>
      <c r="F560" s="1941"/>
      <c r="G560" s="57"/>
    </row>
    <row r="561" spans="1:7">
      <c r="A561" s="12"/>
      <c r="B561" s="12"/>
      <c r="C561" s="260"/>
      <c r="D561" s="374"/>
      <c r="G561" s="57"/>
    </row>
    <row r="562" spans="1:7">
      <c r="A562" s="260"/>
      <c r="B562" s="671" t="s">
        <v>313</v>
      </c>
      <c r="D562" s="1941" t="s">
        <v>938</v>
      </c>
      <c r="E562" s="1941"/>
      <c r="F562" s="1941"/>
      <c r="G562" s="57"/>
    </row>
    <row r="563" spans="1:7">
      <c r="A563" s="23"/>
      <c r="B563" s="667"/>
      <c r="D563" s="325"/>
    </row>
    <row r="564" spans="1:7">
      <c r="A564" s="23"/>
      <c r="B564" s="671" t="s">
        <v>313</v>
      </c>
      <c r="D564" s="1917" t="s">
        <v>1157</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1158</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1159</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1160</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933</v>
      </c>
      <c r="E579" s="1941"/>
      <c r="F579" s="1941"/>
    </row>
    <row r="580" spans="1:7" ht="14.25">
      <c r="A580" s="261"/>
      <c r="B580" s="261"/>
      <c r="D580" s="374"/>
    </row>
    <row r="581" spans="1:7" ht="14.25">
      <c r="A581" s="261"/>
      <c r="B581" s="671" t="s">
        <v>313</v>
      </c>
      <c r="D581" s="1941" t="s">
        <v>1161</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1141</v>
      </c>
      <c r="B588" s="1918"/>
      <c r="C588" s="1918"/>
      <c r="D588" s="1918"/>
      <c r="E588" s="1918"/>
      <c r="F588" s="1918"/>
      <c r="G588" s="1918"/>
    </row>
    <row r="589" spans="1:7"/>
    <row r="590" spans="1:7">
      <c r="D590" s="1935" t="s">
        <v>1241</v>
      </c>
      <c r="E590" s="1935"/>
      <c r="F590" s="1935"/>
    </row>
    <row r="591" spans="1:7">
      <c r="D591" s="1974" t="s">
        <v>1242</v>
      </c>
      <c r="E591" s="1974"/>
      <c r="F591" s="1974"/>
    </row>
    <row r="592" spans="1:7" s="711" customFormat="1">
      <c r="A592" s="697"/>
      <c r="B592" s="697"/>
      <c r="C592" s="697"/>
      <c r="D592" s="715"/>
      <c r="E592" s="714"/>
      <c r="F592" s="714"/>
      <c r="G592" s="7"/>
    </row>
    <row r="593" spans="1:7" s="39" customFormat="1" ht="14.25">
      <c r="A593" s="400"/>
      <c r="B593" s="671" t="s">
        <v>313</v>
      </c>
      <c r="C593" s="273"/>
      <c r="D593" s="1937" t="s">
        <v>1243</v>
      </c>
      <c r="E593" s="1937"/>
      <c r="F593" s="1937"/>
      <c r="G593" s="130"/>
    </row>
    <row r="594" spans="1:7">
      <c r="D594" s="1937"/>
      <c r="E594" s="1937"/>
      <c r="F594" s="1937"/>
    </row>
    <row r="595" spans="1:7">
      <c r="D595" s="1937"/>
      <c r="E595" s="1937"/>
      <c r="F595" s="1937"/>
    </row>
    <row r="596" spans="1:7"/>
    <row r="597" spans="1:7">
      <c r="A597" s="1918" t="s">
        <v>1142</v>
      </c>
      <c r="B597" s="1918"/>
      <c r="C597" s="1918"/>
      <c r="D597" s="1918"/>
      <c r="E597" s="1918"/>
      <c r="F597" s="1918"/>
      <c r="G597" s="1918"/>
    </row>
    <row r="598" spans="1:7">
      <c r="A598" s="135"/>
      <c r="B598" s="135"/>
      <c r="G598" s="57"/>
    </row>
    <row r="599" spans="1:7">
      <c r="A599" s="257"/>
      <c r="B599" s="666"/>
      <c r="C599" s="255"/>
      <c r="D599" s="1975" t="s">
        <v>1244</v>
      </c>
      <c r="E599" s="1975"/>
      <c r="F599" s="1975"/>
      <c r="G599" s="57"/>
    </row>
    <row r="600" spans="1:7">
      <c r="A600" s="257"/>
      <c r="B600" s="666"/>
      <c r="C600" s="255"/>
      <c r="D600" s="1975"/>
      <c r="E600" s="1975"/>
      <c r="F600" s="1975"/>
      <c r="G600" s="57"/>
    </row>
    <row r="601" spans="1:7">
      <c r="C601" s="260"/>
      <c r="D601" s="1974" t="s">
        <v>1245</v>
      </c>
      <c r="E601" s="1974"/>
      <c r="F601" s="1974"/>
      <c r="G601" s="57"/>
    </row>
    <row r="602" spans="1:7" s="711" customFormat="1">
      <c r="A602" s="697"/>
      <c r="B602" s="697"/>
      <c r="C602" s="712"/>
      <c r="D602" s="716"/>
      <c r="E602" s="716"/>
      <c r="F602" s="716"/>
      <c r="G602" s="57"/>
    </row>
    <row r="603" spans="1:7">
      <c r="A603" s="23"/>
      <c r="B603" s="671" t="s">
        <v>313</v>
      </c>
      <c r="D603" s="1974" t="s">
        <v>449</v>
      </c>
      <c r="E603" s="1974"/>
      <c r="F603" s="1974"/>
      <c r="G603" s="57"/>
    </row>
    <row r="604" spans="1:7">
      <c r="C604" s="268"/>
      <c r="E604" s="12"/>
      <c r="G604" s="57"/>
    </row>
    <row r="605" spans="1:7">
      <c r="A605" s="23"/>
      <c r="B605" s="671" t="s">
        <v>313</v>
      </c>
      <c r="D605" s="1934" t="s">
        <v>1246</v>
      </c>
      <c r="E605" s="1934"/>
      <c r="F605" s="1934"/>
      <c r="G605" s="57"/>
    </row>
    <row r="606" spans="1:7">
      <c r="D606" s="1934"/>
      <c r="E606" s="1934"/>
      <c r="F606" s="1934"/>
      <c r="G606" s="57"/>
    </row>
    <row r="607" spans="1:7">
      <c r="D607" s="12"/>
      <c r="G607" s="57"/>
    </row>
    <row r="608" spans="1:7">
      <c r="B608" s="671" t="s">
        <v>313</v>
      </c>
      <c r="D608" s="1934" t="s">
        <v>1247</v>
      </c>
      <c r="E608" s="1934"/>
      <c r="F608" s="1934"/>
      <c r="G608" s="57"/>
    </row>
    <row r="609" spans="1:7">
      <c r="C609" s="268"/>
      <c r="D609" s="1934"/>
      <c r="E609" s="1934"/>
      <c r="F609" s="1934"/>
      <c r="G609" s="57"/>
    </row>
    <row r="610" spans="1:7">
      <c r="C610" s="268"/>
      <c r="G610" s="57"/>
    </row>
    <row r="611" spans="1:7">
      <c r="B611" s="671" t="s">
        <v>313</v>
      </c>
      <c r="C611" s="268"/>
      <c r="D611" s="1934" t="s">
        <v>1248</v>
      </c>
      <c r="E611" s="1934"/>
      <c r="F611" s="1934"/>
      <c r="G611" s="57"/>
    </row>
    <row r="612" spans="1:7">
      <c r="C612" s="268"/>
      <c r="D612" s="1934"/>
      <c r="E612" s="1934"/>
      <c r="F612" s="1934"/>
      <c r="G612" s="57"/>
    </row>
    <row r="613" spans="1:7">
      <c r="C613" s="268"/>
      <c r="G613" s="57"/>
    </row>
    <row r="614" spans="1:7">
      <c r="A614" s="1918" t="s">
        <v>1143</v>
      </c>
      <c r="B614" s="1918"/>
      <c r="C614" s="1918"/>
      <c r="D614" s="1918"/>
      <c r="E614" s="1918"/>
      <c r="F614" s="1918"/>
      <c r="G614" s="1918"/>
    </row>
    <row r="615" spans="1:7">
      <c r="A615" s="267"/>
      <c r="B615" s="267"/>
      <c r="C615" s="267"/>
      <c r="G615" s="57"/>
    </row>
    <row r="616" spans="1:7">
      <c r="C616" s="23"/>
      <c r="D616" s="1935" t="s">
        <v>1249</v>
      </c>
      <c r="E616" s="1935"/>
      <c r="F616" s="1935"/>
      <c r="G616" s="57"/>
    </row>
    <row r="617" spans="1:7">
      <c r="A617" s="23"/>
      <c r="B617" s="667"/>
      <c r="C617" s="265"/>
      <c r="D617" s="50"/>
      <c r="G617" s="57"/>
    </row>
    <row r="618" spans="1:7" ht="14.25">
      <c r="A618" s="261"/>
      <c r="B618" s="671" t="s">
        <v>313</v>
      </c>
      <c r="C618" s="265"/>
      <c r="D618" s="1936" t="s">
        <v>1250</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1251</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1252</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1253</v>
      </c>
      <c r="E633" s="1938"/>
      <c r="F633" s="1938"/>
      <c r="G633" s="57"/>
    </row>
    <row r="634" spans="1:7">
      <c r="A634" s="266"/>
      <c r="B634" s="266"/>
      <c r="C634" s="266"/>
      <c r="D634" s="719"/>
      <c r="E634" s="719"/>
      <c r="F634" s="719"/>
      <c r="G634" s="57"/>
    </row>
    <row r="635" spans="1:7">
      <c r="A635" s="1918" t="s">
        <v>1144</v>
      </c>
      <c r="B635" s="1918"/>
      <c r="C635" s="1918"/>
      <c r="D635" s="1918"/>
      <c r="E635" s="1918"/>
      <c r="F635" s="1918"/>
      <c r="G635" s="1918"/>
    </row>
    <row r="636" spans="1:7">
      <c r="A636" s="135"/>
      <c r="B636" s="135"/>
      <c r="C636" s="266"/>
      <c r="D636" s="147"/>
      <c r="E636" s="147"/>
      <c r="F636" s="147"/>
      <c r="G636" s="57"/>
    </row>
    <row r="637" spans="1:7">
      <c r="C637" s="267"/>
      <c r="D637" s="1939" t="s">
        <v>1303</v>
      </c>
      <c r="E637" s="1939"/>
      <c r="F637" s="1939"/>
      <c r="G637" s="57"/>
    </row>
    <row r="638" spans="1:7">
      <c r="A638" s="260"/>
      <c r="B638" s="260"/>
      <c r="C638" s="260"/>
      <c r="D638" s="1940" t="s">
        <v>1304</v>
      </c>
      <c r="E638" s="1940"/>
      <c r="F638" s="1940"/>
      <c r="G638" s="57"/>
    </row>
    <row r="639" spans="1:7" s="711" customFormat="1">
      <c r="A639" s="712"/>
      <c r="B639" s="712"/>
      <c r="C639" s="712"/>
      <c r="D639" s="726"/>
      <c r="E639" s="726"/>
      <c r="F639" s="726"/>
      <c r="G639" s="57"/>
    </row>
    <row r="640" spans="1:7" ht="14.45" customHeight="1">
      <c r="A640" s="261"/>
      <c r="B640" s="671" t="s">
        <v>313</v>
      </c>
      <c r="C640" s="266"/>
      <c r="D640" s="1896" t="s">
        <v>1305</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1155</v>
      </c>
      <c r="E646" s="1957"/>
      <c r="F646" s="1957"/>
      <c r="G646" s="57"/>
    </row>
    <row r="647" spans="1:11" s="674" customFormat="1" ht="14.25">
      <c r="A647" s="261"/>
      <c r="B647" s="261"/>
      <c r="C647" s="266"/>
      <c r="D647" s="1958" t="s">
        <v>1306</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1307</v>
      </c>
      <c r="E652" s="1959"/>
      <c r="F652" s="1959"/>
      <c r="G652" s="57"/>
    </row>
    <row r="653" spans="1:11">
      <c r="A653" s="266"/>
      <c r="B653" s="266"/>
      <c r="C653" s="266"/>
      <c r="D653" s="147"/>
      <c r="E653" s="147"/>
      <c r="F653" s="147"/>
      <c r="G653" s="57"/>
    </row>
    <row r="654" spans="1:11">
      <c r="A654" s="1918" t="s">
        <v>1145</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1181</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934</v>
      </c>
      <c r="E660" s="1911"/>
      <c r="F660" s="1911"/>
      <c r="G660" s="57"/>
      <c r="H660" s="269"/>
      <c r="I660" s="269"/>
      <c r="J660" s="269"/>
      <c r="K660" s="269"/>
    </row>
    <row r="661" spans="1:11">
      <c r="A661" s="260"/>
      <c r="B661" s="260"/>
      <c r="C661" s="260"/>
      <c r="D661" s="1911" t="s">
        <v>945</v>
      </c>
      <c r="E661" s="1911"/>
      <c r="F661" s="1911"/>
      <c r="G661" s="57"/>
      <c r="H661" s="269"/>
      <c r="I661" s="269"/>
      <c r="J661" s="269"/>
      <c r="K661" s="269"/>
    </row>
    <row r="662" spans="1:11">
      <c r="A662" s="260"/>
      <c r="B662" s="260"/>
      <c r="C662" s="260"/>
      <c r="D662" s="6"/>
      <c r="E662" s="1907" t="s">
        <v>1182</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1183</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973</v>
      </c>
      <c r="E669" s="1911"/>
      <c r="F669" s="1911"/>
      <c r="G669" s="57"/>
      <c r="H669" s="269"/>
      <c r="I669" s="269"/>
      <c r="J669" s="269"/>
      <c r="K669" s="269"/>
    </row>
    <row r="670" spans="1:11" ht="14.25">
      <c r="A670" s="261"/>
      <c r="B670" s="261"/>
      <c r="C670" s="260"/>
      <c r="D670" s="1911" t="s">
        <v>945</v>
      </c>
      <c r="E670" s="1911"/>
      <c r="F670" s="1911"/>
      <c r="G670" s="57"/>
      <c r="H670" s="269"/>
      <c r="I670" s="269"/>
      <c r="J670" s="269"/>
      <c r="K670" s="269"/>
    </row>
    <row r="671" spans="1:11">
      <c r="A671" s="260"/>
      <c r="B671" s="260"/>
      <c r="C671" s="260"/>
      <c r="D671" s="6"/>
      <c r="E671" s="1929" t="s">
        <v>1184</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1194</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1185</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1195</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1192</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1193</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1186</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1187</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1188</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1321</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1189</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1146</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1162</v>
      </c>
      <c r="E728" s="1947"/>
      <c r="F728" s="1947"/>
      <c r="G728" s="271"/>
      <c r="H728" s="269"/>
      <c r="I728" s="269"/>
      <c r="J728" s="269"/>
      <c r="K728" s="269"/>
    </row>
    <row r="729" spans="1:11">
      <c r="A729" s="260"/>
      <c r="B729" s="260"/>
      <c r="C729" s="260"/>
      <c r="D729" s="1964" t="s">
        <v>1163</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1164</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1165</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1166</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1167</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1168</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1169</v>
      </c>
      <c r="B754" s="1970"/>
      <c r="C754" s="1970"/>
      <c r="D754" s="1970"/>
      <c r="E754" s="1970"/>
      <c r="F754" s="1970"/>
      <c r="G754" s="1970"/>
    </row>
    <row r="755" spans="1:11">
      <c r="A755" s="260"/>
      <c r="B755" s="260"/>
      <c r="C755" s="260"/>
      <c r="D755" s="276"/>
      <c r="F755" s="147"/>
      <c r="G755" s="271"/>
    </row>
    <row r="756" spans="1:11">
      <c r="A756" s="273"/>
      <c r="B756" s="273"/>
      <c r="C756" s="439"/>
      <c r="D756" s="1971" t="s">
        <v>1153</v>
      </c>
      <c r="E756" s="1971"/>
      <c r="F756" s="1971"/>
      <c r="G756" s="271"/>
    </row>
    <row r="757" spans="1:11">
      <c r="A757" s="496"/>
      <c r="B757" s="496"/>
      <c r="C757" s="495"/>
      <c r="D757" s="1961" t="s">
        <v>1170</v>
      </c>
      <c r="E757" s="1961"/>
      <c r="F757" s="1961"/>
      <c r="G757" s="271"/>
    </row>
    <row r="758" spans="1:11">
      <c r="A758" s="273"/>
      <c r="B758" s="273"/>
      <c r="C758" s="439"/>
      <c r="D758" s="685"/>
      <c r="E758" s="685"/>
      <c r="F758" s="685"/>
      <c r="G758" s="271"/>
    </row>
    <row r="759" spans="1:11" ht="14.25">
      <c r="A759" s="261"/>
      <c r="B759" s="671" t="s">
        <v>313</v>
      </c>
      <c r="C759" s="439"/>
      <c r="D759" s="1962" t="s">
        <v>1045</v>
      </c>
      <c r="E759" s="1962"/>
      <c r="F759" s="1962"/>
      <c r="G759" s="271"/>
    </row>
    <row r="760" spans="1:11">
      <c r="A760" s="273"/>
      <c r="B760" s="273"/>
      <c r="C760" s="439"/>
      <c r="D760" s="684"/>
      <c r="E760" s="1963" t="s">
        <v>1154</v>
      </c>
      <c r="F760" s="1963"/>
      <c r="G760" s="271"/>
    </row>
    <row r="761" spans="1:11">
      <c r="A761" s="267"/>
      <c r="B761" s="267"/>
      <c r="C761" s="267"/>
      <c r="D761" s="135"/>
      <c r="F761" s="57"/>
      <c r="G761" s="271"/>
    </row>
    <row r="762" spans="1:11">
      <c r="A762" s="1967" t="s">
        <v>465</v>
      </c>
      <c r="B762" s="1967"/>
      <c r="C762" s="1967"/>
      <c r="D762" s="1967"/>
      <c r="E762" s="1967"/>
      <c r="F762" s="1967"/>
      <c r="G762" s="1967"/>
    </row>
    <row r="763" spans="1:11">
      <c r="A763" s="255"/>
      <c r="B763" s="665"/>
      <c r="C763" s="266"/>
      <c r="D763" s="271"/>
      <c r="E763" s="271"/>
      <c r="F763" s="271"/>
      <c r="G763" s="271"/>
    </row>
    <row r="764" spans="1:11">
      <c r="A764" s="135"/>
      <c r="B764" s="1969" t="s">
        <v>1044</v>
      </c>
      <c r="C764" s="1969"/>
      <c r="D764" s="1969"/>
      <c r="E764" s="1969"/>
      <c r="F764" s="1969"/>
      <c r="G764" s="271"/>
    </row>
    <row r="765" spans="1:11">
      <c r="A765" s="23"/>
      <c r="B765" s="667"/>
      <c r="G765" s="271"/>
    </row>
    <row r="766" spans="1:11">
      <c r="A766" s="1967" t="s">
        <v>466</v>
      </c>
      <c r="B766" s="1967"/>
      <c r="C766" s="1967"/>
      <c r="D766" s="1967"/>
      <c r="E766" s="1967"/>
      <c r="F766" s="1967"/>
      <c r="G766" s="1967"/>
    </row>
    <row r="767" spans="1:11">
      <c r="A767" s="255"/>
      <c r="B767" s="665"/>
      <c r="C767" s="255"/>
      <c r="D767" s="263"/>
      <c r="G767" s="271"/>
    </row>
    <row r="768" spans="1:11">
      <c r="A768" s="135"/>
      <c r="B768" s="1913" t="s">
        <v>464</v>
      </c>
      <c r="C768" s="1913"/>
      <c r="D768" s="1913"/>
      <c r="E768" s="1913"/>
      <c r="F768" s="1913"/>
      <c r="G768" s="271"/>
    </row>
    <row r="769" spans="1:7" ht="14.25">
      <c r="A769" s="261"/>
      <c r="B769" s="261"/>
      <c r="D769" s="135"/>
      <c r="E769" s="135"/>
      <c r="F769" s="271"/>
      <c r="G769" s="271"/>
    </row>
    <row r="770" spans="1:7">
      <c r="A770" s="1967" t="s">
        <v>467</v>
      </c>
      <c r="B770" s="1967"/>
      <c r="C770" s="1967"/>
      <c r="D770" s="1967"/>
      <c r="E770" s="1967"/>
      <c r="F770" s="1967"/>
      <c r="G770" s="1967"/>
    </row>
    <row r="771" spans="1:7">
      <c r="C771" s="260"/>
      <c r="D771" s="259"/>
      <c r="E771" s="135"/>
      <c r="F771" s="271"/>
      <c r="G771" s="271"/>
    </row>
    <row r="772" spans="1:7">
      <c r="A772" s="135"/>
      <c r="B772" s="1913" t="s">
        <v>464</v>
      </c>
      <c r="C772" s="1913"/>
      <c r="D772" s="1913"/>
      <c r="E772" s="1913"/>
      <c r="F772" s="1913"/>
      <c r="G772" s="271"/>
    </row>
    <row r="773" spans="1:7">
      <c r="A773" s="135"/>
      <c r="B773" s="135"/>
      <c r="C773" s="266"/>
      <c r="D773" s="271"/>
      <c r="E773" s="271"/>
      <c r="F773" s="271"/>
      <c r="G773" s="271"/>
    </row>
    <row r="774" spans="1:7">
      <c r="A774" s="1967" t="s">
        <v>468</v>
      </c>
      <c r="B774" s="1967"/>
      <c r="C774" s="1967"/>
      <c r="D774" s="1967"/>
      <c r="E774" s="1967"/>
      <c r="F774" s="1967"/>
      <c r="G774" s="1967"/>
    </row>
    <row r="775" spans="1:7">
      <c r="A775" s="135"/>
      <c r="B775" s="135"/>
    </row>
    <row r="776" spans="1:7">
      <c r="A776" s="135"/>
      <c r="B776" s="1913" t="s">
        <v>464</v>
      </c>
      <c r="C776" s="1913"/>
      <c r="D776" s="1913"/>
      <c r="E776" s="1913"/>
      <c r="F776" s="1913"/>
    </row>
    <row r="777" spans="1:7">
      <c r="A777" s="266"/>
      <c r="B777" s="266"/>
      <c r="C777" s="266"/>
      <c r="D777" s="258"/>
      <c r="F777" s="271"/>
    </row>
    <row r="778" spans="1:7">
      <c r="A778" s="1967" t="s">
        <v>469</v>
      </c>
      <c r="B778" s="1967"/>
      <c r="C778" s="1967"/>
      <c r="D778" s="1967"/>
      <c r="E778" s="1967"/>
      <c r="F778" s="1967"/>
      <c r="G778" s="1967"/>
    </row>
    <row r="779" spans="1:7">
      <c r="A779" s="135"/>
      <c r="B779" s="135"/>
    </row>
    <row r="780" spans="1:7">
      <c r="A780" s="135"/>
      <c r="B780" s="1913" t="s">
        <v>464</v>
      </c>
      <c r="C780" s="1913"/>
      <c r="D780" s="1913"/>
      <c r="E780" s="1913"/>
      <c r="F780" s="1913"/>
    </row>
    <row r="781" spans="1:7">
      <c r="A781" s="266"/>
      <c r="B781" s="266"/>
      <c r="C781" s="266"/>
      <c r="D781" s="258"/>
      <c r="F781" s="271"/>
    </row>
    <row r="782" spans="1:7">
      <c r="A782" s="1967" t="s">
        <v>470</v>
      </c>
      <c r="B782" s="1967"/>
      <c r="C782" s="1967"/>
      <c r="D782" s="1967"/>
      <c r="E782" s="1967"/>
      <c r="F782" s="1967"/>
      <c r="G782" s="1967"/>
    </row>
    <row r="783" spans="1:7">
      <c r="A783" s="135"/>
      <c r="B783" s="135"/>
    </row>
    <row r="784" spans="1:7">
      <c r="A784" s="135"/>
      <c r="B784" s="1913" t="s">
        <v>464</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464</v>
      </c>
      <c r="C788" s="1913"/>
      <c r="D788" s="1913"/>
      <c r="E788" s="1913"/>
      <c r="F788" s="1913"/>
    </row>
    <row r="789" spans="1:7">
      <c r="A789" s="135"/>
      <c r="B789" s="135"/>
      <c r="D789" s="258"/>
    </row>
    <row r="790" spans="1:7">
      <c r="A790" s="1967" t="s">
        <v>921</v>
      </c>
      <c r="B790" s="1967"/>
      <c r="C790" s="1967"/>
      <c r="D790" s="1967"/>
      <c r="E790" s="1967"/>
      <c r="F790" s="1967"/>
      <c r="G790" s="1967"/>
    </row>
    <row r="791" spans="1:7">
      <c r="A791" s="135"/>
      <c r="B791" s="135"/>
    </row>
    <row r="792" spans="1:7">
      <c r="A792" s="135"/>
      <c r="B792" s="1913" t="s">
        <v>464</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2188</v>
      </c>
      <c r="B2" s="1977"/>
      <c r="C2" s="1977"/>
      <c r="D2" s="1977"/>
      <c r="E2" s="1977"/>
      <c r="F2" s="1977"/>
      <c r="G2" s="1977"/>
      <c r="H2" s="1977"/>
      <c r="I2" s="1977"/>
      <c r="J2" s="1977"/>
    </row>
    <row r="3" spans="1:10" ht="15">
      <c r="A3" s="1981" t="s">
        <v>1449</v>
      </c>
      <c r="B3" s="1982"/>
      <c r="C3" s="1982"/>
      <c r="D3" s="1982"/>
      <c r="E3" s="1982"/>
      <c r="F3" s="1982"/>
      <c r="G3" s="1982"/>
      <c r="H3" s="1982"/>
      <c r="I3" s="1982"/>
      <c r="J3" s="1982"/>
    </row>
    <row r="4" spans="1:10" ht="12.75"/>
    <row r="5" spans="1:10" ht="12.75" customHeight="1">
      <c r="A5" s="1978" t="s">
        <v>2514</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75"/>
    <row r="11" spans="1:10" ht="12.75" customHeight="1">
      <c r="A11" s="1983" t="s">
        <v>2193</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2192</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1353</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1354</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2189</v>
      </c>
      <c r="B72" s="1980"/>
      <c r="C72" s="1980"/>
      <c r="D72" s="1980"/>
      <c r="E72" s="1980"/>
      <c r="F72" s="1980"/>
      <c r="G72" s="1980"/>
      <c r="H72" s="1980"/>
      <c r="I72" s="1980"/>
    </row>
    <row r="73" spans="1:9" ht="12.75">
      <c r="A73" s="1904" t="s">
        <v>2512</v>
      </c>
      <c r="B73" s="1904"/>
      <c r="C73" s="1904"/>
      <c r="D73" s="1904"/>
      <c r="E73" s="1904"/>
    </row>
    <row r="74" spans="1:9" ht="12.75">
      <c r="A74" s="1904" t="s">
        <v>2513</v>
      </c>
      <c r="B74" s="1904"/>
      <c r="C74" s="1904"/>
      <c r="D74" s="1904"/>
      <c r="E74" s="1904"/>
    </row>
    <row r="75" spans="1:9" ht="12.75">
      <c r="A75" s="1904" t="s">
        <v>2190</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7" zoomScaleNormal="100" zoomScaleSheetLayoutView="100" workbookViewId="0">
      <selection activeCell="B880" sqref="B880"/>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9" t="s">
        <v>2515</v>
      </c>
      <c r="B2" s="2039"/>
      <c r="C2" s="2039"/>
      <c r="D2" s="2039"/>
      <c r="E2" s="2039"/>
      <c r="F2" s="2039"/>
      <c r="G2" s="2039"/>
      <c r="H2" s="2039"/>
      <c r="I2" s="2039"/>
    </row>
    <row r="3" spans="1:13">
      <c r="A3" s="2040" t="s">
        <v>2056</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1223</v>
      </c>
      <c r="B6" s="2026"/>
      <c r="C6" s="2027"/>
      <c r="D6" s="2027"/>
      <c r="E6" s="2027"/>
      <c r="F6" s="2027"/>
      <c r="G6" s="2027"/>
      <c r="I6" s="1675" t="s">
        <v>2200</v>
      </c>
    </row>
    <row r="7" spans="1:13" s="783" customFormat="1">
      <c r="A7" s="2026" t="s">
        <v>1224</v>
      </c>
      <c r="B7" s="2026"/>
      <c r="C7" s="2027"/>
      <c r="D7" s="2027"/>
      <c r="E7" s="2027"/>
      <c r="F7" s="2027"/>
      <c r="G7" s="2027"/>
      <c r="I7" s="1675" t="s">
        <v>2201</v>
      </c>
    </row>
    <row r="8" spans="1:13">
      <c r="A8" s="784"/>
      <c r="B8" s="784"/>
      <c r="C8" s="785"/>
      <c r="D8" s="785"/>
      <c r="E8" s="785"/>
      <c r="F8" s="785"/>
    </row>
    <row r="9" spans="1:13">
      <c r="A9" s="1954" t="s">
        <v>1226</v>
      </c>
      <c r="B9" s="1954"/>
      <c r="C9" s="1954"/>
      <c r="D9" s="1954"/>
      <c r="E9" s="1954"/>
      <c r="F9" s="1954"/>
      <c r="G9" s="1954"/>
      <c r="H9" s="1692"/>
      <c r="I9" s="1693"/>
    </row>
    <row r="10" spans="1:13">
      <c r="A10" s="785"/>
      <c r="B10" s="785"/>
      <c r="E10" s="786"/>
    </row>
    <row r="11" spans="1:13" ht="13.7" customHeight="1">
      <c r="C11" s="785"/>
      <c r="D11" s="2028" t="s">
        <v>1225</v>
      </c>
      <c r="E11" s="2028"/>
      <c r="F11" s="2028"/>
    </row>
    <row r="12" spans="1:13">
      <c r="C12" s="785"/>
      <c r="D12" s="2028"/>
      <c r="E12" s="2028"/>
      <c r="F12" s="2028"/>
    </row>
    <row r="13" spans="1:13">
      <c r="A13" s="787"/>
      <c r="B13" s="787"/>
      <c r="C13" s="787"/>
      <c r="D13" s="1938" t="s">
        <v>1208</v>
      </c>
      <c r="E13" s="1938"/>
      <c r="F13" s="1938"/>
      <c r="M13" s="1575"/>
    </row>
    <row r="14" spans="1:13">
      <c r="A14" s="787"/>
      <c r="B14" s="787"/>
      <c r="C14" s="787"/>
      <c r="D14" s="788"/>
      <c r="L14" s="1746"/>
    </row>
    <row r="15" spans="1:13" ht="14.25">
      <c r="A15" s="789"/>
      <c r="B15" s="790" t="s">
        <v>2749</v>
      </c>
      <c r="C15" s="791"/>
      <c r="D15" s="1936" t="s">
        <v>2368</v>
      </c>
      <c r="E15" s="1936"/>
      <c r="F15" s="1936"/>
      <c r="I15" s="1618" t="s">
        <v>2202</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2366</v>
      </c>
      <c r="F18" s="1745"/>
      <c r="G18" s="1615"/>
      <c r="I18" s="1618"/>
    </row>
    <row r="19" spans="1:9">
      <c r="A19" s="787"/>
      <c r="B19" s="787"/>
      <c r="C19" s="787"/>
    </row>
    <row r="20" spans="1:9" ht="14.25">
      <c r="A20" s="789"/>
      <c r="B20" s="790" t="s">
        <v>2749</v>
      </c>
      <c r="D20" s="1936" t="s">
        <v>2369</v>
      </c>
      <c r="E20" s="1936"/>
      <c r="F20" s="1936"/>
      <c r="I20" s="1618" t="s">
        <v>2203</v>
      </c>
    </row>
    <row r="21" spans="1:9" s="1616" customFormat="1" ht="14.25">
      <c r="A21" s="789"/>
      <c r="B21" s="780"/>
      <c r="C21" s="780"/>
      <c r="D21" s="1936"/>
      <c r="E21" s="1936"/>
      <c r="F21" s="1936"/>
      <c r="G21" s="1615"/>
      <c r="I21" s="1618"/>
    </row>
    <row r="22" spans="1:9" s="1616" customFormat="1" ht="14.25">
      <c r="A22" s="789"/>
      <c r="B22" s="780"/>
      <c r="C22" s="780"/>
      <c r="D22" s="1744"/>
      <c r="E22" s="1575" t="s">
        <v>2365</v>
      </c>
      <c r="F22" s="1744"/>
      <c r="G22" s="1615"/>
      <c r="I22" s="1618"/>
    </row>
    <row r="23" spans="1:9" ht="14.25">
      <c r="A23" s="789"/>
      <c r="B23" s="789"/>
      <c r="D23" s="792"/>
    </row>
    <row r="24" spans="1:9" ht="14.25">
      <c r="A24" s="789"/>
      <c r="B24" s="790" t="s">
        <v>2750</v>
      </c>
      <c r="D24" s="1936" t="s">
        <v>1211</v>
      </c>
      <c r="E24" s="1936"/>
      <c r="F24" s="1936"/>
      <c r="I24" s="1618" t="s">
        <v>2203</v>
      </c>
    </row>
    <row r="25" spans="1:9" ht="14.25">
      <c r="A25" s="789"/>
      <c r="B25" s="789"/>
      <c r="D25" s="1936"/>
      <c r="E25" s="1936"/>
      <c r="F25" s="1936"/>
    </row>
    <row r="26" spans="1:9"/>
    <row r="27" spans="1:9" ht="14.25">
      <c r="A27" s="789"/>
      <c r="B27" s="790" t="s">
        <v>2749</v>
      </c>
      <c r="D27" s="2022" t="s">
        <v>2516</v>
      </c>
      <c r="E27" s="2022"/>
      <c r="F27" s="2022"/>
      <c r="I27" s="1618" t="s">
        <v>2206</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2750</v>
      </c>
      <c r="C33" s="793"/>
      <c r="D33" s="1937" t="s">
        <v>2517</v>
      </c>
      <c r="E33" s="1937"/>
      <c r="F33" s="1937"/>
      <c r="G33" s="794"/>
      <c r="I33" s="1676" t="s">
        <v>2202</v>
      </c>
    </row>
    <row r="34" spans="1:9" s="783" customFormat="1">
      <c r="A34" s="793"/>
      <c r="B34" s="793"/>
      <c r="C34" s="793"/>
      <c r="D34" s="1937"/>
      <c r="E34" s="1937"/>
      <c r="F34" s="1937"/>
      <c r="G34" s="794"/>
      <c r="I34" s="1676"/>
    </row>
    <row r="35" spans="1:9" ht="14.25">
      <c r="A35" s="789"/>
      <c r="B35" s="789"/>
      <c r="D35" s="795"/>
    </row>
    <row r="36" spans="1:9" ht="14.45" customHeight="1">
      <c r="A36" s="789"/>
      <c r="B36" s="790" t="s">
        <v>2749</v>
      </c>
      <c r="D36" s="1937" t="s">
        <v>1379</v>
      </c>
      <c r="E36" s="1937"/>
      <c r="F36" s="1937"/>
      <c r="I36" s="1676" t="s">
        <v>2273</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2750</v>
      </c>
      <c r="D41" s="1937" t="s">
        <v>1215</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2749</v>
      </c>
      <c r="D47" s="1937" t="s">
        <v>1216</v>
      </c>
      <c r="E47" s="1937"/>
      <c r="F47" s="1937"/>
      <c r="I47" s="1676" t="s">
        <v>2273</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790" t="s">
        <v>2750</v>
      </c>
      <c r="D52" s="1937" t="s">
        <v>1217</v>
      </c>
      <c r="E52" s="1937"/>
      <c r="F52" s="1937"/>
      <c r="I52" s="1676" t="s">
        <v>2273</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2749</v>
      </c>
      <c r="C56" s="798"/>
      <c r="D56" s="2024" t="s">
        <v>1218</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7" t="s">
        <v>2367</v>
      </c>
      <c r="E58" s="1743"/>
      <c r="F58" s="1743"/>
      <c r="G58" s="685"/>
      <c r="I58" s="635"/>
    </row>
    <row r="59" spans="1:9" s="611" customFormat="1" ht="14.25">
      <c r="A59" s="797"/>
      <c r="B59" s="797"/>
      <c r="C59" s="1620"/>
      <c r="D59" s="1743"/>
      <c r="E59" s="1746" t="s">
        <v>2366</v>
      </c>
      <c r="F59" s="1743"/>
      <c r="G59" s="685"/>
      <c r="I59" s="635"/>
    </row>
    <row r="60" spans="1:9" s="783" customFormat="1">
      <c r="A60" s="793"/>
      <c r="B60" s="793"/>
      <c r="C60" s="793"/>
      <c r="D60" s="725"/>
      <c r="E60" s="794"/>
      <c r="F60" s="794"/>
      <c r="G60" s="794"/>
      <c r="I60" s="1676"/>
    </row>
    <row r="61" spans="1:9" ht="14.25">
      <c r="A61" s="789"/>
      <c r="B61" s="790" t="s">
        <v>2750</v>
      </c>
      <c r="D61" s="1937" t="s">
        <v>1219</v>
      </c>
      <c r="E61" s="1937"/>
      <c r="F61" s="1937"/>
      <c r="I61" s="1618" t="s">
        <v>2204</v>
      </c>
    </row>
    <row r="62" spans="1:9">
      <c r="D62" s="1937"/>
      <c r="E62" s="1937"/>
      <c r="F62" s="1937"/>
    </row>
    <row r="63" spans="1:9">
      <c r="D63" s="1937"/>
      <c r="E63" s="1937"/>
      <c r="F63" s="1937"/>
    </row>
    <row r="64" spans="1:9">
      <c r="D64" s="685"/>
    </row>
    <row r="65" spans="1:9" ht="14.25">
      <c r="A65" s="789"/>
      <c r="B65" s="790" t="s">
        <v>2749</v>
      </c>
      <c r="D65" s="1937" t="s">
        <v>1220</v>
      </c>
      <c r="E65" s="1937"/>
      <c r="F65" s="1937"/>
      <c r="I65" s="1618" t="s">
        <v>2205</v>
      </c>
    </row>
    <row r="66" spans="1:9">
      <c r="D66" s="1937"/>
      <c r="E66" s="1937"/>
      <c r="F66" s="1937"/>
    </row>
    <row r="67" spans="1:9"/>
    <row r="68" spans="1:9" ht="14.25">
      <c r="A68" s="789"/>
      <c r="B68" s="790" t="s">
        <v>2750</v>
      </c>
      <c r="D68" s="1937" t="s">
        <v>1221</v>
      </c>
      <c r="E68" s="1937"/>
      <c r="F68" s="1937"/>
    </row>
    <row r="69" spans="1:9">
      <c r="D69" s="1937"/>
      <c r="E69" s="1937"/>
      <c r="F69" s="1937"/>
      <c r="I69" s="1618" t="s">
        <v>2206</v>
      </c>
    </row>
    <row r="70" spans="1:9">
      <c r="D70" s="1937"/>
      <c r="E70" s="1937"/>
      <c r="F70" s="1937"/>
    </row>
    <row r="71" spans="1:9">
      <c r="D71" s="782"/>
    </row>
    <row r="72" spans="1:9" ht="14.25">
      <c r="A72" s="789"/>
      <c r="B72" s="790" t="s">
        <v>2750</v>
      </c>
      <c r="D72" s="1936" t="s">
        <v>1222</v>
      </c>
      <c r="E72" s="1936"/>
      <c r="F72" s="1936"/>
      <c r="I72" s="1618" t="s">
        <v>2206</v>
      </c>
    </row>
    <row r="73" spans="1:9">
      <c r="D73" s="1936"/>
      <c r="E73" s="1936"/>
      <c r="F73" s="1936"/>
    </row>
    <row r="74" spans="1:9" ht="14.25">
      <c r="A74" s="789"/>
      <c r="B74" s="789"/>
      <c r="D74" s="792"/>
    </row>
    <row r="75" spans="1:9">
      <c r="A75" s="1918" t="s">
        <v>1129</v>
      </c>
      <c r="B75" s="1918"/>
      <c r="C75" s="1918"/>
      <c r="D75" s="1918"/>
      <c r="E75" s="1918"/>
      <c r="F75" s="1918"/>
      <c r="G75" s="1918"/>
      <c r="H75" s="1692"/>
      <c r="I75" s="1693"/>
    </row>
    <row r="76" spans="1:9"/>
    <row r="77" spans="1:9">
      <c r="C77" s="799"/>
      <c r="D77" s="2006" t="s">
        <v>1227</v>
      </c>
      <c r="E77" s="2006"/>
      <c r="F77" s="2006"/>
    </row>
    <row r="78" spans="1:9">
      <c r="A78" s="792"/>
      <c r="B78" s="792"/>
      <c r="D78" s="1936" t="s">
        <v>1254</v>
      </c>
      <c r="E78" s="1936"/>
      <c r="F78" s="1936"/>
    </row>
    <row r="79" spans="1:9">
      <c r="A79" s="792"/>
      <c r="B79" s="792"/>
    </row>
    <row r="80" spans="1:9" ht="13.7" customHeight="1">
      <c r="A80" s="789"/>
      <c r="B80" s="790" t="s">
        <v>2749</v>
      </c>
      <c r="D80" s="1936" t="s">
        <v>1423</v>
      </c>
      <c r="E80" s="1936"/>
      <c r="F80" s="1936"/>
      <c r="I80" s="1618" t="s">
        <v>2207</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2749</v>
      </c>
      <c r="D89" s="1936" t="s">
        <v>2057</v>
      </c>
      <c r="E89" s="1936"/>
      <c r="F89" s="1936"/>
      <c r="I89" s="1618" t="s">
        <v>2208</v>
      </c>
    </row>
    <row r="90" spans="1:9" ht="14.25">
      <c r="A90" s="789"/>
      <c r="B90" s="789"/>
      <c r="D90" s="1936"/>
      <c r="E90" s="1936"/>
      <c r="F90" s="1936"/>
    </row>
    <row r="91" spans="1:9" ht="14.25">
      <c r="A91" s="789"/>
      <c r="B91" s="789"/>
      <c r="D91" s="1558"/>
      <c r="E91" s="1558"/>
      <c r="F91" s="1558"/>
    </row>
    <row r="92" spans="1:9" ht="14.25">
      <c r="A92" s="789"/>
      <c r="B92" s="790" t="s">
        <v>2749</v>
      </c>
      <c r="D92" s="1936" t="s">
        <v>2060</v>
      </c>
      <c r="E92" s="1936"/>
      <c r="F92" s="1936"/>
      <c r="I92" s="1618" t="s">
        <v>2209</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790" t="s">
        <v>2750</v>
      </c>
      <c r="D96" s="1936" t="s">
        <v>2059</v>
      </c>
      <c r="E96" s="1936"/>
      <c r="F96" s="1936"/>
      <c r="I96" s="1618" t="s">
        <v>2254</v>
      </c>
    </row>
    <row r="97" spans="1:9" s="1574" customFormat="1" ht="14.25">
      <c r="A97" s="1572"/>
      <c r="B97" s="1572"/>
      <c r="C97" s="1573"/>
      <c r="D97" s="1936"/>
      <c r="E97" s="1936"/>
      <c r="F97" s="1936"/>
      <c r="I97" s="1677"/>
    </row>
    <row r="98" spans="1:9" ht="14.25">
      <c r="A98" s="789"/>
      <c r="B98" s="789"/>
      <c r="D98" s="1564"/>
      <c r="E98" s="1746" t="s">
        <v>2370</v>
      </c>
      <c r="F98" s="1558"/>
    </row>
    <row r="99" spans="1:9" ht="14.25">
      <c r="A99" s="789"/>
      <c r="B99" s="789"/>
      <c r="D99" s="870"/>
      <c r="E99" s="870"/>
      <c r="F99" s="870"/>
    </row>
    <row r="100" spans="1:9" ht="14.25">
      <c r="A100" s="789"/>
      <c r="B100" s="790" t="s">
        <v>2750</v>
      </c>
      <c r="D100" s="1936" t="s">
        <v>2058</v>
      </c>
      <c r="E100" s="1936"/>
      <c r="F100" s="1936"/>
      <c r="I100" s="1618" t="s">
        <v>2210</v>
      </c>
    </row>
    <row r="101" spans="1:9" ht="14.25">
      <c r="A101" s="789"/>
      <c r="B101" s="789"/>
      <c r="D101" s="1936"/>
      <c r="E101" s="1936"/>
      <c r="F101" s="1936"/>
    </row>
    <row r="102" spans="1:9" ht="14.25">
      <c r="A102" s="789"/>
      <c r="B102" s="789"/>
      <c r="D102" s="1558"/>
      <c r="E102" s="1558"/>
      <c r="F102" s="1558"/>
    </row>
    <row r="103" spans="1:9" ht="14.45" customHeight="1">
      <c r="A103" s="789"/>
      <c r="B103" s="790" t="s">
        <v>2750</v>
      </c>
      <c r="D103" s="1936" t="s">
        <v>1358</v>
      </c>
      <c r="E103" s="1936"/>
      <c r="F103" s="1936"/>
      <c r="G103" s="782"/>
      <c r="I103" s="1618" t="s">
        <v>2211</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790" t="s">
        <v>2750</v>
      </c>
      <c r="D119" s="1956" t="s">
        <v>1229</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2749</v>
      </c>
      <c r="C128" s="714"/>
      <c r="D128" s="1956" t="s">
        <v>2518</v>
      </c>
      <c r="E128" s="1956"/>
      <c r="F128" s="1956"/>
      <c r="G128" s="714"/>
      <c r="H128" s="714"/>
      <c r="I128" s="615" t="s">
        <v>2212</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2749</v>
      </c>
      <c r="C131" s="796"/>
      <c r="D131" s="1936" t="s">
        <v>1232</v>
      </c>
      <c r="E131" s="1936"/>
      <c r="F131" s="1936"/>
      <c r="I131" s="615" t="s">
        <v>2212</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2749</v>
      </c>
      <c r="C137" s="796"/>
      <c r="D137" s="1937" t="s">
        <v>1233</v>
      </c>
      <c r="E137" s="1937"/>
      <c r="F137" s="1937"/>
      <c r="G137" s="664"/>
      <c r="I137" s="615" t="s">
        <v>2213</v>
      </c>
    </row>
    <row r="138" spans="1:11" s="804" customFormat="1" ht="13.7" customHeight="1">
      <c r="A138" s="801"/>
      <c r="B138" s="801"/>
      <c r="C138" s="802"/>
      <c r="D138" s="1937"/>
      <c r="E138" s="1937"/>
      <c r="F138" s="1937"/>
      <c r="G138" s="803"/>
      <c r="I138" s="1678"/>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20"/>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2750</v>
      </c>
      <c r="C151" s="796"/>
      <c r="D151" s="2020" t="s">
        <v>1341</v>
      </c>
      <c r="E151" s="2020"/>
      <c r="F151" s="2020"/>
      <c r="G151" s="664"/>
      <c r="I151" s="615" t="s">
        <v>2214</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2543</v>
      </c>
      <c r="E169" s="2021"/>
      <c r="F169" s="2021"/>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2750</v>
      </c>
      <c r="C171" s="806"/>
      <c r="D171" s="1910" t="s">
        <v>1389</v>
      </c>
      <c r="E171" s="1910"/>
      <c r="F171" s="1910"/>
      <c r="G171" s="807"/>
      <c r="I171" s="615" t="s">
        <v>2209</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2749</v>
      </c>
      <c r="C175" s="806"/>
      <c r="D175" s="1906" t="s">
        <v>1235</v>
      </c>
      <c r="E175" s="1906"/>
      <c r="F175" s="1906"/>
      <c r="G175" s="807"/>
      <c r="I175" s="615" t="s">
        <v>2215</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2750</v>
      </c>
      <c r="C180" s="796"/>
      <c r="D180" s="1941" t="s">
        <v>2519</v>
      </c>
      <c r="E180" s="1941"/>
      <c r="F180" s="1941"/>
      <c r="G180" s="664"/>
      <c r="I180" s="615" t="s">
        <v>2216</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2520</v>
      </c>
      <c r="B184" s="1918"/>
      <c r="C184" s="1918"/>
      <c r="D184" s="1918"/>
      <c r="E184" s="1918"/>
      <c r="F184" s="1918"/>
      <c r="G184" s="1918"/>
      <c r="H184" s="1692"/>
      <c r="I184" s="1693"/>
    </row>
    <row r="185" spans="1:9" ht="12" customHeight="1">
      <c r="D185" s="792"/>
      <c r="E185" s="792"/>
      <c r="F185" s="792"/>
    </row>
    <row r="186" spans="1:9">
      <c r="B186" s="2007" t="s">
        <v>464</v>
      </c>
      <c r="C186" s="2007"/>
      <c r="D186" s="2007"/>
      <c r="E186" s="2007"/>
      <c r="F186" s="2007"/>
    </row>
    <row r="187" spans="1:9" s="1616" customFormat="1">
      <c r="A187" s="780"/>
      <c r="B187" s="1670" t="s">
        <v>2194</v>
      </c>
      <c r="C187" s="1670"/>
      <c r="D187" s="1670"/>
      <c r="E187" s="1670"/>
      <c r="F187" s="1670"/>
      <c r="G187" s="1615"/>
      <c r="I187" s="1618"/>
    </row>
    <row r="188" spans="1:9" ht="12" customHeight="1">
      <c r="A188" s="785"/>
      <c r="B188" s="785"/>
      <c r="C188" s="785"/>
    </row>
    <row r="189" spans="1:9">
      <c r="A189" s="1918" t="s">
        <v>1131</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42" t="s">
        <v>2061</v>
      </c>
      <c r="E191" s="1942"/>
      <c r="F191" s="1942"/>
      <c r="G191" s="811"/>
    </row>
    <row r="192" spans="1:9">
      <c r="A192" s="809"/>
      <c r="B192" s="809"/>
      <c r="C192" s="810"/>
      <c r="D192" s="1942"/>
      <c r="E192" s="1942"/>
      <c r="F192" s="1942"/>
      <c r="G192" s="811"/>
    </row>
    <row r="193" spans="1:9">
      <c r="A193" s="809"/>
      <c r="B193" s="809"/>
      <c r="C193" s="810"/>
      <c r="D193" s="1943" t="s">
        <v>1359</v>
      </c>
      <c r="E193" s="1943"/>
      <c r="F193" s="1943"/>
      <c r="G193" s="811"/>
    </row>
    <row r="194" spans="1:9">
      <c r="A194" s="809"/>
      <c r="B194" s="809"/>
      <c r="C194" s="810"/>
      <c r="D194" s="1559"/>
      <c r="E194" s="1559"/>
      <c r="F194" s="1559"/>
      <c r="G194" s="811"/>
    </row>
    <row r="195" spans="1:9">
      <c r="A195" s="809"/>
      <c r="B195" s="790" t="s">
        <v>2749</v>
      </c>
      <c r="C195" s="810"/>
      <c r="D195" s="1911" t="s">
        <v>2062</v>
      </c>
      <c r="E195" s="1911"/>
      <c r="F195" s="1911"/>
      <c r="G195" s="811"/>
      <c r="I195" s="1618" t="s">
        <v>2265</v>
      </c>
    </row>
    <row r="196" spans="1:9">
      <c r="A196" s="809"/>
      <c r="B196" s="809"/>
      <c r="C196" s="810"/>
      <c r="D196" s="1964" t="s">
        <v>2348</v>
      </c>
      <c r="E196" s="1964"/>
      <c r="F196" s="1964"/>
      <c r="G196" s="811"/>
    </row>
    <row r="197" spans="1:9">
      <c r="A197" s="809"/>
      <c r="B197" s="809"/>
      <c r="C197" s="810"/>
      <c r="D197" s="1575" t="s">
        <v>2063</v>
      </c>
      <c r="E197" s="2025" t="s">
        <v>2371</v>
      </c>
      <c r="F197" s="2025"/>
      <c r="G197" s="811"/>
    </row>
    <row r="198" spans="1:9">
      <c r="A198" s="809"/>
      <c r="B198" s="809"/>
      <c r="C198" s="810"/>
      <c r="D198" s="155"/>
      <c r="E198" s="155"/>
      <c r="F198" s="155"/>
      <c r="G198" s="811"/>
    </row>
    <row r="199" spans="1:9">
      <c r="A199" s="809"/>
      <c r="B199" s="790" t="s">
        <v>2750</v>
      </c>
      <c r="C199" s="810"/>
      <c r="D199" s="1964" t="s">
        <v>2064</v>
      </c>
      <c r="E199" s="1964"/>
      <c r="F199" s="1964"/>
      <c r="G199" s="811"/>
      <c r="I199" s="1618" t="s">
        <v>2266</v>
      </c>
    </row>
    <row r="200" spans="1:9">
      <c r="A200" s="809"/>
      <c r="B200" s="809"/>
      <c r="C200" s="810"/>
      <c r="D200" s="1911" t="s">
        <v>2348</v>
      </c>
      <c r="E200" s="1911"/>
      <c r="F200" s="1911"/>
      <c r="G200" s="811"/>
    </row>
    <row r="201" spans="1:9">
      <c r="A201" s="809"/>
      <c r="B201" s="809"/>
      <c r="C201" s="810"/>
      <c r="D201" s="1557" t="s">
        <v>2065</v>
      </c>
      <c r="E201" s="2025" t="s">
        <v>2372</v>
      </c>
      <c r="F201" s="2025"/>
      <c r="G201" s="811"/>
    </row>
    <row r="202" spans="1:9">
      <c r="A202" s="809"/>
      <c r="B202" s="809"/>
      <c r="C202" s="810"/>
      <c r="D202" s="155"/>
      <c r="E202" s="155"/>
      <c r="F202" s="155"/>
      <c r="G202" s="811"/>
    </row>
    <row r="203" spans="1:9">
      <c r="A203" s="809"/>
      <c r="B203" s="1619" t="s">
        <v>2750</v>
      </c>
      <c r="C203" s="810"/>
      <c r="D203" s="1964" t="s">
        <v>2066</v>
      </c>
      <c r="E203" s="1964"/>
      <c r="F203" s="1964"/>
      <c r="G203" s="811"/>
      <c r="I203" s="1618" t="s">
        <v>2267</v>
      </c>
    </row>
    <row r="204" spans="1:9">
      <c r="A204" s="809"/>
      <c r="B204" s="809"/>
      <c r="C204" s="810"/>
      <c r="D204" s="1911" t="s">
        <v>2348</v>
      </c>
      <c r="E204" s="1911"/>
      <c r="F204" s="1911"/>
      <c r="G204" s="811"/>
    </row>
    <row r="205" spans="1:9">
      <c r="A205" s="809"/>
      <c r="B205" s="809"/>
      <c r="C205" s="810"/>
      <c r="D205" s="1557" t="s">
        <v>2063</v>
      </c>
      <c r="E205" s="2025" t="s">
        <v>2373</v>
      </c>
      <c r="F205" s="2025"/>
      <c r="G205" s="811"/>
    </row>
    <row r="206" spans="1:9">
      <c r="A206" s="809"/>
      <c r="B206" s="809"/>
      <c r="C206" s="810"/>
      <c r="D206" s="1559"/>
      <c r="E206" s="1559"/>
      <c r="F206" s="1559"/>
      <c r="G206" s="811"/>
    </row>
    <row r="207" spans="1:9" ht="14.25" customHeight="1">
      <c r="A207" s="789"/>
      <c r="B207" s="1619" t="s">
        <v>2750</v>
      </c>
      <c r="C207" s="810"/>
      <c r="D207" s="1747" t="s">
        <v>2341</v>
      </c>
      <c r="E207" s="870"/>
      <c r="F207" s="870"/>
      <c r="G207" s="811"/>
      <c r="I207" s="1618" t="s">
        <v>2268</v>
      </c>
    </row>
    <row r="208" spans="1:9" ht="14.25">
      <c r="A208" s="789"/>
      <c r="B208" s="789"/>
      <c r="C208" s="810"/>
      <c r="D208" s="1911" t="s">
        <v>2348</v>
      </c>
      <c r="E208" s="1911"/>
      <c r="F208" s="1911"/>
      <c r="G208" s="811"/>
    </row>
    <row r="209" spans="1:9">
      <c r="A209" s="810"/>
      <c r="B209" s="810"/>
      <c r="C209" s="810"/>
      <c r="D209" s="870"/>
      <c r="E209" s="2025" t="s">
        <v>2374</v>
      </c>
      <c r="F209" s="2025"/>
    </row>
    <row r="210" spans="1:9">
      <c r="A210" s="810"/>
      <c r="B210" s="810"/>
      <c r="C210" s="810"/>
      <c r="D210" s="795"/>
      <c r="E210" s="811"/>
      <c r="F210" s="811"/>
    </row>
    <row r="211" spans="1:9">
      <c r="A211" s="810"/>
      <c r="B211" s="1619" t="s">
        <v>2750</v>
      </c>
      <c r="C211" s="810"/>
      <c r="D211" s="1964" t="s">
        <v>2067</v>
      </c>
      <c r="E211" s="1964"/>
      <c r="F211" s="1964"/>
      <c r="I211" s="1618" t="s">
        <v>2269</v>
      </c>
    </row>
    <row r="212" spans="1:9">
      <c r="A212" s="810"/>
      <c r="B212" s="810"/>
      <c r="C212" s="810"/>
      <c r="D212" s="1911" t="s">
        <v>2348</v>
      </c>
      <c r="E212" s="1911"/>
      <c r="F212" s="1911"/>
    </row>
    <row r="213" spans="1:9">
      <c r="A213" s="810"/>
      <c r="B213" s="810"/>
      <c r="C213" s="810"/>
      <c r="D213" s="1557" t="s">
        <v>2063</v>
      </c>
      <c r="E213" s="2025" t="s">
        <v>2375</v>
      </c>
      <c r="F213" s="2025"/>
    </row>
    <row r="214" spans="1:9">
      <c r="A214" s="810"/>
      <c r="B214" s="810"/>
      <c r="C214" s="810"/>
      <c r="D214" s="771"/>
      <c r="E214" s="771"/>
      <c r="F214" s="771"/>
    </row>
    <row r="215" spans="1:9" s="611" customFormat="1" ht="14.25">
      <c r="A215" s="789"/>
      <c r="B215" s="1619" t="s">
        <v>2750</v>
      </c>
      <c r="C215" s="798"/>
      <c r="D215" s="1936" t="s">
        <v>1381</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1132</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1261</v>
      </c>
      <c r="E223" s="2010"/>
      <c r="F223" s="2010"/>
    </row>
    <row r="224" spans="1:9" ht="12" customHeight="1">
      <c r="A224" s="808"/>
      <c r="B224" s="808"/>
      <c r="C224" s="808"/>
    </row>
    <row r="225" spans="1:9" ht="13.7" customHeight="1">
      <c r="A225" s="808"/>
      <c r="C225" s="808"/>
      <c r="D225" s="1935" t="s">
        <v>571</v>
      </c>
      <c r="E225" s="1935"/>
      <c r="F225" s="1935"/>
      <c r="I225" s="1618" t="s">
        <v>2217</v>
      </c>
    </row>
    <row r="226" spans="1:9" ht="14.25">
      <c r="A226" s="789"/>
      <c r="B226" s="790" t="s">
        <v>2749</v>
      </c>
      <c r="D226" s="1936" t="s">
        <v>2068</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2749</v>
      </c>
      <c r="D231" s="1936" t="s">
        <v>2069</v>
      </c>
      <c r="E231" s="1936"/>
      <c r="F231" s="1936"/>
      <c r="I231" s="1618" t="s">
        <v>2218</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1257</v>
      </c>
      <c r="E237" s="1936"/>
      <c r="F237" s="1936"/>
      <c r="I237" s="1618" t="s">
        <v>2217</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790" t="s">
        <v>2750</v>
      </c>
      <c r="D243" s="2014" t="s">
        <v>2521</v>
      </c>
      <c r="E243" s="2014"/>
      <c r="F243" s="2014"/>
      <c r="I243" s="1618" t="s">
        <v>2256</v>
      </c>
    </row>
    <row r="244" spans="1:9" ht="14.25">
      <c r="A244" s="789"/>
      <c r="B244" s="789"/>
      <c r="D244" s="2014"/>
      <c r="E244" s="2014"/>
      <c r="F244" s="2014"/>
    </row>
    <row r="245" spans="1:9" ht="14.25">
      <c r="A245" s="789"/>
      <c r="B245" s="789"/>
      <c r="D245" s="2014"/>
      <c r="E245" s="2014"/>
      <c r="F245" s="2014"/>
    </row>
    <row r="246" spans="1:9" ht="14.25">
      <c r="A246" s="789"/>
      <c r="B246" s="789"/>
      <c r="E246" s="1748" t="s">
        <v>2342</v>
      </c>
    </row>
    <row r="247" spans="1:9" ht="14.25">
      <c r="A247" s="789"/>
      <c r="B247" s="789"/>
      <c r="D247" s="792"/>
      <c r="E247" s="792"/>
      <c r="F247" s="792"/>
    </row>
    <row r="248" spans="1:9" ht="14.45" customHeight="1">
      <c r="A248" s="789"/>
      <c r="B248" s="790" t="s">
        <v>2750</v>
      </c>
      <c r="D248" s="2014" t="s">
        <v>2522</v>
      </c>
      <c r="E248" s="2014"/>
      <c r="F248" s="2014"/>
      <c r="I248" s="1618" t="s">
        <v>2274</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2749</v>
      </c>
      <c r="D254" s="1568" t="s">
        <v>2523</v>
      </c>
      <c r="E254" s="1569"/>
      <c r="F254" s="1569"/>
      <c r="I254" s="1618" t="s">
        <v>2255</v>
      </c>
    </row>
    <row r="255" spans="1:9" ht="14.25">
      <c r="A255" s="789"/>
      <c r="B255" s="789"/>
      <c r="E255" s="1748" t="s">
        <v>2343</v>
      </c>
    </row>
    <row r="256" spans="1:9">
      <c r="D256" s="792"/>
      <c r="E256" s="792"/>
      <c r="F256" s="792"/>
    </row>
    <row r="257" spans="1:9" ht="14.25">
      <c r="A257" s="789"/>
      <c r="B257" s="790" t="s">
        <v>2749</v>
      </c>
      <c r="D257" s="1936" t="s">
        <v>1259</v>
      </c>
      <c r="E257" s="1936"/>
      <c r="F257" s="1936"/>
    </row>
    <row r="258" spans="1:9" ht="14.25">
      <c r="A258" s="789"/>
      <c r="B258" s="789"/>
      <c r="D258" s="1936"/>
      <c r="E258" s="1936"/>
      <c r="F258" s="1936"/>
    </row>
    <row r="259" spans="1:9">
      <c r="D259" s="813"/>
    </row>
    <row r="260" spans="1:9">
      <c r="A260" s="1918" t="s">
        <v>1133</v>
      </c>
      <c r="B260" s="1918"/>
      <c r="C260" s="1918"/>
      <c r="D260" s="1918"/>
      <c r="E260" s="1918"/>
      <c r="F260" s="1918"/>
      <c r="G260" s="1918"/>
      <c r="H260" s="1692"/>
      <c r="I260" s="1693"/>
    </row>
    <row r="261" spans="1:9">
      <c r="D261" s="813"/>
    </row>
    <row r="262" spans="1:9">
      <c r="C262" s="799"/>
      <c r="D262" s="1935" t="s">
        <v>1262</v>
      </c>
      <c r="E262" s="1935"/>
      <c r="F262" s="1935"/>
    </row>
    <row r="263" spans="1:9">
      <c r="A263" s="785"/>
      <c r="B263" s="785"/>
      <c r="C263" s="785"/>
      <c r="D263" s="792"/>
      <c r="E263" s="792"/>
      <c r="F263" s="792"/>
    </row>
    <row r="264" spans="1:9">
      <c r="A264" s="787"/>
      <c r="B264" s="787"/>
      <c r="C264" s="787"/>
      <c r="D264" s="1935" t="s">
        <v>275</v>
      </c>
      <c r="E264" s="1935"/>
      <c r="F264" s="1935"/>
      <c r="I264" s="1618" t="s">
        <v>2257</v>
      </c>
    </row>
    <row r="265" spans="1:9" ht="14.45" customHeight="1">
      <c r="A265" s="789"/>
      <c r="B265" s="790" t="s">
        <v>2749</v>
      </c>
      <c r="D265" s="2016" t="s">
        <v>1360</v>
      </c>
      <c r="E265" s="2016"/>
      <c r="F265" s="2016"/>
    </row>
    <row r="266" spans="1:9">
      <c r="D266" s="2016"/>
      <c r="E266" s="2016"/>
      <c r="F266" s="2016"/>
    </row>
    <row r="267" spans="1:9">
      <c r="E267" s="1748" t="s">
        <v>2344</v>
      </c>
    </row>
    <row r="268" spans="1:9">
      <c r="D268" s="792"/>
      <c r="E268" s="792"/>
      <c r="F268" s="792"/>
    </row>
    <row r="269" spans="1:9" ht="14.45" customHeight="1">
      <c r="A269" s="789"/>
      <c r="B269" s="790" t="s">
        <v>2750</v>
      </c>
      <c r="D269" s="2014" t="s">
        <v>2524</v>
      </c>
      <c r="E269" s="2014"/>
      <c r="F269" s="2014"/>
      <c r="I269" s="1618" t="s">
        <v>2275</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790" t="s">
        <v>2750</v>
      </c>
      <c r="D276" s="1936" t="s">
        <v>1265</v>
      </c>
      <c r="E276" s="1936"/>
      <c r="F276" s="1936"/>
    </row>
    <row r="277" spans="1:9">
      <c r="D277" s="1936"/>
      <c r="E277" s="1936"/>
      <c r="F277" s="1936"/>
    </row>
    <row r="278" spans="1:9">
      <c r="D278" s="1936"/>
      <c r="E278" s="1936"/>
      <c r="F278" s="1936"/>
    </row>
    <row r="279" spans="1:9">
      <c r="D279" s="814"/>
      <c r="E279" s="792"/>
      <c r="F279" s="792"/>
    </row>
    <row r="280" spans="1:9">
      <c r="A280" s="1918" t="s">
        <v>1134</v>
      </c>
      <c r="B280" s="1918"/>
      <c r="C280" s="1918"/>
      <c r="D280" s="1918"/>
      <c r="E280" s="1918"/>
      <c r="F280" s="1918"/>
      <c r="G280" s="1918"/>
      <c r="H280" s="1692"/>
      <c r="I280" s="1693"/>
    </row>
    <row r="281" spans="1:9">
      <c r="D281" s="814"/>
      <c r="E281" s="792"/>
      <c r="F281" s="792"/>
    </row>
    <row r="282" spans="1:9">
      <c r="C282" s="785"/>
      <c r="D282" s="2006" t="s">
        <v>1267</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1268</v>
      </c>
      <c r="E286" s="2032"/>
      <c r="F286" s="2032"/>
    </row>
    <row r="287" spans="1:9">
      <c r="E287" s="792"/>
      <c r="F287" s="792"/>
    </row>
    <row r="288" spans="1:9" ht="14.25">
      <c r="A288" s="789"/>
      <c r="B288" s="790" t="s">
        <v>2750</v>
      </c>
      <c r="D288" s="1936" t="s">
        <v>1269</v>
      </c>
      <c r="E288" s="1936"/>
      <c r="F288" s="1936"/>
      <c r="I288" s="1618" t="s">
        <v>2219</v>
      </c>
    </row>
    <row r="289" spans="1:9" ht="14.25">
      <c r="A289" s="789"/>
      <c r="B289" s="789"/>
      <c r="D289" s="1936"/>
      <c r="E289" s="1936"/>
      <c r="F289" s="1936"/>
    </row>
    <row r="290" spans="1:9">
      <c r="D290" s="792"/>
      <c r="E290" s="792"/>
      <c r="F290" s="792"/>
    </row>
    <row r="291" spans="1:9" ht="14.25">
      <c r="A291" s="789"/>
      <c r="B291" s="790" t="s">
        <v>2750</v>
      </c>
      <c r="D291" s="2014" t="s">
        <v>1270</v>
      </c>
      <c r="E291" s="2014"/>
      <c r="F291" s="2014"/>
      <c r="I291" s="1618" t="s">
        <v>2219</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790" t="s">
        <v>2750</v>
      </c>
      <c r="D295" s="1936" t="s">
        <v>1271</v>
      </c>
      <c r="E295" s="1936"/>
      <c r="F295" s="1936"/>
      <c r="I295" s="1618" t="s">
        <v>2219</v>
      </c>
    </row>
    <row r="296" spans="1:9" ht="14.25">
      <c r="A296" s="789"/>
      <c r="B296" s="789"/>
      <c r="D296" s="1936"/>
      <c r="E296" s="1936"/>
      <c r="F296" s="1936"/>
    </row>
    <row r="297" spans="1:9">
      <c r="A297" s="808"/>
      <c r="B297" s="808"/>
      <c r="E297" s="792"/>
      <c r="F297" s="792"/>
    </row>
    <row r="298" spans="1:9">
      <c r="A298" s="1918" t="s">
        <v>1135</v>
      </c>
      <c r="B298" s="1918"/>
      <c r="C298" s="1918"/>
      <c r="D298" s="1918"/>
      <c r="E298" s="1918"/>
      <c r="F298" s="1918"/>
      <c r="G298" s="1918"/>
      <c r="H298" s="1692"/>
      <c r="I298" s="1693"/>
    </row>
    <row r="299" spans="1:9">
      <c r="A299" s="808"/>
      <c r="B299" s="808"/>
      <c r="D299" s="792"/>
      <c r="E299" s="792"/>
      <c r="F299" s="792"/>
    </row>
    <row r="300" spans="1:9">
      <c r="C300" s="808"/>
      <c r="D300" s="1935" t="s">
        <v>708</v>
      </c>
      <c r="E300" s="1935"/>
      <c r="F300" s="1935"/>
    </row>
    <row r="301" spans="1:9">
      <c r="C301" s="808"/>
      <c r="D301" s="1938" t="s">
        <v>1272</v>
      </c>
      <c r="E301" s="1938"/>
      <c r="F301" s="1938"/>
    </row>
    <row r="302" spans="1:9">
      <c r="C302" s="808"/>
      <c r="D302" s="815"/>
    </row>
    <row r="303" spans="1:9">
      <c r="A303" s="793"/>
      <c r="B303" s="790" t="s">
        <v>2750</v>
      </c>
      <c r="D303" s="1938" t="s">
        <v>1273</v>
      </c>
      <c r="E303" s="1938"/>
      <c r="F303" s="1938"/>
      <c r="I303" s="1618" t="s">
        <v>2220</v>
      </c>
    </row>
    <row r="304" spans="1:9" s="783" customFormat="1" ht="14.25">
      <c r="A304" s="797"/>
      <c r="B304" s="797"/>
      <c r="C304" s="793"/>
      <c r="D304" s="816"/>
      <c r="E304" s="817"/>
      <c r="F304" s="817"/>
      <c r="G304" s="794"/>
      <c r="I304" s="1676"/>
    </row>
    <row r="305" spans="1:9" s="783" customFormat="1" ht="13.7" customHeight="1">
      <c r="A305" s="793"/>
      <c r="B305" s="790" t="s">
        <v>2750</v>
      </c>
      <c r="C305" s="793"/>
      <c r="D305" s="2035" t="s">
        <v>1385</v>
      </c>
      <c r="E305" s="2035"/>
      <c r="F305" s="2035"/>
      <c r="G305" s="794"/>
      <c r="I305" s="1676" t="s">
        <v>2220</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7" customHeight="1">
      <c r="A311" s="793"/>
      <c r="B311" s="790" t="s">
        <v>2750</v>
      </c>
      <c r="C311" s="793"/>
      <c r="D311" s="2035" t="s">
        <v>1275</v>
      </c>
      <c r="E311" s="2035"/>
      <c r="F311" s="2035"/>
      <c r="G311" s="794"/>
      <c r="I311" s="1676" t="s">
        <v>2220</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790" t="s">
        <v>2750</v>
      </c>
      <c r="D314" s="1938" t="s">
        <v>1276</v>
      </c>
      <c r="E314" s="1938"/>
      <c r="F314" s="1938"/>
      <c r="I314" s="1618" t="s">
        <v>2206</v>
      </c>
    </row>
    <row r="315" spans="1:9">
      <c r="E315" s="792"/>
      <c r="F315" s="792"/>
    </row>
    <row r="316" spans="1:9" ht="14.25">
      <c r="A316" s="789"/>
      <c r="B316" s="790" t="s">
        <v>2750</v>
      </c>
      <c r="D316" s="2014" t="s">
        <v>2544</v>
      </c>
      <c r="E316" s="2014"/>
      <c r="F316" s="2014"/>
      <c r="I316" s="1618" t="s">
        <v>2221</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790" t="s">
        <v>2750</v>
      </c>
      <c r="D332" s="2014" t="s">
        <v>1278</v>
      </c>
      <c r="E332" s="2014"/>
      <c r="F332" s="2014"/>
      <c r="I332" s="1618" t="s">
        <v>2221</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790" t="s">
        <v>2750</v>
      </c>
      <c r="D342" s="1936" t="s">
        <v>2349</v>
      </c>
      <c r="E342" s="1936"/>
      <c r="F342" s="1936"/>
      <c r="I342" s="1618" t="s">
        <v>2258</v>
      </c>
    </row>
    <row r="343" spans="1:9">
      <c r="D343" s="1936"/>
      <c r="E343" s="1936"/>
      <c r="F343" s="1936"/>
      <c r="G343" s="782"/>
    </row>
    <row r="344" spans="1:9">
      <c r="D344" s="1936"/>
      <c r="E344" s="1936"/>
      <c r="F344" s="1936"/>
      <c r="G344" s="782"/>
    </row>
    <row r="345" spans="1:9">
      <c r="D345" s="1936"/>
      <c r="E345" s="1936"/>
      <c r="F345" s="1936"/>
      <c r="G345" s="782"/>
    </row>
    <row r="346" spans="1:9">
      <c r="D346" s="1747" t="s">
        <v>2348</v>
      </c>
      <c r="E346" s="870"/>
      <c r="F346" s="870"/>
      <c r="G346" s="782"/>
    </row>
    <row r="347" spans="1:9">
      <c r="D347" s="870"/>
      <c r="E347" s="1575" t="s">
        <v>2345</v>
      </c>
      <c r="G347" s="1575"/>
    </row>
    <row r="348" spans="1:9" s="1616" customFormat="1">
      <c r="A348" s="780"/>
      <c r="B348" s="780"/>
      <c r="C348" s="780"/>
      <c r="D348" s="1666"/>
      <c r="E348" s="1666"/>
      <c r="F348" s="1666"/>
      <c r="I348" s="1618"/>
    </row>
    <row r="349" spans="1:9" ht="13.5" thickBot="1">
      <c r="A349" s="1667"/>
      <c r="B349" s="1667"/>
      <c r="C349" s="1667"/>
      <c r="D349" s="2015" t="s">
        <v>1038</v>
      </c>
      <c r="E349" s="2015"/>
      <c r="F349" s="2015"/>
      <c r="G349" s="1690"/>
      <c r="H349" s="1690"/>
      <c r="I349" s="1691"/>
    </row>
    <row r="350" spans="1:9" ht="13.5" thickTop="1">
      <c r="D350" s="2036" t="s">
        <v>1280</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ht="14.25">
      <c r="A353" s="789"/>
      <c r="B353" s="1619" t="s">
        <v>2750</v>
      </c>
      <c r="C353" s="821"/>
      <c r="D353" s="1938" t="s">
        <v>2347</v>
      </c>
      <c r="E353" s="1938"/>
      <c r="F353" s="1938"/>
      <c r="I353" s="2041" t="s">
        <v>2272</v>
      </c>
    </row>
    <row r="354" spans="1:9" ht="12.75" customHeight="1">
      <c r="D354" s="1749"/>
      <c r="E354" s="1575" t="s">
        <v>2346</v>
      </c>
      <c r="F354" s="1749"/>
      <c r="I354" s="2042"/>
    </row>
    <row r="355" spans="1:9">
      <c r="D355" s="2014" t="s">
        <v>1408</v>
      </c>
      <c r="E355" s="2014"/>
      <c r="F355" s="2014"/>
      <c r="I355" s="2042"/>
    </row>
    <row r="356" spans="1:9">
      <c r="D356" s="2014"/>
      <c r="E356" s="2014"/>
      <c r="F356" s="2014"/>
      <c r="I356" s="2042"/>
    </row>
    <row r="357" spans="1:9">
      <c r="D357" s="2014"/>
      <c r="E357" s="2014"/>
      <c r="F357" s="2014"/>
      <c r="I357" s="2043"/>
    </row>
    <row r="358" spans="1:9" ht="14.25">
      <c r="A358" s="789"/>
      <c r="B358" s="1619" t="s">
        <v>2750</v>
      </c>
      <c r="C358" s="806"/>
      <c r="D358" s="1932" t="s">
        <v>2525</v>
      </c>
      <c r="E358" s="1932"/>
      <c r="F358" s="1932"/>
      <c r="G358" s="782"/>
      <c r="I358" s="612"/>
    </row>
    <row r="359" spans="1:9">
      <c r="A359" s="806"/>
      <c r="B359" s="806"/>
      <c r="C359" s="806"/>
      <c r="D359" s="778"/>
      <c r="E359" s="778"/>
      <c r="F359" s="792"/>
      <c r="G359" s="782"/>
    </row>
    <row r="360" spans="1:9">
      <c r="A360" s="806"/>
      <c r="B360" s="1619" t="s">
        <v>2750</v>
      </c>
      <c r="C360" s="806"/>
      <c r="D360" s="1927" t="s">
        <v>2526</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1619" t="s">
        <v>2750</v>
      </c>
      <c r="C373" s="806"/>
      <c r="D373" s="2044" t="s">
        <v>1388</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2750</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ht="14.25">
      <c r="A385" s="789"/>
      <c r="B385" s="1619" t="s">
        <v>2750</v>
      </c>
      <c r="C385" s="806"/>
      <c r="D385" s="1925" t="s">
        <v>1283</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1284</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1285</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1619" t="s">
        <v>2750</v>
      </c>
      <c r="C418" s="806"/>
      <c r="D418" s="1926" t="s">
        <v>1286</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45" customHeight="1">
      <c r="A421" s="789"/>
      <c r="B421" s="1619" t="s">
        <v>2750</v>
      </c>
      <c r="D421" s="1926" t="s">
        <v>2259</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70"/>
      <c r="E426" s="870"/>
      <c r="F426" s="870"/>
    </row>
    <row r="427" spans="1:7" ht="13.7" customHeight="1">
      <c r="A427" s="789"/>
      <c r="B427" s="1619" t="s">
        <v>2750</v>
      </c>
      <c r="C427" s="806"/>
      <c r="D427" s="1927" t="s">
        <v>1410</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2545</v>
      </c>
      <c r="E431" s="1927"/>
      <c r="F431" s="1927"/>
      <c r="G431" s="782"/>
    </row>
    <row r="432" spans="1:7">
      <c r="D432" s="792"/>
      <c r="E432" s="792"/>
      <c r="F432" s="792"/>
      <c r="G432" s="782"/>
    </row>
    <row r="433" spans="1:7" ht="14.25">
      <c r="A433" s="789"/>
      <c r="B433" s="1619" t="s">
        <v>2750</v>
      </c>
      <c r="C433" s="821"/>
      <c r="D433" s="1936" t="s">
        <v>2527</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700000000000003" customHeight="1">
      <c r="A463" s="780"/>
      <c r="B463" s="780"/>
      <c r="C463" s="780"/>
      <c r="D463" s="1936"/>
      <c r="E463" s="1936"/>
      <c r="F463" s="1936"/>
      <c r="G463" s="822"/>
      <c r="I463" s="1679"/>
    </row>
    <row r="464" spans="1:9">
      <c r="D464" s="792"/>
      <c r="E464" s="792"/>
      <c r="F464" s="792"/>
      <c r="G464" s="782"/>
    </row>
    <row r="465" spans="1:7" ht="14.25">
      <c r="A465" s="789"/>
      <c r="B465" s="1619" t="s">
        <v>2750</v>
      </c>
      <c r="C465" s="821"/>
      <c r="D465" s="1936" t="s">
        <v>1291</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1619" t="s">
        <v>2750</v>
      </c>
      <c r="C469" s="789"/>
      <c r="D469" s="2014" t="s">
        <v>1361</v>
      </c>
      <c r="E469" s="2014"/>
      <c r="F469" s="2014"/>
      <c r="G469" s="782"/>
    </row>
    <row r="470" spans="1:7">
      <c r="D470" s="2014"/>
      <c r="E470" s="2014"/>
      <c r="F470" s="2014"/>
      <c r="G470" s="782"/>
    </row>
    <row r="471" spans="1:7">
      <c r="D471" s="792"/>
      <c r="E471" s="792"/>
      <c r="F471" s="792"/>
      <c r="G471" s="782"/>
    </row>
    <row r="472" spans="1:7" ht="14.25">
      <c r="B472" s="1619" t="s">
        <v>2750</v>
      </c>
      <c r="C472" s="789"/>
      <c r="D472" s="2014" t="s">
        <v>1293</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1619" t="s">
        <v>2750</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1619" t="s">
        <v>2750</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1619" t="s">
        <v>2750</v>
      </c>
      <c r="C484" s="782"/>
      <c r="D484" s="2014"/>
      <c r="E484" s="2014"/>
      <c r="F484" s="2014"/>
      <c r="G484" s="782"/>
    </row>
    <row r="485" spans="1:9">
      <c r="A485" s="782"/>
      <c r="C485" s="782"/>
      <c r="D485" s="2014"/>
      <c r="E485" s="2014"/>
      <c r="F485" s="2014"/>
      <c r="G485" s="782"/>
    </row>
    <row r="486" spans="1:9">
      <c r="A486" s="782"/>
      <c r="B486" s="1619" t="s">
        <v>2750</v>
      </c>
      <c r="C486" s="782"/>
      <c r="D486" s="2014" t="s">
        <v>1294</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1619" t="s">
        <v>2750</v>
      </c>
      <c r="D492" s="2010" t="s">
        <v>1295</v>
      </c>
      <c r="E492" s="2010"/>
      <c r="F492" s="2010"/>
    </row>
    <row r="493" spans="1:9">
      <c r="A493" s="792"/>
      <c r="B493" s="792"/>
    </row>
    <row r="494" spans="1:9">
      <c r="A494" s="1918" t="s">
        <v>1136</v>
      </c>
      <c r="B494" s="1918"/>
      <c r="C494" s="1918"/>
      <c r="D494" s="1918"/>
      <c r="E494" s="1918"/>
      <c r="F494" s="1918"/>
      <c r="G494" s="1918"/>
      <c r="H494" s="1692"/>
      <c r="I494" s="1693"/>
    </row>
    <row r="495" spans="1:9">
      <c r="A495" s="792"/>
      <c r="B495" s="792"/>
    </row>
    <row r="496" spans="1:9">
      <c r="D496" s="1914" t="s">
        <v>931</v>
      </c>
      <c r="E496" s="1914"/>
      <c r="F496" s="1914"/>
    </row>
    <row r="497" spans="1:9" s="783" customFormat="1" ht="14.25">
      <c r="A497" s="797"/>
      <c r="B497" s="797"/>
      <c r="C497" s="793"/>
      <c r="D497" s="1915" t="s">
        <v>1296</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1619" t="s">
        <v>2750</v>
      </c>
      <c r="C499" s="793"/>
      <c r="D499" s="1916" t="s">
        <v>1297</v>
      </c>
      <c r="E499" s="1916"/>
      <c r="F499" s="1916"/>
      <c r="G499" s="794"/>
      <c r="I499" s="1676" t="s">
        <v>2223</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1619" t="s">
        <v>2750</v>
      </c>
      <c r="D502" s="1917" t="s">
        <v>1454</v>
      </c>
      <c r="E502" s="1917"/>
      <c r="F502" s="1917"/>
      <c r="I502" s="1618" t="s">
        <v>2224</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1619" t="s">
        <v>2750</v>
      </c>
      <c r="D507" s="1938" t="s">
        <v>1300</v>
      </c>
      <c r="E507" s="1938"/>
      <c r="F507" s="1938"/>
      <c r="G507" s="782"/>
      <c r="I507" s="1618" t="s">
        <v>2225</v>
      </c>
    </row>
    <row r="508" spans="1:9" ht="14.25">
      <c r="A508" s="789"/>
      <c r="B508" s="789"/>
      <c r="D508" s="777"/>
      <c r="E508" s="664"/>
      <c r="F508" s="664"/>
      <c r="G508" s="782"/>
    </row>
    <row r="509" spans="1:9" ht="14.25">
      <c r="A509" s="789"/>
      <c r="B509" s="1619" t="s">
        <v>2750</v>
      </c>
      <c r="D509" s="1936" t="s">
        <v>1301</v>
      </c>
      <c r="E509" s="1936"/>
      <c r="F509" s="1936"/>
      <c r="G509" s="782"/>
      <c r="I509" s="1618" t="s">
        <v>2225</v>
      </c>
    </row>
    <row r="510" spans="1:9" ht="14.25">
      <c r="A510" s="789"/>
      <c r="D510" s="1936"/>
      <c r="E510" s="1936"/>
      <c r="F510" s="1936"/>
      <c r="G510" s="782"/>
    </row>
    <row r="511" spans="1:9">
      <c r="A511" s="808"/>
      <c r="B511" s="808"/>
      <c r="D511" s="725"/>
      <c r="E511" s="664"/>
      <c r="F511" s="664"/>
      <c r="G511" s="782"/>
    </row>
    <row r="512" spans="1:9">
      <c r="A512" s="808"/>
      <c r="B512" s="1619" t="s">
        <v>2750</v>
      </c>
      <c r="D512" s="1938" t="s">
        <v>1302</v>
      </c>
      <c r="E512" s="1938"/>
      <c r="F512" s="1938"/>
      <c r="G512" s="782"/>
      <c r="I512" s="1618" t="s">
        <v>2278</v>
      </c>
    </row>
    <row r="513" spans="1:9" ht="14.25">
      <c r="A513" s="789"/>
      <c r="B513" s="789"/>
      <c r="D513" s="792"/>
    </row>
    <row r="514" spans="1:9">
      <c r="A514" s="1918" t="s">
        <v>1137</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835</v>
      </c>
      <c r="E516" s="2045"/>
      <c r="F516" s="204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2749</v>
      </c>
      <c r="C520" s="791"/>
      <c r="D520" s="1910" t="s">
        <v>2528</v>
      </c>
      <c r="E520" s="1910"/>
      <c r="F520" s="1910"/>
      <c r="G520" s="664"/>
      <c r="I520" s="615" t="s">
        <v>2260</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2749</v>
      </c>
      <c r="C523" s="796"/>
      <c r="D523" s="1747" t="s">
        <v>2350</v>
      </c>
      <c r="E523" s="870"/>
      <c r="F523" s="870"/>
      <c r="G523" s="664"/>
      <c r="I523" s="615" t="s">
        <v>2226</v>
      </c>
    </row>
    <row r="524" spans="1:9" s="1613" customFormat="1">
      <c r="A524" s="787"/>
      <c r="B524" s="1750" t="s">
        <v>2750</v>
      </c>
      <c r="C524" s="796"/>
      <c r="D524" s="870"/>
      <c r="E524" s="1575" t="s">
        <v>2351</v>
      </c>
      <c r="F524" s="1615"/>
      <c r="G524" s="664"/>
      <c r="I524" s="615"/>
    </row>
    <row r="525" spans="1:9" s="714" customFormat="1">
      <c r="A525" s="787"/>
      <c r="B525" s="787"/>
      <c r="C525" s="796"/>
      <c r="D525" s="2031" t="s">
        <v>2529</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1619" t="s">
        <v>2750</v>
      </c>
      <c r="C529" s="791"/>
      <c r="D529" s="2022" t="s">
        <v>2530</v>
      </c>
      <c r="E529" s="2022"/>
      <c r="F529" s="2022"/>
      <c r="G529" s="664"/>
      <c r="I529" s="615" t="s">
        <v>2226</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1138</v>
      </c>
      <c r="B532" s="1918"/>
      <c r="C532" s="1918"/>
      <c r="D532" s="1918"/>
      <c r="E532" s="1918"/>
      <c r="F532" s="1918"/>
      <c r="G532" s="1918"/>
      <c r="H532" s="1692"/>
      <c r="I532" s="1693"/>
    </row>
    <row r="533" spans="1:9">
      <c r="A533" s="792"/>
      <c r="B533" s="792"/>
      <c r="C533" s="821"/>
      <c r="F533" s="828"/>
    </row>
    <row r="534" spans="1:9">
      <c r="B534" s="2007" t="s">
        <v>464</v>
      </c>
      <c r="C534" s="2007"/>
      <c r="D534" s="2007"/>
      <c r="E534" s="2007"/>
      <c r="F534" s="2007"/>
    </row>
    <row r="535" spans="1:9">
      <c r="A535" s="792"/>
      <c r="B535" s="792"/>
      <c r="C535" s="821"/>
      <c r="D535" s="792"/>
      <c r="F535" s="792"/>
    </row>
    <row r="536" spans="1:9">
      <c r="A536" s="1968" t="s">
        <v>1139</v>
      </c>
      <c r="B536" s="1968"/>
      <c r="C536" s="1968"/>
      <c r="D536" s="1968"/>
      <c r="E536" s="1968"/>
      <c r="F536" s="1968"/>
      <c r="G536" s="1968"/>
      <c r="H536" s="1692"/>
      <c r="I536" s="1693"/>
    </row>
    <row r="537" spans="1:9">
      <c r="A537" s="792"/>
      <c r="B537" s="792"/>
      <c r="C537" s="821"/>
      <c r="D537" s="792"/>
      <c r="F537" s="792"/>
    </row>
    <row r="538" spans="1:9">
      <c r="C538" s="821"/>
      <c r="D538" s="1935" t="s">
        <v>709</v>
      </c>
      <c r="E538" s="1935"/>
      <c r="F538" s="1935"/>
    </row>
    <row r="539" spans="1:9">
      <c r="C539" s="821"/>
      <c r="D539" s="1938" t="s">
        <v>1196</v>
      </c>
      <c r="E539" s="1938"/>
      <c r="F539" s="1938"/>
    </row>
    <row r="540" spans="1:9">
      <c r="C540" s="821"/>
      <c r="D540" s="777"/>
      <c r="E540" s="777"/>
      <c r="F540" s="777"/>
    </row>
    <row r="541" spans="1:9" ht="13.7" customHeight="1">
      <c r="A541" s="789"/>
      <c r="B541" s="790" t="s">
        <v>2749</v>
      </c>
      <c r="C541" s="821"/>
      <c r="D541" s="1938" t="s">
        <v>932</v>
      </c>
      <c r="E541" s="1938"/>
      <c r="F541" s="1938"/>
      <c r="G541" s="782"/>
      <c r="I541" s="1618" t="s">
        <v>2276</v>
      </c>
    </row>
    <row r="542" spans="1:9" ht="13.7" customHeight="1">
      <c r="A542" s="821"/>
      <c r="B542" s="821"/>
      <c r="C542" s="821"/>
      <c r="D542" s="777"/>
      <c r="E542" s="611"/>
      <c r="F542" s="611"/>
      <c r="G542" s="782"/>
    </row>
    <row r="543" spans="1:9" ht="14.25">
      <c r="A543" s="789"/>
      <c r="B543" s="790" t="s">
        <v>2749</v>
      </c>
      <c r="C543" s="821"/>
      <c r="D543" s="1936" t="s">
        <v>1197</v>
      </c>
      <c r="E543" s="1936"/>
      <c r="F543" s="1936"/>
      <c r="G543" s="782"/>
      <c r="I543" s="1618" t="s">
        <v>2276</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790" t="s">
        <v>2749</v>
      </c>
      <c r="C546" s="821"/>
      <c r="D546" s="1936" t="s">
        <v>1198</v>
      </c>
      <c r="E546" s="1936"/>
      <c r="F546" s="1936"/>
      <c r="G546" s="782"/>
      <c r="I546" s="1618" t="s">
        <v>2227</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790" t="s">
        <v>2749</v>
      </c>
      <c r="C549" s="821"/>
      <c r="D549" s="1936" t="s">
        <v>1199</v>
      </c>
      <c r="E549" s="1936"/>
      <c r="F549" s="1936"/>
      <c r="G549" s="782"/>
      <c r="I549" s="1618" t="s">
        <v>2228</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790" t="s">
        <v>2749</v>
      </c>
      <c r="C552" s="821"/>
      <c r="D552" s="1936" t="s">
        <v>1200</v>
      </c>
      <c r="E552" s="1936"/>
      <c r="F552" s="1936"/>
      <c r="G552" s="782"/>
      <c r="I552" s="1618" t="s">
        <v>2277</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1619" t="s">
        <v>2750</v>
      </c>
      <c r="C556" s="821"/>
      <c r="D556" s="2022" t="s">
        <v>1318</v>
      </c>
      <c r="E556" s="2022"/>
      <c r="F556" s="2022"/>
      <c r="I556" s="1618" t="s">
        <v>2276</v>
      </c>
    </row>
    <row r="557" spans="1:9">
      <c r="A557" s="821"/>
      <c r="B557" s="821"/>
      <c r="C557" s="821"/>
      <c r="D557" s="2022"/>
      <c r="E557" s="2022"/>
      <c r="F557" s="2022"/>
    </row>
    <row r="558" spans="1:9">
      <c r="A558" s="821"/>
      <c r="B558" s="821"/>
      <c r="C558" s="821"/>
      <c r="D558" s="792"/>
      <c r="E558" s="792"/>
      <c r="F558" s="792"/>
    </row>
    <row r="559" spans="1:9" ht="14.25">
      <c r="A559" s="789"/>
      <c r="B559" s="790" t="s">
        <v>2749</v>
      </c>
      <c r="C559" s="821"/>
      <c r="D559" s="1936" t="s">
        <v>1202</v>
      </c>
      <c r="E559" s="1936"/>
      <c r="F559" s="1936"/>
      <c r="I559" s="1618" t="s">
        <v>2276</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790" t="s">
        <v>2749</v>
      </c>
      <c r="C562" s="821"/>
      <c r="D562" s="1938" t="s">
        <v>1203</v>
      </c>
      <c r="E562" s="1938"/>
      <c r="F562" s="1938"/>
      <c r="G562" s="811"/>
      <c r="I562" s="1618" t="s">
        <v>2279</v>
      </c>
      <c r="P562" s="1616"/>
    </row>
    <row r="563" spans="1:16">
      <c r="A563" s="808"/>
      <c r="B563" s="808"/>
      <c r="C563" s="821"/>
      <c r="D563" s="1938" t="s">
        <v>2353</v>
      </c>
      <c r="E563" s="1938"/>
      <c r="F563" s="1938"/>
      <c r="G563" s="811"/>
    </row>
    <row r="564" spans="1:16">
      <c r="A564" s="808"/>
      <c r="B564" s="808"/>
      <c r="C564" s="821"/>
      <c r="D564" s="782"/>
      <c r="E564" s="1575" t="s">
        <v>2352</v>
      </c>
      <c r="F564" s="1751"/>
      <c r="G564" s="811"/>
    </row>
    <row r="565" spans="1:16" ht="14.25">
      <c r="A565" s="789"/>
      <c r="B565" s="789"/>
      <c r="C565" s="821"/>
      <c r="E565" s="792"/>
      <c r="F565" s="792"/>
      <c r="G565" s="811"/>
    </row>
    <row r="566" spans="1:16" ht="14.25">
      <c r="A566" s="789"/>
      <c r="B566" s="790" t="s">
        <v>2749</v>
      </c>
      <c r="C566" s="821"/>
      <c r="D566" s="2038" t="s">
        <v>1205</v>
      </c>
      <c r="E566" s="2038"/>
      <c r="F566" s="2038"/>
      <c r="G566" s="811"/>
      <c r="I566" s="1618" t="s">
        <v>2229</v>
      </c>
    </row>
    <row r="567" spans="1:16">
      <c r="C567" s="821"/>
      <c r="D567" s="1936" t="s">
        <v>1206</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790" t="s">
        <v>2749</v>
      </c>
      <c r="C571" s="821"/>
      <c r="D571" s="1936" t="s">
        <v>2531</v>
      </c>
      <c r="E571" s="1936"/>
      <c r="F571" s="1936"/>
      <c r="G571" s="811"/>
      <c r="I571" s="1618" t="s">
        <v>2230</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1140</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1156</v>
      </c>
      <c r="E579" s="1941"/>
      <c r="F579" s="1941"/>
      <c r="G579" s="811"/>
    </row>
    <row r="580" spans="1:9">
      <c r="A580" s="782"/>
      <c r="B580" s="782"/>
      <c r="C580" s="787"/>
      <c r="D580" s="829"/>
      <c r="G580" s="811"/>
      <c r="I580" s="1618" t="s">
        <v>2231</v>
      </c>
    </row>
    <row r="581" spans="1:9">
      <c r="A581" s="787"/>
      <c r="B581" s="790" t="s">
        <v>2749</v>
      </c>
      <c r="D581" s="1941" t="s">
        <v>938</v>
      </c>
      <c r="E581" s="1941"/>
      <c r="F581" s="1941"/>
      <c r="G581" s="811"/>
    </row>
    <row r="582" spans="1:9">
      <c r="A582" s="808"/>
      <c r="B582" s="808"/>
      <c r="D582" s="806"/>
    </row>
    <row r="583" spans="1:9">
      <c r="A583" s="808"/>
      <c r="B583" s="790" t="s">
        <v>2749</v>
      </c>
      <c r="D583" s="1917" t="s">
        <v>2532</v>
      </c>
      <c r="E583" s="1917"/>
      <c r="F583" s="1917"/>
      <c r="I583" s="1618" t="s">
        <v>2233</v>
      </c>
    </row>
    <row r="584" spans="1:9">
      <c r="A584" s="808"/>
      <c r="B584" s="808"/>
      <c r="D584" s="1917"/>
      <c r="E584" s="1917"/>
      <c r="F584" s="1917"/>
      <c r="G584" s="782"/>
      <c r="I584" s="1618" t="s">
        <v>2232</v>
      </c>
    </row>
    <row r="585" spans="1:9">
      <c r="A585" s="808"/>
      <c r="B585" s="808"/>
      <c r="D585" s="1917"/>
      <c r="E585" s="1917"/>
      <c r="F585" s="1917"/>
      <c r="G585" s="782"/>
    </row>
    <row r="586" spans="1:9">
      <c r="A586" s="808"/>
      <c r="B586" s="808"/>
      <c r="D586" s="1917"/>
      <c r="E586" s="1917"/>
      <c r="F586" s="1917"/>
      <c r="G586" s="782"/>
    </row>
    <row r="587" spans="1:9">
      <c r="A587" s="808"/>
      <c r="B587" s="790" t="s">
        <v>2750</v>
      </c>
      <c r="D587" s="1917" t="s">
        <v>1158</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1619" t="s">
        <v>2749</v>
      </c>
      <c r="D592" s="1917" t="s">
        <v>2533</v>
      </c>
      <c r="E592" s="1917"/>
      <c r="F592" s="1917"/>
      <c r="G592" s="782"/>
    </row>
    <row r="593" spans="1:9">
      <c r="A593" s="808"/>
      <c r="B593" s="808"/>
      <c r="D593" s="1917"/>
      <c r="E593" s="1917"/>
      <c r="F593" s="1917"/>
      <c r="G593" s="782"/>
    </row>
    <row r="594" spans="1:9">
      <c r="A594" s="808"/>
      <c r="B594" s="808"/>
      <c r="D594" s="829"/>
      <c r="G594" s="782"/>
    </row>
    <row r="595" spans="1:9">
      <c r="A595" s="808"/>
      <c r="B595" s="1619" t="s">
        <v>2750</v>
      </c>
      <c r="D595" s="1941" t="s">
        <v>1160</v>
      </c>
      <c r="E595" s="1941"/>
      <c r="F595" s="1941"/>
      <c r="G595" s="782"/>
      <c r="I595" s="1618" t="s">
        <v>2280</v>
      </c>
    </row>
    <row r="596" spans="1:9">
      <c r="A596" s="808"/>
      <c r="B596" s="808"/>
      <c r="D596" s="1941"/>
      <c r="E596" s="1941"/>
      <c r="F596" s="1941"/>
      <c r="G596" s="782"/>
    </row>
    <row r="597" spans="1:9" ht="14.25">
      <c r="A597" s="789"/>
      <c r="B597" s="789"/>
      <c r="D597" s="829"/>
      <c r="G597" s="782"/>
    </row>
    <row r="598" spans="1:9">
      <c r="A598" s="1918" t="s">
        <v>1141</v>
      </c>
      <c r="B598" s="1918"/>
      <c r="C598" s="1918"/>
      <c r="D598" s="1918"/>
      <c r="E598" s="1918"/>
      <c r="F598" s="1918"/>
      <c r="G598" s="1918"/>
      <c r="H598" s="1692"/>
      <c r="I598" s="1693"/>
    </row>
    <row r="599" spans="1:9"/>
    <row r="600" spans="1:9">
      <c r="D600" s="1935" t="s">
        <v>1241</v>
      </c>
      <c r="E600" s="1935"/>
      <c r="F600" s="1935"/>
    </row>
    <row r="601" spans="1:9">
      <c r="D601" s="1974" t="s">
        <v>1242</v>
      </c>
      <c r="E601" s="1974"/>
      <c r="F601" s="1974"/>
    </row>
    <row r="602" spans="1:9">
      <c r="D602" s="772"/>
      <c r="E602" s="714"/>
      <c r="F602" s="714"/>
    </row>
    <row r="603" spans="1:9" s="783" customFormat="1" ht="14.25" customHeight="1">
      <c r="A603" s="797"/>
      <c r="B603" s="790" t="s">
        <v>2749</v>
      </c>
      <c r="C603" s="793"/>
      <c r="D603" s="2008" t="s">
        <v>2354</v>
      </c>
      <c r="E603" s="2008"/>
      <c r="F603" s="2008"/>
      <c r="G603" s="794"/>
      <c r="I603" s="1676" t="s">
        <v>2261</v>
      </c>
    </row>
    <row r="604" spans="1:9">
      <c r="D604" s="2008"/>
      <c r="E604" s="2008"/>
      <c r="F604" s="2008"/>
    </row>
    <row r="605" spans="1:9">
      <c r="D605" s="1752"/>
      <c r="E605" s="1748" t="s">
        <v>2355</v>
      </c>
      <c r="F605" s="1752"/>
    </row>
    <row r="606" spans="1:9"/>
    <row r="607" spans="1:9">
      <c r="A607" s="1918" t="s">
        <v>1142</v>
      </c>
      <c r="B607" s="1918"/>
      <c r="C607" s="1918"/>
      <c r="D607" s="1918"/>
      <c r="E607" s="1918"/>
      <c r="F607" s="1918"/>
      <c r="G607" s="1918"/>
      <c r="H607" s="1692"/>
      <c r="I607" s="1693"/>
    </row>
    <row r="608" spans="1:9">
      <c r="A608" s="792"/>
      <c r="B608" s="792"/>
      <c r="G608" s="811"/>
    </row>
    <row r="609" spans="1:13">
      <c r="A609" s="830"/>
      <c r="B609" s="830"/>
      <c r="C609" s="785"/>
      <c r="D609" s="1975" t="s">
        <v>1244</v>
      </c>
      <c r="E609" s="1975"/>
      <c r="F609" s="1975"/>
      <c r="G609" s="811"/>
    </row>
    <row r="610" spans="1:13">
      <c r="A610" s="830"/>
      <c r="B610" s="830"/>
      <c r="C610" s="785"/>
      <c r="D610" s="1975"/>
      <c r="E610" s="1975"/>
      <c r="F610" s="1975"/>
      <c r="G610" s="811"/>
    </row>
    <row r="611" spans="1:13">
      <c r="C611" s="787"/>
      <c r="D611" s="1974" t="s">
        <v>1245</v>
      </c>
      <c r="E611" s="1974"/>
      <c r="F611" s="1974"/>
      <c r="G611" s="811"/>
    </row>
    <row r="612" spans="1:13">
      <c r="C612" s="787"/>
      <c r="D612" s="772"/>
      <c r="E612" s="772"/>
      <c r="F612" s="772"/>
      <c r="G612" s="811"/>
    </row>
    <row r="613" spans="1:13" ht="12.75" customHeight="1">
      <c r="A613" s="808"/>
      <c r="B613" s="790" t="s">
        <v>2749</v>
      </c>
      <c r="D613" s="1934" t="s">
        <v>1246</v>
      </c>
      <c r="E613" s="1934"/>
      <c r="F613" s="1934"/>
      <c r="G613" s="811"/>
      <c r="I613" s="1618" t="s">
        <v>2281</v>
      </c>
    </row>
    <row r="614" spans="1:13">
      <c r="D614" s="1934"/>
      <c r="E614" s="1934"/>
      <c r="F614" s="1934"/>
      <c r="G614" s="811"/>
    </row>
    <row r="615" spans="1:13">
      <c r="D615" s="782"/>
      <c r="G615" s="811"/>
    </row>
    <row r="616" spans="1:13">
      <c r="B616" s="790" t="s">
        <v>2749</v>
      </c>
      <c r="D616" s="1934" t="s">
        <v>1247</v>
      </c>
      <c r="E616" s="1934"/>
      <c r="F616" s="1934"/>
      <c r="G616" s="811"/>
      <c r="I616" s="1618" t="s">
        <v>2234</v>
      </c>
    </row>
    <row r="617" spans="1:13">
      <c r="C617" s="831"/>
      <c r="D617" s="1934"/>
      <c r="E617" s="1934"/>
      <c r="F617" s="1934"/>
      <c r="G617" s="811"/>
    </row>
    <row r="618" spans="1:13">
      <c r="C618" s="831"/>
      <c r="G618" s="811"/>
    </row>
    <row r="619" spans="1:13">
      <c r="B619" s="790" t="s">
        <v>2750</v>
      </c>
      <c r="C619" s="831"/>
      <c r="D619" s="1934" t="s">
        <v>1248</v>
      </c>
      <c r="E619" s="1934"/>
      <c r="F619" s="1934"/>
      <c r="G619" s="811"/>
      <c r="I619" s="1618" t="s">
        <v>2282</v>
      </c>
    </row>
    <row r="620" spans="1:13">
      <c r="C620" s="831"/>
      <c r="D620" s="1934"/>
      <c r="E620" s="1934"/>
      <c r="F620" s="1934"/>
      <c r="G620" s="811"/>
      <c r="I620" s="1689" t="s">
        <v>2283</v>
      </c>
    </row>
    <row r="621" spans="1:13">
      <c r="C621" s="831"/>
      <c r="G621" s="811"/>
    </row>
    <row r="622" spans="1:13">
      <c r="A622" s="1918" t="s">
        <v>1143</v>
      </c>
      <c r="B622" s="1918"/>
      <c r="C622" s="1918"/>
      <c r="D622" s="1918"/>
      <c r="E622" s="1918"/>
      <c r="F622" s="1918"/>
      <c r="G622" s="1918"/>
      <c r="H622" s="1692"/>
      <c r="I622" s="1693"/>
    </row>
    <row r="623" spans="1:13">
      <c r="A623" s="832"/>
      <c r="B623" s="832"/>
      <c r="C623" s="832"/>
      <c r="G623" s="811"/>
    </row>
    <row r="624" spans="1:13">
      <c r="C624" s="808"/>
      <c r="D624" s="1935" t="s">
        <v>1249</v>
      </c>
      <c r="E624" s="1935"/>
      <c r="F624" s="1935"/>
      <c r="G624" s="811"/>
      <c r="M624" s="1616"/>
    </row>
    <row r="625" spans="1:13">
      <c r="A625" s="808"/>
      <c r="B625" s="808"/>
      <c r="C625" s="810"/>
      <c r="D625" s="786"/>
      <c r="G625" s="811"/>
      <c r="M625" s="1616"/>
    </row>
    <row r="626" spans="1:13" ht="14.25" customHeight="1">
      <c r="A626" s="789"/>
      <c r="B626" s="1619" t="s">
        <v>2749</v>
      </c>
      <c r="C626" s="810"/>
      <c r="D626" s="2009" t="s">
        <v>2534</v>
      </c>
      <c r="E626" s="2009"/>
      <c r="F626" s="2009"/>
      <c r="G626" s="811"/>
      <c r="I626" s="1618" t="s">
        <v>2262</v>
      </c>
      <c r="M626" s="1616"/>
    </row>
    <row r="627" spans="1:13">
      <c r="C627" s="810"/>
      <c r="D627" s="2009"/>
      <c r="E627" s="2009"/>
      <c r="F627" s="2009"/>
      <c r="G627" s="811"/>
      <c r="M627" s="1616"/>
    </row>
    <row r="628" spans="1:13">
      <c r="C628" s="810"/>
      <c r="D628" s="870"/>
      <c r="E628" s="1748" t="s">
        <v>2357</v>
      </c>
      <c r="F628" s="870"/>
      <c r="G628" s="811"/>
      <c r="M628" s="1616"/>
    </row>
    <row r="629" spans="1:13">
      <c r="C629" s="810"/>
      <c r="D629" s="1936" t="s">
        <v>2356</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1619" t="s">
        <v>2750</v>
      </c>
      <c r="C633" s="810"/>
      <c r="D633" s="1936" t="s">
        <v>1251</v>
      </c>
      <c r="E633" s="1936"/>
      <c r="F633" s="1936"/>
      <c r="G633" s="811"/>
      <c r="I633" s="1618" t="s">
        <v>2284</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1619" t="s">
        <v>2750</v>
      </c>
      <c r="C636" s="821"/>
      <c r="D636" s="1937" t="s">
        <v>1394</v>
      </c>
      <c r="E636" s="1937"/>
      <c r="F636" s="1937"/>
      <c r="G636" s="811"/>
      <c r="I636" s="1618" t="s">
        <v>2235</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1619" t="s">
        <v>2750</v>
      </c>
      <c r="C639" s="821"/>
      <c r="D639" s="1938" t="s">
        <v>1253</v>
      </c>
      <c r="E639" s="1938"/>
      <c r="F639" s="1938"/>
      <c r="G639" s="811"/>
      <c r="I639" s="1618" t="s">
        <v>2235</v>
      </c>
    </row>
    <row r="640" spans="1:13">
      <c r="A640" s="821"/>
      <c r="B640" s="821"/>
      <c r="C640" s="821"/>
      <c r="D640" s="719"/>
      <c r="E640" s="719"/>
      <c r="F640" s="719"/>
      <c r="G640" s="811"/>
    </row>
    <row r="641" spans="1:9">
      <c r="A641" s="1918" t="s">
        <v>1144</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1303</v>
      </c>
      <c r="E643" s="2012"/>
      <c r="F643" s="2012"/>
      <c r="G643" s="811"/>
    </row>
    <row r="644" spans="1:9">
      <c r="A644" s="787"/>
      <c r="B644" s="787"/>
      <c r="C644" s="787"/>
      <c r="D644" s="2013" t="s">
        <v>1304</v>
      </c>
      <c r="E644" s="2013"/>
      <c r="F644" s="2013"/>
      <c r="G644" s="811"/>
    </row>
    <row r="645" spans="1:9">
      <c r="A645" s="787"/>
      <c r="B645" s="787"/>
      <c r="C645" s="787"/>
      <c r="D645" s="719"/>
      <c r="E645" s="719"/>
      <c r="F645" s="719"/>
      <c r="G645" s="811"/>
    </row>
    <row r="646" spans="1:9" ht="12.75" customHeight="1">
      <c r="B646" s="1619" t="s">
        <v>2750</v>
      </c>
      <c r="C646" s="821"/>
      <c r="D646" s="2020" t="s">
        <v>1468</v>
      </c>
      <c r="E646" s="2020"/>
      <c r="F646" s="2020"/>
      <c r="I646" s="1618" t="s">
        <v>2287</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2"/>
      <c r="E650" s="892"/>
      <c r="F650" s="892"/>
      <c r="G650" s="811"/>
    </row>
    <row r="651" spans="1:9" ht="12.75" customHeight="1">
      <c r="A651" s="787"/>
      <c r="B651" s="1619" t="s">
        <v>2750</v>
      </c>
      <c r="C651" s="821"/>
      <c r="D651" s="2020" t="s">
        <v>1470</v>
      </c>
      <c r="E651" s="2020"/>
      <c r="F651" s="2020"/>
      <c r="G651" s="811"/>
      <c r="I651" s="1618" t="s">
        <v>2287</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1619" t="s">
        <v>2750</v>
      </c>
      <c r="C657" s="821"/>
      <c r="D657" s="2020" t="s">
        <v>1469</v>
      </c>
      <c r="E657" s="2020"/>
      <c r="F657" s="2020"/>
      <c r="G657" s="811"/>
      <c r="I657" s="1618" t="s">
        <v>2287</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1619" t="s">
        <v>2750</v>
      </c>
      <c r="C662" s="821"/>
      <c r="D662" s="2020" t="s">
        <v>2535</v>
      </c>
      <c r="E662" s="2020"/>
      <c r="F662" s="2020"/>
      <c r="G662" s="811"/>
      <c r="I662" s="1618" t="s">
        <v>2287</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1145</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1181</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2749</v>
      </c>
      <c r="C678" s="787"/>
      <c r="D678" s="1938" t="s">
        <v>934</v>
      </c>
      <c r="E678" s="1938"/>
      <c r="F678" s="1938"/>
      <c r="G678" s="811"/>
      <c r="H678" s="834"/>
      <c r="I678" s="1680" t="s">
        <v>2263</v>
      </c>
      <c r="J678" s="834"/>
      <c r="K678" s="834"/>
    </row>
    <row r="679" spans="1:11">
      <c r="A679" s="787"/>
      <c r="B679" s="787"/>
      <c r="C679" s="787"/>
      <c r="D679" s="1938" t="s">
        <v>945</v>
      </c>
      <c r="E679" s="1938"/>
      <c r="F679" s="1938"/>
      <c r="G679" s="811"/>
      <c r="H679" s="834"/>
      <c r="I679" s="1680"/>
      <c r="J679" s="834"/>
      <c r="K679" s="834"/>
    </row>
    <row r="680" spans="1:11" ht="12.75" customHeight="1">
      <c r="A680" s="787"/>
      <c r="B680" s="787"/>
      <c r="C680" s="787"/>
      <c r="D680" s="664"/>
      <c r="E680" s="1748" t="s">
        <v>2359</v>
      </c>
      <c r="F680" s="638"/>
      <c r="G680" s="811"/>
      <c r="H680" s="834"/>
      <c r="I680" s="1680"/>
      <c r="J680" s="834"/>
      <c r="K680" s="834"/>
    </row>
    <row r="681" spans="1:11">
      <c r="A681" s="787"/>
      <c r="B681" s="787"/>
      <c r="C681" s="787"/>
      <c r="D681" s="664"/>
      <c r="E681" s="834" t="s">
        <v>2358</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2749</v>
      </c>
      <c r="C683" s="787"/>
      <c r="D683" s="1936" t="s">
        <v>2536</v>
      </c>
      <c r="E683" s="1936"/>
      <c r="F683" s="1936"/>
      <c r="G683" s="811"/>
      <c r="H683" s="834"/>
      <c r="I683" s="1680" t="s">
        <v>2285</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2264</v>
      </c>
      <c r="J686" s="834"/>
      <c r="K686" s="834"/>
    </row>
    <row r="687" spans="1:11" ht="14.25">
      <c r="A687" s="789"/>
      <c r="B687" s="790" t="s">
        <v>2749</v>
      </c>
      <c r="C687" s="787"/>
      <c r="D687" s="1938" t="s">
        <v>973</v>
      </c>
      <c r="E687" s="1938"/>
      <c r="F687" s="1938"/>
      <c r="G687" s="811"/>
      <c r="H687" s="834"/>
      <c r="I687" s="1680"/>
      <c r="J687" s="834"/>
      <c r="K687" s="834"/>
    </row>
    <row r="688" spans="1:11" ht="14.25">
      <c r="A688" s="789"/>
      <c r="B688" s="789"/>
      <c r="C688" s="787"/>
      <c r="D688" s="1938" t="s">
        <v>945</v>
      </c>
      <c r="E688" s="1938"/>
      <c r="F688" s="1938"/>
      <c r="G688" s="811"/>
      <c r="H688" s="834"/>
      <c r="I688" s="1680"/>
      <c r="J688" s="834"/>
      <c r="K688" s="834"/>
    </row>
    <row r="689" spans="1:11">
      <c r="A689" s="787"/>
      <c r="B689" s="787"/>
      <c r="C689" s="787"/>
      <c r="D689" s="664"/>
      <c r="E689" s="1748" t="s">
        <v>2360</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2750</v>
      </c>
      <c r="C691" s="787"/>
      <c r="D691" s="2022" t="s">
        <v>1194</v>
      </c>
      <c r="E691" s="2022"/>
      <c r="F691" s="2022"/>
      <c r="G691" s="811"/>
      <c r="H691" s="834"/>
      <c r="I691" s="1680" t="s">
        <v>2236</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2750</v>
      </c>
      <c r="C698" s="826"/>
      <c r="D698" s="2022" t="s">
        <v>1365</v>
      </c>
      <c r="E698" s="2022"/>
      <c r="F698" s="2022"/>
      <c r="G698" s="836"/>
      <c r="H698" s="837"/>
      <c r="I698" s="1681" t="s">
        <v>2236</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2750</v>
      </c>
      <c r="C701" s="787"/>
      <c r="D701" s="2022" t="s">
        <v>1185</v>
      </c>
      <c r="E701" s="2022"/>
      <c r="F701" s="2022"/>
      <c r="G701" s="811"/>
      <c r="H701" s="834"/>
      <c r="I701" s="1680" t="s">
        <v>2236</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790" t="s">
        <v>2750</v>
      </c>
      <c r="C714" s="787"/>
      <c r="D714" s="2022" t="s">
        <v>1192</v>
      </c>
      <c r="E714" s="2022"/>
      <c r="F714" s="2022"/>
      <c r="G714" s="811"/>
      <c r="H714" s="834"/>
      <c r="I714" s="1680" t="s">
        <v>2286</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2750</v>
      </c>
      <c r="C717" s="787"/>
      <c r="D717" s="2022" t="s">
        <v>1186</v>
      </c>
      <c r="E717" s="2022"/>
      <c r="F717" s="2022"/>
      <c r="G717" s="811"/>
      <c r="H717" s="834"/>
      <c r="I717" s="1680" t="s">
        <v>2286</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790" t="s">
        <v>2750</v>
      </c>
      <c r="C721" s="787"/>
      <c r="D721" s="2022" t="s">
        <v>1187</v>
      </c>
      <c r="E721" s="2022"/>
      <c r="F721" s="2022"/>
      <c r="G721" s="811"/>
      <c r="H721" s="834"/>
      <c r="I721" s="1680" t="s">
        <v>2286</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790" t="s">
        <v>2750</v>
      </c>
      <c r="C725" s="787"/>
      <c r="D725" s="1936" t="s">
        <v>1188</v>
      </c>
      <c r="E725" s="1936"/>
      <c r="F725" s="1936"/>
      <c r="G725" s="811"/>
      <c r="H725" s="834"/>
      <c r="I725" s="1680" t="s">
        <v>2237</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1619" t="s">
        <v>2749</v>
      </c>
      <c r="C730" s="787"/>
      <c r="D730" s="2022" t="s">
        <v>2537</v>
      </c>
      <c r="E730" s="2022"/>
      <c r="F730" s="2022"/>
      <c r="G730" s="811"/>
      <c r="H730" s="834"/>
      <c r="I730" s="1680" t="s">
        <v>2253</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2546</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1146</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7" customHeight="1">
      <c r="C741" s="787"/>
      <c r="D741" s="2006" t="s">
        <v>1162</v>
      </c>
      <c r="E741" s="2006"/>
      <c r="F741" s="2006"/>
      <c r="G741" s="839"/>
      <c r="H741" s="834"/>
      <c r="I741" s="1680"/>
      <c r="J741" s="834"/>
      <c r="K741" s="834"/>
    </row>
    <row r="742" spans="1:11">
      <c r="A742" s="787"/>
      <c r="B742" s="787"/>
      <c r="C742" s="787"/>
      <c r="D742" s="1962" t="s">
        <v>1163</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790" t="s">
        <v>2749</v>
      </c>
      <c r="C744" s="780"/>
      <c r="D744" s="1936" t="s">
        <v>1164</v>
      </c>
      <c r="E744" s="1936"/>
      <c r="F744" s="1936"/>
      <c r="G744" s="839"/>
      <c r="H744" s="837"/>
      <c r="I744" s="1681" t="s">
        <v>2238</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6"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2749</v>
      </c>
      <c r="C751" s="843"/>
      <c r="D751" s="1937" t="s">
        <v>1411</v>
      </c>
      <c r="E751" s="1937"/>
      <c r="F751" s="1937"/>
      <c r="G751" s="844"/>
      <c r="I751" s="1682" t="s">
        <v>2238</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1619" t="s">
        <v>2750</v>
      </c>
      <c r="C756" s="843"/>
      <c r="D756" s="2030" t="s">
        <v>1412</v>
      </c>
      <c r="E756" s="2030"/>
      <c r="F756" s="2030"/>
      <c r="G756" s="844"/>
      <c r="I756" s="1682" t="s">
        <v>2239</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1619" t="s">
        <v>2750</v>
      </c>
      <c r="C760" s="793"/>
      <c r="D760" s="1937" t="s">
        <v>1362</v>
      </c>
      <c r="E760" s="1937"/>
      <c r="F760" s="1937"/>
      <c r="G760" s="840"/>
      <c r="H760" s="834"/>
      <c r="I760" s="1680" t="s">
        <v>2238</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2750</v>
      </c>
      <c r="C763" s="793"/>
      <c r="D763" s="1937" t="s">
        <v>1380</v>
      </c>
      <c r="E763" s="1937"/>
      <c r="F763" s="1937"/>
      <c r="G763" s="840"/>
      <c r="H763" s="834"/>
      <c r="I763" s="1680" t="s">
        <v>2238</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2117</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2171</v>
      </c>
      <c r="E769" s="2034"/>
      <c r="F769" s="2034"/>
      <c r="G769" s="678"/>
    </row>
    <row r="770" spans="1:9">
      <c r="A770" s="93"/>
      <c r="B770" s="93"/>
      <c r="C770" s="1576"/>
      <c r="D770" s="2011" t="s">
        <v>2070</v>
      </c>
      <c r="E770" s="2011"/>
      <c r="F770" s="2011"/>
      <c r="G770" s="678"/>
    </row>
    <row r="771" spans="1:9">
      <c r="A771" s="93"/>
      <c r="B771" s="93"/>
      <c r="C771" s="1576"/>
      <c r="D771" s="725"/>
      <c r="E771" s="725"/>
      <c r="F771" s="725"/>
      <c r="G771" s="678"/>
    </row>
    <row r="772" spans="1:9">
      <c r="A772" s="93"/>
      <c r="B772" s="790" t="s">
        <v>2749</v>
      </c>
      <c r="C772" s="1576"/>
      <c r="D772" s="1958" t="s">
        <v>2071</v>
      </c>
      <c r="E772" s="1958"/>
      <c r="F772" s="1958"/>
      <c r="G772" s="678"/>
      <c r="I772" s="1680" t="s">
        <v>2288</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790" t="s">
        <v>2749</v>
      </c>
      <c r="C776" s="1579"/>
      <c r="D776" s="1958" t="s">
        <v>2072</v>
      </c>
      <c r="E776" s="1958"/>
      <c r="F776" s="1958"/>
      <c r="G776" s="678"/>
      <c r="I776" s="1680" t="s">
        <v>2288</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790" t="s">
        <v>2750</v>
      </c>
      <c r="C780" s="1584"/>
      <c r="D780" s="1958" t="s">
        <v>2073</v>
      </c>
      <c r="E780" s="1958"/>
      <c r="F780" s="1958"/>
      <c r="G780" s="1583"/>
      <c r="I780" s="1680" t="s">
        <v>2288</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790" t="s">
        <v>2750</v>
      </c>
      <c r="C784" s="1584"/>
      <c r="D784" s="1958" t="s">
        <v>2074</v>
      </c>
      <c r="E784" s="1958"/>
      <c r="F784" s="1958"/>
      <c r="G784" s="1583"/>
      <c r="I784" s="1680" t="s">
        <v>2288</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2118</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790" t="s">
        <v>2750</v>
      </c>
      <c r="C794" s="1584"/>
      <c r="D794" s="1958" t="s">
        <v>2075</v>
      </c>
      <c r="E794" s="1958"/>
      <c r="F794" s="1958"/>
      <c r="G794" s="1583"/>
      <c r="I794" s="1680" t="s">
        <v>2288</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790" t="s">
        <v>2749</v>
      </c>
      <c r="C801" s="1584"/>
      <c r="D801" s="1958" t="s">
        <v>2076</v>
      </c>
      <c r="E801" s="1958"/>
      <c r="F801" s="1958"/>
      <c r="G801" s="1583"/>
      <c r="I801" s="1680" t="s">
        <v>2288</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790" t="s">
        <v>2750</v>
      </c>
      <c r="C808" s="1584"/>
      <c r="D808" s="1955" t="s">
        <v>2077</v>
      </c>
      <c r="E808" s="1955"/>
      <c r="F808" s="1955"/>
      <c r="G808" s="1583"/>
      <c r="I808" s="1680" t="s">
        <v>2288</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2078</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2119</v>
      </c>
      <c r="E817" s="1947"/>
      <c r="F817" s="1947"/>
      <c r="G817" s="670"/>
    </row>
    <row r="818" spans="1:9" ht="14.25" customHeight="1">
      <c r="A818" s="706"/>
      <c r="B818" s="706"/>
      <c r="C818" s="549"/>
      <c r="D818" s="1898" t="s">
        <v>2079</v>
      </c>
      <c r="E818" s="1898"/>
      <c r="F818" s="1898"/>
      <c r="G818" s="670"/>
    </row>
    <row r="819" spans="1:9" ht="12.75" customHeight="1">
      <c r="A819" s="706"/>
      <c r="B819" s="706"/>
      <c r="C819" s="549"/>
      <c r="D819" s="1549"/>
      <c r="E819" s="1549"/>
      <c r="F819" s="1549"/>
      <c r="G819" s="670"/>
    </row>
    <row r="820" spans="1:9" ht="12.75" customHeight="1">
      <c r="A820" s="1586"/>
      <c r="B820" s="790" t="s">
        <v>2749</v>
      </c>
      <c r="C820" s="1584"/>
      <c r="D820" s="1898" t="s">
        <v>2080</v>
      </c>
      <c r="E820" s="1898"/>
      <c r="F820" s="1898"/>
      <c r="G820" s="670"/>
      <c r="I820" s="1618" t="s">
        <v>2256</v>
      </c>
    </row>
    <row r="821" spans="1:9" ht="14.25" customHeight="1">
      <c r="A821" s="1570"/>
      <c r="B821" s="1570"/>
      <c r="C821" s="1584"/>
      <c r="D821" s="782"/>
      <c r="E821" s="1748" t="s">
        <v>2342</v>
      </c>
      <c r="F821" s="1753"/>
      <c r="G821" s="670"/>
    </row>
    <row r="822" spans="1:9" ht="12.75" customHeight="1">
      <c r="A822" s="1570"/>
      <c r="B822" s="1570"/>
      <c r="C822" s="1584"/>
      <c r="D822" s="1587"/>
      <c r="E822" s="6"/>
      <c r="F822" s="6"/>
      <c r="G822" s="670"/>
    </row>
    <row r="823" spans="1:9" ht="14.25" hidden="1" customHeight="1">
      <c r="A823" s="1570"/>
      <c r="B823" s="790" t="s">
        <v>313</v>
      </c>
      <c r="C823" s="1584"/>
      <c r="D823" s="2005" t="s">
        <v>2547</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790" t="s">
        <v>2749</v>
      </c>
      <c r="C834" s="1584"/>
      <c r="D834" s="1898" t="s">
        <v>2081</v>
      </c>
      <c r="E834" s="1898"/>
      <c r="F834" s="1898"/>
      <c r="G834" s="670"/>
      <c r="I834" s="1618" t="s">
        <v>2274</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790" t="s">
        <v>2750</v>
      </c>
      <c r="C838" s="1588"/>
      <c r="D838" s="2003" t="s">
        <v>2082</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2538</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2750</v>
      </c>
      <c r="C847" s="1588"/>
      <c r="D847" s="1899" t="s">
        <v>2083</v>
      </c>
      <c r="E847" s="1899"/>
      <c r="F847" s="1899"/>
      <c r="G847" s="670"/>
      <c r="I847" s="1618" t="s">
        <v>2257</v>
      </c>
    </row>
    <row r="848" spans="1:9" ht="12.75" customHeight="1">
      <c r="A848" s="400"/>
      <c r="B848" s="400"/>
      <c r="C848" s="1588"/>
      <c r="D848" s="1899" t="s">
        <v>2084</v>
      </c>
      <c r="E848" s="1899"/>
      <c r="F848" s="1899"/>
      <c r="G848" s="670"/>
    </row>
    <row r="849" spans="1:9" ht="12.75" customHeight="1">
      <c r="A849" s="400"/>
      <c r="B849" s="400"/>
      <c r="C849" s="1588"/>
      <c r="D849" s="782"/>
      <c r="E849" s="1748" t="s">
        <v>2344</v>
      </c>
      <c r="F849" s="1754"/>
      <c r="G849" s="670"/>
    </row>
    <row r="850" spans="1:9" ht="12.75" customHeight="1">
      <c r="A850" s="400"/>
      <c r="B850" s="400"/>
      <c r="C850" s="1588"/>
      <c r="D850" s="1566"/>
      <c r="E850" s="670"/>
      <c r="F850" s="670"/>
      <c r="G850" s="670"/>
    </row>
    <row r="851" spans="1:9" ht="12.75" customHeight="1">
      <c r="A851" s="400"/>
      <c r="B851" s="790" t="s">
        <v>2750</v>
      </c>
      <c r="C851" s="1588"/>
      <c r="D851" s="1899" t="s">
        <v>2085</v>
      </c>
      <c r="E851" s="1899"/>
      <c r="F851" s="1899"/>
      <c r="G851" s="670"/>
      <c r="I851" s="1618" t="s">
        <v>2275</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2120</v>
      </c>
      <c r="E858" s="1921"/>
      <c r="F858" s="1921"/>
      <c r="G858" s="1583"/>
    </row>
    <row r="859" spans="1:9" ht="12.75" customHeight="1">
      <c r="A859" s="1586"/>
      <c r="B859" s="1586"/>
      <c r="C859" s="313"/>
      <c r="D859" s="2004" t="s">
        <v>2087</v>
      </c>
      <c r="E859" s="2004"/>
      <c r="F859" s="2004"/>
      <c r="G859" s="1583"/>
    </row>
    <row r="860" spans="1:9" ht="12.75" customHeight="1">
      <c r="A860" s="1586"/>
      <c r="B860" s="1586"/>
      <c r="C860" s="313"/>
      <c r="D860" s="1594"/>
      <c r="E860" s="1594"/>
      <c r="F860" s="1594"/>
      <c r="G860" s="1583"/>
    </row>
    <row r="861" spans="1:9" ht="12.75" customHeight="1">
      <c r="A861" s="706"/>
      <c r="B861" s="790" t="s">
        <v>2749</v>
      </c>
      <c r="C861" s="549"/>
      <c r="D861" s="1911" t="s">
        <v>2088</v>
      </c>
      <c r="E861" s="1911"/>
      <c r="F861" s="1911"/>
      <c r="G861" s="1583"/>
      <c r="I861" s="1618" t="s">
        <v>2257</v>
      </c>
    </row>
    <row r="862" spans="1:9" ht="12.75" customHeight="1">
      <c r="A862" s="1586"/>
      <c r="B862" s="1586"/>
      <c r="C862" s="549"/>
      <c r="D862" s="5" t="s">
        <v>2063</v>
      </c>
      <c r="E862" s="1748" t="s">
        <v>2344</v>
      </c>
      <c r="F862" s="1755"/>
      <c r="G862" s="1583"/>
    </row>
    <row r="863" spans="1:9" ht="12.75" customHeight="1">
      <c r="A863" s="1586"/>
      <c r="B863" s="1586"/>
      <c r="C863" s="549"/>
      <c r="D863" s="1554"/>
      <c r="E863" s="1582"/>
      <c r="F863" s="1582"/>
      <c r="G863" s="1583"/>
    </row>
    <row r="864" spans="1:9" ht="12.75" customHeight="1">
      <c r="A864" s="706"/>
      <c r="B864" s="790" t="s">
        <v>2749</v>
      </c>
      <c r="C864" s="549"/>
      <c r="D864" s="1898" t="s">
        <v>2089</v>
      </c>
      <c r="E864" s="1922"/>
      <c r="F864" s="1922"/>
      <c r="G864" s="670"/>
      <c r="I864" s="1618" t="s">
        <v>2275</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2750</v>
      </c>
      <c r="C867" s="550"/>
      <c r="D867" s="2001" t="s">
        <v>2090</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2538</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2750</v>
      </c>
      <c r="C876" s="549"/>
      <c r="D876" s="1964" t="s">
        <v>2083</v>
      </c>
      <c r="E876" s="1964"/>
      <c r="F876" s="1964"/>
      <c r="G876" s="1583"/>
      <c r="I876" s="1618" t="s">
        <v>2257</v>
      </c>
    </row>
    <row r="877" spans="1:9" ht="12.75" customHeight="1">
      <c r="A877" s="706"/>
      <c r="B877" s="706"/>
      <c r="C877" s="549"/>
      <c r="D877" s="1964" t="s">
        <v>2084</v>
      </c>
      <c r="E877" s="1964"/>
      <c r="F877" s="1964"/>
      <c r="G877" s="1583"/>
    </row>
    <row r="878" spans="1:9" ht="12.75" customHeight="1">
      <c r="A878" s="706"/>
      <c r="B878" s="706"/>
      <c r="C878" s="549"/>
      <c r="D878" s="5" t="s">
        <v>1451</v>
      </c>
      <c r="E878" s="1748" t="s">
        <v>2344</v>
      </c>
      <c r="F878" s="1756"/>
      <c r="G878" s="1583"/>
    </row>
    <row r="879" spans="1:9" ht="12.75" customHeight="1">
      <c r="A879" s="706"/>
      <c r="B879" s="706"/>
      <c r="C879" s="549"/>
      <c r="D879" s="1554"/>
      <c r="E879" s="1582"/>
      <c r="F879" s="1582"/>
      <c r="G879" s="1583"/>
    </row>
    <row r="880" spans="1:9" ht="12.75" customHeight="1">
      <c r="A880" s="706"/>
      <c r="B880" s="790" t="s">
        <v>2750</v>
      </c>
      <c r="C880" s="549"/>
      <c r="D880" s="1898" t="s">
        <v>2085</v>
      </c>
      <c r="E880" s="1898"/>
      <c r="F880" s="1898"/>
      <c r="G880" s="1583"/>
      <c r="I880" s="1618" t="s">
        <v>2275</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2121</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2127</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2749</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57" t="s">
        <v>2122</v>
      </c>
      <c r="E891" s="1957"/>
      <c r="F891" s="1957"/>
      <c r="G891" s="1583"/>
    </row>
    <row r="892" spans="1:9" ht="12.75" customHeight="1">
      <c r="A892" s="1560"/>
      <c r="B892" s="1560"/>
      <c r="C892" s="1590"/>
      <c r="D892" s="1911" t="s">
        <v>2091</v>
      </c>
      <c r="E892" s="1911"/>
      <c r="F892" s="1911"/>
      <c r="G892" s="1583"/>
    </row>
    <row r="893" spans="1:9" ht="12.75" customHeight="1">
      <c r="A893" s="1600"/>
      <c r="B893" s="1600"/>
      <c r="C893" s="1584"/>
      <c r="D893" s="5"/>
      <c r="E893" s="1582"/>
      <c r="F893" s="1582"/>
      <c r="G893" s="1583"/>
    </row>
    <row r="894" spans="1:9" ht="12.75" customHeight="1">
      <c r="A894" s="706"/>
      <c r="B894" s="790" t="s">
        <v>2749</v>
      </c>
      <c r="C894" s="549"/>
      <c r="D894" s="1898" t="s">
        <v>2095</v>
      </c>
      <c r="E894" s="1898"/>
      <c r="F894" s="1898"/>
      <c r="G894" s="670"/>
      <c r="I894" s="1618" t="s">
        <v>2241</v>
      </c>
    </row>
    <row r="895" spans="1:9" ht="12.75" customHeight="1">
      <c r="A895" s="1586"/>
      <c r="B895" s="1586"/>
      <c r="C895" s="549"/>
      <c r="D895" s="1898"/>
      <c r="E895" s="1898"/>
      <c r="F895" s="1898"/>
      <c r="G895" s="670"/>
    </row>
    <row r="896" spans="1:9" s="1616" customFormat="1" ht="12.75" customHeight="1">
      <c r="A896" s="1685"/>
      <c r="B896" s="1685"/>
      <c r="C896" s="1590"/>
      <c r="D896" s="1898" t="s">
        <v>2094</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790" t="s">
        <v>2749</v>
      </c>
      <c r="C899" s="481"/>
      <c r="D899" s="1991" t="s">
        <v>2092</v>
      </c>
      <c r="E899" s="1991"/>
      <c r="F899" s="1991"/>
      <c r="G899" s="1583"/>
      <c r="I899" s="1618" t="s">
        <v>2240</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2750</v>
      </c>
      <c r="C908" s="1584"/>
      <c r="D908" s="1898" t="s">
        <v>2096</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790" t="s">
        <v>2750</v>
      </c>
      <c r="C911" s="1584"/>
      <c r="D911" s="1955" t="s">
        <v>2097</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1619" t="s">
        <v>2750</v>
      </c>
      <c r="C916" s="1584"/>
      <c r="D916" s="1911" t="s">
        <v>2539</v>
      </c>
      <c r="E916" s="1911"/>
      <c r="F916" s="1911"/>
      <c r="G916" s="1583"/>
    </row>
    <row r="917" spans="1:9" ht="12.75" customHeight="1">
      <c r="A917" s="1600"/>
      <c r="B917" s="1600"/>
      <c r="C917" s="1584"/>
      <c r="D917" s="1554"/>
      <c r="E917" s="1582"/>
      <c r="F917" s="1582"/>
      <c r="G917" s="1583"/>
    </row>
    <row r="918" spans="1:9" ht="12.75" customHeight="1">
      <c r="A918" s="1600"/>
      <c r="B918" s="1619" t="s">
        <v>2750</v>
      </c>
      <c r="C918" s="1584"/>
      <c r="D918" s="1911" t="s">
        <v>2540</v>
      </c>
      <c r="E918" s="1911"/>
      <c r="F918" s="1911"/>
      <c r="G918" s="1583"/>
    </row>
    <row r="919" spans="1:9" ht="12.75" customHeight="1">
      <c r="A919" s="482"/>
      <c r="B919" s="482"/>
      <c r="C919" s="481"/>
      <c r="D919" s="183"/>
      <c r="E919" s="670"/>
      <c r="F919" s="1583"/>
      <c r="G919" s="1583"/>
    </row>
    <row r="920" spans="1:9" ht="12.75" customHeight="1">
      <c r="A920" s="1596"/>
      <c r="B920" s="1619" t="s">
        <v>2750</v>
      </c>
      <c r="C920" s="1597"/>
      <c r="D920" s="1991" t="s">
        <v>2093</v>
      </c>
      <c r="E920" s="1991"/>
      <c r="F920" s="1991"/>
      <c r="G920" s="1598"/>
      <c r="I920" s="1618" t="s">
        <v>2290</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790" t="s">
        <v>2749</v>
      </c>
      <c r="C930" s="481"/>
      <c r="D930" s="2002" t="s">
        <v>2293</v>
      </c>
      <c r="E930" s="2002"/>
      <c r="F930" s="2002"/>
      <c r="G930" s="1583"/>
      <c r="I930" s="1618" t="s">
        <v>2290</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2750</v>
      </c>
      <c r="C938" s="481"/>
      <c r="D938" s="1910" t="s">
        <v>2291</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1619" t="s">
        <v>2750</v>
      </c>
      <c r="C945" s="1584"/>
      <c r="D945" s="1992" t="s">
        <v>2098</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1619" t="s">
        <v>2750</v>
      </c>
      <c r="C950" s="481"/>
      <c r="D950" s="1991" t="s">
        <v>2292</v>
      </c>
      <c r="E950" s="1991"/>
      <c r="F950" s="1991"/>
      <c r="G950" s="1583"/>
      <c r="I950" s="1618" t="s">
        <v>2290</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2099</v>
      </c>
      <c r="E955" s="1921"/>
      <c r="F955" s="1921"/>
      <c r="G955" s="670"/>
    </row>
    <row r="956" spans="1:9" ht="12.75" customHeight="1">
      <c r="A956" s="706"/>
      <c r="B956" s="1619" t="s">
        <v>2750</v>
      </c>
      <c r="C956" s="549"/>
      <c r="D956" s="1911" t="s">
        <v>2123</v>
      </c>
      <c r="E956" s="1911"/>
      <c r="F956" s="1911"/>
      <c r="G956" s="670"/>
      <c r="I956" s="1618" t="s">
        <v>2290</v>
      </c>
    </row>
    <row r="957" spans="1:9" ht="12.75" customHeight="1">
      <c r="A957" s="1586"/>
      <c r="B957" s="1586"/>
      <c r="C957" s="549"/>
      <c r="D957" s="6"/>
      <c r="E957" s="6"/>
      <c r="F957" s="6"/>
      <c r="G957" s="670"/>
    </row>
    <row r="958" spans="1:9" ht="12.75" customHeight="1">
      <c r="A958" s="1586"/>
      <c r="B958" s="1586"/>
      <c r="C958" s="549"/>
      <c r="D958" s="1921" t="s">
        <v>2100</v>
      </c>
      <c r="E958" s="1921"/>
      <c r="F958" s="1921"/>
      <c r="G958" s="669"/>
    </row>
    <row r="959" spans="1:9" ht="12.75" customHeight="1">
      <c r="A959" s="706"/>
      <c r="B959" s="790" t="s">
        <v>2749</v>
      </c>
      <c r="C959" s="549"/>
      <c r="D959" s="1898" t="s">
        <v>2541</v>
      </c>
      <c r="E959" s="1898"/>
      <c r="F959" s="1898"/>
      <c r="G959" s="669"/>
      <c r="I959" s="1618" t="s">
        <v>2290</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2101</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2124</v>
      </c>
      <c r="E977" s="1921"/>
      <c r="F977" s="1921"/>
      <c r="G977" s="670"/>
    </row>
    <row r="978" spans="1:9" ht="12.75" customHeight="1">
      <c r="A978" s="1560"/>
      <c r="B978" s="1560"/>
      <c r="C978" s="1590"/>
      <c r="D978" s="1911" t="s">
        <v>2102</v>
      </c>
      <c r="E978" s="1911"/>
      <c r="F978" s="1911"/>
      <c r="G978" s="670"/>
    </row>
    <row r="979" spans="1:9" ht="12.75" customHeight="1">
      <c r="A979" s="1560"/>
      <c r="B979" s="1560"/>
      <c r="C979" s="1590"/>
      <c r="D979" s="6"/>
      <c r="E979" s="6"/>
      <c r="F979" s="1582"/>
      <c r="G979" s="669"/>
    </row>
    <row r="980" spans="1:9" ht="12.75" customHeight="1">
      <c r="A980" s="1586"/>
      <c r="B980" s="790" t="s">
        <v>2749</v>
      </c>
      <c r="C980" s="549"/>
      <c r="D980" s="2000" t="s">
        <v>2362</v>
      </c>
      <c r="E980" s="2000"/>
      <c r="F980" s="2000"/>
      <c r="G980" s="669"/>
      <c r="I980" s="1618" t="s">
        <v>2270</v>
      </c>
    </row>
    <row r="981" spans="1:9" ht="12.75" customHeight="1">
      <c r="A981" s="1586"/>
      <c r="B981" s="1586"/>
      <c r="C981" s="549"/>
      <c r="D981" s="2000"/>
      <c r="E981" s="2000"/>
      <c r="F981" s="2000"/>
      <c r="G981" s="669"/>
    </row>
    <row r="982" spans="1:9" ht="12.75" customHeight="1">
      <c r="A982" s="1586"/>
      <c r="B982" s="1586"/>
      <c r="C982" s="549"/>
      <c r="D982" s="1753"/>
      <c r="E982" s="1748" t="s">
        <v>2363</v>
      </c>
      <c r="F982" s="1753"/>
      <c r="G982" s="669"/>
    </row>
    <row r="983" spans="1:9" ht="12.75" customHeight="1">
      <c r="A983" s="1571"/>
      <c r="B983" s="1571"/>
      <c r="C983" s="550"/>
      <c r="D983" s="1909" t="s">
        <v>2361</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2750</v>
      </c>
      <c r="C988" s="313"/>
      <c r="D988" s="1899" t="s">
        <v>2103</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1619" t="s">
        <v>2750</v>
      </c>
      <c r="C993" s="313"/>
      <c r="D993" s="1899" t="s">
        <v>2104</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1619" t="s">
        <v>2750</v>
      </c>
      <c r="C996" s="549"/>
      <c r="D996" s="1911" t="s">
        <v>2105</v>
      </c>
      <c r="E996" s="1911"/>
      <c r="F996" s="1911"/>
      <c r="G996" s="669"/>
    </row>
    <row r="997" spans="1:7" ht="12.75" customHeight="1">
      <c r="A997" s="1586"/>
      <c r="B997" s="1586"/>
      <c r="C997" s="549"/>
      <c r="D997" s="6"/>
      <c r="E997" s="6"/>
      <c r="F997" s="6"/>
      <c r="G997" s="669"/>
    </row>
    <row r="998" spans="1:7" ht="12.75" customHeight="1">
      <c r="A998" s="706"/>
      <c r="B998" s="1619" t="s">
        <v>2750</v>
      </c>
      <c r="C998" s="549"/>
      <c r="D998" s="1911" t="s">
        <v>2106</v>
      </c>
      <c r="E998" s="1911"/>
      <c r="F998" s="1911"/>
      <c r="G998" s="669"/>
    </row>
    <row r="999" spans="1:7" ht="12.75" customHeight="1">
      <c r="A999" s="1586"/>
      <c r="B999" s="1586"/>
      <c r="C999" s="549"/>
      <c r="D999" s="1554"/>
      <c r="E999" s="6"/>
      <c r="F999" s="6"/>
      <c r="G999" s="669"/>
    </row>
    <row r="1000" spans="1:7" ht="12.75" customHeight="1">
      <c r="A1000" s="706"/>
      <c r="B1000" s="790" t="s">
        <v>2749</v>
      </c>
      <c r="C1000" s="549"/>
      <c r="D1000" s="1911" t="s">
        <v>2107</v>
      </c>
      <c r="E1000" s="1911"/>
      <c r="F1000" s="1911"/>
      <c r="G1000" s="669"/>
    </row>
    <row r="1001" spans="1:7" ht="12.75" customHeight="1">
      <c r="A1001" s="1586"/>
      <c r="B1001" s="1586"/>
      <c r="C1001" s="549"/>
      <c r="D1001" s="1554"/>
      <c r="E1001" s="6"/>
      <c r="F1001" s="6"/>
      <c r="G1001" s="669"/>
    </row>
    <row r="1002" spans="1:7" ht="12.75" customHeight="1">
      <c r="A1002" s="706"/>
      <c r="B1002" s="790" t="s">
        <v>2749</v>
      </c>
      <c r="C1002" s="549"/>
      <c r="D1002" s="1898" t="s">
        <v>2108</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1619" t="s">
        <v>2750</v>
      </c>
      <c r="C1005" s="1603"/>
      <c r="D1005" s="1965" t="s">
        <v>2109</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790" t="s">
        <v>2749</v>
      </c>
      <c r="C1008" s="1603"/>
      <c r="D1008" s="1999" t="s">
        <v>2110</v>
      </c>
      <c r="E1008" s="1999"/>
      <c r="F1008" s="1999"/>
      <c r="G1008" s="1604"/>
    </row>
    <row r="1009" spans="1:9" ht="12.75" customHeight="1">
      <c r="A1009" s="1603"/>
      <c r="B1009" s="1603"/>
      <c r="C1009" s="1603"/>
      <c r="D1009" s="1605"/>
      <c r="E1009" s="1606"/>
      <c r="F1009" s="1606"/>
      <c r="G1009" s="1604"/>
    </row>
    <row r="1010" spans="1:9" ht="12.75" customHeight="1">
      <c r="A1010" s="706"/>
      <c r="B1010" s="1619" t="s">
        <v>2750</v>
      </c>
      <c r="C1010" s="549"/>
      <c r="D1010" s="1911" t="s">
        <v>2111</v>
      </c>
      <c r="E1010" s="1911"/>
      <c r="F1010" s="1911"/>
      <c r="G1010" s="670"/>
    </row>
    <row r="1011" spans="1:9" ht="12.75" customHeight="1">
      <c r="A1011" s="706"/>
      <c r="B1011" s="706"/>
      <c r="C1011" s="549"/>
      <c r="D1011" s="1554"/>
      <c r="E1011" s="6"/>
      <c r="F1011" s="6"/>
      <c r="G1011" s="670"/>
    </row>
    <row r="1012" spans="1:9" ht="12.75" customHeight="1">
      <c r="A1012" s="706"/>
      <c r="B1012" s="1619" t="s">
        <v>2750</v>
      </c>
      <c r="C1012" s="549"/>
      <c r="D1012" s="1898" t="s">
        <v>2112</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2113</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2114</v>
      </c>
      <c r="E1017" s="1957"/>
      <c r="F1017" s="1957"/>
      <c r="G1017" s="670"/>
    </row>
    <row r="1018" spans="1:9" ht="12.75" customHeight="1">
      <c r="A1018" s="1571"/>
      <c r="B1018" s="1571"/>
      <c r="C1018" s="550"/>
      <c r="D1018" s="1990" t="s">
        <v>2115</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2129</v>
      </c>
      <c r="E1020" s="1957"/>
      <c r="F1020" s="1957"/>
      <c r="G1020" s="670"/>
      <c r="I1020" s="1618" t="s">
        <v>2242</v>
      </c>
    </row>
    <row r="1021" spans="1:9" ht="12.75" customHeight="1">
      <c r="A1021" s="1586"/>
      <c r="B1021" s="790" t="s">
        <v>2749</v>
      </c>
      <c r="C1021" s="549"/>
      <c r="D1021" s="1990" t="s">
        <v>1452</v>
      </c>
      <c r="E1021" s="1990"/>
      <c r="F1021" s="1990"/>
      <c r="G1021" s="670"/>
    </row>
    <row r="1022" spans="1:9" s="1616" customFormat="1" ht="12.75" customHeight="1">
      <c r="A1022" s="1586"/>
      <c r="B1022" s="706"/>
      <c r="C1022" s="549"/>
      <c r="D1022" s="1986" t="s">
        <v>2116</v>
      </c>
      <c r="E1022" s="1986"/>
      <c r="F1022" s="1986"/>
      <c r="G1022" s="670"/>
      <c r="I1022" s="1618"/>
    </row>
    <row r="1023" spans="1:9" ht="12.75" customHeight="1">
      <c r="A1023" s="1586"/>
      <c r="B1023" s="1586"/>
      <c r="C1023" s="549"/>
      <c r="D1023" s="1990"/>
      <c r="E1023" s="1990"/>
      <c r="F1023" s="1990"/>
      <c r="G1023" s="670"/>
    </row>
    <row r="1024" spans="1:9" ht="12.75" customHeight="1">
      <c r="A1024" s="1987" t="s">
        <v>2125</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1453</v>
      </c>
      <c r="E1026" s="1971"/>
      <c r="F1026" s="1971"/>
      <c r="G1026" s="678"/>
    </row>
    <row r="1027" spans="1:9" ht="12.75" customHeight="1">
      <c r="A1027" s="254"/>
      <c r="B1027" s="1619" t="s">
        <v>2750</v>
      </c>
      <c r="C1027" s="1620"/>
      <c r="D1027" s="1974" t="s">
        <v>1452</v>
      </c>
      <c r="E1027" s="1974"/>
      <c r="F1027" s="1974"/>
      <c r="G1027" s="678"/>
    </row>
    <row r="1028" spans="1:9" ht="12.75" customHeight="1">
      <c r="A1028" s="254"/>
      <c r="B1028" s="1616"/>
      <c r="C1028" s="1620"/>
      <c r="D1028" s="1974" t="s">
        <v>2126</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1153</v>
      </c>
      <c r="E1030" s="1988"/>
      <c r="F1030" s="1988"/>
      <c r="G1030" s="678"/>
      <c r="I1030" s="1618" t="s">
        <v>2271</v>
      </c>
    </row>
    <row r="1031" spans="1:9" ht="12.75" customHeight="1">
      <c r="A1031" s="496"/>
      <c r="B1031" s="496"/>
      <c r="C1031" s="495"/>
      <c r="D1031" s="1989" t="s">
        <v>1170</v>
      </c>
      <c r="E1031" s="1989"/>
      <c r="F1031" s="1989"/>
      <c r="G1031" s="1607"/>
    </row>
    <row r="1032" spans="1:9" ht="12.75" customHeight="1">
      <c r="A1032" s="706"/>
      <c r="B1032" s="1619" t="s">
        <v>2750</v>
      </c>
      <c r="C1032" s="550"/>
      <c r="D1032" s="1964" t="s">
        <v>1045</v>
      </c>
      <c r="E1032" s="1964"/>
      <c r="F1032" s="1964"/>
      <c r="G1032" s="670"/>
    </row>
    <row r="1033" spans="1:9" ht="12.75" customHeight="1">
      <c r="A1033" s="1571"/>
      <c r="B1033" s="1571"/>
      <c r="C1033" s="550"/>
      <c r="D1033" s="1748" t="s">
        <v>2364</v>
      </c>
      <c r="E1033" s="1575"/>
      <c r="F1033" s="1575"/>
      <c r="G1033" s="670"/>
    </row>
    <row r="1034" spans="1:9">
      <c r="A1034" s="782"/>
      <c r="B1034" s="782"/>
      <c r="C1034" s="782"/>
      <c r="D1034" s="782"/>
      <c r="E1034" s="782"/>
      <c r="F1034" s="782"/>
      <c r="G1034" s="782"/>
    </row>
    <row r="1035" spans="1:9">
      <c r="A1035" s="1987" t="s">
        <v>2146</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2750</v>
      </c>
      <c r="C1040" s="782"/>
      <c r="D1040" s="1995" t="s">
        <v>2130</v>
      </c>
      <c r="E1040" s="1995"/>
      <c r="F1040" s="1995"/>
      <c r="G1040" s="782"/>
      <c r="I1040" s="1618" t="s">
        <v>2243</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2749</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2750</v>
      </c>
      <c r="C1050" s="782"/>
      <c r="D1050" s="1995" t="s">
        <v>2134</v>
      </c>
      <c r="E1050" s="1995"/>
      <c r="F1050" s="1995"/>
      <c r="G1050" s="782"/>
      <c r="I1050" s="1618" t="s">
        <v>2245</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2135</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2749</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2750</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2750</v>
      </c>
      <c r="C1065" s="782"/>
      <c r="D1065" s="1610" t="s">
        <v>2144</v>
      </c>
      <c r="E1065" s="1615"/>
      <c r="F1065" s="782"/>
      <c r="G1065" s="782"/>
      <c r="I1065" s="1618" t="s">
        <v>2248</v>
      </c>
    </row>
    <row r="1066" spans="1:9" s="1616" customFormat="1">
      <c r="D1066" s="1996" t="s">
        <v>2145</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2750</v>
      </c>
      <c r="C1073" s="782"/>
      <c r="D1073" s="1993" t="s">
        <v>2137</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1987" t="s">
        <v>2147</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2750</v>
      </c>
      <c r="C1083" s="782"/>
      <c r="D1083" s="1997" t="s">
        <v>2376</v>
      </c>
      <c r="E1083" s="1997"/>
      <c r="F1083" s="1997"/>
      <c r="G1083" s="782"/>
      <c r="I1083" s="1618" t="s">
        <v>2250</v>
      </c>
    </row>
    <row r="1084" spans="1:9" s="1616" customFormat="1">
      <c r="D1084" s="1997"/>
      <c r="E1084" s="1997"/>
      <c r="F1084" s="1997"/>
      <c r="I1084" s="1618"/>
    </row>
    <row r="1085" spans="1:9" s="1616" customFormat="1">
      <c r="D1085" s="1998" t="s">
        <v>2548</v>
      </c>
      <c r="E1085" s="1996"/>
      <c r="F1085" s="1996"/>
      <c r="I1085" s="1618"/>
    </row>
    <row r="1086" spans="1:9" s="1616" customFormat="1">
      <c r="D1086" s="1611"/>
      <c r="I1086" s="1618"/>
    </row>
    <row r="1087" spans="1:9">
      <c r="A1087" s="782"/>
      <c r="B1087" s="1619" t="s">
        <v>2750</v>
      </c>
      <c r="C1087" s="782"/>
      <c r="D1087" s="1993" t="s">
        <v>2148</v>
      </c>
      <c r="E1087" s="1993"/>
      <c r="F1087" s="1993"/>
      <c r="G1087" s="782"/>
      <c r="I1087" s="1618" t="s">
        <v>2251</v>
      </c>
    </row>
    <row r="1088" spans="1:9" s="1616" customFormat="1">
      <c r="D1088" s="1993"/>
      <c r="E1088" s="1993"/>
      <c r="F1088" s="1993"/>
      <c r="I1088" s="1618"/>
    </row>
    <row r="1089" spans="1:9" s="1616" customFormat="1">
      <c r="D1089" s="1611"/>
      <c r="I1089" s="1618"/>
    </row>
    <row r="1090" spans="1:9">
      <c r="A1090" s="782"/>
      <c r="B1090" s="1619" t="s">
        <v>2750</v>
      </c>
      <c r="C1090" s="782"/>
      <c r="D1090" s="1993" t="s">
        <v>2296</v>
      </c>
      <c r="E1090" s="1993"/>
      <c r="F1090" s="1993"/>
      <c r="G1090" s="782"/>
      <c r="I1090" s="1618" t="s">
        <v>2294</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2295</v>
      </c>
    </row>
    <row r="1097" spans="1:9">
      <c r="A1097" s="782"/>
      <c r="B1097" s="1619" t="s">
        <v>2750</v>
      </c>
      <c r="C1097" s="782"/>
      <c r="D1097" s="1993" t="s">
        <v>2149</v>
      </c>
      <c r="E1097" s="1993"/>
      <c r="F1097" s="1993"/>
      <c r="G1097" s="782"/>
      <c r="I1097" s="1676" t="s">
        <v>2252</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2749</v>
      </c>
      <c r="C1101" s="782"/>
      <c r="D1101" s="1994" t="s">
        <v>2297</v>
      </c>
      <c r="E1101" s="1994"/>
      <c r="F1101" s="1994"/>
      <c r="G1101" s="782"/>
      <c r="I1101" s="1618" t="s">
        <v>2253</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2750</v>
      </c>
      <c r="D1105" s="1899" t="s">
        <v>2299</v>
      </c>
      <c r="E1105" s="1899"/>
      <c r="F1105" s="1899"/>
      <c r="I1105" s="1618" t="s">
        <v>2298</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2542</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00" zoomScaleNormal="100" zoomScaleSheetLayoutView="80" workbookViewId="0">
      <selection activeCell="AG858" sqref="AG85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46" t="s">
        <v>105</v>
      </c>
      <c r="B8" s="2346"/>
      <c r="C8" s="2346"/>
      <c r="D8" s="2346"/>
      <c r="E8" s="2346"/>
      <c r="F8" s="2346"/>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6"/>
      <c r="AL8" s="2346"/>
      <c r="AM8" s="1424"/>
      <c r="AN8" s="1424"/>
      <c r="AO8" s="1424"/>
      <c r="AP8" s="1424"/>
      <c r="AQ8" s="1424"/>
      <c r="AR8" s="1424"/>
      <c r="AS8" s="1424"/>
      <c r="AT8" s="1424"/>
      <c r="AU8" s="1424"/>
      <c r="AV8" s="1424"/>
      <c r="AW8" s="1424"/>
      <c r="AX8" s="1424"/>
      <c r="AY8" s="1424"/>
    </row>
    <row r="9" spans="1:96" s="711" customFormat="1" ht="12.75">
      <c r="A9" s="2505" t="s">
        <v>2550</v>
      </c>
      <c r="B9" s="2505"/>
      <c r="C9" s="2505"/>
      <c r="D9" s="2505"/>
      <c r="E9" s="2505"/>
      <c r="F9" s="2505"/>
      <c r="G9" s="2505"/>
      <c r="H9" s="2505"/>
      <c r="I9" s="2505"/>
      <c r="J9" s="2505"/>
      <c r="K9" s="2505"/>
      <c r="L9" s="2505"/>
      <c r="M9" s="2505"/>
      <c r="N9" s="2505"/>
      <c r="O9" s="2505"/>
      <c r="P9" s="2505"/>
      <c r="Q9" s="2505"/>
      <c r="R9" s="2505"/>
      <c r="S9" s="2505"/>
      <c r="T9" s="2505"/>
      <c r="U9" s="2505"/>
      <c r="V9" s="2505"/>
      <c r="W9" s="2505"/>
      <c r="X9" s="2505"/>
      <c r="Y9" s="2505"/>
      <c r="Z9" s="2505"/>
      <c r="AA9" s="2505"/>
      <c r="AB9" s="2505"/>
      <c r="AC9" s="2505"/>
      <c r="AD9" s="2505"/>
      <c r="AE9" s="2505"/>
      <c r="AF9" s="2505"/>
      <c r="AG9" s="2505"/>
      <c r="AH9" s="2505"/>
      <c r="AI9" s="2505"/>
      <c r="AJ9" s="2505"/>
      <c r="AK9" s="2505"/>
      <c r="AL9" s="2505"/>
      <c r="AM9" s="1408"/>
      <c r="AN9" s="1408"/>
      <c r="AO9" s="1408"/>
      <c r="AP9" s="1408"/>
      <c r="AQ9" s="1408"/>
      <c r="AR9" s="1408"/>
      <c r="AS9" s="1408"/>
      <c r="AT9" s="1408"/>
      <c r="AU9" s="1408"/>
      <c r="AV9" s="1408"/>
      <c r="AW9" s="1408"/>
      <c r="AX9" s="1408"/>
      <c r="AY9" s="1408"/>
      <c r="CR9" s="25"/>
    </row>
    <row r="10" spans="1:96" ht="15" customHeight="1">
      <c r="A10" s="2406" t="s">
        <v>2313</v>
      </c>
      <c r="B10" s="2406"/>
      <c r="C10" s="2406"/>
      <c r="D10" s="2406"/>
      <c r="E10" s="2406"/>
      <c r="F10" s="2406"/>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0"/>
      <c r="AN10" s="20"/>
      <c r="AO10" s="20"/>
      <c r="AP10" s="20"/>
      <c r="AQ10" s="20"/>
      <c r="AR10" s="20"/>
      <c r="AS10" s="20"/>
      <c r="AT10" s="20"/>
      <c r="AU10" s="20"/>
      <c r="AV10" s="20"/>
      <c r="AW10" s="20"/>
      <c r="AX10" s="20"/>
      <c r="AY10" s="20"/>
    </row>
    <row r="11" spans="1:96" ht="15" customHeight="1">
      <c r="A11" s="2505" t="s">
        <v>1866</v>
      </c>
      <c r="B11" s="2505"/>
      <c r="C11" s="2505"/>
      <c r="D11" s="2505"/>
      <c r="E11" s="2505"/>
      <c r="F11" s="2505"/>
      <c r="G11" s="2505"/>
      <c r="H11" s="2505"/>
      <c r="I11" s="2505"/>
      <c r="J11" s="2505"/>
      <c r="K11" s="2505"/>
      <c r="L11" s="2505"/>
      <c r="M11" s="2505"/>
      <c r="N11" s="2505"/>
      <c r="O11" s="2505"/>
      <c r="P11" s="2505"/>
      <c r="Q11" s="2505"/>
      <c r="R11" s="2505"/>
      <c r="S11" s="2505"/>
      <c r="T11" s="2505"/>
      <c r="U11" s="2505"/>
      <c r="V11" s="2505"/>
      <c r="W11" s="2505"/>
      <c r="X11" s="2505"/>
      <c r="Y11" s="2505"/>
      <c r="Z11" s="2505"/>
      <c r="AA11" s="2505"/>
      <c r="AB11" s="2505"/>
      <c r="AC11" s="2505"/>
      <c r="AD11" s="2505"/>
      <c r="AE11" s="2505"/>
      <c r="AF11" s="2505"/>
      <c r="AG11" s="2505"/>
      <c r="AH11" s="2505"/>
      <c r="AI11" s="2505"/>
      <c r="AJ11" s="2505"/>
      <c r="AK11" s="2505"/>
      <c r="AL11" s="2505"/>
      <c r="AM11" s="1408"/>
      <c r="AN11" s="1408"/>
      <c r="AO11" s="1408"/>
      <c r="AP11" s="1408"/>
      <c r="AQ11" s="1408"/>
      <c r="AR11" s="1408"/>
      <c r="AS11" s="1408"/>
      <c r="AT11" s="1408"/>
      <c r="AU11" s="1408"/>
      <c r="AV11" s="1408"/>
      <c r="AW11" s="1408"/>
      <c r="AX11" s="1408"/>
      <c r="AY11" s="1408"/>
    </row>
    <row r="12" spans="1:96" ht="12.75">
      <c r="A12" s="2520" t="s">
        <v>2549</v>
      </c>
      <c r="B12" s="2521"/>
      <c r="C12" s="2521"/>
      <c r="D12" s="2521"/>
      <c r="E12" s="2521"/>
      <c r="F12" s="2521"/>
      <c r="G12" s="2521"/>
      <c r="H12" s="2521"/>
      <c r="I12" s="2521"/>
      <c r="J12" s="2521"/>
      <c r="K12" s="2521"/>
      <c r="L12" s="2521"/>
      <c r="M12" s="2521"/>
      <c r="N12" s="2521"/>
      <c r="O12" s="2521"/>
      <c r="P12" s="2521"/>
      <c r="Q12" s="2521"/>
      <c r="R12" s="2521"/>
      <c r="S12" s="2521"/>
      <c r="T12" s="2521"/>
      <c r="U12" s="2521"/>
      <c r="V12" s="2521"/>
      <c r="W12" s="2521"/>
      <c r="X12" s="2521"/>
      <c r="Y12" s="2521"/>
      <c r="Z12" s="2521"/>
      <c r="AA12" s="2521"/>
      <c r="AB12" s="2521"/>
      <c r="AC12" s="2521"/>
      <c r="AD12" s="2521"/>
      <c r="AE12" s="2521"/>
      <c r="AF12" s="2521"/>
      <c r="AG12" s="2521"/>
      <c r="AH12" s="2521"/>
      <c r="AI12" s="2521"/>
      <c r="AJ12" s="2521"/>
      <c r="AK12" s="2521"/>
      <c r="AL12" s="2521"/>
      <c r="AM12" s="1414"/>
      <c r="AN12" s="1414"/>
      <c r="AO12" s="1414"/>
      <c r="AP12" s="1414"/>
      <c r="AQ12" s="1414"/>
      <c r="AR12" s="1414"/>
      <c r="AS12" s="1414"/>
      <c r="AT12" s="1414"/>
      <c r="AU12" s="1414"/>
      <c r="AV12" s="1414"/>
      <c r="AW12" s="1414"/>
      <c r="AX12" s="1414"/>
      <c r="AY12" s="1414"/>
    </row>
    <row r="13" spans="1:96" ht="12.75">
      <c r="A13" s="1894" t="s">
        <v>2551</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2552</v>
      </c>
      <c r="C16" s="7"/>
      <c r="D16" s="7"/>
      <c r="E16" s="7"/>
      <c r="F16" s="7"/>
      <c r="G16" s="7"/>
      <c r="H16" s="2491" t="s">
        <v>2596</v>
      </c>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row>
    <row r="17" spans="1:96" ht="12.75" customHeight="1"/>
    <row r="18" spans="1:96" ht="12.75" customHeight="1">
      <c r="A18" s="134" t="s">
        <v>106</v>
      </c>
      <c r="C18" s="7"/>
      <c r="D18" s="7"/>
      <c r="E18" s="7"/>
      <c r="F18" s="7"/>
      <c r="G18" s="7"/>
      <c r="H18" s="2353" t="s">
        <v>2597</v>
      </c>
      <c r="I18" s="2391"/>
      <c r="J18" s="2391"/>
      <c r="K18" s="2391"/>
      <c r="L18" s="2391"/>
      <c r="M18" s="2391"/>
      <c r="N18" s="2391"/>
      <c r="O18" s="2391"/>
      <c r="P18" s="2391"/>
      <c r="Q18" s="2391"/>
      <c r="R18" s="2391"/>
      <c r="S18" s="2391"/>
      <c r="T18" s="2391"/>
      <c r="U18" s="2391"/>
      <c r="V18" s="2391"/>
      <c r="W18" s="2391"/>
      <c r="X18" s="2391"/>
      <c r="Y18" s="2391"/>
      <c r="Z18" s="2391"/>
      <c r="AA18" s="2391"/>
      <c r="AB18" s="2391"/>
      <c r="AC18" s="2391"/>
      <c r="AD18" s="2391"/>
      <c r="AE18" s="2391"/>
      <c r="AF18" s="2391"/>
      <c r="AG18" s="2391"/>
      <c r="AH18" s="2391"/>
      <c r="AI18" s="2391"/>
      <c r="AJ18" s="2391"/>
    </row>
    <row r="19" spans="1:96" ht="12.75" customHeight="1"/>
    <row r="20" spans="1:96" ht="14.25" customHeight="1">
      <c r="A20" s="2513" t="s">
        <v>920</v>
      </c>
      <c r="B20" s="2513"/>
      <c r="C20" s="2513"/>
      <c r="D20" s="2513"/>
      <c r="E20" s="2513"/>
      <c r="F20" s="2513"/>
      <c r="G20" s="2513"/>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13"/>
      <c r="AJ20" s="2513"/>
      <c r="AK20" s="2513"/>
      <c r="AL20" s="2513"/>
      <c r="AM20" s="1427"/>
      <c r="AN20" s="1427"/>
      <c r="AO20" s="1427"/>
      <c r="AP20" s="1427"/>
      <c r="AQ20" s="1427"/>
      <c r="AR20" s="1427"/>
      <c r="AS20" s="1427"/>
      <c r="AT20" s="1427"/>
      <c r="AU20" s="1427"/>
      <c r="AV20" s="1427"/>
      <c r="AW20" s="1427"/>
      <c r="AX20" s="1427"/>
      <c r="AY20" s="1427"/>
    </row>
    <row r="21" spans="1:96" ht="12.75" customHeight="1">
      <c r="A21" s="2502" t="s">
        <v>1086</v>
      </c>
      <c r="B21" s="2502"/>
      <c r="C21" s="2502"/>
      <c r="D21" s="2502"/>
      <c r="E21" s="2502"/>
      <c r="F21" s="2502"/>
      <c r="G21" s="2502"/>
      <c r="H21" s="2502"/>
      <c r="I21" s="2502"/>
      <c r="J21" s="2502"/>
      <c r="K21" s="2502"/>
      <c r="L21" s="2502"/>
      <c r="M21" s="2502"/>
      <c r="N21" s="2502"/>
      <c r="O21" s="2502"/>
      <c r="P21" s="2502"/>
      <c r="Q21" s="2502"/>
      <c r="R21" s="2502"/>
      <c r="S21" s="2502"/>
      <c r="T21" s="2502"/>
      <c r="U21" s="2502"/>
      <c r="V21" s="2502"/>
      <c r="W21" s="2502"/>
      <c r="X21" s="2502"/>
      <c r="Y21" s="2502"/>
      <c r="Z21" s="2502"/>
      <c r="AA21" s="2502"/>
      <c r="AB21" s="2502"/>
      <c r="AC21" s="2502"/>
      <c r="AD21" s="2502"/>
      <c r="AE21" s="2502"/>
      <c r="AF21" s="2502"/>
      <c r="AG21" s="2502"/>
      <c r="AH21" s="2502"/>
      <c r="AI21" s="2502"/>
      <c r="AJ21" s="2502"/>
      <c r="AK21" s="2502"/>
      <c r="AL21" s="250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1">
        <f>'Basis &amp; Credits'!AB56</f>
        <v>3456474</v>
      </c>
      <c r="N26" s="2501"/>
      <c r="O26" s="2501"/>
      <c r="P26" s="2501"/>
      <c r="Q26" s="2501"/>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0">
        <f>'Basis &amp; Credits'!AB77</f>
        <v>0</v>
      </c>
      <c r="N27" s="2050"/>
      <c r="O27" s="2050"/>
      <c r="P27" s="2050"/>
      <c r="Q27" s="2050"/>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89" t="s">
        <v>695</v>
      </c>
      <c r="P33" s="2089"/>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2569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1"/>
      <c r="H122" s="2511"/>
      <c r="I122" s="239" t="s">
        <v>187</v>
      </c>
      <c r="L122" s="2511"/>
      <c r="M122" s="2511"/>
      <c r="N122" s="2511"/>
      <c r="O122" s="2510" t="s">
        <v>1448</v>
      </c>
      <c r="P122" s="2510"/>
      <c r="Q122" s="2510"/>
      <c r="R122" s="251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4"/>
      <c r="D124" s="2524"/>
      <c r="E124" s="2524"/>
      <c r="F124" s="2524"/>
      <c r="G124" s="2524"/>
      <c r="H124" s="2524"/>
      <c r="I124" s="2524"/>
      <c r="J124" s="2524"/>
      <c r="K124" s="2524"/>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11"/>
      <c r="Z126" s="2511"/>
      <c r="AA126" s="2511"/>
      <c r="AB126" s="2511"/>
      <c r="AC126" s="2511"/>
      <c r="AD126" s="2511"/>
      <c r="AE126" s="2511"/>
      <c r="AF126" s="2511"/>
      <c r="AG126" s="2511"/>
      <c r="AH126" s="2511"/>
      <c r="AI126" s="2511"/>
      <c r="AJ126" s="2511"/>
      <c r="AK126" s="2511"/>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1"/>
      <c r="Z129" s="2511"/>
      <c r="AA129" s="2511"/>
      <c r="AB129" s="2511"/>
      <c r="AC129" s="2511"/>
      <c r="AD129" s="2511"/>
      <c r="AE129" s="2511"/>
      <c r="AF129" s="2511"/>
      <c r="AG129" s="2511"/>
      <c r="AH129" s="2511"/>
      <c r="AI129" s="2511"/>
      <c r="AJ129" s="2511"/>
      <c r="AK129" s="2511"/>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1"/>
      <c r="Z132" s="2511"/>
      <c r="AA132" s="2511"/>
      <c r="AB132" s="2511"/>
      <c r="AC132" s="2511"/>
      <c r="AD132" s="2511"/>
      <c r="AE132" s="2511"/>
      <c r="AF132" s="2511"/>
      <c r="AG132" s="2511"/>
      <c r="AH132" s="2511"/>
      <c r="AI132" s="2511"/>
      <c r="AJ132" s="2511"/>
      <c r="AK132" s="25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3"/>
      <c r="G150" s="2503"/>
      <c r="H150" s="2503"/>
      <c r="I150" s="2503"/>
      <c r="J150" s="2503"/>
      <c r="K150" s="2503"/>
      <c r="L150" s="2503"/>
      <c r="M150" s="2503"/>
      <c r="N150" s="2503"/>
      <c r="O150" s="2503"/>
      <c r="P150" s="2503"/>
      <c r="Q150" s="2503"/>
      <c r="R150" s="2503"/>
      <c r="S150" s="2503"/>
      <c r="T150" s="250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353" t="s">
        <v>2598</v>
      </c>
      <c r="P153" s="2353"/>
      <c r="Q153" s="2353"/>
      <c r="R153" s="2353"/>
      <c r="S153" s="2353"/>
      <c r="T153" s="2353"/>
      <c r="U153" s="2353"/>
      <c r="V153" s="2353"/>
      <c r="W153" s="2353"/>
      <c r="X153" s="2353"/>
      <c r="Y153" s="2353"/>
      <c r="Z153" s="2353"/>
      <c r="AA153" s="2353"/>
      <c r="AB153" s="2353"/>
      <c r="AC153" s="2353"/>
      <c r="AD153" s="2353"/>
      <c r="AE153" s="2353"/>
      <c r="AF153" s="2353"/>
      <c r="AG153" s="2353"/>
      <c r="AH153" s="2353"/>
    </row>
    <row r="154" spans="1:96" ht="12.75" customHeight="1">
      <c r="D154" s="463" t="s">
        <v>458</v>
      </c>
      <c r="F154" s="32"/>
      <c r="G154" s="32"/>
      <c r="H154" s="32"/>
      <c r="I154" s="32"/>
      <c r="J154" s="32"/>
      <c r="K154" s="32"/>
      <c r="L154" s="32"/>
      <c r="M154" s="32"/>
      <c r="N154" s="32"/>
      <c r="O154" s="2142" t="s">
        <v>2599</v>
      </c>
      <c r="P154" s="2142"/>
      <c r="Q154" s="2142"/>
      <c r="R154" s="2142"/>
      <c r="S154" s="2142"/>
      <c r="T154" s="2142"/>
      <c r="U154" s="2142"/>
      <c r="V154" s="2142"/>
      <c r="W154" s="2142"/>
      <c r="X154" s="2142"/>
      <c r="Y154" s="2142"/>
      <c r="Z154" s="2142"/>
      <c r="AA154" s="2142"/>
      <c r="AB154" s="2142"/>
      <c r="AC154" s="2142"/>
      <c r="AD154" s="2142"/>
      <c r="AE154" s="2142"/>
      <c r="AF154" s="2142"/>
      <c r="AG154" s="2142"/>
      <c r="AH154" s="2142"/>
      <c r="AZ154" s="25"/>
    </row>
    <row r="155" spans="1:96" ht="12.75">
      <c r="D155" s="13" t="s">
        <v>459</v>
      </c>
      <c r="F155" s="13"/>
      <c r="G155" s="13"/>
      <c r="H155" s="13"/>
      <c r="I155" s="13"/>
      <c r="J155" s="13"/>
      <c r="K155" s="13"/>
      <c r="L155" s="13"/>
      <c r="M155" s="13"/>
      <c r="N155" s="13"/>
      <c r="O155" s="3463" t="s">
        <v>2755</v>
      </c>
      <c r="P155" s="3463"/>
      <c r="Q155" s="3463"/>
      <c r="R155" s="3463"/>
      <c r="S155" s="3463"/>
      <c r="T155" s="3463"/>
      <c r="U155" s="3463"/>
      <c r="V155" s="3463"/>
      <c r="W155" s="3463"/>
      <c r="X155" s="3463"/>
      <c r="Y155" s="3463"/>
      <c r="Z155" s="3463"/>
      <c r="AA155" s="3463"/>
      <c r="AB155" s="3463"/>
      <c r="AC155" s="3463"/>
      <c r="AD155" s="3463"/>
      <c r="AE155" s="3463"/>
      <c r="AF155" s="3463"/>
      <c r="AG155" s="3463"/>
      <c r="AH155" s="3463"/>
      <c r="AZ155" s="25"/>
    </row>
    <row r="156" spans="1:96" ht="12.75">
      <c r="D156" s="32" t="s">
        <v>319</v>
      </c>
      <c r="F156" s="32"/>
      <c r="G156" s="32"/>
      <c r="H156" s="32"/>
      <c r="I156" s="32"/>
      <c r="J156" s="32"/>
      <c r="K156" s="32"/>
      <c r="L156" s="32"/>
      <c r="M156" s="32"/>
      <c r="N156" s="32"/>
      <c r="O156" s="2091" t="s">
        <v>2600</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313</v>
      </c>
    </row>
    <row r="157" spans="1:96" ht="12.75">
      <c r="D157" s="32" t="s">
        <v>320</v>
      </c>
      <c r="F157" s="32"/>
      <c r="G157" s="32"/>
      <c r="H157" s="32"/>
      <c r="I157" s="32"/>
      <c r="J157" s="32"/>
      <c r="K157" s="32"/>
      <c r="L157" s="32"/>
      <c r="M157" s="32"/>
      <c r="N157" s="32"/>
      <c r="O157" s="2353" t="s">
        <v>759</v>
      </c>
      <c r="P157" s="2353"/>
      <c r="Q157" s="2353"/>
      <c r="R157" s="2353"/>
      <c r="S157" s="2353"/>
      <c r="T157" s="2353"/>
      <c r="U157" s="2353"/>
      <c r="V157" s="2353"/>
      <c r="W157" s="2353"/>
      <c r="X157" s="2353"/>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506">
        <v>92101</v>
      </c>
      <c r="P158" s="2506"/>
      <c r="Q158" s="2506"/>
      <c r="R158" s="2506"/>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508" t="s">
        <v>2601</v>
      </c>
      <c r="P159" s="2508"/>
      <c r="Q159" s="2508"/>
      <c r="R159" s="2508"/>
      <c r="S159" s="2508"/>
      <c r="T159" s="2508"/>
      <c r="V159" s="146" t="s">
        <v>277</v>
      </c>
      <c r="W159" s="2507"/>
      <c r="X159" s="2507"/>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508" t="s">
        <v>2602</v>
      </c>
      <c r="P160" s="2508"/>
      <c r="Q160" s="2508"/>
      <c r="R160" s="2508"/>
      <c r="S160" s="2508"/>
      <c r="T160" s="2508"/>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403" t="s">
        <v>2603</v>
      </c>
      <c r="P161" s="2403"/>
      <c r="Q161" s="2403"/>
      <c r="R161" s="2403"/>
      <c r="S161" s="2403"/>
      <c r="T161" s="2403"/>
      <c r="U161" s="2403"/>
      <c r="V161" s="2403"/>
      <c r="W161" s="2403"/>
      <c r="X161" s="2403"/>
      <c r="Y161" s="2403"/>
      <c r="Z161" s="2403"/>
      <c r="AA161" s="2403"/>
      <c r="AB161" s="2403"/>
      <c r="AC161" s="2403"/>
      <c r="AD161" s="2403"/>
      <c r="AE161" s="2403"/>
      <c r="AF161" s="2403"/>
      <c r="AG161" s="2403"/>
      <c r="AH161" s="2403"/>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25" t="s">
        <v>1409</v>
      </c>
      <c r="E164" s="2525"/>
      <c r="F164" s="2525"/>
      <c r="G164" s="2525"/>
      <c r="H164" s="2525"/>
      <c r="I164" s="2525"/>
      <c r="J164" s="2525"/>
      <c r="K164" s="2525"/>
      <c r="L164" s="2525"/>
      <c r="M164" s="2525"/>
      <c r="N164" s="2525"/>
      <c r="O164" s="2525"/>
      <c r="P164" s="2525"/>
      <c r="Q164" s="2525"/>
      <c r="R164" s="2525"/>
      <c r="S164" s="2525"/>
      <c r="T164" s="2525"/>
      <c r="U164" s="2525"/>
      <c r="V164" s="2525"/>
      <c r="W164" s="2525"/>
      <c r="X164" s="2525"/>
      <c r="Y164" s="2525"/>
      <c r="Z164" s="2525"/>
      <c r="AA164" s="2525"/>
      <c r="AB164" s="2525"/>
      <c r="AC164" s="2525"/>
      <c r="AD164" s="2525"/>
      <c r="AE164" s="2525"/>
      <c r="AF164" s="2525"/>
      <c r="AG164" s="2525"/>
      <c r="AH164" s="2525"/>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37" t="s">
        <v>564</v>
      </c>
      <c r="B169" s="2337"/>
      <c r="C169" s="2337"/>
      <c r="D169" s="2337"/>
      <c r="E169" s="2337"/>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D169" s="2337"/>
      <c r="AE169" s="2337"/>
      <c r="AF169" s="2337"/>
      <c r="AG169" s="2337"/>
      <c r="AH169" s="2337"/>
      <c r="AI169" s="2337"/>
      <c r="AJ169" s="2337"/>
      <c r="AK169" s="2337"/>
      <c r="AL169" s="2337"/>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38"/>
      <c r="B170" s="2338"/>
      <c r="C170" s="2338"/>
      <c r="D170" s="233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D170" s="2338"/>
      <c r="AE170" s="2338"/>
      <c r="AF170" s="2338"/>
      <c r="AG170" s="2338"/>
      <c r="AH170" s="2338"/>
      <c r="AI170" s="2338"/>
      <c r="AJ170" s="2338"/>
      <c r="AK170" s="2338"/>
      <c r="AL170" s="2338"/>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504" t="s">
        <v>386</v>
      </c>
      <c r="K173" s="2504"/>
      <c r="L173" s="2504"/>
      <c r="M173" s="2504"/>
      <c r="N173" s="2504"/>
      <c r="O173" s="2504"/>
      <c r="P173" s="2504"/>
      <c r="Q173" s="2504"/>
      <c r="R173" s="2504"/>
      <c r="S173" s="250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1366</v>
      </c>
      <c r="E174" s="25"/>
      <c r="F174" s="25"/>
      <c r="G174" s="25"/>
      <c r="H174" s="25"/>
      <c r="I174" s="25"/>
      <c r="J174" s="2091" t="s">
        <v>2572</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2089" t="s">
        <v>695</v>
      </c>
      <c r="V175" s="2089"/>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2573</v>
      </c>
      <c r="Q176" s="25"/>
      <c r="R176" s="25"/>
      <c r="S176" s="25" t="s">
        <v>311</v>
      </c>
      <c r="T176" s="711"/>
      <c r="U176" s="2063"/>
      <c r="V176" s="2063"/>
      <c r="W176" s="4" t="s">
        <v>312</v>
      </c>
      <c r="X176" s="2493"/>
      <c r="Y176" s="2493"/>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2089" t="s">
        <v>695</v>
      </c>
      <c r="S177" s="2089"/>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2573</v>
      </c>
      <c r="AC178" s="25"/>
      <c r="AD178" s="25" t="s">
        <v>311</v>
      </c>
      <c r="AF178" s="2354"/>
      <c r="AG178" s="2354"/>
      <c r="AH178" s="4" t="s">
        <v>312</v>
      </c>
      <c r="AI178" s="2396"/>
      <c r="AJ178" s="2396"/>
      <c r="AK178" s="239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2574</v>
      </c>
      <c r="E180" s="25"/>
      <c r="X180" s="2089" t="s">
        <v>695</v>
      </c>
      <c r="Y180" s="2089"/>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2072" t="str">
        <f>H18</f>
        <v>Taormina</v>
      </c>
      <c r="J184" s="2072"/>
      <c r="K184" s="2072"/>
      <c r="L184" s="2072"/>
      <c r="M184" s="2072"/>
      <c r="N184" s="2072"/>
      <c r="O184" s="2072"/>
      <c r="P184" s="2072"/>
      <c r="Q184" s="2072"/>
      <c r="R184" s="2072"/>
      <c r="S184" s="2072"/>
      <c r="T184" s="2072"/>
      <c r="U184" s="2072"/>
      <c r="V184" s="2072"/>
      <c r="W184" s="2072"/>
      <c r="X184" s="2072"/>
      <c r="Y184" s="2072"/>
      <c r="Z184" s="2072"/>
      <c r="AA184" s="2072"/>
      <c r="AB184" s="2072"/>
      <c r="AC184" s="2072"/>
      <c r="AD184" s="2072"/>
      <c r="AE184" s="2072"/>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2071" t="s">
        <v>2604</v>
      </c>
      <c r="J185" s="2071"/>
      <c r="K185" s="2071"/>
      <c r="L185" s="2071"/>
      <c r="M185" s="2071"/>
      <c r="N185" s="2071"/>
      <c r="O185" s="2071"/>
      <c r="P185" s="2071"/>
      <c r="Q185" s="2071"/>
      <c r="R185" s="2071"/>
      <c r="S185" s="2071"/>
      <c r="T185" s="2071"/>
      <c r="U185" s="2071"/>
      <c r="V185" s="2071"/>
      <c r="W185" s="2071"/>
      <c r="X185" s="2071"/>
      <c r="Y185" s="2071"/>
      <c r="Z185" s="2071"/>
      <c r="AA185" s="2071"/>
      <c r="AB185" s="2071"/>
      <c r="AC185" s="2071"/>
      <c r="AD185" s="2071"/>
      <c r="AE185" s="2071"/>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9" t="s">
        <v>617</v>
      </c>
      <c r="F187" s="2519"/>
      <c r="G187" s="2519"/>
      <c r="H187" s="2519"/>
      <c r="I187" s="2519"/>
      <c r="J187" s="2519"/>
      <c r="K187" s="2519"/>
      <c r="L187" s="2519"/>
      <c r="M187" s="2519"/>
      <c r="N187" s="2519"/>
      <c r="O187" s="2519"/>
      <c r="P187" s="2519"/>
      <c r="Q187" s="2519"/>
      <c r="R187" s="2519"/>
      <c r="S187" s="2519"/>
      <c r="T187" s="2519"/>
      <c r="U187" s="2519"/>
      <c r="V187" s="2519"/>
      <c r="W187" s="2519"/>
      <c r="X187" s="2519"/>
      <c r="Y187" s="2519"/>
      <c r="Z187" s="2519"/>
      <c r="AA187" s="2519"/>
      <c r="AB187" s="2519"/>
      <c r="AC187" s="2519"/>
      <c r="AD187" s="2519"/>
      <c r="AE187" s="251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18"/>
      <c r="F188" s="2518"/>
      <c r="G188" s="2518"/>
      <c r="H188" s="2518"/>
      <c r="I188" s="2518"/>
      <c r="J188" s="2518"/>
      <c r="K188" s="2518"/>
      <c r="L188" s="2518"/>
      <c r="M188" s="2518"/>
      <c r="N188" s="2518"/>
      <c r="O188" s="2518"/>
      <c r="P188" s="2518"/>
      <c r="Q188" s="2518"/>
      <c r="R188" s="2518"/>
      <c r="S188" s="2518"/>
      <c r="T188" s="2518"/>
      <c r="U188" s="2518"/>
      <c r="V188" s="2518"/>
      <c r="W188" s="2518"/>
      <c r="X188" s="2518"/>
      <c r="Y188" s="2518"/>
      <c r="Z188" s="2518"/>
      <c r="AA188" s="2518"/>
      <c r="AB188" s="2518"/>
      <c r="AC188" s="2518"/>
      <c r="AD188" s="2518"/>
      <c r="AE188" s="2518"/>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091" t="s">
        <v>759</v>
      </c>
      <c r="J189" s="2091"/>
      <c r="K189" s="2091"/>
      <c r="L189" s="2091"/>
      <c r="M189" s="2091"/>
      <c r="N189" s="2091"/>
      <c r="O189" s="2091"/>
      <c r="P189" s="2091"/>
      <c r="Q189" s="25" t="s">
        <v>608</v>
      </c>
      <c r="T189" s="2091" t="s">
        <v>759</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2071">
        <v>92117</v>
      </c>
      <c r="J190" s="2071"/>
      <c r="K190" s="2071"/>
      <c r="L190" s="2071"/>
      <c r="M190" s="2071"/>
      <c r="N190" s="2071"/>
      <c r="O190" s="25" t="s">
        <v>611</v>
      </c>
      <c r="P190" s="25"/>
      <c r="Q190" s="25"/>
      <c r="R190" s="25"/>
      <c r="S190" s="25"/>
      <c r="T190" s="2514">
        <v>85.04</v>
      </c>
      <c r="U190" s="2514"/>
      <c r="V190" s="2514"/>
      <c r="W190" s="2514"/>
      <c r="X190" s="2514"/>
      <c r="Y190" s="2514"/>
      <c r="Z190" s="2514"/>
      <c r="AA190" s="2514"/>
      <c r="AB190" s="2514"/>
      <c r="AC190" s="2514"/>
      <c r="AD190" s="2514"/>
      <c r="AE190" s="2514"/>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516" t="s">
        <v>2605</v>
      </c>
      <c r="O191" s="2517"/>
      <c r="P191" s="2517"/>
      <c r="Q191" s="2517"/>
      <c r="R191" s="2517"/>
      <c r="S191" s="2517"/>
      <c r="T191" s="2517"/>
      <c r="U191" s="2517"/>
      <c r="V191" s="2517"/>
      <c r="W191" s="2517"/>
      <c r="X191" s="2517"/>
      <c r="Y191" s="2517"/>
      <c r="Z191" s="2517"/>
      <c r="AA191" s="2517"/>
      <c r="AB191" s="2517"/>
      <c r="AC191" s="2517"/>
      <c r="AD191" s="2517"/>
      <c r="AE191" s="2517"/>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518"/>
      <c r="O192" s="2518"/>
      <c r="P192" s="2518"/>
      <c r="Q192" s="2518"/>
      <c r="R192" s="2518"/>
      <c r="S192" s="2518"/>
      <c r="T192" s="2518"/>
      <c r="U192" s="2518"/>
      <c r="V192" s="2518"/>
      <c r="W192" s="2518"/>
      <c r="X192" s="2518"/>
      <c r="Y192" s="2518"/>
      <c r="Z192" s="2518"/>
      <c r="AA192" s="2518"/>
      <c r="AB192" s="2518"/>
      <c r="AC192" s="2518"/>
      <c r="AD192" s="2518"/>
      <c r="AE192" s="2518"/>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75">
      <c r="A193" s="25"/>
      <c r="B193" s="711"/>
      <c r="C193" s="46"/>
      <c r="D193" s="679" t="s">
        <v>2575</v>
      </c>
      <c r="E193" s="25"/>
      <c r="F193" s="25"/>
      <c r="G193" s="25"/>
      <c r="H193" s="25"/>
      <c r="I193" s="25"/>
      <c r="J193" s="25"/>
      <c r="K193" s="25"/>
      <c r="L193" s="25"/>
      <c r="M193" s="170"/>
      <c r="N193" s="1416"/>
      <c r="O193" s="1416"/>
      <c r="P193" s="1416"/>
      <c r="Q193" s="1416"/>
      <c r="R193" s="1416"/>
      <c r="S193" s="1416"/>
      <c r="T193" s="2496" t="s">
        <v>2386</v>
      </c>
      <c r="U193" s="2496"/>
      <c r="V193" s="2496"/>
      <c r="W193" s="2496"/>
      <c r="X193" s="2496"/>
      <c r="Y193" s="2496"/>
      <c r="Z193" s="2496"/>
      <c r="AA193" s="2496"/>
      <c r="AB193" s="2496"/>
      <c r="AC193" s="2496"/>
      <c r="AD193" s="2496"/>
      <c r="AE193" s="2496"/>
      <c r="AF193" s="2496"/>
      <c r="AG193" s="2496"/>
      <c r="AH193" s="2496"/>
      <c r="AI193" s="2496"/>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89" t="s">
        <v>570</v>
      </c>
      <c r="U194" s="2089"/>
      <c r="W194" s="25" t="s">
        <v>711</v>
      </c>
      <c r="X194" s="25"/>
      <c r="Y194" s="25"/>
      <c r="Z194" s="25"/>
      <c r="AA194" s="25"/>
      <c r="AB194" s="25"/>
      <c r="AC194" s="25"/>
      <c r="AD194" s="25"/>
      <c r="AE194" s="25"/>
      <c r="AF194" s="25"/>
      <c r="AG194" s="25"/>
      <c r="AH194" s="2089">
        <v>52</v>
      </c>
      <c r="AI194" s="2089"/>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41" t="s">
        <v>695</v>
      </c>
      <c r="U195" s="2241"/>
      <c r="V195" s="12"/>
      <c r="W195" s="25" t="s">
        <v>712</v>
      </c>
      <c r="X195" s="25"/>
      <c r="Y195" s="25"/>
      <c r="Z195" s="25"/>
      <c r="AA195" s="25"/>
      <c r="AB195" s="25"/>
      <c r="AC195" s="25"/>
      <c r="AD195" s="25"/>
      <c r="AE195" s="25"/>
      <c r="AF195" s="25"/>
      <c r="AG195" s="25"/>
      <c r="AH195" s="2089">
        <v>77</v>
      </c>
      <c r="AI195" s="2089"/>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241" t="s">
        <v>695</v>
      </c>
      <c r="U196" s="2241"/>
      <c r="W196" s="25" t="s">
        <v>713</v>
      </c>
      <c r="X196" s="25"/>
      <c r="Y196" s="25"/>
      <c r="Z196" s="25"/>
      <c r="AA196" s="25"/>
      <c r="AB196" s="25"/>
      <c r="AC196" s="25"/>
      <c r="AD196" s="25"/>
      <c r="AE196" s="25"/>
      <c r="AF196" s="25"/>
      <c r="AG196" s="25"/>
      <c r="AH196" s="2089">
        <v>39</v>
      </c>
      <c r="AI196" s="2089"/>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41"/>
      <c r="U197" s="2241"/>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2576</v>
      </c>
      <c r="Y198" s="2089" t="s">
        <v>695</v>
      </c>
      <c r="Z198" s="2089"/>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72" t="s">
        <v>400</v>
      </c>
      <c r="E203" s="2072"/>
      <c r="F203" s="2072"/>
      <c r="G203" s="2072"/>
      <c r="H203" s="2072"/>
      <c r="I203" s="2072"/>
      <c r="J203" s="2072"/>
      <c r="K203" s="2072"/>
      <c r="L203" s="2072"/>
      <c r="M203" s="2072"/>
      <c r="P203" s="2512">
        <f>M26</f>
        <v>3456474</v>
      </c>
      <c r="Q203" s="2500"/>
      <c r="R203" s="2500"/>
      <c r="S203" s="2500"/>
      <c r="T203" s="2500"/>
      <c r="U203" s="2500"/>
      <c r="V203" s="25"/>
      <c r="W203" s="25"/>
      <c r="X203" s="25"/>
      <c r="Y203" s="25"/>
      <c r="Z203" s="2498" t="s">
        <v>2606</v>
      </c>
      <c r="AA203" s="2498"/>
      <c r="AB203" s="2498"/>
      <c r="AC203" s="2498"/>
      <c r="AD203" s="2498"/>
      <c r="AE203" s="2498"/>
      <c r="AF203" s="2498"/>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497" t="s">
        <v>1425</v>
      </c>
      <c r="E204" s="2072"/>
      <c r="F204" s="2072"/>
      <c r="G204" s="2072"/>
      <c r="H204" s="2072"/>
      <c r="I204" s="2072"/>
      <c r="J204" s="2072"/>
      <c r="K204" s="2072"/>
      <c r="L204" s="2072"/>
      <c r="M204" s="2072"/>
      <c r="P204" s="2500">
        <f>M27</f>
        <v>0</v>
      </c>
      <c r="Q204" s="2500"/>
      <c r="R204" s="2500"/>
      <c r="S204" s="2500"/>
      <c r="T204" s="2500"/>
      <c r="U204" s="2500"/>
      <c r="V204" s="47"/>
      <c r="W204" s="58" t="s">
        <v>2034</v>
      </c>
      <c r="Z204" s="2498"/>
      <c r="AA204" s="2498"/>
      <c r="AB204" s="2498"/>
      <c r="AC204" s="2498"/>
      <c r="AD204" s="2498"/>
      <c r="AE204" s="2498"/>
      <c r="AF204" s="2498"/>
      <c r="AG204" s="25" t="s">
        <v>1426</v>
      </c>
      <c r="AH204" s="25"/>
      <c r="AI204" s="25"/>
      <c r="AJ204" s="25"/>
      <c r="AK204" s="25"/>
      <c r="AL204" s="25"/>
      <c r="AM204" s="25"/>
      <c r="AN204" s="25"/>
      <c r="AO204" s="25"/>
      <c r="AP204" s="2089" t="s">
        <v>695</v>
      </c>
      <c r="AQ204" s="2089"/>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9"/>
      <c r="AA205" s="2499"/>
      <c r="AB205" s="2499"/>
      <c r="AC205" s="2499"/>
      <c r="AD205" s="2499"/>
      <c r="AE205" s="2499"/>
      <c r="AF205" s="2499"/>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391" t="s">
        <v>2697</v>
      </c>
      <c r="E207" s="2391"/>
      <c r="F207" s="2391"/>
      <c r="G207" s="2391"/>
      <c r="H207" s="2391"/>
      <c r="I207" s="2391"/>
      <c r="J207" s="2391"/>
      <c r="K207" s="2391"/>
      <c r="L207" s="2391"/>
      <c r="M207" s="239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391" t="s">
        <v>1123</v>
      </c>
      <c r="E210" s="2391"/>
      <c r="F210" s="2391"/>
      <c r="G210" s="2391"/>
      <c r="H210" s="2391"/>
      <c r="I210" s="2391"/>
      <c r="J210" s="2391"/>
      <c r="K210" s="2391"/>
      <c r="L210" s="2391"/>
      <c r="M210" s="2391"/>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89"/>
      <c r="Z211" s="2089"/>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4" t="s">
        <v>617</v>
      </c>
      <c r="E213" s="2594"/>
      <c r="F213" s="2594"/>
      <c r="G213" s="2594"/>
      <c r="H213" s="2594"/>
      <c r="I213" s="2594"/>
      <c r="J213" s="2594"/>
      <c r="K213" s="2594"/>
      <c r="L213" s="2594"/>
      <c r="M213" s="2594"/>
      <c r="N213" s="2594"/>
      <c r="O213" s="2594"/>
      <c r="P213" s="2594"/>
      <c r="Q213" s="2594"/>
      <c r="R213" s="2594"/>
      <c r="S213" s="2594"/>
      <c r="T213" s="2594"/>
      <c r="U213" s="2594"/>
      <c r="V213" s="2594"/>
      <c r="W213" s="2594"/>
      <c r="X213" s="2594"/>
      <c r="Y213" s="2594"/>
      <c r="Z213" s="2594"/>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483"/>
      <c r="AC214" s="2483"/>
      <c r="AD214" s="2483"/>
      <c r="AE214" s="2483"/>
      <c r="AF214" s="2483"/>
      <c r="AG214" s="2483"/>
      <c r="AH214" s="2483"/>
      <c r="AI214" s="2483"/>
      <c r="AJ214" s="2483"/>
      <c r="AK214" s="2483"/>
      <c r="AL214" s="2483"/>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1859</v>
      </c>
      <c r="Z215" s="69"/>
      <c r="AB215" s="2483"/>
      <c r="AC215" s="2483"/>
      <c r="AD215" s="2483"/>
      <c r="AE215" s="2483"/>
      <c r="AF215" s="2483"/>
      <c r="AG215" s="2483"/>
      <c r="AH215" s="2483"/>
      <c r="AI215" s="2483"/>
      <c r="AJ215" s="2483"/>
      <c r="AK215" s="2483"/>
      <c r="AL215" s="2483"/>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391" t="s">
        <v>637</v>
      </c>
      <c r="E219" s="2391"/>
      <c r="F219" s="2391"/>
      <c r="G219" s="2391"/>
      <c r="H219" s="2391"/>
      <c r="I219" s="2391"/>
      <c r="J219" s="2391"/>
      <c r="K219" s="2391"/>
      <c r="L219" s="2391"/>
      <c r="M219" s="2391"/>
      <c r="N219" s="2391"/>
      <c r="O219" s="2391"/>
      <c r="P219" s="2391"/>
      <c r="Q219" s="2391"/>
      <c r="R219" s="2391"/>
      <c r="S219" s="2391"/>
      <c r="T219" s="2391"/>
      <c r="U219" s="2391"/>
      <c r="V219" s="2391"/>
      <c r="W219" s="2391"/>
      <c r="X219" s="2391"/>
      <c r="Y219" s="2391"/>
      <c r="Z219" s="2391"/>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37" t="s">
        <v>565</v>
      </c>
      <c r="B221" s="2337"/>
      <c r="C221" s="2337"/>
      <c r="D221" s="2337"/>
      <c r="E221" s="2337"/>
      <c r="F221" s="2337"/>
      <c r="G221" s="2337"/>
      <c r="H221" s="2337"/>
      <c r="I221" s="2337"/>
      <c r="J221" s="2337"/>
      <c r="K221" s="2337"/>
      <c r="L221" s="2337"/>
      <c r="M221" s="2337"/>
      <c r="N221" s="2337"/>
      <c r="O221" s="2337"/>
      <c r="P221" s="2337"/>
      <c r="Q221" s="2337"/>
      <c r="R221" s="2337"/>
      <c r="S221" s="2337"/>
      <c r="T221" s="2337"/>
      <c r="U221" s="2337"/>
      <c r="V221" s="2337"/>
      <c r="W221" s="2337"/>
      <c r="X221" s="2337"/>
      <c r="Y221" s="2337"/>
      <c r="Z221" s="2337"/>
      <c r="AA221" s="2337"/>
      <c r="AB221" s="2337"/>
      <c r="AC221" s="2337"/>
      <c r="AD221" s="2337"/>
      <c r="AE221" s="2337"/>
      <c r="AF221" s="2337"/>
      <c r="AG221" s="2337"/>
      <c r="AH221" s="2337"/>
      <c r="AI221" s="2337"/>
      <c r="AJ221" s="2337"/>
      <c r="AK221" s="2337"/>
      <c r="AL221" s="2337"/>
      <c r="AM221" s="144"/>
      <c r="AN221" s="144"/>
      <c r="AO221" s="144"/>
      <c r="AP221" s="144"/>
      <c r="AQ221" s="144"/>
      <c r="AR221" s="144"/>
      <c r="AS221" s="144"/>
      <c r="AT221" s="144"/>
      <c r="AU221" s="144"/>
      <c r="AV221" s="144"/>
      <c r="AW221" s="144"/>
      <c r="AX221" s="144"/>
      <c r="AY221" s="144"/>
      <c r="BA221" s="58"/>
    </row>
    <row r="222" spans="1:96" ht="13.5" thickBot="1">
      <c r="A222" s="2338"/>
      <c r="B222" s="2338"/>
      <c r="C222" s="2338"/>
      <c r="D222" s="2338"/>
      <c r="E222" s="2338"/>
      <c r="F222" s="2338"/>
      <c r="G222" s="2338"/>
      <c r="H222" s="2338"/>
      <c r="I222" s="2338"/>
      <c r="J222" s="2338"/>
      <c r="K222" s="2338"/>
      <c r="L222" s="2338"/>
      <c r="M222" s="2338"/>
      <c r="N222" s="2338"/>
      <c r="O222" s="2338"/>
      <c r="P222" s="2338"/>
      <c r="Q222" s="2338"/>
      <c r="R222" s="2338"/>
      <c r="S222" s="2338"/>
      <c r="T222" s="2338"/>
      <c r="U222" s="2338"/>
      <c r="V222" s="2338"/>
      <c r="W222" s="2338"/>
      <c r="X222" s="2338"/>
      <c r="Y222" s="2338"/>
      <c r="Z222" s="2338"/>
      <c r="AA222" s="2338"/>
      <c r="AB222" s="2338"/>
      <c r="AC222" s="2338"/>
      <c r="AD222" s="2338"/>
      <c r="AE222" s="2338"/>
      <c r="AF222" s="2338"/>
      <c r="AG222" s="2338"/>
      <c r="AH222" s="2338"/>
      <c r="AI222" s="2338"/>
      <c r="AJ222" s="2338"/>
      <c r="AK222" s="2338"/>
      <c r="AL222" s="233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9" t="s">
        <v>570</v>
      </c>
      <c r="AJ225" s="2089"/>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9" t="s">
        <v>617</v>
      </c>
      <c r="AJ226" s="2089"/>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9" t="s">
        <v>617</v>
      </c>
      <c r="AJ227" s="2089"/>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9" t="s">
        <v>617</v>
      </c>
      <c r="AJ228" s="2089"/>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75">
      <c r="A230" s="50" t="s">
        <v>602</v>
      </c>
      <c r="B230" s="30"/>
      <c r="C230" s="50" t="s">
        <v>2578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515" t="str">
        <f>H16</f>
        <v>Taormina Family Apartments CIC, LP</v>
      </c>
      <c r="N231" s="2515"/>
      <c r="O231" s="2515"/>
      <c r="P231" s="2515"/>
      <c r="Q231" s="2515"/>
      <c r="R231" s="2515"/>
      <c r="S231" s="2515"/>
      <c r="T231" s="2515"/>
      <c r="U231" s="2515"/>
      <c r="V231" s="2515"/>
      <c r="W231" s="2515"/>
      <c r="X231" s="2515"/>
      <c r="Y231" s="2515"/>
      <c r="Z231" s="2515"/>
      <c r="AA231" s="2515"/>
      <c r="AB231" s="2515"/>
      <c r="AC231" s="2515"/>
      <c r="AD231" s="2515"/>
      <c r="AE231" s="2515"/>
      <c r="AF231" s="2515"/>
      <c r="AG231" s="2515"/>
      <c r="AH231" s="2515"/>
      <c r="AI231" s="2515"/>
      <c r="AJ231" s="2515"/>
      <c r="AK231" s="2515"/>
      <c r="BA231" s="58"/>
      <c r="BB231" s="381"/>
      <c r="BG231" s="384"/>
      <c r="BQ231" s="61"/>
    </row>
    <row r="232" spans="1:69" ht="12.75">
      <c r="D232" s="57" t="s">
        <v>90</v>
      </c>
      <c r="E232" s="57"/>
      <c r="F232" s="57"/>
      <c r="G232" s="57"/>
      <c r="H232" s="57"/>
      <c r="I232" s="57"/>
      <c r="J232" s="57"/>
      <c r="K232" s="7"/>
      <c r="M232" s="2353" t="s">
        <v>2607</v>
      </c>
      <c r="N232" s="2391"/>
      <c r="O232" s="2391"/>
      <c r="P232" s="2391"/>
      <c r="Q232" s="2391"/>
      <c r="R232" s="2391"/>
      <c r="S232" s="2391"/>
      <c r="T232" s="2391"/>
      <c r="U232" s="2391"/>
      <c r="V232" s="2391"/>
      <c r="W232" s="2391"/>
      <c r="X232" s="2391"/>
      <c r="Y232" s="2391"/>
      <c r="Z232" s="2391"/>
      <c r="AA232" s="2391"/>
      <c r="AB232" s="2391"/>
      <c r="AC232" s="2391"/>
      <c r="AD232" s="2391"/>
      <c r="AE232" s="2391"/>
      <c r="AZ232" s="7"/>
      <c r="BA232" s="58"/>
      <c r="BB232" s="334" t="s">
        <v>563</v>
      </c>
      <c r="BG232" s="386">
        <f>IF(AND(AND($M$248="nonprofit",$M$256="nonprofit",$M$264="for profit")),2,0)</f>
        <v>0</v>
      </c>
      <c r="BQ232" s="61"/>
    </row>
    <row r="233" spans="1:69" ht="12.75">
      <c r="D233" s="57" t="s">
        <v>606</v>
      </c>
      <c r="E233" s="57"/>
      <c r="M233" s="2353" t="s">
        <v>2608</v>
      </c>
      <c r="N233" s="2391"/>
      <c r="O233" s="2391"/>
      <c r="P233" s="2391"/>
      <c r="Q233" s="2391"/>
      <c r="R233" s="2391"/>
      <c r="S233" s="2391"/>
      <c r="T233" s="2391"/>
      <c r="V233" s="59" t="s">
        <v>91</v>
      </c>
      <c r="W233" s="2142" t="s">
        <v>2609</v>
      </c>
      <c r="X233" s="2088"/>
      <c r="Y233" s="57" t="s">
        <v>609</v>
      </c>
      <c r="AC233" s="2391">
        <v>92011</v>
      </c>
      <c r="AD233" s="2391"/>
      <c r="AE233" s="2391"/>
      <c r="BB233" s="334" t="s">
        <v>563</v>
      </c>
      <c r="BG233" s="386">
        <f>IF(AND(AND($M$248="nonprofit",$M$256="for profit",$M$264="nonprofit")),2,0)</f>
        <v>0</v>
      </c>
    </row>
    <row r="234" spans="1:69" ht="12.75">
      <c r="D234" s="60" t="s">
        <v>92</v>
      </c>
      <c r="E234" s="7"/>
      <c r="F234" s="7"/>
      <c r="G234" s="7"/>
      <c r="H234" s="7"/>
      <c r="I234" s="7"/>
      <c r="J234" s="7"/>
      <c r="K234" s="29"/>
      <c r="M234" s="2353" t="s">
        <v>2610</v>
      </c>
      <c r="N234" s="2391"/>
      <c r="O234" s="2391"/>
      <c r="P234" s="2391"/>
      <c r="Q234" s="2391"/>
      <c r="R234" s="2391"/>
      <c r="S234" s="2391"/>
      <c r="T234" s="2391"/>
      <c r="U234" s="2391"/>
      <c r="V234" s="2391"/>
      <c r="W234" s="2391"/>
      <c r="X234" s="2391"/>
      <c r="Y234" s="2391"/>
      <c r="Z234" s="2391"/>
      <c r="AA234" s="2391"/>
      <c r="AB234" s="2391"/>
      <c r="AC234" s="2391"/>
      <c r="AD234" s="2391"/>
      <c r="AE234" s="2391"/>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090" t="s">
        <v>2611</v>
      </c>
      <c r="N235" s="2355"/>
      <c r="O235" s="2355"/>
      <c r="P235" s="2355"/>
      <c r="Q235" s="2355"/>
      <c r="R235" s="2355"/>
      <c r="S235" s="7" t="s">
        <v>212</v>
      </c>
      <c r="T235" s="7"/>
      <c r="U235" s="2088"/>
      <c r="V235" s="2088"/>
      <c r="W235" s="2088"/>
      <c r="X235" s="7" t="s">
        <v>94</v>
      </c>
      <c r="Z235" s="2090" t="s">
        <v>2612</v>
      </c>
      <c r="AA235" s="2355"/>
      <c r="AB235" s="2355"/>
      <c r="AC235" s="2355"/>
      <c r="AD235" s="2355"/>
      <c r="AE235" s="2355"/>
      <c r="BB235" s="382"/>
      <c r="BG235" s="383"/>
    </row>
    <row r="236" spans="1:69" ht="12.75">
      <c r="D236" s="60" t="s">
        <v>95</v>
      </c>
      <c r="E236" s="7"/>
      <c r="F236" s="7"/>
      <c r="M236" s="2403" t="s">
        <v>2613</v>
      </c>
      <c r="N236" s="2403"/>
      <c r="O236" s="2403"/>
      <c r="P236" s="2403"/>
      <c r="Q236" s="2403"/>
      <c r="R236" s="2403"/>
      <c r="S236" s="2403"/>
      <c r="T236" s="2403"/>
      <c r="U236" s="2403"/>
      <c r="V236" s="2403"/>
      <c r="W236" s="2403"/>
      <c r="X236" s="2403"/>
      <c r="Y236" s="2403"/>
      <c r="Z236" s="2403"/>
      <c r="AA236" s="2403"/>
      <c r="AB236" s="2403"/>
      <c r="AC236" s="2403"/>
      <c r="AD236" s="2403"/>
      <c r="AE236" s="24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1" t="s">
        <v>553</v>
      </c>
      <c r="N237" s="2071"/>
      <c r="O237" s="2071"/>
      <c r="P237" s="2071"/>
      <c r="Q237" s="2071"/>
      <c r="R237" s="2071"/>
      <c r="S237" s="2071"/>
      <c r="T237" s="2071"/>
      <c r="U237" s="384" t="s">
        <v>958</v>
      </c>
      <c r="V237" s="325"/>
      <c r="W237" s="325"/>
      <c r="X237" s="325"/>
      <c r="Y237" s="325"/>
      <c r="Z237" s="325"/>
      <c r="AA237" s="2494"/>
      <c r="AB237" s="2495"/>
      <c r="AC237" s="2495"/>
      <c r="AD237" s="2495"/>
      <c r="AE237" s="2495"/>
      <c r="AF237" s="2495"/>
      <c r="AG237" s="2495"/>
      <c r="AH237" s="2495"/>
      <c r="AI237" s="2495"/>
      <c r="AJ237" s="2495"/>
      <c r="AK237" s="2495"/>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491" t="s">
        <v>2615</v>
      </c>
      <c r="N242" s="2492"/>
      <c r="O242" s="2492"/>
      <c r="P242" s="2492"/>
      <c r="Q242" s="2492"/>
      <c r="R242" s="2492"/>
      <c r="S242" s="2492"/>
      <c r="T242" s="2492"/>
      <c r="U242" s="2492"/>
      <c r="V242" s="2492"/>
      <c r="W242" s="2492"/>
      <c r="X242" s="2492"/>
      <c r="Y242" s="2492"/>
      <c r="Z242" s="2492"/>
      <c r="AA242" s="2492"/>
      <c r="AB242" s="2492"/>
      <c r="AC242" s="2492"/>
      <c r="AD242" s="2492"/>
      <c r="AE242" s="2492"/>
      <c r="AF242" s="2491" t="s">
        <v>2616</v>
      </c>
      <c r="AG242" s="2492"/>
      <c r="AH242" s="2492"/>
      <c r="AI242" s="2492"/>
      <c r="AJ242" s="2492"/>
      <c r="AK242" s="2492"/>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53" t="s">
        <v>2607</v>
      </c>
      <c r="N243" s="2391"/>
      <c r="O243" s="2391"/>
      <c r="P243" s="2391"/>
      <c r="Q243" s="2391"/>
      <c r="R243" s="2391"/>
      <c r="S243" s="2391"/>
      <c r="T243" s="2391"/>
      <c r="U243" s="2391"/>
      <c r="V243" s="2391"/>
      <c r="W243" s="2391"/>
      <c r="X243" s="2391"/>
      <c r="Y243" s="2391"/>
      <c r="Z243" s="2391"/>
      <c r="AA243" s="2391"/>
      <c r="AB243" s="2391"/>
      <c r="AC243" s="2391"/>
      <c r="AD243" s="2391"/>
      <c r="AE243" s="2391"/>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353" t="s">
        <v>2608</v>
      </c>
      <c r="N244" s="2391"/>
      <c r="O244" s="2391"/>
      <c r="P244" s="2391"/>
      <c r="Q244" s="2391"/>
      <c r="R244" s="2391"/>
      <c r="S244" s="2391"/>
      <c r="T244" s="2391"/>
      <c r="V244" s="59" t="s">
        <v>91</v>
      </c>
      <c r="W244" s="2142" t="s">
        <v>2609</v>
      </c>
      <c r="X244" s="2088"/>
      <c r="Y244" s="57" t="s">
        <v>609</v>
      </c>
      <c r="AC244" s="2391">
        <v>92011</v>
      </c>
      <c r="AD244" s="2391"/>
      <c r="AE244" s="2391"/>
      <c r="AF244" s="58" t="s">
        <v>1344</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353" t="s">
        <v>2610</v>
      </c>
      <c r="N245" s="2391"/>
      <c r="O245" s="2391"/>
      <c r="P245" s="2391"/>
      <c r="Q245" s="2391"/>
      <c r="R245" s="2391"/>
      <c r="S245" s="2391"/>
      <c r="T245" s="2391"/>
      <c r="U245" s="2391"/>
      <c r="V245" s="2391"/>
      <c r="W245" s="2391"/>
      <c r="X245" s="2391"/>
      <c r="Y245" s="2391"/>
      <c r="Z245" s="2391"/>
      <c r="AA245" s="2391"/>
      <c r="AB245" s="2391"/>
      <c r="AC245" s="2391"/>
      <c r="AD245" s="2391"/>
      <c r="AE245" s="2391"/>
      <c r="AH245" s="2509">
        <v>1.0049999999999999</v>
      </c>
      <c r="AI245" s="2509"/>
      <c r="AJ245" s="2509"/>
      <c r="AK245" s="2509"/>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Joint Venture</v>
      </c>
    </row>
    <row r="246" spans="1:72" ht="12.75">
      <c r="A246" s="29"/>
      <c r="B246" s="7"/>
      <c r="C246" s="7"/>
      <c r="D246" s="60" t="s">
        <v>93</v>
      </c>
      <c r="E246" s="7"/>
      <c r="F246" s="7"/>
      <c r="M246" s="2090" t="s">
        <v>2611</v>
      </c>
      <c r="N246" s="2355"/>
      <c r="O246" s="2355"/>
      <c r="P246" s="2355"/>
      <c r="Q246" s="2355"/>
      <c r="R246" s="2355"/>
      <c r="S246" s="7" t="s">
        <v>212</v>
      </c>
      <c r="T246" s="7"/>
      <c r="U246" s="2088"/>
      <c r="V246" s="2088"/>
      <c r="W246" s="2088"/>
      <c r="X246" s="7" t="s">
        <v>94</v>
      </c>
      <c r="Z246" s="2090" t="s">
        <v>2612</v>
      </c>
      <c r="AA246" s="2355"/>
      <c r="AB246" s="2355"/>
      <c r="AC246" s="2355"/>
      <c r="AD246" s="2355"/>
      <c r="AE246" s="2355"/>
      <c r="BB246" s="7" t="s">
        <v>178</v>
      </c>
      <c r="BG246" s="12">
        <v>3</v>
      </c>
      <c r="BH246" s="12" t="s">
        <v>561</v>
      </c>
      <c r="BN246" s="387"/>
      <c r="BO246" s="39"/>
    </row>
    <row r="247" spans="1:72" ht="12.75">
      <c r="A247" s="29"/>
      <c r="B247" s="7"/>
      <c r="C247" s="7"/>
      <c r="D247" s="60" t="s">
        <v>95</v>
      </c>
      <c r="E247" s="7"/>
      <c r="F247" s="7"/>
      <c r="M247" s="2403" t="s">
        <v>2613</v>
      </c>
      <c r="N247" s="2403"/>
      <c r="O247" s="2403"/>
      <c r="P247" s="2403"/>
      <c r="Q247" s="2403"/>
      <c r="R247" s="2403"/>
      <c r="S247" s="2403"/>
      <c r="T247" s="2403"/>
      <c r="U247" s="2403"/>
      <c r="V247" s="2403"/>
      <c r="W247" s="2403"/>
      <c r="X247" s="2403"/>
      <c r="Y247" s="2403"/>
      <c r="Z247" s="2403"/>
      <c r="AA247" s="2403"/>
      <c r="AB247" s="2403"/>
      <c r="AC247" s="2403"/>
      <c r="AD247" s="2403"/>
      <c r="AE247" s="24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1" t="s">
        <v>561</v>
      </c>
      <c r="N248" s="2071"/>
      <c r="O248" s="2071"/>
      <c r="P248" s="2071"/>
      <c r="Q248" s="2071"/>
      <c r="R248" s="2071"/>
      <c r="S248" s="2071"/>
      <c r="T248" s="2071"/>
      <c r="U248" s="384" t="s">
        <v>958</v>
      </c>
      <c r="V248" s="325"/>
      <c r="W248" s="325"/>
      <c r="X248" s="325"/>
      <c r="Y248" s="325"/>
      <c r="Z248" s="325"/>
      <c r="AA248" s="2494" t="s">
        <v>2614</v>
      </c>
      <c r="AB248" s="2495"/>
      <c r="AC248" s="2495"/>
      <c r="AD248" s="2495"/>
      <c r="AE248" s="2495"/>
      <c r="AF248" s="2495"/>
      <c r="AG248" s="2495"/>
      <c r="AH248" s="2495"/>
      <c r="AI248" s="2495"/>
      <c r="AJ248" s="2495"/>
      <c r="AK248" s="249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91" t="s">
        <v>2617</v>
      </c>
      <c r="N250" s="2492"/>
      <c r="O250" s="2492"/>
      <c r="P250" s="2492"/>
      <c r="Q250" s="2492"/>
      <c r="R250" s="2492"/>
      <c r="S250" s="2492"/>
      <c r="T250" s="2492"/>
      <c r="U250" s="2492"/>
      <c r="V250" s="2492"/>
      <c r="W250" s="2492"/>
      <c r="X250" s="2492"/>
      <c r="Y250" s="2492"/>
      <c r="Z250" s="2492"/>
      <c r="AA250" s="2492"/>
      <c r="AB250" s="2492"/>
      <c r="AC250" s="2492"/>
      <c r="AD250" s="2492"/>
      <c r="AE250" s="2492"/>
      <c r="AF250" s="2491" t="s">
        <v>2618</v>
      </c>
      <c r="AG250" s="2492"/>
      <c r="AH250" s="2492"/>
      <c r="AI250" s="2492"/>
      <c r="AJ250" s="2492"/>
      <c r="AK250" s="2492"/>
      <c r="BN250" s="61"/>
    </row>
    <row r="251" spans="1:72" ht="12.75">
      <c r="A251" s="29"/>
      <c r="B251" s="7"/>
      <c r="C251" s="7"/>
      <c r="D251" s="57" t="s">
        <v>90</v>
      </c>
      <c r="E251" s="57"/>
      <c r="F251" s="57"/>
      <c r="G251" s="57"/>
      <c r="H251" s="57"/>
      <c r="I251" s="57"/>
      <c r="J251" s="57"/>
      <c r="K251" s="57"/>
      <c r="L251" s="7"/>
      <c r="M251" s="2353" t="s">
        <v>2619</v>
      </c>
      <c r="N251" s="2353"/>
      <c r="O251" s="2353"/>
      <c r="P251" s="2353"/>
      <c r="Q251" s="2353"/>
      <c r="R251" s="2353"/>
      <c r="S251" s="2353"/>
      <c r="T251" s="2353"/>
      <c r="U251" s="2353"/>
      <c r="V251" s="2353"/>
      <c r="W251" s="2353"/>
      <c r="X251" s="2353"/>
      <c r="Y251" s="2353"/>
      <c r="Z251" s="2353"/>
      <c r="AA251" s="2353"/>
      <c r="AB251" s="2353"/>
      <c r="AC251" s="2353"/>
      <c r="AD251" s="2353"/>
      <c r="AE251" s="2353"/>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353" t="s">
        <v>2620</v>
      </c>
      <c r="N252" s="2391"/>
      <c r="O252" s="2391"/>
      <c r="P252" s="2391"/>
      <c r="Q252" s="2391"/>
      <c r="R252" s="2391"/>
      <c r="S252" s="2391"/>
      <c r="T252" s="2391"/>
      <c r="V252" s="59" t="s">
        <v>91</v>
      </c>
      <c r="W252" s="2142" t="s">
        <v>2609</v>
      </c>
      <c r="X252" s="2088"/>
      <c r="Y252" s="57" t="s">
        <v>609</v>
      </c>
      <c r="AC252" s="2391">
        <v>91914</v>
      </c>
      <c r="AD252" s="2391"/>
      <c r="AE252" s="2391"/>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353" t="s">
        <v>2621</v>
      </c>
      <c r="N253" s="2391"/>
      <c r="O253" s="2391"/>
      <c r="P253" s="2391"/>
      <c r="Q253" s="2391"/>
      <c r="R253" s="2391"/>
      <c r="S253" s="2391"/>
      <c r="T253" s="2391"/>
      <c r="U253" s="2391"/>
      <c r="V253" s="2391"/>
      <c r="W253" s="2391"/>
      <c r="X253" s="2391"/>
      <c r="Y253" s="2391"/>
      <c r="Z253" s="2391"/>
      <c r="AA253" s="2391"/>
      <c r="AB253" s="2391"/>
      <c r="AC253" s="2391"/>
      <c r="AD253" s="2391"/>
      <c r="AE253" s="2391"/>
      <c r="AF253" s="711"/>
      <c r="AG253" s="711"/>
      <c r="AH253" s="2509">
        <v>5.0000000000000001E-3</v>
      </c>
      <c r="AI253" s="2509"/>
      <c r="AJ253" s="2509"/>
      <c r="AK253" s="250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90" t="s">
        <v>2622</v>
      </c>
      <c r="N254" s="2355"/>
      <c r="O254" s="2355"/>
      <c r="P254" s="2355"/>
      <c r="Q254" s="2355"/>
      <c r="R254" s="2355"/>
      <c r="S254" s="7" t="s">
        <v>212</v>
      </c>
      <c r="T254" s="7"/>
      <c r="U254" s="2088"/>
      <c r="V254" s="2088"/>
      <c r="W254" s="2088"/>
      <c r="X254" s="7" t="s">
        <v>94</v>
      </c>
      <c r="Z254" s="2355"/>
      <c r="AA254" s="2355"/>
      <c r="AB254" s="2355"/>
      <c r="AC254" s="2355"/>
      <c r="AD254" s="2355"/>
      <c r="AE254" s="2355"/>
    </row>
    <row r="255" spans="1:72" ht="12.75">
      <c r="A255" s="29"/>
      <c r="B255" s="7"/>
      <c r="C255" s="7"/>
      <c r="D255" s="60" t="s">
        <v>95</v>
      </c>
      <c r="E255" s="7"/>
      <c r="F255" s="7"/>
      <c r="M255" s="2403" t="s">
        <v>2623</v>
      </c>
      <c r="N255" s="2403"/>
      <c r="O255" s="2403"/>
      <c r="P255" s="2403"/>
      <c r="Q255" s="2403"/>
      <c r="R255" s="2403"/>
      <c r="S255" s="2403"/>
      <c r="T255" s="2403"/>
      <c r="U255" s="2403"/>
      <c r="V255" s="2403"/>
      <c r="W255" s="2403"/>
      <c r="X255" s="2403"/>
      <c r="Y255" s="2403"/>
      <c r="Z255" s="2403"/>
      <c r="AA255" s="2403"/>
      <c r="AB255" s="2403"/>
      <c r="AC255" s="2403"/>
      <c r="AD255" s="2403"/>
      <c r="AE255" s="24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1" t="s">
        <v>559</v>
      </c>
      <c r="N256" s="2071"/>
      <c r="O256" s="2071"/>
      <c r="P256" s="2071"/>
      <c r="Q256" s="2071"/>
      <c r="R256" s="2071"/>
      <c r="S256" s="2071"/>
      <c r="T256" s="2071"/>
      <c r="U256" s="384" t="s">
        <v>958</v>
      </c>
      <c r="V256" s="325"/>
      <c r="W256" s="325"/>
      <c r="X256" s="325"/>
      <c r="Y256" s="325"/>
      <c r="Z256" s="325"/>
      <c r="AA256" s="2495"/>
      <c r="AB256" s="2495"/>
      <c r="AC256" s="2495"/>
      <c r="AD256" s="2495"/>
      <c r="AE256" s="2495"/>
      <c r="AF256" s="2495"/>
      <c r="AG256" s="2495"/>
      <c r="AH256" s="2495"/>
      <c r="AI256" s="2495"/>
      <c r="AJ256" s="2495"/>
      <c r="AK256" s="24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91" t="s">
        <v>617</v>
      </c>
      <c r="N258" s="2492"/>
      <c r="O258" s="2492"/>
      <c r="P258" s="2492"/>
      <c r="Q258" s="2492"/>
      <c r="R258" s="2492"/>
      <c r="S258" s="2492"/>
      <c r="T258" s="2492"/>
      <c r="U258" s="2492"/>
      <c r="V258" s="2492"/>
      <c r="W258" s="2492"/>
      <c r="X258" s="2492"/>
      <c r="Y258" s="2492"/>
      <c r="Z258" s="2492"/>
      <c r="AA258" s="2492"/>
      <c r="AB258" s="2492"/>
      <c r="AC258" s="2492"/>
      <c r="AD258" s="2492"/>
      <c r="AE258" s="2492"/>
      <c r="AF258" s="2492" t="s">
        <v>313</v>
      </c>
      <c r="AG258" s="2492"/>
      <c r="AH258" s="2492"/>
      <c r="AI258" s="2492"/>
      <c r="AJ258" s="2492"/>
      <c r="AK258" s="249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1"/>
      <c r="N259" s="2391"/>
      <c r="O259" s="2391"/>
      <c r="P259" s="2391"/>
      <c r="Q259" s="2391"/>
      <c r="R259" s="2391"/>
      <c r="S259" s="2391"/>
      <c r="T259" s="2391"/>
      <c r="U259" s="2391"/>
      <c r="V259" s="2391"/>
      <c r="W259" s="2391"/>
      <c r="X259" s="2391"/>
      <c r="Y259" s="2391"/>
      <c r="Z259" s="2391"/>
      <c r="AA259" s="2391"/>
      <c r="AB259" s="2391"/>
      <c r="AC259" s="2391"/>
      <c r="AD259" s="2391"/>
      <c r="AE259" s="2391"/>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91"/>
      <c r="N260" s="2391"/>
      <c r="O260" s="2391"/>
      <c r="P260" s="2391"/>
      <c r="Q260" s="2391"/>
      <c r="R260" s="2391"/>
      <c r="S260" s="2391"/>
      <c r="T260" s="2391"/>
      <c r="V260" s="59" t="s">
        <v>91</v>
      </c>
      <c r="W260" s="2088"/>
      <c r="X260" s="2088"/>
      <c r="Y260" s="57" t="s">
        <v>609</v>
      </c>
      <c r="AC260" s="2391"/>
      <c r="AD260" s="2391"/>
      <c r="AE260" s="2391"/>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91"/>
      <c r="N261" s="2391"/>
      <c r="O261" s="2391"/>
      <c r="P261" s="2391"/>
      <c r="Q261" s="2391"/>
      <c r="R261" s="2391"/>
      <c r="S261" s="2391"/>
      <c r="T261" s="2391"/>
      <c r="U261" s="2391"/>
      <c r="V261" s="2391"/>
      <c r="W261" s="2391"/>
      <c r="X261" s="2391"/>
      <c r="Y261" s="2391"/>
      <c r="Z261" s="2391"/>
      <c r="AA261" s="2391"/>
      <c r="AB261" s="2391"/>
      <c r="AC261" s="2391"/>
      <c r="AD261" s="2391"/>
      <c r="AE261" s="2391"/>
      <c r="AF261" s="711"/>
      <c r="AG261" s="711"/>
      <c r="AH261" s="2509"/>
      <c r="AI261" s="2509"/>
      <c r="AJ261" s="2509"/>
      <c r="AK261" s="250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55"/>
      <c r="N262" s="2355"/>
      <c r="O262" s="2355"/>
      <c r="P262" s="2355"/>
      <c r="Q262" s="2355"/>
      <c r="R262" s="2355"/>
      <c r="S262" s="7" t="s">
        <v>212</v>
      </c>
      <c r="T262" s="7"/>
      <c r="U262" s="2088"/>
      <c r="V262" s="2088"/>
      <c r="W262" s="2088"/>
      <c r="X262" s="7" t="s">
        <v>94</v>
      </c>
      <c r="Z262" s="2355"/>
      <c r="AA262" s="2355"/>
      <c r="AB262" s="2355"/>
      <c r="AC262" s="2355"/>
      <c r="AD262" s="2355"/>
      <c r="AE262" s="23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3"/>
      <c r="N263" s="2403"/>
      <c r="O263" s="2403"/>
      <c r="P263" s="2403"/>
      <c r="Q263" s="2403"/>
      <c r="R263" s="2403"/>
      <c r="S263" s="2403"/>
      <c r="T263" s="2403"/>
      <c r="U263" s="2403"/>
      <c r="V263" s="2403"/>
      <c r="W263" s="2403"/>
      <c r="X263" s="2403"/>
      <c r="Y263" s="2403"/>
      <c r="Z263" s="2403"/>
      <c r="AA263" s="2523"/>
      <c r="AB263" s="2523"/>
      <c r="AC263" s="2523"/>
      <c r="AD263" s="2523"/>
      <c r="AE263" s="25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1" t="s">
        <v>313</v>
      </c>
      <c r="N264" s="2071"/>
      <c r="O264" s="2071"/>
      <c r="P264" s="2071"/>
      <c r="Q264" s="2071"/>
      <c r="R264" s="2071"/>
      <c r="S264" s="2071"/>
      <c r="T264" s="2071"/>
      <c r="U264" s="384" t="s">
        <v>958</v>
      </c>
      <c r="V264" s="325"/>
      <c r="W264" s="325"/>
      <c r="X264" s="325"/>
      <c r="Y264" s="325"/>
      <c r="Z264" s="325"/>
      <c r="AA264" s="2522"/>
      <c r="AB264" s="2522"/>
      <c r="AC264" s="2522"/>
      <c r="AD264" s="2522"/>
      <c r="AE264" s="2522"/>
      <c r="AF264" s="2522"/>
      <c r="AG264" s="2522"/>
      <c r="AH264" s="2522"/>
      <c r="AI264" s="2522"/>
      <c r="AJ264" s="2522"/>
      <c r="AK264" s="252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531" t="str">
        <f>BO245</f>
        <v>Joint Venture</v>
      </c>
      <c r="U266" s="2531"/>
      <c r="V266" s="2531"/>
      <c r="W266" s="2531"/>
      <c r="X266" s="2531"/>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91" t="s">
        <v>286</v>
      </c>
      <c r="E269" s="2391"/>
      <c r="F269" s="2391"/>
      <c r="G269" s="2391"/>
      <c r="H269" s="2391"/>
      <c r="J269" s="12" t="s">
        <v>285</v>
      </c>
      <c r="X269" s="2376"/>
      <c r="Y269" s="2376"/>
      <c r="Z269" s="2376"/>
      <c r="AA269" s="2376"/>
      <c r="AB269" s="2376"/>
      <c r="AC269" s="237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91" t="s">
        <v>2614</v>
      </c>
      <c r="M273" s="2491"/>
      <c r="N273" s="2491"/>
      <c r="O273" s="2491"/>
      <c r="P273" s="2491"/>
      <c r="Q273" s="2491"/>
      <c r="R273" s="2491"/>
      <c r="S273" s="2491"/>
      <c r="T273" s="2491"/>
      <c r="U273" s="2491"/>
      <c r="V273" s="2491"/>
      <c r="W273" s="2491"/>
      <c r="X273" s="2491"/>
      <c r="Y273" s="2491"/>
      <c r="Z273" s="2491"/>
      <c r="AA273" s="2491"/>
      <c r="AB273" s="2491"/>
      <c r="AC273" s="2491"/>
      <c r="AD273" s="2491"/>
      <c r="AE273" s="2491"/>
      <c r="AF273" s="2491"/>
      <c r="AG273" s="2491"/>
      <c r="AH273" s="2491"/>
      <c r="AI273" s="2491"/>
      <c r="AJ273" s="249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53" t="s">
        <v>2607</v>
      </c>
      <c r="M274" s="2353"/>
      <c r="N274" s="2353"/>
      <c r="O274" s="2353"/>
      <c r="P274" s="2353"/>
      <c r="Q274" s="2353"/>
      <c r="R274" s="2353"/>
      <c r="S274" s="2353"/>
      <c r="T274" s="2353"/>
      <c r="U274" s="2353"/>
      <c r="V274" s="2353"/>
      <c r="W274" s="2353"/>
      <c r="X274" s="2353"/>
      <c r="Y274" s="2353"/>
      <c r="Z274" s="2353"/>
      <c r="AA274" s="2353"/>
      <c r="AB274" s="2353"/>
      <c r="AC274" s="2353"/>
      <c r="AD274" s="2353"/>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353" t="s">
        <v>2608</v>
      </c>
      <c r="M275" s="2391"/>
      <c r="N275" s="2391"/>
      <c r="O275" s="2391"/>
      <c r="P275" s="2391"/>
      <c r="Q275" s="2391"/>
      <c r="R275" s="2391"/>
      <c r="S275" s="2391"/>
      <c r="U275" s="59" t="s">
        <v>91</v>
      </c>
      <c r="V275" s="2142" t="s">
        <v>2609</v>
      </c>
      <c r="W275" s="2088"/>
      <c r="X275" s="57" t="s">
        <v>609</v>
      </c>
      <c r="AB275" s="2391">
        <v>92011</v>
      </c>
      <c r="AC275" s="2391"/>
      <c r="AD275" s="239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53" t="s">
        <v>2610</v>
      </c>
      <c r="M276" s="2391"/>
      <c r="N276" s="2391"/>
      <c r="O276" s="2391"/>
      <c r="P276" s="2391"/>
      <c r="Q276" s="2391"/>
      <c r="R276" s="2391"/>
      <c r="S276" s="2391"/>
      <c r="T276" s="2391"/>
      <c r="U276" s="2391"/>
      <c r="V276" s="2391"/>
      <c r="W276" s="2391"/>
      <c r="X276" s="2391"/>
      <c r="Y276" s="2391"/>
      <c r="Z276" s="2391"/>
      <c r="AA276" s="2391"/>
      <c r="AB276" s="2391"/>
      <c r="AC276" s="2391"/>
      <c r="AD276" s="239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90" t="s">
        <v>2624</v>
      </c>
      <c r="M277" s="2355"/>
      <c r="N277" s="2355"/>
      <c r="O277" s="2355"/>
      <c r="P277" s="2355"/>
      <c r="Q277" s="2355"/>
      <c r="R277" s="7" t="s">
        <v>212</v>
      </c>
      <c r="S277" s="7"/>
      <c r="T277" s="2088"/>
      <c r="U277" s="2088"/>
      <c r="V277" s="2088"/>
      <c r="W277" s="7" t="s">
        <v>94</v>
      </c>
      <c r="Y277" s="2355"/>
      <c r="Z277" s="2355"/>
      <c r="AA277" s="2355"/>
      <c r="AB277" s="2355"/>
      <c r="AC277" s="2355"/>
      <c r="AD277" s="2355"/>
      <c r="BN277" s="61"/>
    </row>
    <row r="278" spans="1:66" ht="12.75">
      <c r="D278" s="60" t="s">
        <v>95</v>
      </c>
      <c r="E278" s="7"/>
      <c r="F278" s="7"/>
      <c r="L278" s="2403" t="s">
        <v>2613</v>
      </c>
      <c r="M278" s="2403"/>
      <c r="N278" s="2403"/>
      <c r="O278" s="2403"/>
      <c r="P278" s="2403"/>
      <c r="Q278" s="2403"/>
      <c r="R278" s="2403"/>
      <c r="S278" s="2403"/>
      <c r="T278" s="2403"/>
      <c r="U278" s="2403"/>
      <c r="V278" s="2403"/>
      <c r="W278" s="2403"/>
      <c r="X278" s="2403"/>
      <c r="Y278" s="2403"/>
      <c r="Z278" s="2403"/>
      <c r="AA278" s="2403"/>
      <c r="AB278" s="2403"/>
      <c r="AC278" s="2403"/>
      <c r="AD278" s="2403"/>
      <c r="AF278" s="7"/>
      <c r="AG278" s="7"/>
      <c r="AH278" s="7"/>
      <c r="AI278" s="7"/>
      <c r="AJ278" s="7"/>
      <c r="BN278" s="61"/>
    </row>
    <row r="279" spans="1:66" ht="12.75">
      <c r="D279" s="58" t="s">
        <v>649</v>
      </c>
      <c r="E279" s="58"/>
      <c r="F279" s="58"/>
      <c r="G279" s="58"/>
      <c r="H279" s="58"/>
      <c r="I279" s="58"/>
      <c r="L279" s="2142" t="s">
        <v>2625</v>
      </c>
      <c r="M279" s="2142"/>
      <c r="N279" s="2142"/>
      <c r="O279" s="2142"/>
      <c r="P279" s="2142"/>
      <c r="Q279" s="2142"/>
      <c r="R279" s="2142"/>
      <c r="S279" s="2142"/>
      <c r="T279" s="2142"/>
      <c r="U279" s="2142"/>
      <c r="V279" s="2142"/>
      <c r="W279" s="2142"/>
      <c r="X279" s="2142"/>
      <c r="Y279" s="2142"/>
      <c r="Z279" s="2142"/>
      <c r="AA279" s="2142"/>
      <c r="AB279" s="2142"/>
      <c r="AC279" s="2142"/>
      <c r="AD279" s="2142"/>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37" t="s">
        <v>566</v>
      </c>
      <c r="B281" s="2337"/>
      <c r="C281" s="2337"/>
      <c r="D281" s="2337"/>
      <c r="E281" s="2337"/>
      <c r="F281" s="2337"/>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7"/>
      <c r="AE281" s="2337"/>
      <c r="AF281" s="2337"/>
      <c r="AG281" s="2337"/>
      <c r="AH281" s="2337"/>
      <c r="AI281" s="2337"/>
      <c r="AJ281" s="2337"/>
      <c r="AK281" s="2337"/>
      <c r="AL281" s="2337"/>
      <c r="AM281" s="144"/>
      <c r="AN281" s="144"/>
      <c r="AO281" s="144"/>
      <c r="AP281" s="144"/>
      <c r="AQ281" s="144"/>
      <c r="AR281" s="144"/>
      <c r="AS281" s="144"/>
      <c r="AT281" s="144"/>
      <c r="AU281" s="144"/>
      <c r="AV281" s="144"/>
      <c r="AW281" s="144"/>
      <c r="AX281" s="144"/>
      <c r="AY281" s="144"/>
      <c r="BN281" s="61"/>
    </row>
    <row r="282" spans="1:66" ht="13.5" thickBot="1">
      <c r="A282" s="2338"/>
      <c r="B282" s="2338"/>
      <c r="C282" s="2338"/>
      <c r="D282" s="2338"/>
      <c r="E282" s="2338"/>
      <c r="F282" s="2338"/>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8"/>
      <c r="AE282" s="2338"/>
      <c r="AF282" s="2338"/>
      <c r="AG282" s="2338"/>
      <c r="AH282" s="2338"/>
      <c r="AI282" s="2338"/>
      <c r="AJ282" s="2338"/>
      <c r="AK282" s="2338"/>
      <c r="AL282" s="233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353" t="s">
        <v>2614</v>
      </c>
      <c r="I286" s="2091"/>
      <c r="J286" s="2091"/>
      <c r="K286" s="2091"/>
      <c r="L286" s="2091"/>
      <c r="M286" s="2091"/>
      <c r="N286" s="2091"/>
      <c r="O286" s="2091"/>
      <c r="P286" s="2091"/>
      <c r="Q286" s="2091"/>
      <c r="R286" s="2091"/>
      <c r="T286" s="58" t="s">
        <v>592</v>
      </c>
      <c r="V286" s="58"/>
      <c r="W286" s="58"/>
      <c r="X286" s="58"/>
      <c r="Y286" s="58"/>
      <c r="AA286" s="2353" t="s">
        <v>2628</v>
      </c>
      <c r="AB286" s="2091"/>
      <c r="AC286" s="2091"/>
      <c r="AD286" s="2091"/>
      <c r="AE286" s="2091"/>
      <c r="AF286" s="2091"/>
      <c r="AG286" s="2091"/>
      <c r="AH286" s="2091"/>
      <c r="AI286" s="2091"/>
      <c r="AJ286" s="2091"/>
      <c r="AK286" s="2091"/>
      <c r="BN286" s="61"/>
    </row>
    <row r="287" spans="1:66" ht="12.75">
      <c r="B287" s="58" t="s">
        <v>496</v>
      </c>
      <c r="C287" s="58"/>
      <c r="D287" s="58"/>
      <c r="E287" s="58"/>
      <c r="F287" s="58"/>
      <c r="H287" s="2142" t="s">
        <v>2607</v>
      </c>
      <c r="I287" s="2071"/>
      <c r="J287" s="2071"/>
      <c r="K287" s="2071"/>
      <c r="L287" s="2071"/>
      <c r="M287" s="2071"/>
      <c r="N287" s="2071"/>
      <c r="O287" s="2071"/>
      <c r="P287" s="2071"/>
      <c r="Q287" s="2071"/>
      <c r="R287" s="2071"/>
      <c r="T287" s="58" t="s">
        <v>496</v>
      </c>
      <c r="V287" s="58"/>
      <c r="W287" s="58"/>
      <c r="X287" s="58"/>
      <c r="Y287" s="58"/>
      <c r="AA287" s="2142" t="s">
        <v>2629</v>
      </c>
      <c r="AB287" s="2071"/>
      <c r="AC287" s="2071"/>
      <c r="AD287" s="2071"/>
      <c r="AE287" s="2071"/>
      <c r="AF287" s="2071"/>
      <c r="AG287" s="2071"/>
      <c r="AH287" s="2071"/>
      <c r="AI287" s="2071"/>
      <c r="AJ287" s="2071"/>
      <c r="AK287" s="2071"/>
      <c r="BN287" s="61"/>
    </row>
    <row r="288" spans="1:66" ht="12.75">
      <c r="B288" s="58" t="s">
        <v>497</v>
      </c>
      <c r="C288" s="58"/>
      <c r="D288" s="58"/>
      <c r="E288" s="58"/>
      <c r="F288" s="58"/>
      <c r="H288" s="2142" t="s">
        <v>2626</v>
      </c>
      <c r="I288" s="2071"/>
      <c r="J288" s="2071"/>
      <c r="K288" s="2071"/>
      <c r="L288" s="2071"/>
      <c r="M288" s="2071"/>
      <c r="N288" s="2071"/>
      <c r="O288" s="2071"/>
      <c r="P288" s="2071"/>
      <c r="Q288" s="2071"/>
      <c r="R288" s="2071"/>
      <c r="T288" s="58" t="s">
        <v>79</v>
      </c>
      <c r="V288" s="58"/>
      <c r="W288" s="58"/>
      <c r="X288" s="58"/>
      <c r="Y288" s="58"/>
      <c r="AA288" s="2142" t="s">
        <v>2630</v>
      </c>
      <c r="AB288" s="2071"/>
      <c r="AC288" s="2071"/>
      <c r="AD288" s="2071"/>
      <c r="AE288" s="2071"/>
      <c r="AF288" s="2071"/>
      <c r="AG288" s="2071"/>
      <c r="AH288" s="2071"/>
      <c r="AI288" s="2071"/>
      <c r="AJ288" s="2071"/>
      <c r="AK288" s="2071"/>
      <c r="BN288" s="61"/>
    </row>
    <row r="289" spans="2:66" ht="12.75" customHeight="1">
      <c r="B289" s="58" t="s">
        <v>92</v>
      </c>
      <c r="C289" s="58"/>
      <c r="D289" s="58"/>
      <c r="E289" s="58"/>
      <c r="F289" s="58"/>
      <c r="H289" s="2142" t="s">
        <v>2627</v>
      </c>
      <c r="I289" s="2071"/>
      <c r="J289" s="2071"/>
      <c r="K289" s="2071"/>
      <c r="L289" s="2071"/>
      <c r="M289" s="2071"/>
      <c r="N289" s="2071"/>
      <c r="O289" s="2071"/>
      <c r="P289" s="2071"/>
      <c r="Q289" s="2071"/>
      <c r="R289" s="2071"/>
      <c r="T289" s="58" t="s">
        <v>92</v>
      </c>
      <c r="V289" s="58"/>
      <c r="W289" s="58"/>
      <c r="X289" s="58"/>
      <c r="Y289" s="58"/>
      <c r="AA289" s="2142" t="s">
        <v>2631</v>
      </c>
      <c r="AB289" s="2071"/>
      <c r="AC289" s="2071"/>
      <c r="AD289" s="2071"/>
      <c r="AE289" s="2071"/>
      <c r="AF289" s="2071"/>
      <c r="AG289" s="2071"/>
      <c r="AH289" s="2071"/>
      <c r="AI289" s="2071"/>
      <c r="AJ289" s="2071"/>
      <c r="AK289" s="2071"/>
      <c r="BN289" s="61"/>
    </row>
    <row r="290" spans="2:66" ht="12.75" customHeight="1">
      <c r="B290" s="58" t="s">
        <v>93</v>
      </c>
      <c r="C290" s="58"/>
      <c r="D290" s="58"/>
      <c r="E290" s="58"/>
      <c r="F290" s="58"/>
      <c r="G290" s="58"/>
      <c r="H290" s="2404" t="s">
        <v>2611</v>
      </c>
      <c r="I290" s="2404"/>
      <c r="J290" s="2404"/>
      <c r="K290" s="2404"/>
      <c r="L290" s="2404"/>
      <c r="M290" s="2404"/>
      <c r="N290" s="7" t="s">
        <v>212</v>
      </c>
      <c r="O290" s="7"/>
      <c r="P290" s="2391"/>
      <c r="Q290" s="2391"/>
      <c r="R290" s="2391"/>
      <c r="S290" s="58"/>
      <c r="T290" s="58" t="s">
        <v>93</v>
      </c>
      <c r="V290" s="58"/>
      <c r="W290" s="58"/>
      <c r="X290" s="58"/>
      <c r="Y290" s="58"/>
      <c r="AA290" s="2404" t="s">
        <v>2632</v>
      </c>
      <c r="AB290" s="2404"/>
      <c r="AC290" s="2404"/>
      <c r="AD290" s="2404"/>
      <c r="AE290" s="2404"/>
      <c r="AF290" s="2404"/>
      <c r="AG290" s="7" t="s">
        <v>212</v>
      </c>
      <c r="AH290" s="7"/>
      <c r="AI290" s="2391"/>
      <c r="AJ290" s="2391"/>
      <c r="AK290" s="2391"/>
      <c r="BN290" s="61"/>
    </row>
    <row r="291" spans="2:66" ht="12.75" customHeight="1">
      <c r="B291" s="58" t="s">
        <v>94</v>
      </c>
      <c r="C291" s="58"/>
      <c r="D291" s="58"/>
      <c r="E291" s="58"/>
      <c r="F291" s="58"/>
      <c r="G291" s="58"/>
      <c r="H291" s="2090" t="s">
        <v>2612</v>
      </c>
      <c r="I291" s="2090"/>
      <c r="J291" s="2090"/>
      <c r="K291" s="2090"/>
      <c r="L291" s="2090"/>
      <c r="M291" s="2090"/>
      <c r="N291" s="60"/>
      <c r="O291" s="60"/>
      <c r="P291" s="62"/>
      <c r="Q291" s="62"/>
      <c r="R291" s="62"/>
      <c r="S291" s="58"/>
      <c r="T291" s="58" t="s">
        <v>94</v>
      </c>
      <c r="V291" s="58"/>
      <c r="W291" s="58"/>
      <c r="X291" s="58"/>
      <c r="Y291" s="58"/>
      <c r="AA291" s="2090" t="s">
        <v>2633</v>
      </c>
      <c r="AB291" s="2090"/>
      <c r="AC291" s="2090"/>
      <c r="AD291" s="2090"/>
      <c r="AE291" s="2090"/>
      <c r="AF291" s="2090"/>
      <c r="AG291" s="60"/>
      <c r="AH291" s="60"/>
      <c r="AI291" s="62"/>
      <c r="AJ291" s="62"/>
      <c r="AK291" s="62"/>
      <c r="BN291" s="61"/>
    </row>
    <row r="292" spans="2:66" ht="12.75" customHeight="1">
      <c r="B292" s="58" t="s">
        <v>80</v>
      </c>
      <c r="C292" s="58"/>
      <c r="D292" s="58"/>
      <c r="E292" s="58"/>
      <c r="F292" s="58"/>
      <c r="G292" s="58"/>
      <c r="H292" s="2071" t="s">
        <v>2613</v>
      </c>
      <c r="I292" s="2071"/>
      <c r="J292" s="2071"/>
      <c r="K292" s="2071"/>
      <c r="L292" s="2071"/>
      <c r="M292" s="2071"/>
      <c r="N292" s="2091"/>
      <c r="O292" s="2091"/>
      <c r="P292" s="2091"/>
      <c r="Q292" s="2091"/>
      <c r="R292" s="2091"/>
      <c r="S292" s="58"/>
      <c r="T292" s="58" t="s">
        <v>80</v>
      </c>
      <c r="V292" s="58"/>
      <c r="W292" s="58"/>
      <c r="X292" s="58"/>
      <c r="Y292" s="58"/>
      <c r="AA292" s="2071" t="s">
        <v>2634</v>
      </c>
      <c r="AB292" s="2071"/>
      <c r="AC292" s="2071"/>
      <c r="AD292" s="2071"/>
      <c r="AE292" s="2071"/>
      <c r="AF292" s="2071"/>
      <c r="AG292" s="2091"/>
      <c r="AH292" s="2091"/>
      <c r="AI292" s="2091"/>
      <c r="AJ292" s="2091"/>
      <c r="AK292" s="209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53" t="s">
        <v>2635</v>
      </c>
      <c r="I294" s="2091"/>
      <c r="J294" s="2091"/>
      <c r="K294" s="2091"/>
      <c r="L294" s="2091"/>
      <c r="M294" s="2091"/>
      <c r="N294" s="2091"/>
      <c r="O294" s="2091"/>
      <c r="P294" s="2091"/>
      <c r="Q294" s="2091"/>
      <c r="R294" s="2091"/>
      <c r="T294" s="58" t="s">
        <v>371</v>
      </c>
      <c r="V294" s="58"/>
      <c r="W294" s="58"/>
      <c r="X294" s="58"/>
      <c r="Y294" s="58"/>
      <c r="AA294" s="2353" t="s">
        <v>2641</v>
      </c>
      <c r="AB294" s="2091"/>
      <c r="AC294" s="2091"/>
      <c r="AD294" s="2091"/>
      <c r="AE294" s="2091"/>
      <c r="AF294" s="2091"/>
      <c r="AG294" s="2091"/>
      <c r="AH294" s="2091"/>
      <c r="AI294" s="2091"/>
      <c r="AJ294" s="2091"/>
      <c r="AK294" s="2091"/>
      <c r="BN294" s="61"/>
    </row>
    <row r="295" spans="2:66" ht="12.75">
      <c r="B295" s="58" t="s">
        <v>496</v>
      </c>
      <c r="C295" s="58"/>
      <c r="D295" s="58"/>
      <c r="E295" s="58"/>
      <c r="F295" s="58"/>
      <c r="H295" s="2142" t="s">
        <v>2636</v>
      </c>
      <c r="I295" s="2071"/>
      <c r="J295" s="2071"/>
      <c r="K295" s="2071"/>
      <c r="L295" s="2071"/>
      <c r="M295" s="2071"/>
      <c r="N295" s="2071"/>
      <c r="O295" s="2071"/>
      <c r="P295" s="2071"/>
      <c r="Q295" s="2071"/>
      <c r="R295" s="2071"/>
      <c r="T295" s="58" t="s">
        <v>496</v>
      </c>
      <c r="V295" s="58"/>
      <c r="W295" s="58"/>
      <c r="X295" s="58"/>
      <c r="Y295" s="58"/>
      <c r="AA295" s="2142" t="s">
        <v>2607</v>
      </c>
      <c r="AB295" s="2071"/>
      <c r="AC295" s="2071"/>
      <c r="AD295" s="2071"/>
      <c r="AE295" s="2071"/>
      <c r="AF295" s="2071"/>
      <c r="AG295" s="2071"/>
      <c r="AH295" s="2071"/>
      <c r="AI295" s="2071"/>
      <c r="AJ295" s="2071"/>
      <c r="AK295" s="2071"/>
      <c r="BN295" s="61"/>
    </row>
    <row r="296" spans="2:66" ht="12.75">
      <c r="B296" s="58" t="s">
        <v>497</v>
      </c>
      <c r="C296" s="58"/>
      <c r="D296" s="58"/>
      <c r="E296" s="58"/>
      <c r="F296" s="58"/>
      <c r="H296" s="2142" t="s">
        <v>2637</v>
      </c>
      <c r="I296" s="2071"/>
      <c r="J296" s="2071"/>
      <c r="K296" s="2071"/>
      <c r="L296" s="2071"/>
      <c r="M296" s="2071"/>
      <c r="N296" s="2071"/>
      <c r="O296" s="2071"/>
      <c r="P296" s="2071"/>
      <c r="Q296" s="2071"/>
      <c r="R296" s="2071"/>
      <c r="T296" s="58" t="s">
        <v>79</v>
      </c>
      <c r="V296" s="58"/>
      <c r="W296" s="58"/>
      <c r="X296" s="58"/>
      <c r="Y296" s="58"/>
      <c r="AA296" s="2142" t="s">
        <v>2626</v>
      </c>
      <c r="AB296" s="2071"/>
      <c r="AC296" s="2071"/>
      <c r="AD296" s="2071"/>
      <c r="AE296" s="2071"/>
      <c r="AF296" s="2071"/>
      <c r="AG296" s="2071"/>
      <c r="AH296" s="2071"/>
      <c r="AI296" s="2071"/>
      <c r="AJ296" s="2071"/>
      <c r="AK296" s="2071"/>
      <c r="BN296" s="61"/>
    </row>
    <row r="297" spans="2:66" ht="12.75">
      <c r="B297" s="58" t="s">
        <v>92</v>
      </c>
      <c r="C297" s="58"/>
      <c r="D297" s="58"/>
      <c r="E297" s="58"/>
      <c r="F297" s="58"/>
      <c r="H297" s="2142" t="s">
        <v>2638</v>
      </c>
      <c r="I297" s="2071"/>
      <c r="J297" s="2071"/>
      <c r="K297" s="2071"/>
      <c r="L297" s="2071"/>
      <c r="M297" s="2071"/>
      <c r="N297" s="2071"/>
      <c r="O297" s="2071"/>
      <c r="P297" s="2071"/>
      <c r="Q297" s="2071"/>
      <c r="R297" s="2071"/>
      <c r="T297" s="58" t="s">
        <v>92</v>
      </c>
      <c r="V297" s="58"/>
      <c r="W297" s="58"/>
      <c r="X297" s="58"/>
      <c r="Y297" s="58"/>
      <c r="AA297" s="2142" t="s">
        <v>2642</v>
      </c>
      <c r="AB297" s="2071"/>
      <c r="AC297" s="2071"/>
      <c r="AD297" s="2071"/>
      <c r="AE297" s="2071"/>
      <c r="AF297" s="2071"/>
      <c r="AG297" s="2071"/>
      <c r="AH297" s="2071"/>
      <c r="AI297" s="2071"/>
      <c r="AJ297" s="2071"/>
      <c r="AK297" s="2071"/>
      <c r="BN297" s="61"/>
    </row>
    <row r="298" spans="2:66" ht="12.75">
      <c r="B298" s="58" t="s">
        <v>93</v>
      </c>
      <c r="C298" s="58"/>
      <c r="D298" s="58"/>
      <c r="E298" s="58"/>
      <c r="F298" s="58"/>
      <c r="G298" s="58"/>
      <c r="H298" s="2404" t="s">
        <v>2639</v>
      </c>
      <c r="I298" s="2404"/>
      <c r="J298" s="2404"/>
      <c r="K298" s="2404"/>
      <c r="L298" s="2404"/>
      <c r="M298" s="2404"/>
      <c r="N298" s="7" t="s">
        <v>212</v>
      </c>
      <c r="O298" s="7"/>
      <c r="P298" s="2391"/>
      <c r="Q298" s="2391"/>
      <c r="R298" s="2391"/>
      <c r="S298" s="58"/>
      <c r="T298" s="58" t="s">
        <v>93</v>
      </c>
      <c r="V298" s="58"/>
      <c r="W298" s="58"/>
      <c r="X298" s="58"/>
      <c r="Y298" s="58"/>
      <c r="AA298" s="2404" t="s">
        <v>2611</v>
      </c>
      <c r="AB298" s="2404"/>
      <c r="AC298" s="2404"/>
      <c r="AD298" s="2404"/>
      <c r="AE298" s="2404"/>
      <c r="AF298" s="2404"/>
      <c r="AG298" s="7" t="s">
        <v>212</v>
      </c>
      <c r="AH298" s="7"/>
      <c r="AI298" s="2391"/>
      <c r="AJ298" s="2391"/>
      <c r="AK298" s="2391"/>
      <c r="BN298" s="61"/>
    </row>
    <row r="299" spans="2:66" ht="12.75" customHeight="1">
      <c r="B299" s="58" t="s">
        <v>94</v>
      </c>
      <c r="C299" s="58"/>
      <c r="D299" s="58"/>
      <c r="E299" s="58"/>
      <c r="F299" s="58"/>
      <c r="G299" s="58"/>
      <c r="H299" s="2090" t="s">
        <v>617</v>
      </c>
      <c r="I299" s="2090"/>
      <c r="J299" s="2090"/>
      <c r="K299" s="2090"/>
      <c r="L299" s="2090"/>
      <c r="M299" s="2090"/>
      <c r="N299" s="60"/>
      <c r="O299" s="60"/>
      <c r="P299" s="62"/>
      <c r="Q299" s="62"/>
      <c r="R299" s="62"/>
      <c r="S299" s="58"/>
      <c r="T299" s="58" t="s">
        <v>94</v>
      </c>
      <c r="V299" s="58"/>
      <c r="W299" s="58"/>
      <c r="X299" s="58"/>
      <c r="Y299" s="58"/>
      <c r="AA299" s="2090" t="s">
        <v>2612</v>
      </c>
      <c r="AB299" s="2090"/>
      <c r="AC299" s="2090"/>
      <c r="AD299" s="2090"/>
      <c r="AE299" s="2090"/>
      <c r="AF299" s="2090"/>
      <c r="AG299" s="60"/>
      <c r="AH299" s="60"/>
      <c r="AI299" s="62"/>
      <c r="AJ299" s="62"/>
      <c r="AK299" s="62"/>
      <c r="BN299" s="61"/>
    </row>
    <row r="300" spans="2:66" ht="12.75" customHeight="1">
      <c r="B300" s="58" t="s">
        <v>80</v>
      </c>
      <c r="C300" s="58"/>
      <c r="D300" s="58"/>
      <c r="E300" s="58"/>
      <c r="F300" s="58"/>
      <c r="G300" s="58"/>
      <c r="H300" s="2071" t="s">
        <v>2640</v>
      </c>
      <c r="I300" s="2071"/>
      <c r="J300" s="2071"/>
      <c r="K300" s="2071"/>
      <c r="L300" s="2071"/>
      <c r="M300" s="2071"/>
      <c r="N300" s="2091"/>
      <c r="O300" s="2091"/>
      <c r="P300" s="2091"/>
      <c r="Q300" s="2091"/>
      <c r="R300" s="2091"/>
      <c r="S300" s="58"/>
      <c r="T300" s="58" t="s">
        <v>80</v>
      </c>
      <c r="V300" s="58"/>
      <c r="W300" s="58"/>
      <c r="X300" s="58"/>
      <c r="Y300" s="58"/>
      <c r="AA300" s="2071" t="s">
        <v>2643</v>
      </c>
      <c r="AB300" s="2071"/>
      <c r="AC300" s="2071"/>
      <c r="AD300" s="2071"/>
      <c r="AE300" s="2071"/>
      <c r="AF300" s="2071"/>
      <c r="AG300" s="2091"/>
      <c r="AH300" s="2091"/>
      <c r="AI300" s="2091"/>
      <c r="AJ300" s="2091"/>
      <c r="AK300" s="2091"/>
      <c r="BN300" s="61"/>
    </row>
    <row r="301" spans="2:66" ht="12.75" customHeight="1">
      <c r="BN301" s="61"/>
    </row>
    <row r="302" spans="2:66" ht="12.75" customHeight="1">
      <c r="B302" s="58" t="s">
        <v>81</v>
      </c>
      <c r="C302" s="58"/>
      <c r="D302" s="58"/>
      <c r="E302" s="58"/>
      <c r="F302" s="58"/>
      <c r="H302" s="2353" t="s">
        <v>2644</v>
      </c>
      <c r="I302" s="2091"/>
      <c r="J302" s="2091"/>
      <c r="K302" s="2091"/>
      <c r="L302" s="2091"/>
      <c r="M302" s="2091"/>
      <c r="N302" s="2091"/>
      <c r="O302" s="2091"/>
      <c r="P302" s="2091"/>
      <c r="Q302" s="2091"/>
      <c r="R302" s="2091"/>
      <c r="T302" s="7" t="s">
        <v>926</v>
      </c>
      <c r="V302" s="58"/>
      <c r="W302" s="58"/>
      <c r="X302" s="58"/>
      <c r="Y302" s="58"/>
      <c r="AA302" s="2353" t="s">
        <v>2651</v>
      </c>
      <c r="AB302" s="2091"/>
      <c r="AC302" s="2091"/>
      <c r="AD302" s="2091"/>
      <c r="AE302" s="2091"/>
      <c r="AF302" s="2091"/>
      <c r="AG302" s="2091"/>
      <c r="AH302" s="2091"/>
      <c r="AI302" s="2091"/>
      <c r="AJ302" s="2091"/>
      <c r="AK302" s="2091"/>
      <c r="BN302" s="61"/>
    </row>
    <row r="303" spans="2:66" ht="12.75">
      <c r="B303" s="58" t="s">
        <v>496</v>
      </c>
      <c r="C303" s="58"/>
      <c r="D303" s="58"/>
      <c r="E303" s="58"/>
      <c r="F303" s="58"/>
      <c r="H303" s="2142" t="s">
        <v>2645</v>
      </c>
      <c r="I303" s="2071"/>
      <c r="J303" s="2071"/>
      <c r="K303" s="2071"/>
      <c r="L303" s="2071"/>
      <c r="M303" s="2071"/>
      <c r="N303" s="2071"/>
      <c r="O303" s="2071"/>
      <c r="P303" s="2071"/>
      <c r="Q303" s="2071"/>
      <c r="R303" s="2071"/>
      <c r="T303" s="58" t="s">
        <v>496</v>
      </c>
      <c r="V303" s="58"/>
      <c r="W303" s="58"/>
      <c r="X303" s="58"/>
      <c r="Y303" s="58"/>
      <c r="AA303" s="2142" t="s">
        <v>2652</v>
      </c>
      <c r="AB303" s="2071"/>
      <c r="AC303" s="2071"/>
      <c r="AD303" s="2071"/>
      <c r="AE303" s="2071"/>
      <c r="AF303" s="2071"/>
      <c r="AG303" s="2071"/>
      <c r="AH303" s="2071"/>
      <c r="AI303" s="2071"/>
      <c r="AJ303" s="2071"/>
      <c r="AK303" s="2071"/>
      <c r="BN303" s="61"/>
    </row>
    <row r="304" spans="2:66" ht="12.75">
      <c r="B304" s="58" t="s">
        <v>497</v>
      </c>
      <c r="C304" s="58"/>
      <c r="D304" s="58"/>
      <c r="E304" s="58"/>
      <c r="F304" s="58"/>
      <c r="H304" s="2142" t="s">
        <v>2646</v>
      </c>
      <c r="I304" s="2071"/>
      <c r="J304" s="2071"/>
      <c r="K304" s="2071"/>
      <c r="L304" s="2071"/>
      <c r="M304" s="2071"/>
      <c r="N304" s="2071"/>
      <c r="O304" s="2071"/>
      <c r="P304" s="2071"/>
      <c r="Q304" s="2071"/>
      <c r="R304" s="2071"/>
      <c r="T304" s="58" t="s">
        <v>79</v>
      </c>
      <c r="V304" s="58"/>
      <c r="W304" s="58"/>
      <c r="X304" s="58"/>
      <c r="Y304" s="58"/>
      <c r="AA304" s="2142" t="s">
        <v>2653</v>
      </c>
      <c r="AB304" s="2071"/>
      <c r="AC304" s="2071"/>
      <c r="AD304" s="2071"/>
      <c r="AE304" s="2071"/>
      <c r="AF304" s="2071"/>
      <c r="AG304" s="2071"/>
      <c r="AH304" s="2071"/>
      <c r="AI304" s="2071"/>
      <c r="AJ304" s="2071"/>
      <c r="AK304" s="2071"/>
      <c r="BN304" s="61"/>
    </row>
    <row r="305" spans="2:66" ht="12.75">
      <c r="B305" s="58" t="s">
        <v>92</v>
      </c>
      <c r="C305" s="58"/>
      <c r="D305" s="58"/>
      <c r="E305" s="58"/>
      <c r="F305" s="58"/>
      <c r="H305" s="2142" t="s">
        <v>2647</v>
      </c>
      <c r="I305" s="2071"/>
      <c r="J305" s="2071"/>
      <c r="K305" s="2071"/>
      <c r="L305" s="2071"/>
      <c r="M305" s="2071"/>
      <c r="N305" s="2071"/>
      <c r="O305" s="2071"/>
      <c r="P305" s="2071"/>
      <c r="Q305" s="2071"/>
      <c r="R305" s="2071"/>
      <c r="T305" s="58" t="s">
        <v>92</v>
      </c>
      <c r="V305" s="58"/>
      <c r="W305" s="58"/>
      <c r="X305" s="58"/>
      <c r="Y305" s="58"/>
      <c r="AA305" s="2142" t="s">
        <v>2654</v>
      </c>
      <c r="AB305" s="2071"/>
      <c r="AC305" s="2071"/>
      <c r="AD305" s="2071"/>
      <c r="AE305" s="2071"/>
      <c r="AF305" s="2071"/>
      <c r="AG305" s="2071"/>
      <c r="AH305" s="2071"/>
      <c r="AI305" s="2071"/>
      <c r="AJ305" s="2071"/>
      <c r="AK305" s="2071"/>
      <c r="BN305" s="61"/>
    </row>
    <row r="306" spans="2:66" ht="12.75">
      <c r="B306" s="58" t="s">
        <v>93</v>
      </c>
      <c r="C306" s="58"/>
      <c r="D306" s="58"/>
      <c r="E306" s="58"/>
      <c r="F306" s="58"/>
      <c r="G306" s="58"/>
      <c r="H306" s="2404" t="s">
        <v>2648</v>
      </c>
      <c r="I306" s="2404"/>
      <c r="J306" s="2404"/>
      <c r="K306" s="2404"/>
      <c r="L306" s="2404"/>
      <c r="M306" s="2404"/>
      <c r="N306" s="7" t="s">
        <v>212</v>
      </c>
      <c r="O306" s="7"/>
      <c r="P306" s="2391"/>
      <c r="Q306" s="2391"/>
      <c r="R306" s="2391"/>
      <c r="S306" s="58"/>
      <c r="T306" s="58" t="s">
        <v>93</v>
      </c>
      <c r="V306" s="58"/>
      <c r="W306" s="58"/>
      <c r="X306" s="58"/>
      <c r="Y306" s="58"/>
      <c r="AA306" s="2404" t="s">
        <v>2655</v>
      </c>
      <c r="AB306" s="2404"/>
      <c r="AC306" s="2404"/>
      <c r="AD306" s="2404"/>
      <c r="AE306" s="2404"/>
      <c r="AF306" s="2404"/>
      <c r="AG306" s="7" t="s">
        <v>212</v>
      </c>
      <c r="AH306" s="7"/>
      <c r="AI306" s="2391"/>
      <c r="AJ306" s="2391"/>
      <c r="AK306" s="2391"/>
      <c r="BN306" s="61"/>
    </row>
    <row r="307" spans="2:66" ht="12.75">
      <c r="B307" s="58" t="s">
        <v>94</v>
      </c>
      <c r="C307" s="58"/>
      <c r="D307" s="58"/>
      <c r="E307" s="58"/>
      <c r="F307" s="58"/>
      <c r="G307" s="58"/>
      <c r="H307" s="2090" t="s">
        <v>2649</v>
      </c>
      <c r="I307" s="2090"/>
      <c r="J307" s="2090"/>
      <c r="K307" s="2090"/>
      <c r="L307" s="2090"/>
      <c r="M307" s="2090"/>
      <c r="N307" s="60"/>
      <c r="O307" s="60"/>
      <c r="P307" s="62"/>
      <c r="Q307" s="62"/>
      <c r="R307" s="62"/>
      <c r="S307" s="58"/>
      <c r="T307" s="58" t="s">
        <v>94</v>
      </c>
      <c r="V307" s="58"/>
      <c r="W307" s="58"/>
      <c r="X307" s="58"/>
      <c r="Y307" s="58"/>
      <c r="AA307" s="2090" t="s">
        <v>2656</v>
      </c>
      <c r="AB307" s="2090"/>
      <c r="AC307" s="2090"/>
      <c r="AD307" s="2090"/>
      <c r="AE307" s="2090"/>
      <c r="AF307" s="2090"/>
      <c r="AG307" s="60"/>
      <c r="AH307" s="60"/>
      <c r="AI307" s="62"/>
      <c r="AJ307" s="62"/>
      <c r="AK307" s="62"/>
      <c r="BN307" s="61"/>
    </row>
    <row r="308" spans="2:66" ht="12.75">
      <c r="B308" s="58" t="s">
        <v>80</v>
      </c>
      <c r="C308" s="58"/>
      <c r="D308" s="58"/>
      <c r="E308" s="58"/>
      <c r="F308" s="58"/>
      <c r="G308" s="58"/>
      <c r="H308" s="2071" t="s">
        <v>2650</v>
      </c>
      <c r="I308" s="2071"/>
      <c r="J308" s="2071"/>
      <c r="K308" s="2071"/>
      <c r="L308" s="2071"/>
      <c r="M308" s="2071"/>
      <c r="N308" s="2091"/>
      <c r="O308" s="2091"/>
      <c r="P308" s="2091"/>
      <c r="Q308" s="2091"/>
      <c r="R308" s="2091"/>
      <c r="S308" s="58"/>
      <c r="T308" s="58" t="s">
        <v>80</v>
      </c>
      <c r="V308" s="58"/>
      <c r="W308" s="58"/>
      <c r="X308" s="58"/>
      <c r="Y308" s="58"/>
      <c r="AA308" s="2071" t="s">
        <v>2657</v>
      </c>
      <c r="AB308" s="2071"/>
      <c r="AC308" s="2071"/>
      <c r="AD308" s="2071"/>
      <c r="AE308" s="2071"/>
      <c r="AF308" s="2071"/>
      <c r="AG308" s="2091"/>
      <c r="AH308" s="2091"/>
      <c r="AI308" s="2091"/>
      <c r="AJ308" s="2091"/>
      <c r="AK308" s="209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353" t="s">
        <v>2658</v>
      </c>
      <c r="I310" s="2091"/>
      <c r="J310" s="2091"/>
      <c r="K310" s="2091"/>
      <c r="L310" s="2091"/>
      <c r="M310" s="2091"/>
      <c r="N310" s="2091"/>
      <c r="O310" s="2091"/>
      <c r="P310" s="2091"/>
      <c r="Q310" s="2091"/>
      <c r="R310" s="2091"/>
      <c r="S310" s="58"/>
      <c r="T310" s="58" t="s">
        <v>372</v>
      </c>
      <c r="V310" s="58"/>
      <c r="W310" s="58"/>
      <c r="X310" s="58"/>
      <c r="Y310" s="58"/>
      <c r="AA310" s="2091" t="s">
        <v>2665</v>
      </c>
      <c r="AB310" s="2091"/>
      <c r="AC310" s="2091"/>
      <c r="AD310" s="2091"/>
      <c r="AE310" s="2091"/>
      <c r="AF310" s="2091"/>
      <c r="AG310" s="2091"/>
      <c r="AH310" s="2091"/>
      <c r="AI310" s="2091"/>
      <c r="AJ310" s="2091"/>
      <c r="AK310" s="2091"/>
      <c r="BN310" s="61"/>
    </row>
    <row r="311" spans="2:66" ht="12.75">
      <c r="B311" s="58" t="s">
        <v>496</v>
      </c>
      <c r="C311" s="58"/>
      <c r="D311" s="58"/>
      <c r="E311" s="58"/>
      <c r="F311" s="58"/>
      <c r="H311" s="2142" t="s">
        <v>2659</v>
      </c>
      <c r="I311" s="2071"/>
      <c r="J311" s="2071"/>
      <c r="K311" s="2071"/>
      <c r="L311" s="2071"/>
      <c r="M311" s="2071"/>
      <c r="N311" s="2071"/>
      <c r="O311" s="2071"/>
      <c r="P311" s="2071"/>
      <c r="Q311" s="2071"/>
      <c r="R311" s="2071"/>
      <c r="S311" s="58"/>
      <c r="T311" s="58" t="s">
        <v>496</v>
      </c>
      <c r="V311" s="58"/>
      <c r="W311" s="58"/>
      <c r="X311" s="58"/>
      <c r="Y311" s="58"/>
      <c r="AA311" s="2071" t="s">
        <v>2666</v>
      </c>
      <c r="AB311" s="2071"/>
      <c r="AC311" s="2071"/>
      <c r="AD311" s="2071"/>
      <c r="AE311" s="2071"/>
      <c r="AF311" s="2071"/>
      <c r="AG311" s="2071"/>
      <c r="AH311" s="2071"/>
      <c r="AI311" s="2071"/>
      <c r="AJ311" s="2071"/>
      <c r="AK311" s="2071"/>
      <c r="BN311" s="61"/>
    </row>
    <row r="312" spans="2:66" ht="12.75" customHeight="1">
      <c r="B312" s="58" t="s">
        <v>497</v>
      </c>
      <c r="C312" s="58"/>
      <c r="D312" s="58"/>
      <c r="E312" s="58"/>
      <c r="F312" s="58"/>
      <c r="H312" s="2142" t="s">
        <v>2660</v>
      </c>
      <c r="I312" s="2071"/>
      <c r="J312" s="2071"/>
      <c r="K312" s="2071"/>
      <c r="L312" s="2071"/>
      <c r="M312" s="2071"/>
      <c r="N312" s="2071"/>
      <c r="O312" s="2071"/>
      <c r="P312" s="2071"/>
      <c r="Q312" s="2071"/>
      <c r="R312" s="2071"/>
      <c r="S312" s="58"/>
      <c r="T312" s="58" t="s">
        <v>79</v>
      </c>
      <c r="V312" s="58"/>
      <c r="W312" s="58"/>
      <c r="X312" s="58"/>
      <c r="Y312" s="58"/>
      <c r="AA312" s="2071" t="s">
        <v>2667</v>
      </c>
      <c r="AB312" s="2071"/>
      <c r="AC312" s="2071"/>
      <c r="AD312" s="2071"/>
      <c r="AE312" s="2071"/>
      <c r="AF312" s="2071"/>
      <c r="AG312" s="2071"/>
      <c r="AH312" s="2071"/>
      <c r="AI312" s="2071"/>
      <c r="AJ312" s="2071"/>
      <c r="AK312" s="2071"/>
      <c r="BN312" s="61"/>
    </row>
    <row r="313" spans="2:66" ht="12.75">
      <c r="B313" s="58" t="s">
        <v>92</v>
      </c>
      <c r="C313" s="58"/>
      <c r="D313" s="58"/>
      <c r="E313" s="58"/>
      <c r="F313" s="58"/>
      <c r="H313" s="2142" t="s">
        <v>2661</v>
      </c>
      <c r="I313" s="2071"/>
      <c r="J313" s="2071"/>
      <c r="K313" s="2071"/>
      <c r="L313" s="2071"/>
      <c r="M313" s="2071"/>
      <c r="N313" s="2071"/>
      <c r="O313" s="2071"/>
      <c r="P313" s="2071"/>
      <c r="Q313" s="2071"/>
      <c r="R313" s="2071"/>
      <c r="S313" s="58"/>
      <c r="T313" s="58" t="s">
        <v>92</v>
      </c>
      <c r="V313" s="58"/>
      <c r="W313" s="58"/>
      <c r="X313" s="58"/>
      <c r="Y313" s="58"/>
      <c r="AA313" s="2071" t="s">
        <v>2668</v>
      </c>
      <c r="AB313" s="2071"/>
      <c r="AC313" s="2071"/>
      <c r="AD313" s="2071"/>
      <c r="AE313" s="2071"/>
      <c r="AF313" s="2071"/>
      <c r="AG313" s="2071"/>
      <c r="AH313" s="2071"/>
      <c r="AI313" s="2071"/>
      <c r="AJ313" s="2071"/>
      <c r="AK313" s="2071"/>
      <c r="BN313" s="61"/>
    </row>
    <row r="314" spans="2:66" ht="12.75">
      <c r="B314" s="58" t="s">
        <v>93</v>
      </c>
      <c r="C314" s="58"/>
      <c r="D314" s="58"/>
      <c r="E314" s="58"/>
      <c r="F314" s="58"/>
      <c r="G314" s="58"/>
      <c r="H314" s="2404" t="s">
        <v>2662</v>
      </c>
      <c r="I314" s="2404"/>
      <c r="J314" s="2404"/>
      <c r="K314" s="2404"/>
      <c r="L314" s="2404"/>
      <c r="M314" s="2404"/>
      <c r="N314" s="7" t="s">
        <v>212</v>
      </c>
      <c r="O314" s="7"/>
      <c r="P314" s="2391"/>
      <c r="Q314" s="2391"/>
      <c r="R314" s="2391"/>
      <c r="S314" s="58"/>
      <c r="T314" s="58" t="s">
        <v>93</v>
      </c>
      <c r="V314" s="58"/>
      <c r="W314" s="58"/>
      <c r="X314" s="58"/>
      <c r="Y314" s="58"/>
      <c r="AA314" s="2404" t="s">
        <v>2669</v>
      </c>
      <c r="AB314" s="2404"/>
      <c r="AC314" s="2404"/>
      <c r="AD314" s="2404"/>
      <c r="AE314" s="2404"/>
      <c r="AF314" s="2404"/>
      <c r="AG314" s="7" t="s">
        <v>212</v>
      </c>
      <c r="AH314" s="7"/>
      <c r="AI314" s="2391"/>
      <c r="AJ314" s="2391"/>
      <c r="AK314" s="2391"/>
      <c r="BN314" s="61"/>
    </row>
    <row r="315" spans="2:66" ht="12.75">
      <c r="B315" s="58" t="s">
        <v>94</v>
      </c>
      <c r="C315" s="58"/>
      <c r="D315" s="58"/>
      <c r="E315" s="58"/>
      <c r="F315" s="58"/>
      <c r="G315" s="58"/>
      <c r="H315" s="2090" t="s">
        <v>2663</v>
      </c>
      <c r="I315" s="2090"/>
      <c r="J315" s="2090"/>
      <c r="K315" s="2090"/>
      <c r="L315" s="2090"/>
      <c r="M315" s="2090"/>
      <c r="N315" s="60"/>
      <c r="O315" s="60"/>
      <c r="P315" s="62"/>
      <c r="Q315" s="62"/>
      <c r="R315" s="62"/>
      <c r="S315" s="58"/>
      <c r="T315" s="58" t="s">
        <v>94</v>
      </c>
      <c r="V315" s="58"/>
      <c r="W315" s="58"/>
      <c r="X315" s="58"/>
      <c r="Y315" s="58"/>
      <c r="AA315" s="2090" t="s">
        <v>617</v>
      </c>
      <c r="AB315" s="2090"/>
      <c r="AC315" s="2090"/>
      <c r="AD315" s="2090"/>
      <c r="AE315" s="2090"/>
      <c r="AF315" s="2090"/>
      <c r="AG315" s="60"/>
      <c r="AH315" s="60"/>
      <c r="AI315" s="62"/>
      <c r="AJ315" s="62"/>
      <c r="AK315" s="62"/>
      <c r="BN315" s="61"/>
    </row>
    <row r="316" spans="2:66" ht="12.75">
      <c r="B316" s="58" t="s">
        <v>80</v>
      </c>
      <c r="C316" s="58"/>
      <c r="D316" s="58"/>
      <c r="E316" s="58"/>
      <c r="F316" s="58"/>
      <c r="G316" s="58"/>
      <c r="H316" s="2142" t="s">
        <v>2664</v>
      </c>
      <c r="I316" s="2071"/>
      <c r="J316" s="2071"/>
      <c r="K316" s="2071"/>
      <c r="L316" s="2071"/>
      <c r="M316" s="2071"/>
      <c r="N316" s="2091"/>
      <c r="O316" s="2091"/>
      <c r="P316" s="2091"/>
      <c r="Q316" s="2091"/>
      <c r="R316" s="2091"/>
      <c r="S316" s="58"/>
      <c r="T316" s="58" t="s">
        <v>80</v>
      </c>
      <c r="V316" s="58"/>
      <c r="W316" s="58"/>
      <c r="X316" s="58"/>
      <c r="Y316" s="58"/>
      <c r="AA316" s="2071" t="s">
        <v>2670</v>
      </c>
      <c r="AB316" s="2071"/>
      <c r="AC316" s="2071"/>
      <c r="AD316" s="2071"/>
      <c r="AE316" s="2071"/>
      <c r="AF316" s="2071"/>
      <c r="AG316" s="2091"/>
      <c r="AH316" s="2091"/>
      <c r="AI316" s="2091"/>
      <c r="AJ316" s="2091"/>
      <c r="AK316" s="2091"/>
      <c r="BN316" s="61"/>
    </row>
    <row r="317" spans="2:66" ht="12.75">
      <c r="BN317" s="61"/>
    </row>
    <row r="318" spans="2:66" ht="12.75">
      <c r="B318" s="7" t="s">
        <v>960</v>
      </c>
      <c r="C318" s="58"/>
      <c r="D318" s="58"/>
      <c r="E318" s="58"/>
      <c r="F318" s="58"/>
      <c r="H318" s="2091" t="s">
        <v>617</v>
      </c>
      <c r="I318" s="2091"/>
      <c r="J318" s="2091"/>
      <c r="K318" s="2091"/>
      <c r="L318" s="2091"/>
      <c r="M318" s="2091"/>
      <c r="N318" s="2091"/>
      <c r="O318" s="2091"/>
      <c r="P318" s="2091"/>
      <c r="Q318" s="2091"/>
      <c r="R318" s="2091"/>
      <c r="T318" s="58" t="s">
        <v>373</v>
      </c>
      <c r="V318" s="58"/>
      <c r="W318" s="58"/>
      <c r="X318" s="58"/>
      <c r="Y318" s="58"/>
      <c r="AA318" s="2353" t="s">
        <v>2671</v>
      </c>
      <c r="AB318" s="2091"/>
      <c r="AC318" s="2091"/>
      <c r="AD318" s="2091"/>
      <c r="AE318" s="2091"/>
      <c r="AF318" s="2091"/>
      <c r="AG318" s="2091"/>
      <c r="AH318" s="2091"/>
      <c r="AI318" s="2091"/>
      <c r="AJ318" s="2091"/>
      <c r="AK318" s="2091"/>
      <c r="BN318" s="61"/>
    </row>
    <row r="319" spans="2:66" ht="12.75">
      <c r="B319" s="58" t="s">
        <v>496</v>
      </c>
      <c r="C319" s="58"/>
      <c r="D319" s="58"/>
      <c r="E319" s="58"/>
      <c r="F319" s="58"/>
      <c r="H319" s="2071"/>
      <c r="I319" s="2071"/>
      <c r="J319" s="2071"/>
      <c r="K319" s="2071"/>
      <c r="L319" s="2071"/>
      <c r="M319" s="2071"/>
      <c r="N319" s="2071"/>
      <c r="O319" s="2071"/>
      <c r="P319" s="2071"/>
      <c r="Q319" s="2071"/>
      <c r="R319" s="2071"/>
      <c r="T319" s="58" t="s">
        <v>496</v>
      </c>
      <c r="V319" s="58"/>
      <c r="W319" s="58"/>
      <c r="X319" s="58"/>
      <c r="Y319" s="58"/>
      <c r="AA319" s="2142" t="s">
        <v>2672</v>
      </c>
      <c r="AB319" s="2071"/>
      <c r="AC319" s="2071"/>
      <c r="AD319" s="2071"/>
      <c r="AE319" s="2071"/>
      <c r="AF319" s="2071"/>
      <c r="AG319" s="2071"/>
      <c r="AH319" s="2071"/>
      <c r="AI319" s="2071"/>
      <c r="AJ319" s="2071"/>
      <c r="AK319" s="2071"/>
      <c r="BN319" s="61"/>
    </row>
    <row r="320" spans="2:66" ht="12.75">
      <c r="B320" s="58" t="s">
        <v>497</v>
      </c>
      <c r="C320" s="58"/>
      <c r="D320" s="58"/>
      <c r="E320" s="58"/>
      <c r="F320" s="58"/>
      <c r="H320" s="2071"/>
      <c r="I320" s="2071"/>
      <c r="J320" s="2071"/>
      <c r="K320" s="2071"/>
      <c r="L320" s="2071"/>
      <c r="M320" s="2071"/>
      <c r="N320" s="2071"/>
      <c r="O320" s="2071"/>
      <c r="P320" s="2071"/>
      <c r="Q320" s="2071"/>
      <c r="R320" s="2071"/>
      <c r="T320" s="58" t="s">
        <v>79</v>
      </c>
      <c r="V320" s="58"/>
      <c r="W320" s="58"/>
      <c r="X320" s="58"/>
      <c r="Y320" s="58"/>
      <c r="AA320" s="2142" t="s">
        <v>2673</v>
      </c>
      <c r="AB320" s="2071"/>
      <c r="AC320" s="2071"/>
      <c r="AD320" s="2071"/>
      <c r="AE320" s="2071"/>
      <c r="AF320" s="2071"/>
      <c r="AG320" s="2071"/>
      <c r="AH320" s="2071"/>
      <c r="AI320" s="2071"/>
      <c r="AJ320" s="2071"/>
      <c r="AK320" s="2071"/>
      <c r="BN320" s="61"/>
    </row>
    <row r="321" spans="1:66" ht="12.75" customHeight="1">
      <c r="A321" s="39"/>
      <c r="B321" s="58" t="s">
        <v>92</v>
      </c>
      <c r="C321" s="58"/>
      <c r="D321" s="58"/>
      <c r="E321" s="58"/>
      <c r="F321" s="58"/>
      <c r="H321" s="2071"/>
      <c r="I321" s="2071"/>
      <c r="J321" s="2071"/>
      <c r="K321" s="2071"/>
      <c r="L321" s="2071"/>
      <c r="M321" s="2071"/>
      <c r="N321" s="2071"/>
      <c r="O321" s="2071"/>
      <c r="P321" s="2071"/>
      <c r="Q321" s="2071"/>
      <c r="R321" s="2071"/>
      <c r="T321" s="58" t="s">
        <v>92</v>
      </c>
      <c r="V321" s="58"/>
      <c r="W321" s="58"/>
      <c r="X321" s="58"/>
      <c r="Y321" s="58"/>
      <c r="AA321" s="2142" t="s">
        <v>2674</v>
      </c>
      <c r="AB321" s="2071"/>
      <c r="AC321" s="2071"/>
      <c r="AD321" s="2071"/>
      <c r="AE321" s="2071"/>
      <c r="AF321" s="2071"/>
      <c r="AG321" s="2071"/>
      <c r="AH321" s="2071"/>
      <c r="AI321" s="2071"/>
      <c r="AJ321" s="2071"/>
      <c r="AK321" s="2071"/>
      <c r="AL321" s="39"/>
      <c r="BN321" s="61"/>
    </row>
    <row r="322" spans="1:66" ht="12.75">
      <c r="A322" s="39"/>
      <c r="B322" s="58" t="s">
        <v>93</v>
      </c>
      <c r="C322" s="58"/>
      <c r="D322" s="58"/>
      <c r="E322" s="58"/>
      <c r="F322" s="58"/>
      <c r="G322" s="58"/>
      <c r="H322" s="2392"/>
      <c r="I322" s="2392"/>
      <c r="J322" s="2392"/>
      <c r="K322" s="2392"/>
      <c r="L322" s="2392"/>
      <c r="M322" s="2392"/>
      <c r="N322" s="7" t="s">
        <v>212</v>
      </c>
      <c r="O322" s="7"/>
      <c r="P322" s="2391"/>
      <c r="Q322" s="2391"/>
      <c r="R322" s="2391"/>
      <c r="S322" s="58"/>
      <c r="T322" s="58" t="s">
        <v>93</v>
      </c>
      <c r="V322" s="58"/>
      <c r="W322" s="58"/>
      <c r="X322" s="58"/>
      <c r="Y322" s="58"/>
      <c r="AA322" s="2404" t="s">
        <v>2675</v>
      </c>
      <c r="AB322" s="2404"/>
      <c r="AC322" s="2404"/>
      <c r="AD322" s="2404"/>
      <c r="AE322" s="2404"/>
      <c r="AF322" s="2404"/>
      <c r="AG322" s="7" t="s">
        <v>212</v>
      </c>
      <c r="AH322" s="7"/>
      <c r="AI322" s="2391"/>
      <c r="AJ322" s="2391"/>
      <c r="AK322" s="2391"/>
      <c r="AL322" s="39"/>
      <c r="BN322" s="61"/>
    </row>
    <row r="323" spans="1:66" ht="12.75" customHeight="1">
      <c r="A323" s="39"/>
      <c r="B323" s="58" t="s">
        <v>94</v>
      </c>
      <c r="C323" s="58"/>
      <c r="D323" s="58"/>
      <c r="E323" s="58"/>
      <c r="F323" s="58"/>
      <c r="G323" s="58"/>
      <c r="H323" s="2355"/>
      <c r="I323" s="2355"/>
      <c r="J323" s="2355"/>
      <c r="K323" s="2355"/>
      <c r="L323" s="2355"/>
      <c r="M323" s="2355"/>
      <c r="N323" s="60"/>
      <c r="O323" s="60"/>
      <c r="P323" s="62"/>
      <c r="Q323" s="62"/>
      <c r="R323" s="62"/>
      <c r="S323" s="58"/>
      <c r="T323" s="58" t="s">
        <v>94</v>
      </c>
      <c r="V323" s="58"/>
      <c r="W323" s="58"/>
      <c r="X323" s="58"/>
      <c r="Y323" s="58"/>
      <c r="AA323" s="2090" t="s">
        <v>617</v>
      </c>
      <c r="AB323" s="2090"/>
      <c r="AC323" s="2090"/>
      <c r="AD323" s="2090"/>
      <c r="AE323" s="2090"/>
      <c r="AF323" s="2090"/>
      <c r="AG323" s="60"/>
      <c r="AH323" s="60"/>
      <c r="AI323" s="62"/>
      <c r="AJ323" s="62"/>
      <c r="AK323" s="62"/>
      <c r="AL323" s="39"/>
    </row>
    <row r="324" spans="1:66" ht="12.75">
      <c r="A324" s="39"/>
      <c r="B324" s="58" t="s">
        <v>80</v>
      </c>
      <c r="C324" s="58"/>
      <c r="D324" s="58"/>
      <c r="E324" s="58"/>
      <c r="F324" s="58"/>
      <c r="G324" s="58"/>
      <c r="H324" s="2071"/>
      <c r="I324" s="2071"/>
      <c r="J324" s="2071"/>
      <c r="K324" s="2071"/>
      <c r="L324" s="2071"/>
      <c r="M324" s="2071"/>
      <c r="N324" s="2091"/>
      <c r="O324" s="2091"/>
      <c r="P324" s="2091"/>
      <c r="Q324" s="2091"/>
      <c r="R324" s="2091"/>
      <c r="S324" s="58"/>
      <c r="T324" s="58" t="s">
        <v>80</v>
      </c>
      <c r="V324" s="58"/>
      <c r="W324" s="58"/>
      <c r="X324" s="58"/>
      <c r="Y324" s="58"/>
      <c r="AA324" s="2142" t="s">
        <v>2676</v>
      </c>
      <c r="AB324" s="2071"/>
      <c r="AC324" s="2071"/>
      <c r="AD324" s="2071"/>
      <c r="AE324" s="2071"/>
      <c r="AF324" s="2071"/>
      <c r="AG324" s="2091"/>
      <c r="AH324" s="2091"/>
      <c r="AI324" s="2091"/>
      <c r="AJ324" s="2091"/>
      <c r="AK324" s="209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353" t="s">
        <v>2671</v>
      </c>
      <c r="I326" s="2091"/>
      <c r="J326" s="2091"/>
      <c r="K326" s="2091"/>
      <c r="L326" s="2091"/>
      <c r="M326" s="2091"/>
      <c r="N326" s="2091"/>
      <c r="O326" s="2091"/>
      <c r="P326" s="2091"/>
      <c r="Q326" s="2091"/>
      <c r="R326" s="2091"/>
      <c r="T326" s="58" t="s">
        <v>375</v>
      </c>
      <c r="V326" s="58"/>
      <c r="W326" s="58"/>
      <c r="X326" s="58"/>
      <c r="Y326" s="58"/>
      <c r="AA326" s="2091"/>
      <c r="AB326" s="2091"/>
      <c r="AC326" s="2091"/>
      <c r="AD326" s="2091"/>
      <c r="AE326" s="2091"/>
      <c r="AF326" s="2091"/>
      <c r="AG326" s="2091"/>
      <c r="AH326" s="2091"/>
      <c r="AI326" s="2091"/>
      <c r="AJ326" s="2091"/>
      <c r="AK326" s="2091"/>
      <c r="AL326" s="39"/>
    </row>
    <row r="327" spans="1:66" ht="12.75">
      <c r="A327" s="39"/>
      <c r="B327" s="58" t="s">
        <v>496</v>
      </c>
      <c r="C327" s="58"/>
      <c r="D327" s="58"/>
      <c r="E327" s="58"/>
      <c r="F327" s="58"/>
      <c r="H327" s="2142" t="s">
        <v>2672</v>
      </c>
      <c r="I327" s="2071"/>
      <c r="J327" s="2071"/>
      <c r="K327" s="2071"/>
      <c r="L327" s="2071"/>
      <c r="M327" s="2071"/>
      <c r="N327" s="2071"/>
      <c r="O327" s="2071"/>
      <c r="P327" s="2071"/>
      <c r="Q327" s="2071"/>
      <c r="R327" s="2071"/>
      <c r="T327" s="58" t="s">
        <v>496</v>
      </c>
      <c r="V327" s="58"/>
      <c r="W327" s="58"/>
      <c r="X327" s="58"/>
      <c r="Y327" s="58"/>
      <c r="AA327" s="2071"/>
      <c r="AB327" s="2071"/>
      <c r="AC327" s="2071"/>
      <c r="AD327" s="2071"/>
      <c r="AE327" s="2071"/>
      <c r="AF327" s="2071"/>
      <c r="AG327" s="2071"/>
      <c r="AH327" s="2071"/>
      <c r="AI327" s="2071"/>
      <c r="AJ327" s="2071"/>
      <c r="AK327" s="2071"/>
      <c r="AL327" s="39"/>
    </row>
    <row r="328" spans="1:66" ht="12.75">
      <c r="A328" s="39"/>
      <c r="B328" s="58" t="s">
        <v>497</v>
      </c>
      <c r="C328" s="58"/>
      <c r="D328" s="58"/>
      <c r="E328" s="58"/>
      <c r="F328" s="58"/>
      <c r="H328" s="2142" t="s">
        <v>2673</v>
      </c>
      <c r="I328" s="2071"/>
      <c r="J328" s="2071"/>
      <c r="K328" s="2071"/>
      <c r="L328" s="2071"/>
      <c r="M328" s="2071"/>
      <c r="N328" s="2071"/>
      <c r="O328" s="2071"/>
      <c r="P328" s="2071"/>
      <c r="Q328" s="2071"/>
      <c r="R328" s="2071"/>
      <c r="T328" s="58" t="s">
        <v>79</v>
      </c>
      <c r="V328" s="58"/>
      <c r="W328" s="58"/>
      <c r="X328" s="58"/>
      <c r="Y328" s="58"/>
      <c r="AA328" s="2071"/>
      <c r="AB328" s="2071"/>
      <c r="AC328" s="2071"/>
      <c r="AD328" s="2071"/>
      <c r="AE328" s="2071"/>
      <c r="AF328" s="2071"/>
      <c r="AG328" s="2071"/>
      <c r="AH328" s="2071"/>
      <c r="AI328" s="2071"/>
      <c r="AJ328" s="2071"/>
      <c r="AK328" s="2071"/>
      <c r="AL328" s="39"/>
    </row>
    <row r="329" spans="1:66" ht="12.75">
      <c r="A329" s="39"/>
      <c r="B329" s="58" t="s">
        <v>92</v>
      </c>
      <c r="C329" s="58"/>
      <c r="D329" s="58"/>
      <c r="E329" s="58"/>
      <c r="F329" s="58"/>
      <c r="H329" s="2142" t="s">
        <v>2674</v>
      </c>
      <c r="I329" s="2142"/>
      <c r="J329" s="2142"/>
      <c r="K329" s="2142"/>
      <c r="L329" s="2142"/>
      <c r="M329" s="2142"/>
      <c r="N329" s="2142"/>
      <c r="O329" s="2142"/>
      <c r="P329" s="2142"/>
      <c r="Q329" s="2142"/>
      <c r="R329" s="2142"/>
      <c r="T329" s="58" t="s">
        <v>92</v>
      </c>
      <c r="V329" s="58"/>
      <c r="W329" s="58"/>
      <c r="X329" s="58"/>
      <c r="Y329" s="58"/>
      <c r="AA329" s="2071"/>
      <c r="AB329" s="2071"/>
      <c r="AC329" s="2071"/>
      <c r="AD329" s="2071"/>
      <c r="AE329" s="2071"/>
      <c r="AF329" s="2071"/>
      <c r="AG329" s="2071"/>
      <c r="AH329" s="2071"/>
      <c r="AI329" s="2071"/>
      <c r="AJ329" s="2071"/>
      <c r="AK329" s="2071"/>
      <c r="AL329" s="39"/>
    </row>
    <row r="330" spans="1:66" ht="12.75" customHeight="1">
      <c r="A330" s="39"/>
      <c r="B330" s="58" t="s">
        <v>93</v>
      </c>
      <c r="C330" s="58"/>
      <c r="D330" s="58"/>
      <c r="E330" s="58"/>
      <c r="F330" s="58"/>
      <c r="G330" s="58"/>
      <c r="H330" s="2090" t="s">
        <v>2675</v>
      </c>
      <c r="I330" s="2090"/>
      <c r="J330" s="2090"/>
      <c r="K330" s="2090"/>
      <c r="L330" s="2090"/>
      <c r="M330" s="2090"/>
      <c r="N330" s="7" t="s">
        <v>212</v>
      </c>
      <c r="O330" s="7"/>
      <c r="P330" s="2391"/>
      <c r="Q330" s="2391"/>
      <c r="R330" s="2391"/>
      <c r="S330" s="58"/>
      <c r="T330" s="58" t="s">
        <v>93</v>
      </c>
      <c r="V330" s="58"/>
      <c r="W330" s="58"/>
      <c r="X330" s="58"/>
      <c r="Y330" s="58"/>
      <c r="AA330" s="2392"/>
      <c r="AB330" s="2392"/>
      <c r="AC330" s="2392"/>
      <c r="AD330" s="2392"/>
      <c r="AE330" s="2392"/>
      <c r="AF330" s="2392"/>
      <c r="AG330" s="7" t="s">
        <v>212</v>
      </c>
      <c r="AH330" s="7"/>
      <c r="AI330" s="2391"/>
      <c r="AJ330" s="2391"/>
      <c r="AK330" s="2391"/>
      <c r="AL330" s="39"/>
    </row>
    <row r="331" spans="1:66" ht="12.75">
      <c r="A331" s="39"/>
      <c r="B331" s="58" t="s">
        <v>94</v>
      </c>
      <c r="C331" s="58"/>
      <c r="D331" s="58"/>
      <c r="E331" s="58"/>
      <c r="F331" s="58"/>
      <c r="G331" s="58"/>
      <c r="H331" s="2090" t="s">
        <v>617</v>
      </c>
      <c r="I331" s="2090"/>
      <c r="J331" s="2090"/>
      <c r="K331" s="2090"/>
      <c r="L331" s="2090"/>
      <c r="M331" s="2090"/>
      <c r="N331" s="60"/>
      <c r="O331" s="60"/>
      <c r="P331" s="62"/>
      <c r="Q331" s="62"/>
      <c r="R331" s="62"/>
      <c r="S331" s="58"/>
      <c r="T331" s="58" t="s">
        <v>94</v>
      </c>
      <c r="V331" s="58"/>
      <c r="W331" s="58"/>
      <c r="X331" s="58"/>
      <c r="Y331" s="58"/>
      <c r="AA331" s="2355"/>
      <c r="AB331" s="2355"/>
      <c r="AC331" s="2355"/>
      <c r="AD331" s="2355"/>
      <c r="AE331" s="2355"/>
      <c r="AF331" s="2355"/>
      <c r="AG331" s="60"/>
      <c r="AH331" s="60"/>
      <c r="AI331" s="62"/>
      <c r="AJ331" s="62"/>
      <c r="AK331" s="62"/>
      <c r="AL331" s="39"/>
    </row>
    <row r="332" spans="1:66" ht="12.75">
      <c r="A332" s="39"/>
      <c r="B332" s="58" t="s">
        <v>80</v>
      </c>
      <c r="C332" s="58"/>
      <c r="D332" s="58"/>
      <c r="E332" s="58"/>
      <c r="F332" s="58"/>
      <c r="G332" s="58"/>
      <c r="H332" s="2353" t="s">
        <v>2676</v>
      </c>
      <c r="I332" s="2353"/>
      <c r="J332" s="2353"/>
      <c r="K332" s="2353"/>
      <c r="L332" s="2353"/>
      <c r="M332" s="2353"/>
      <c r="N332" s="2353"/>
      <c r="O332" s="2353"/>
      <c r="P332" s="2353"/>
      <c r="Q332" s="2353"/>
      <c r="R332" s="2353"/>
      <c r="S332" s="58"/>
      <c r="T332" s="58" t="s">
        <v>80</v>
      </c>
      <c r="V332" s="58"/>
      <c r="W332" s="58"/>
      <c r="X332" s="58"/>
      <c r="Y332" s="58"/>
      <c r="AA332" s="2071"/>
      <c r="AB332" s="2071"/>
      <c r="AC332" s="2071"/>
      <c r="AD332" s="2071"/>
      <c r="AE332" s="2071"/>
      <c r="AF332" s="2071"/>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1" t="s">
        <v>2703</v>
      </c>
      <c r="I334" s="2091"/>
      <c r="J334" s="2091"/>
      <c r="K334" s="2091"/>
      <c r="L334" s="2091"/>
      <c r="M334" s="2091"/>
      <c r="N334" s="2091"/>
      <c r="O334" s="2091"/>
      <c r="P334" s="2091"/>
      <c r="Q334" s="2091"/>
      <c r="R334" s="2091"/>
      <c r="T334" s="402" t="s">
        <v>935</v>
      </c>
      <c r="V334" s="58"/>
      <c r="W334" s="58"/>
      <c r="X334" s="58"/>
      <c r="Y334" s="58"/>
      <c r="AA334" s="2353" t="s">
        <v>2683</v>
      </c>
      <c r="AB334" s="2091"/>
      <c r="AC334" s="2091"/>
      <c r="AD334" s="2091"/>
      <c r="AE334" s="2091"/>
      <c r="AF334" s="2091"/>
      <c r="AG334" s="2091"/>
      <c r="AH334" s="2091"/>
      <c r="AI334" s="2091"/>
      <c r="AJ334" s="2091"/>
      <c r="AK334" s="2091"/>
      <c r="AL334" s="39"/>
    </row>
    <row r="335" spans="1:66" ht="12.75" customHeight="1">
      <c r="B335" s="58" t="s">
        <v>496</v>
      </c>
      <c r="C335" s="240"/>
      <c r="D335" s="240"/>
      <c r="E335" s="240"/>
      <c r="F335" s="240"/>
      <c r="G335" s="3"/>
      <c r="H335" s="2071" t="s">
        <v>2677</v>
      </c>
      <c r="I335" s="2071"/>
      <c r="J335" s="2071"/>
      <c r="K335" s="2071"/>
      <c r="L335" s="2071"/>
      <c r="M335" s="2071"/>
      <c r="N335" s="2071"/>
      <c r="O335" s="2071"/>
      <c r="P335" s="2071"/>
      <c r="Q335" s="2071"/>
      <c r="R335" s="2071"/>
      <c r="T335" s="58" t="s">
        <v>496</v>
      </c>
      <c r="V335" s="58"/>
      <c r="W335" s="58"/>
      <c r="X335" s="58"/>
      <c r="Y335" s="58"/>
      <c r="AA335" s="2142" t="s">
        <v>2684</v>
      </c>
      <c r="AB335" s="2071"/>
      <c r="AC335" s="2071"/>
      <c r="AD335" s="2071"/>
      <c r="AE335" s="2071"/>
      <c r="AF335" s="2071"/>
      <c r="AG335" s="2071"/>
      <c r="AH335" s="2071"/>
      <c r="AI335" s="2071"/>
      <c r="AJ335" s="2071"/>
      <c r="AK335" s="2071"/>
      <c r="AL335" s="39"/>
    </row>
    <row r="336" spans="1:66" ht="12.75" customHeight="1">
      <c r="B336" s="58" t="s">
        <v>79</v>
      </c>
      <c r="C336" s="240"/>
      <c r="D336" s="240"/>
      <c r="E336" s="240"/>
      <c r="F336" s="240"/>
      <c r="G336" s="3"/>
      <c r="H336" s="2071" t="s">
        <v>2678</v>
      </c>
      <c r="I336" s="2071"/>
      <c r="J336" s="2071"/>
      <c r="K336" s="2071"/>
      <c r="L336" s="2071"/>
      <c r="M336" s="2071"/>
      <c r="N336" s="2071"/>
      <c r="O336" s="2071"/>
      <c r="P336" s="2071"/>
      <c r="Q336" s="2071"/>
      <c r="R336" s="2071"/>
      <c r="T336" s="58" t="s">
        <v>79</v>
      </c>
      <c r="V336" s="58"/>
      <c r="W336" s="58"/>
      <c r="X336" s="58"/>
      <c r="Y336" s="58"/>
      <c r="AA336" s="2142" t="s">
        <v>2685</v>
      </c>
      <c r="AB336" s="2071"/>
      <c r="AC336" s="2071"/>
      <c r="AD336" s="2071"/>
      <c r="AE336" s="2071"/>
      <c r="AF336" s="2071"/>
      <c r="AG336" s="2071"/>
      <c r="AH336" s="2071"/>
      <c r="AI336" s="2071"/>
      <c r="AJ336" s="2071"/>
      <c r="AK336" s="2071"/>
      <c r="AL336" s="39"/>
    </row>
    <row r="337" spans="1:66" ht="12.75" customHeight="1">
      <c r="A337" s="39"/>
      <c r="B337" s="58" t="s">
        <v>92</v>
      </c>
      <c r="C337" s="240"/>
      <c r="D337" s="240"/>
      <c r="E337" s="240"/>
      <c r="F337" s="240"/>
      <c r="G337" s="240"/>
      <c r="H337" s="2071" t="s">
        <v>2679</v>
      </c>
      <c r="I337" s="2071"/>
      <c r="J337" s="2071"/>
      <c r="K337" s="2071"/>
      <c r="L337" s="2071"/>
      <c r="M337" s="2071"/>
      <c r="N337" s="2071"/>
      <c r="O337" s="2071"/>
      <c r="P337" s="2071"/>
      <c r="Q337" s="2071"/>
      <c r="R337" s="2071"/>
      <c r="T337" s="58" t="s">
        <v>92</v>
      </c>
      <c r="V337" s="58"/>
      <c r="W337" s="58"/>
      <c r="X337" s="58"/>
      <c r="Y337" s="58"/>
      <c r="AA337" s="2071" t="s">
        <v>2731</v>
      </c>
      <c r="AB337" s="2071"/>
      <c r="AC337" s="2071"/>
      <c r="AD337" s="2071"/>
      <c r="AE337" s="2071"/>
      <c r="AF337" s="2071"/>
      <c r="AG337" s="2071"/>
      <c r="AH337" s="2071"/>
      <c r="AI337" s="2071"/>
      <c r="AJ337" s="2071"/>
      <c r="AK337" s="2071"/>
      <c r="AL337" s="39"/>
    </row>
    <row r="338" spans="1:66" ht="12.75" customHeight="1">
      <c r="A338" s="39"/>
      <c r="B338" s="58" t="s">
        <v>93</v>
      </c>
      <c r="C338" s="240"/>
      <c r="D338" s="240"/>
      <c r="E338" s="240"/>
      <c r="F338" s="240"/>
      <c r="G338" s="240"/>
      <c r="H338" s="2404" t="s">
        <v>2680</v>
      </c>
      <c r="I338" s="2404"/>
      <c r="J338" s="2404"/>
      <c r="K338" s="2404"/>
      <c r="L338" s="2404"/>
      <c r="M338" s="2404"/>
      <c r="N338" s="7" t="s">
        <v>212</v>
      </c>
      <c r="O338" s="7"/>
      <c r="P338" s="2391"/>
      <c r="Q338" s="2391"/>
      <c r="R338" s="2391"/>
      <c r="S338" s="58"/>
      <c r="T338" s="58" t="s">
        <v>93</v>
      </c>
      <c r="V338" s="58"/>
      <c r="W338" s="58"/>
      <c r="X338" s="58"/>
      <c r="Y338" s="58"/>
      <c r="AA338" s="2404" t="s">
        <v>2686</v>
      </c>
      <c r="AB338" s="2404"/>
      <c r="AC338" s="2404"/>
      <c r="AD338" s="2404"/>
      <c r="AE338" s="2404"/>
      <c r="AF338" s="2404"/>
      <c r="AG338" s="7" t="s">
        <v>212</v>
      </c>
      <c r="AH338" s="7"/>
      <c r="AI338" s="2391"/>
      <c r="AJ338" s="2391"/>
      <c r="AK338" s="2391"/>
      <c r="AL338" s="39"/>
    </row>
    <row r="339" spans="1:66" ht="12.75">
      <c r="A339" s="39"/>
      <c r="B339" s="58" t="s">
        <v>94</v>
      </c>
      <c r="C339" s="240"/>
      <c r="D339" s="240"/>
      <c r="E339" s="240"/>
      <c r="F339" s="240"/>
      <c r="G339" s="240"/>
      <c r="H339" s="2090" t="s">
        <v>2681</v>
      </c>
      <c r="I339" s="2090"/>
      <c r="J339" s="2090"/>
      <c r="K339" s="2090"/>
      <c r="L339" s="2090"/>
      <c r="M339" s="2090"/>
      <c r="N339" s="60"/>
      <c r="O339" s="60"/>
      <c r="P339" s="62"/>
      <c r="Q339" s="62"/>
      <c r="R339" s="62"/>
      <c r="S339" s="58"/>
      <c r="T339" s="58" t="s">
        <v>94</v>
      </c>
      <c r="V339" s="58"/>
      <c r="W339" s="58"/>
      <c r="X339" s="58"/>
      <c r="Y339" s="58"/>
      <c r="AA339" s="2090" t="s">
        <v>2687</v>
      </c>
      <c r="AB339" s="2090"/>
      <c r="AC339" s="2090"/>
      <c r="AD339" s="2090"/>
      <c r="AE339" s="2090"/>
      <c r="AF339" s="2090"/>
      <c r="AG339" s="60"/>
      <c r="AH339" s="60"/>
      <c r="AI339" s="62"/>
      <c r="AJ339" s="62"/>
      <c r="AK339" s="62"/>
      <c r="AL339" s="39"/>
    </row>
    <row r="340" spans="1:66" ht="12.75">
      <c r="A340" s="39"/>
      <c r="B340" s="58" t="s">
        <v>80</v>
      </c>
      <c r="C340" s="237"/>
      <c r="D340" s="237"/>
      <c r="E340" s="237"/>
      <c r="F340" s="237"/>
      <c r="G340" s="237"/>
      <c r="H340" s="2071" t="s">
        <v>2682</v>
      </c>
      <c r="I340" s="2071"/>
      <c r="J340" s="2071"/>
      <c r="K340" s="2071"/>
      <c r="L340" s="2071"/>
      <c r="M340" s="2071"/>
      <c r="N340" s="2091"/>
      <c r="O340" s="2091"/>
      <c r="P340" s="2091"/>
      <c r="Q340" s="2091"/>
      <c r="R340" s="2091"/>
      <c r="S340" s="58"/>
      <c r="T340" s="58" t="s">
        <v>80</v>
      </c>
      <c r="V340" s="58"/>
      <c r="W340" s="58"/>
      <c r="X340" s="58"/>
      <c r="Y340" s="58"/>
      <c r="AA340" s="2071" t="s">
        <v>2732</v>
      </c>
      <c r="AB340" s="2071"/>
      <c r="AC340" s="2071"/>
      <c r="AD340" s="2071"/>
      <c r="AE340" s="2071"/>
      <c r="AF340" s="2071"/>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91"/>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617</v>
      </c>
    </row>
    <row r="343" spans="1:66" ht="12.75">
      <c r="A343" s="3"/>
      <c r="B343" s="60"/>
      <c r="C343" s="60"/>
      <c r="D343" s="60"/>
      <c r="E343" s="60"/>
      <c r="F343" s="60"/>
      <c r="G343" s="3"/>
      <c r="H343" s="88"/>
      <c r="I343" s="7" t="s">
        <v>496</v>
      </c>
      <c r="P343" s="2071"/>
      <c r="Q343" s="2071"/>
      <c r="R343" s="2071"/>
      <c r="S343" s="2071"/>
      <c r="T343" s="2071"/>
      <c r="U343" s="2071"/>
      <c r="V343" s="2071"/>
      <c r="W343" s="2071"/>
      <c r="X343" s="2071"/>
      <c r="Y343" s="2071"/>
      <c r="Z343" s="2071"/>
      <c r="AA343" s="2071"/>
      <c r="AB343" s="2071"/>
      <c r="AC343" s="2071"/>
      <c r="AD343" s="2071"/>
      <c r="AE343" s="2071"/>
      <c r="AF343" s="88"/>
      <c r="AG343" s="88"/>
      <c r="AH343" s="88"/>
      <c r="AI343" s="88"/>
      <c r="AJ343" s="88"/>
      <c r="AK343" s="88"/>
      <c r="AL343" s="39"/>
      <c r="BN343" s="12" t="s">
        <v>695</v>
      </c>
    </row>
    <row r="344" spans="1:66" ht="12.75">
      <c r="A344" s="3"/>
      <c r="B344" s="60"/>
      <c r="C344" s="60"/>
      <c r="D344" s="60"/>
      <c r="E344" s="60"/>
      <c r="F344" s="60"/>
      <c r="G344" s="3"/>
      <c r="H344" s="88"/>
      <c r="I344" s="7" t="s">
        <v>79</v>
      </c>
      <c r="P344" s="2071"/>
      <c r="Q344" s="2071"/>
      <c r="R344" s="2071"/>
      <c r="S344" s="2071"/>
      <c r="T344" s="2071"/>
      <c r="U344" s="2071"/>
      <c r="V344" s="2071"/>
      <c r="W344" s="2071"/>
      <c r="X344" s="2071"/>
      <c r="Y344" s="2071"/>
      <c r="Z344" s="2071"/>
      <c r="AA344" s="2071"/>
      <c r="AB344" s="2071"/>
      <c r="AC344" s="2071"/>
      <c r="AD344" s="2071"/>
      <c r="AE344" s="2071"/>
      <c r="AF344" s="88"/>
      <c r="AG344" s="88"/>
      <c r="AH344" s="88"/>
      <c r="AI344" s="88"/>
      <c r="AJ344" s="88"/>
      <c r="AK344" s="88"/>
      <c r="AL344" s="39"/>
      <c r="BN344" s="12" t="s">
        <v>570</v>
      </c>
    </row>
    <row r="345" spans="1:66" ht="12.75">
      <c r="A345" s="3"/>
      <c r="B345" s="60"/>
      <c r="C345" s="60"/>
      <c r="D345" s="60"/>
      <c r="E345" s="60"/>
      <c r="F345" s="60"/>
      <c r="G345" s="60"/>
      <c r="H345" s="88"/>
      <c r="I345" s="7" t="s">
        <v>92</v>
      </c>
      <c r="P345" s="2071"/>
      <c r="Q345" s="2071"/>
      <c r="R345" s="2071"/>
      <c r="S345" s="2071"/>
      <c r="T345" s="2071"/>
      <c r="U345" s="2071"/>
      <c r="V345" s="2071"/>
      <c r="W345" s="2071"/>
      <c r="X345" s="2071"/>
      <c r="Y345" s="2071"/>
      <c r="Z345" s="2071"/>
      <c r="AA345" s="2071"/>
      <c r="AB345" s="2071"/>
      <c r="AC345" s="2071"/>
      <c r="AD345" s="2071"/>
      <c r="AE345" s="2071"/>
      <c r="AF345" s="88"/>
      <c r="AG345" s="88"/>
      <c r="AH345" s="88"/>
      <c r="AI345" s="88"/>
      <c r="AJ345" s="88"/>
      <c r="AK345" s="88"/>
      <c r="AL345" s="39"/>
    </row>
    <row r="346" spans="1:66" ht="12.75">
      <c r="A346" s="3"/>
      <c r="B346" s="60"/>
      <c r="C346" s="60"/>
      <c r="D346" s="60"/>
      <c r="E346" s="60"/>
      <c r="F346" s="60"/>
      <c r="G346" s="60"/>
      <c r="H346" s="462"/>
      <c r="I346" s="7" t="s">
        <v>93</v>
      </c>
      <c r="P346" s="2355"/>
      <c r="Q346" s="2355"/>
      <c r="R346" s="2355"/>
      <c r="S346" s="2355"/>
      <c r="T346" s="2355"/>
      <c r="U346" s="2355"/>
      <c r="V346" s="2355"/>
      <c r="W346" s="2355"/>
      <c r="X346" s="2355"/>
      <c r="Y346" s="2355"/>
      <c r="Z346" s="2355"/>
      <c r="AA346" s="7" t="s">
        <v>212</v>
      </c>
      <c r="AB346" s="7"/>
      <c r="AC346" s="2088"/>
      <c r="AD346" s="2088"/>
      <c r="AE346" s="2088"/>
      <c r="AF346" s="462"/>
      <c r="AG346" s="60"/>
      <c r="AH346" s="60"/>
      <c r="AI346" s="403"/>
      <c r="AJ346" s="403"/>
      <c r="AK346" s="403"/>
      <c r="AL346" s="39"/>
    </row>
    <row r="347" spans="1:66" ht="12.75" customHeight="1">
      <c r="A347" s="3"/>
      <c r="B347" s="60"/>
      <c r="C347" s="60"/>
      <c r="D347" s="60"/>
      <c r="E347" s="60"/>
      <c r="F347" s="60"/>
      <c r="G347" s="60"/>
      <c r="H347" s="462"/>
      <c r="I347" s="7" t="s">
        <v>94</v>
      </c>
      <c r="P347" s="2355"/>
      <c r="Q347" s="2355"/>
      <c r="R347" s="2355"/>
      <c r="S347" s="2355"/>
      <c r="T347" s="2355"/>
      <c r="U347" s="2355"/>
      <c r="V347" s="2355"/>
      <c r="W347" s="2355"/>
      <c r="X347" s="2355"/>
      <c r="Y347" s="2355"/>
      <c r="Z347" s="2355"/>
      <c r="AF347" s="462"/>
      <c r="AG347" s="60"/>
      <c r="AH347" s="60"/>
      <c r="AI347" s="62"/>
      <c r="AJ347" s="62"/>
      <c r="AK347" s="62"/>
      <c r="AL347" s="39"/>
    </row>
    <row r="348" spans="1:66" ht="12.75">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7" t="s">
        <v>567</v>
      </c>
      <c r="B350" s="2337"/>
      <c r="C350" s="2337"/>
      <c r="D350" s="2337"/>
      <c r="E350" s="2337"/>
      <c r="F350" s="2337"/>
      <c r="G350" s="2337"/>
      <c r="H350" s="2337"/>
      <c r="I350" s="2337"/>
      <c r="J350" s="2337"/>
      <c r="K350" s="2337"/>
      <c r="L350" s="2337"/>
      <c r="M350" s="2337"/>
      <c r="N350" s="2337"/>
      <c r="O350" s="2337"/>
      <c r="P350" s="2337"/>
      <c r="Q350" s="2337"/>
      <c r="R350" s="2337"/>
      <c r="S350" s="2337"/>
      <c r="T350" s="2337"/>
      <c r="U350" s="2337"/>
      <c r="V350" s="2337"/>
      <c r="W350" s="2337"/>
      <c r="X350" s="2337"/>
      <c r="Y350" s="2337"/>
      <c r="Z350" s="2337"/>
      <c r="AA350" s="2337"/>
      <c r="AB350" s="2337"/>
      <c r="AC350" s="2337"/>
      <c r="AD350" s="2337"/>
      <c r="AE350" s="2337"/>
      <c r="AF350" s="2337"/>
      <c r="AG350" s="2337"/>
      <c r="AH350" s="2337"/>
      <c r="AI350" s="2337"/>
      <c r="AJ350" s="2337"/>
      <c r="AK350" s="2337"/>
      <c r="AL350" s="2337"/>
      <c r="AM350" s="144"/>
      <c r="AN350" s="144"/>
      <c r="AO350" s="144"/>
      <c r="AP350" s="144"/>
      <c r="AQ350" s="144"/>
      <c r="AR350" s="144"/>
      <c r="AS350" s="144"/>
      <c r="AT350" s="144"/>
      <c r="AU350" s="144"/>
      <c r="AV350" s="144"/>
      <c r="AW350" s="144"/>
      <c r="AX350" s="144"/>
      <c r="AY350" s="144"/>
    </row>
    <row r="351" spans="1:66" ht="13.5" thickBot="1">
      <c r="A351" s="2338"/>
      <c r="B351" s="2338"/>
      <c r="C351" s="2338"/>
      <c r="D351" s="2338"/>
      <c r="E351" s="2338"/>
      <c r="F351" s="2338"/>
      <c r="G351" s="2338"/>
      <c r="H351" s="2338"/>
      <c r="I351" s="2338"/>
      <c r="J351" s="2338"/>
      <c r="K351" s="2338"/>
      <c r="L351" s="2338"/>
      <c r="M351" s="2338"/>
      <c r="N351" s="2338"/>
      <c r="O351" s="2338"/>
      <c r="P351" s="2338"/>
      <c r="Q351" s="2338"/>
      <c r="R351" s="2338"/>
      <c r="S351" s="2338"/>
      <c r="T351" s="2338"/>
      <c r="U351" s="2338"/>
      <c r="V351" s="2338"/>
      <c r="W351" s="2338"/>
      <c r="X351" s="2338"/>
      <c r="Y351" s="2338"/>
      <c r="Z351" s="2338"/>
      <c r="AA351" s="2338"/>
      <c r="AB351" s="2338"/>
      <c r="AC351" s="2338"/>
      <c r="AD351" s="2338"/>
      <c r="AE351" s="2338"/>
      <c r="AF351" s="2338"/>
      <c r="AG351" s="2338"/>
      <c r="AH351" s="2338"/>
      <c r="AI351" s="2338"/>
      <c r="AJ351" s="2338"/>
      <c r="AK351" s="2338"/>
      <c r="AL351" s="233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89" t="s">
        <v>570</v>
      </c>
      <c r="N354" s="2089"/>
      <c r="P354" s="12" t="s">
        <v>1858</v>
      </c>
      <c r="AJ354" s="2089" t="s">
        <v>617</v>
      </c>
      <c r="AK354" s="2089"/>
    </row>
    <row r="355" spans="1:37" ht="12.75" customHeight="1">
      <c r="D355" s="58" t="s">
        <v>1847</v>
      </c>
      <c r="M355" s="2089" t="s">
        <v>617</v>
      </c>
      <c r="N355" s="2089"/>
      <c r="P355" s="58" t="s">
        <v>2033</v>
      </c>
      <c r="AJ355" s="2122"/>
      <c r="AK355" s="2122"/>
    </row>
    <row r="356" spans="1:37" ht="12.75" customHeight="1">
      <c r="D356" s="12" t="s">
        <v>734</v>
      </c>
      <c r="M356" s="2089" t="s">
        <v>617</v>
      </c>
      <c r="N356" s="2089"/>
      <c r="P356" s="711" t="s">
        <v>1857</v>
      </c>
      <c r="AJ356" s="2089" t="s">
        <v>617</v>
      </c>
      <c r="AK356" s="2089"/>
    </row>
    <row r="357" spans="1:37" ht="12.75" customHeight="1">
      <c r="D357" s="12" t="s">
        <v>735</v>
      </c>
      <c r="M357" s="2089" t="s">
        <v>617</v>
      </c>
      <c r="N357" s="2089"/>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9" t="s">
        <v>617</v>
      </c>
      <c r="O362" s="2089"/>
      <c r="P362" s="69"/>
      <c r="Q362" s="69"/>
      <c r="R362" s="69"/>
      <c r="S362" s="69"/>
      <c r="T362" s="69"/>
      <c r="U362" s="69"/>
      <c r="V362" s="69"/>
      <c r="W362" s="69"/>
      <c r="X362" s="69"/>
      <c r="Y362" s="70"/>
      <c r="Z362" s="70"/>
      <c r="AC362" s="69"/>
      <c r="AD362" s="69"/>
      <c r="AE362" s="69"/>
    </row>
    <row r="363" spans="1:37" ht="12.75" customHeight="1">
      <c r="E363" s="12" t="s">
        <v>378</v>
      </c>
      <c r="Y363" s="2089" t="s">
        <v>617</v>
      </c>
      <c r="Z363" s="2089"/>
    </row>
    <row r="364" spans="1:37" ht="12.75" customHeight="1">
      <c r="D364" s="7" t="s">
        <v>1037</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9" t="s">
        <v>617</v>
      </c>
      <c r="K366" s="2089"/>
      <c r="L366" s="69"/>
      <c r="M366" s="69"/>
      <c r="N366" s="69"/>
      <c r="O366" s="69"/>
      <c r="P366" s="69"/>
      <c r="Q366" s="69"/>
      <c r="R366" s="69"/>
      <c r="S366" s="69"/>
      <c r="T366" s="69"/>
      <c r="U366" s="69"/>
      <c r="V366" s="69"/>
      <c r="W366" s="69"/>
      <c r="X366" s="69"/>
      <c r="Y366" s="69"/>
      <c r="Z366" s="69"/>
      <c r="AC366" s="69"/>
      <c r="AD366" s="69"/>
      <c r="AE366" s="69"/>
    </row>
    <row r="367" spans="1:37" ht="12.75" customHeight="1">
      <c r="E367" s="2402" t="s">
        <v>736</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75"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75" customHeight="1">
      <c r="E369" s="7" t="s">
        <v>472</v>
      </c>
      <c r="F369" s="7"/>
      <c r="G369" s="7"/>
      <c r="H369" s="7"/>
      <c r="I369" s="7"/>
      <c r="J369" s="7"/>
      <c r="K369" s="7"/>
      <c r="L369" s="7"/>
      <c r="N369" s="2401"/>
      <c r="O369" s="2401"/>
      <c r="P369" s="2401"/>
      <c r="Q369" s="2401"/>
      <c r="R369" s="7"/>
      <c r="U369" s="7" t="s">
        <v>473</v>
      </c>
      <c r="V369" s="7"/>
      <c r="W369" s="7"/>
      <c r="X369" s="7"/>
      <c r="Y369" s="7"/>
      <c r="Z369" s="7"/>
      <c r="AA369" s="7"/>
      <c r="AB369" s="7"/>
      <c r="AC369" s="2401"/>
      <c r="AD369" s="2401"/>
      <c r="AE369" s="2401"/>
      <c r="AF369" s="2401"/>
    </row>
    <row r="370" spans="1:36" ht="12.75" customHeight="1">
      <c r="E370" s="7" t="s">
        <v>474</v>
      </c>
      <c r="F370" s="7"/>
      <c r="G370" s="7"/>
      <c r="H370" s="7"/>
      <c r="I370" s="7"/>
      <c r="J370" s="7"/>
      <c r="K370" s="7"/>
      <c r="L370" s="7"/>
      <c r="N370" s="2401"/>
      <c r="O370" s="2401"/>
      <c r="P370" s="2401"/>
      <c r="Q370" s="2401"/>
      <c r="R370" s="7"/>
      <c r="U370" s="7" t="s">
        <v>0</v>
      </c>
      <c r="V370" s="7"/>
      <c r="W370" s="7"/>
      <c r="X370" s="7"/>
      <c r="Y370" s="7"/>
      <c r="Z370" s="7"/>
      <c r="AA370" s="7"/>
      <c r="AB370" s="7"/>
      <c r="AC370" s="2401"/>
      <c r="AD370" s="2401"/>
      <c r="AE370" s="2401"/>
      <c r="AF370" s="2401"/>
    </row>
    <row r="371" spans="1:36" ht="12.75" customHeight="1">
      <c r="E371" s="7" t="s">
        <v>1</v>
      </c>
      <c r="F371" s="7"/>
      <c r="G371" s="7"/>
      <c r="H371" s="7"/>
      <c r="I371" s="7"/>
      <c r="J371" s="7"/>
      <c r="K371" s="7"/>
      <c r="L371" s="7"/>
      <c r="N371" s="2401"/>
      <c r="O371" s="2401"/>
      <c r="P371" s="2401"/>
      <c r="Q371" s="2401"/>
      <c r="R371" s="7"/>
      <c r="V371" s="7"/>
      <c r="W371" s="7"/>
      <c r="X371" s="7"/>
      <c r="Y371" s="7"/>
      <c r="Z371" s="7"/>
      <c r="AA371" s="7"/>
      <c r="AB371" s="7"/>
    </row>
    <row r="372" spans="1:36" ht="12.75" customHeight="1">
      <c r="E372" s="7" t="s">
        <v>2</v>
      </c>
      <c r="F372" s="7"/>
      <c r="G372" s="7"/>
      <c r="H372" s="7"/>
      <c r="I372" s="7"/>
      <c r="J372" s="7"/>
      <c r="K372" s="7"/>
      <c r="L372" s="7"/>
      <c r="N372" s="2529"/>
      <c r="O372" s="2529"/>
      <c r="P372" s="2529"/>
      <c r="Q372" s="2529"/>
      <c r="R372" s="2529"/>
      <c r="S372" s="2529"/>
      <c r="T372" s="2529"/>
      <c r="U372" s="2529"/>
      <c r="V372" s="2529"/>
      <c r="W372" s="2529"/>
      <c r="X372" s="2529"/>
      <c r="Y372" s="2529"/>
      <c r="Z372" s="2529"/>
      <c r="AA372" s="2529"/>
      <c r="AB372" s="2529"/>
      <c r="AC372" s="2529"/>
      <c r="AD372" s="2529"/>
      <c r="AE372" s="2529"/>
      <c r="AF372" s="2529"/>
    </row>
    <row r="373" spans="1:36" ht="12.75" customHeight="1">
      <c r="E373" s="7"/>
      <c r="F373" s="7"/>
      <c r="G373" s="7"/>
      <c r="H373" s="7"/>
      <c r="I373" s="7"/>
      <c r="J373" s="7"/>
      <c r="K373" s="7"/>
      <c r="L373" s="7"/>
      <c r="N373" s="2530"/>
      <c r="O373" s="2530"/>
      <c r="P373" s="2530"/>
      <c r="Q373" s="2530"/>
      <c r="R373" s="2530"/>
      <c r="S373" s="2530"/>
      <c r="T373" s="2530"/>
      <c r="U373" s="2530"/>
      <c r="V373" s="2530"/>
      <c r="W373" s="2530"/>
      <c r="X373" s="2530"/>
      <c r="Y373" s="2530"/>
      <c r="Z373" s="2530"/>
      <c r="AA373" s="2530"/>
      <c r="AB373" s="2530"/>
      <c r="AC373" s="2530"/>
      <c r="AD373" s="2530"/>
      <c r="AE373" s="2530"/>
      <c r="AF373" s="2530"/>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2579</v>
      </c>
      <c r="F376" s="7"/>
      <c r="G376" s="7"/>
      <c r="H376" s="7"/>
      <c r="I376" s="7"/>
      <c r="J376" s="7"/>
      <c r="K376" s="7"/>
      <c r="L376" s="7"/>
      <c r="N376" s="25" t="s">
        <v>2573</v>
      </c>
      <c r="P376" s="25"/>
      <c r="Q376" s="25" t="s">
        <v>311</v>
      </c>
      <c r="S376" s="2399"/>
      <c r="T376" s="2399"/>
      <c r="U376" s="4" t="s">
        <v>312</v>
      </c>
      <c r="V376" s="2399"/>
      <c r="W376" s="2399"/>
      <c r="Y376" s="25" t="s">
        <v>2573</v>
      </c>
      <c r="AA376" s="25"/>
      <c r="AB376" s="25" t="s">
        <v>311</v>
      </c>
      <c r="AD376" s="2399"/>
      <c r="AE376" s="2399"/>
      <c r="AF376" s="4" t="s">
        <v>312</v>
      </c>
      <c r="AG376" s="2399"/>
      <c r="AH376" s="2399"/>
    </row>
    <row r="377" spans="1:36" ht="12.75" customHeight="1">
      <c r="E377" s="7" t="s">
        <v>1063</v>
      </c>
      <c r="F377" s="7"/>
      <c r="G377" s="7"/>
      <c r="H377" s="7"/>
      <c r="I377" s="7"/>
      <c r="J377" s="7"/>
      <c r="K377" s="7"/>
      <c r="L377" s="7"/>
      <c r="N377" s="2399"/>
      <c r="O377" s="2399"/>
      <c r="P377" s="2399"/>
    </row>
    <row r="378" spans="1:36" ht="12.75" customHeight="1">
      <c r="E378" s="379" t="s">
        <v>2580</v>
      </c>
      <c r="F378" s="7"/>
      <c r="G378" s="7"/>
      <c r="H378" s="7"/>
      <c r="I378" s="7"/>
      <c r="J378" s="7"/>
      <c r="K378" s="7"/>
      <c r="L378" s="7"/>
      <c r="AG378" s="2396" t="s">
        <v>617</v>
      </c>
      <c r="AH378" s="2396"/>
    </row>
    <row r="379" spans="1:36" ht="12.75" customHeight="1">
      <c r="E379" s="7"/>
      <c r="F379" s="7"/>
      <c r="G379" s="7" t="s">
        <v>2581</v>
      </c>
      <c r="H379" s="7"/>
      <c r="I379" s="7"/>
      <c r="J379" s="7"/>
      <c r="K379" s="7"/>
      <c r="L379" s="7"/>
      <c r="AG379" s="2396" t="s">
        <v>617</v>
      </c>
      <c r="AH379" s="2396"/>
    </row>
    <row r="380" spans="1:36" ht="12.75" customHeight="1">
      <c r="E380" s="7"/>
      <c r="F380" s="7"/>
      <c r="G380" s="502" t="s">
        <v>1064</v>
      </c>
      <c r="H380" s="7"/>
      <c r="I380" s="7"/>
      <c r="J380" s="7"/>
      <c r="K380" s="7"/>
      <c r="L380" s="7"/>
      <c r="V380" s="2089" t="s">
        <v>617</v>
      </c>
      <c r="W380" s="2089"/>
      <c r="Y380" s="35" t="s">
        <v>1039</v>
      </c>
    </row>
    <row r="381" spans="1:36" ht="12.75" customHeight="1">
      <c r="E381" s="7" t="s">
        <v>1040</v>
      </c>
      <c r="F381" s="7"/>
      <c r="G381" s="7"/>
      <c r="H381" s="7"/>
      <c r="I381" s="7"/>
      <c r="J381" s="7"/>
      <c r="K381" s="7"/>
      <c r="L381" s="7"/>
      <c r="V381" s="2089" t="s">
        <v>617</v>
      </c>
      <c r="W381" s="2089"/>
      <c r="Y381" s="7" t="s">
        <v>1041</v>
      </c>
    </row>
    <row r="382" spans="1:36" ht="12.75" customHeight="1"/>
    <row r="383" spans="1:36" ht="12.75" customHeight="1">
      <c r="A383" s="50" t="s">
        <v>82</v>
      </c>
      <c r="B383" s="50"/>
    </row>
    <row r="384" spans="1:36" ht="12.75" customHeight="1">
      <c r="D384" s="12" t="s">
        <v>445</v>
      </c>
      <c r="J384" s="2091" t="s">
        <v>2688</v>
      </c>
      <c r="K384" s="2091"/>
      <c r="L384" s="2091"/>
      <c r="M384" s="2091"/>
      <c r="N384" s="2091"/>
      <c r="O384" s="2091"/>
      <c r="P384" s="2091"/>
      <c r="Q384" s="2091"/>
      <c r="R384" s="2091"/>
      <c r="S384" s="2091"/>
      <c r="T384" s="2091"/>
      <c r="U384" s="2091"/>
      <c r="V384" s="14" t="s">
        <v>88</v>
      </c>
      <c r="W384" s="14"/>
      <c r="X384" s="14"/>
      <c r="Y384" s="14"/>
      <c r="Z384" s="14"/>
      <c r="AA384" s="14"/>
      <c r="AB384" s="14"/>
      <c r="AC384" s="2091" t="s">
        <v>2689</v>
      </c>
      <c r="AD384" s="2091"/>
      <c r="AE384" s="2091"/>
      <c r="AF384" s="2091"/>
      <c r="AG384" s="2091"/>
      <c r="AH384" s="2091"/>
      <c r="AI384" s="2091"/>
      <c r="AJ384" s="2091"/>
    </row>
    <row r="385" spans="1:96" ht="12.75" customHeight="1">
      <c r="A385" s="711"/>
      <c r="B385" s="711"/>
      <c r="C385" s="711"/>
      <c r="D385" s="58" t="s">
        <v>1346</v>
      </c>
      <c r="E385" s="711"/>
      <c r="F385" s="711"/>
      <c r="G385" s="711"/>
      <c r="H385" s="711"/>
      <c r="I385" s="711"/>
      <c r="J385" s="2071" t="s">
        <v>2689</v>
      </c>
      <c r="K385" s="2071"/>
      <c r="L385" s="2071"/>
      <c r="M385" s="2071"/>
      <c r="N385" s="2071"/>
      <c r="O385" s="2071"/>
      <c r="P385" s="2071"/>
      <c r="Q385" s="2071"/>
      <c r="R385" s="2071"/>
      <c r="S385" s="2071"/>
      <c r="T385" s="2071"/>
      <c r="U385" s="2071"/>
      <c r="V385" s="58" t="s">
        <v>1346</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459</v>
      </c>
      <c r="E386" s="711"/>
      <c r="F386" s="711"/>
      <c r="G386" s="711"/>
      <c r="H386" s="711"/>
      <c r="I386" s="711"/>
      <c r="J386" s="2071" t="s">
        <v>2690</v>
      </c>
      <c r="K386" s="2071"/>
      <c r="L386" s="2071"/>
      <c r="M386" s="2071"/>
      <c r="N386" s="2071"/>
      <c r="O386" s="2071"/>
      <c r="P386" s="2071"/>
      <c r="Q386" s="2071"/>
      <c r="R386" s="2071"/>
      <c r="S386" s="2071"/>
      <c r="T386" s="2071"/>
      <c r="U386" s="2071"/>
      <c r="V386" s="58" t="s">
        <v>459</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1342</v>
      </c>
      <c r="E387" s="711"/>
      <c r="F387" s="711"/>
      <c r="G387" s="711"/>
      <c r="H387" s="711"/>
      <c r="I387" s="88"/>
      <c r="J387" s="2241" t="s">
        <v>2691</v>
      </c>
      <c r="K387" s="2241"/>
      <c r="L387" s="2241"/>
      <c r="M387" s="2241"/>
      <c r="N387" s="2241"/>
      <c r="O387" s="2241"/>
      <c r="P387" s="2241"/>
      <c r="Q387" s="2241"/>
      <c r="R387" s="2241"/>
      <c r="S387" s="2241"/>
      <c r="T387" s="2241"/>
      <c r="U387" s="2241"/>
      <c r="V387" s="2091" t="s">
        <v>2692</v>
      </c>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548">
        <v>44050</v>
      </c>
      <c r="R388" s="2548"/>
      <c r="S388" s="2548"/>
      <c r="T388" s="2548"/>
      <c r="U388" s="2548"/>
      <c r="V388" s="12" t="s">
        <v>315</v>
      </c>
      <c r="AI388" s="2089" t="s">
        <v>695</v>
      </c>
      <c r="AJ388" s="2089"/>
    </row>
    <row r="389" spans="1:96" ht="12.75" customHeight="1">
      <c r="D389" s="12" t="s">
        <v>5</v>
      </c>
      <c r="Q389" s="2423" t="s">
        <v>617</v>
      </c>
      <c r="R389" s="2535"/>
      <c r="S389" s="2535"/>
      <c r="T389" s="2535"/>
      <c r="U389" s="2535"/>
      <c r="W389" s="33" t="s">
        <v>78</v>
      </c>
      <c r="AG389" s="2398"/>
      <c r="AH389" s="2398"/>
      <c r="AI389" s="2398"/>
      <c r="AJ389" s="2398"/>
    </row>
    <row r="390" spans="1:96" ht="12.75" customHeight="1">
      <c r="D390" s="12" t="s">
        <v>444</v>
      </c>
      <c r="Q390" s="2256" t="s">
        <v>617</v>
      </c>
      <c r="R390" s="2256"/>
      <c r="S390" s="2256"/>
      <c r="T390" s="2256"/>
      <c r="U390" s="2256"/>
      <c r="V390" s="58" t="s">
        <v>1345</v>
      </c>
      <c r="AG390" s="2528"/>
      <c r="AH390" s="2528"/>
      <c r="AI390" s="2528"/>
      <c r="AJ390" s="2528"/>
    </row>
    <row r="391" spans="1:96" ht="12.75" customHeight="1">
      <c r="D391" s="12" t="s">
        <v>93</v>
      </c>
      <c r="I391" s="2404" t="s">
        <v>2693</v>
      </c>
      <c r="J391" s="2392"/>
      <c r="K391" s="2392"/>
      <c r="L391" s="2392"/>
      <c r="M391" s="2392"/>
      <c r="N391" s="2392"/>
      <c r="Q391" s="57" t="s">
        <v>212</v>
      </c>
      <c r="S391" s="2478"/>
      <c r="T391" s="2478"/>
      <c r="U391" s="2478"/>
      <c r="V391" s="12" t="s">
        <v>77</v>
      </c>
      <c r="AI391" s="2089" t="s">
        <v>695</v>
      </c>
      <c r="AJ391" s="2089"/>
    </row>
    <row r="392" spans="1:96" ht="12.75" customHeight="1">
      <c r="D392" s="12" t="s">
        <v>316</v>
      </c>
      <c r="Q392" s="2247" t="s">
        <v>617</v>
      </c>
      <c r="R392" s="2247"/>
      <c r="S392" s="2247"/>
      <c r="T392" s="2247"/>
      <c r="U392" s="2247"/>
      <c r="V392" s="12" t="s">
        <v>317</v>
      </c>
      <c r="AG392" s="2527" t="s">
        <v>617</v>
      </c>
      <c r="AH392" s="2398"/>
      <c r="AI392" s="2398"/>
      <c r="AJ392" s="2398"/>
    </row>
    <row r="393" spans="1:96" ht="12.75" customHeight="1">
      <c r="D393" s="12" t="s">
        <v>318</v>
      </c>
      <c r="Q393" s="2540" t="s">
        <v>617</v>
      </c>
      <c r="R393" s="2540"/>
      <c r="S393" s="2540"/>
      <c r="T393" s="2540"/>
      <c r="U393" s="2540"/>
      <c r="V393" s="711" t="s">
        <v>1326</v>
      </c>
      <c r="AG393" s="2398"/>
      <c r="AH393" s="2398"/>
      <c r="AI393" s="2398"/>
      <c r="AJ393" s="2398"/>
    </row>
    <row r="394" spans="1:96" ht="12.75">
      <c r="D394" s="711" t="s">
        <v>1325</v>
      </c>
      <c r="V394" s="711"/>
      <c r="AG394" s="2398"/>
      <c r="AH394" s="2398"/>
      <c r="AI394" s="2398"/>
      <c r="AJ394" s="2398"/>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89" t="s">
        <v>695</v>
      </c>
      <c r="AJ396" s="2089"/>
      <c r="AM396" s="39"/>
      <c r="AN396" s="39"/>
      <c r="AO396" s="39"/>
      <c r="AP396" s="39"/>
      <c r="AQ396" s="39"/>
      <c r="AR396" s="39"/>
      <c r="AS396" s="39"/>
      <c r="AT396" s="39"/>
      <c r="AU396" s="39"/>
      <c r="AV396" s="39"/>
      <c r="AW396" s="39"/>
      <c r="AX396" s="39"/>
      <c r="AY396" s="39"/>
      <c r="CR396" s="25"/>
    </row>
    <row r="397" spans="1:96" s="711" customFormat="1" ht="12.75">
      <c r="D397" s="58" t="s">
        <v>1877</v>
      </c>
      <c r="T397" s="2549" t="s">
        <v>617</v>
      </c>
      <c r="U397" s="2549"/>
      <c r="V397" s="2549"/>
      <c r="W397" s="2549"/>
      <c r="X397" s="2549"/>
      <c r="Y397" s="2549"/>
      <c r="Z397" s="2549"/>
      <c r="AA397" s="2549"/>
      <c r="AB397" s="2549"/>
      <c r="AC397" s="2549"/>
      <c r="AD397" s="2549"/>
      <c r="AE397" s="2549"/>
      <c r="AF397" s="2549"/>
      <c r="AG397" s="2549"/>
      <c r="AH397" s="2549"/>
      <c r="AI397" s="2549"/>
      <c r="AJ397" s="2549"/>
      <c r="AM397" s="39"/>
      <c r="AN397" s="39"/>
      <c r="AO397" s="39"/>
      <c r="AP397" s="39"/>
      <c r="AQ397" s="39"/>
      <c r="AR397" s="39"/>
      <c r="AS397" s="39"/>
      <c r="AT397" s="39"/>
      <c r="AU397" s="39"/>
      <c r="AV397" s="39"/>
      <c r="AW397" s="39"/>
      <c r="AX397" s="39"/>
      <c r="AY397" s="39"/>
      <c r="CR397" s="25"/>
    </row>
    <row r="398" spans="1:96" s="711" customFormat="1" ht="12.75">
      <c r="D398" s="58" t="s">
        <v>1876</v>
      </c>
      <c r="T398" s="2549" t="s">
        <v>617</v>
      </c>
      <c r="U398" s="2549"/>
      <c r="V398" s="2549"/>
      <c r="W398" s="2549"/>
      <c r="X398" s="2549"/>
      <c r="Y398" s="2549"/>
      <c r="Z398" s="2549"/>
      <c r="AA398" s="2549"/>
      <c r="AB398" s="2549"/>
      <c r="AC398" s="2549"/>
      <c r="AD398" s="2549"/>
      <c r="AE398" s="2549"/>
      <c r="AF398" s="2549"/>
      <c r="AG398" s="2549"/>
      <c r="AH398" s="2549"/>
      <c r="AI398" s="2549"/>
      <c r="AJ398" s="2549"/>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49" t="s">
        <v>570</v>
      </c>
      <c r="T400" s="2549"/>
      <c r="U400" s="2549"/>
      <c r="V400" s="474" t="s">
        <v>1870</v>
      </c>
      <c r="W400" s="711"/>
      <c r="X400" s="711"/>
      <c r="Y400" s="711"/>
      <c r="Z400" s="711"/>
      <c r="AA400" s="711"/>
      <c r="AB400" s="39"/>
      <c r="AC400" s="39"/>
      <c r="AD400" s="39"/>
      <c r="AE400" s="39"/>
      <c r="AF400" s="39"/>
      <c r="AG400" s="2481">
        <v>99</v>
      </c>
      <c r="AH400" s="2481"/>
      <c r="AI400" s="2481"/>
      <c r="AJ400" s="2481"/>
      <c r="AK400" s="39"/>
      <c r="AL400" s="711"/>
    </row>
    <row r="401" spans="1:96" s="711" customFormat="1" ht="12.75">
      <c r="D401" s="58" t="s">
        <v>1867</v>
      </c>
      <c r="S401" s="2549" t="s">
        <v>570</v>
      </c>
      <c r="T401" s="2549"/>
      <c r="U401" s="2549"/>
      <c r="V401" s="474" t="s">
        <v>1872</v>
      </c>
      <c r="AB401" s="39"/>
      <c r="AC401" s="39"/>
      <c r="AD401" s="39"/>
      <c r="AE401" s="2482" t="s">
        <v>617</v>
      </c>
      <c r="AF401" s="2482"/>
      <c r="AG401" s="2482"/>
      <c r="AH401" s="2482"/>
      <c r="AI401" s="2482"/>
      <c r="AJ401" s="2482"/>
      <c r="AK401" s="39"/>
      <c r="AM401" s="39"/>
      <c r="AN401" s="39"/>
      <c r="AO401" s="39"/>
      <c r="AP401" s="39"/>
      <c r="AQ401" s="39"/>
      <c r="AR401" s="39"/>
      <c r="AS401" s="39"/>
      <c r="AT401" s="39"/>
      <c r="AU401" s="39"/>
      <c r="AV401" s="39"/>
      <c r="AW401" s="39"/>
      <c r="AX401" s="39"/>
      <c r="AY401" s="39"/>
      <c r="CR401" s="25"/>
    </row>
    <row r="402" spans="1:96" s="711" customFormat="1" ht="12.75">
      <c r="D402" s="58" t="s">
        <v>1868</v>
      </c>
      <c r="K402" s="2483"/>
      <c r="L402" s="2483"/>
      <c r="M402" s="2483"/>
      <c r="N402" s="2483"/>
      <c r="O402" s="2483"/>
      <c r="P402" s="2483"/>
      <c r="Q402" s="2483"/>
      <c r="R402" s="2483"/>
      <c r="S402" s="2483"/>
      <c r="T402" s="2483"/>
      <c r="U402" s="2483"/>
      <c r="V402" s="2483"/>
      <c r="W402" s="2483"/>
      <c r="X402" s="2483"/>
      <c r="Y402" s="2483"/>
      <c r="Z402" s="2483"/>
      <c r="AA402" s="2483"/>
      <c r="AB402" s="2483"/>
      <c r="AC402" s="2483"/>
      <c r="AD402" s="2483"/>
      <c r="AE402" s="2483"/>
      <c r="AF402" s="2483"/>
      <c r="AG402" s="2483"/>
      <c r="AH402" s="2483"/>
      <c r="AI402" s="2483"/>
      <c r="AJ402" s="2483"/>
      <c r="AK402" s="39"/>
      <c r="AM402" s="39"/>
      <c r="AN402" s="39"/>
      <c r="AO402" s="39"/>
      <c r="AP402" s="39"/>
      <c r="AQ402" s="39"/>
      <c r="AR402" s="39"/>
      <c r="AS402" s="39"/>
      <c r="AT402" s="39"/>
      <c r="AU402" s="39"/>
      <c r="AV402" s="39"/>
      <c r="AW402" s="39"/>
      <c r="AX402" s="39"/>
      <c r="AY402" s="39"/>
      <c r="CR402" s="25"/>
    </row>
    <row r="403" spans="1:96" s="711" customFormat="1" ht="12.75">
      <c r="D403" s="58" t="s">
        <v>1871</v>
      </c>
      <c r="K403" s="2483" t="s">
        <v>2694</v>
      </c>
      <c r="L403" s="2483"/>
      <c r="M403" s="2483"/>
      <c r="N403" s="2483"/>
      <c r="O403" s="2483"/>
      <c r="P403" s="2483"/>
      <c r="Q403" s="2483"/>
      <c r="R403" s="2483"/>
      <c r="S403" s="2483"/>
      <c r="T403" s="2483"/>
      <c r="U403" s="2483"/>
      <c r="V403" s="2483"/>
      <c r="W403" s="2483"/>
      <c r="X403" s="2483"/>
      <c r="Y403" s="2483"/>
      <c r="Z403" s="2483"/>
      <c r="AA403" s="2483"/>
      <c r="AB403" s="2483"/>
      <c r="AC403" s="2483"/>
      <c r="AD403" s="2483"/>
      <c r="AE403" s="2483"/>
      <c r="AF403" s="2483"/>
      <c r="AG403" s="2483"/>
      <c r="AH403" s="2483"/>
      <c r="AI403" s="2483"/>
      <c r="AJ403" s="2483"/>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26" t="s">
        <v>2695</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1" customFormat="1" ht="12.75">
      <c r="D405" s="2484" t="s">
        <v>1873</v>
      </c>
      <c r="E405" s="2484"/>
      <c r="F405" s="2484"/>
      <c r="G405" s="2484"/>
      <c r="H405" s="2484"/>
      <c r="I405" s="2484"/>
      <c r="J405" s="2484"/>
      <c r="K405" s="2484"/>
      <c r="L405" s="2484"/>
      <c r="M405" s="2484"/>
      <c r="N405" s="2484"/>
      <c r="O405" s="2484"/>
      <c r="P405" s="2484"/>
      <c r="Q405" s="2484"/>
      <c r="R405" s="2484"/>
      <c r="S405" s="2484"/>
      <c r="T405" s="2484"/>
      <c r="U405" s="2484"/>
      <c r="V405" s="2484"/>
      <c r="W405" s="2484"/>
      <c r="X405" s="2484"/>
      <c r="Y405" s="2484"/>
      <c r="Z405" s="2484"/>
      <c r="AA405" s="2484"/>
      <c r="AB405" s="2484"/>
      <c r="AC405" s="2484"/>
      <c r="AD405" s="2484"/>
      <c r="AE405" s="2484"/>
      <c r="AF405" s="2484"/>
      <c r="AG405" s="2484"/>
      <c r="AH405" s="2484"/>
      <c r="AI405" s="2484"/>
      <c r="AJ405" s="2484"/>
      <c r="AK405" s="39"/>
      <c r="AL405" s="39"/>
      <c r="AM405" s="39"/>
      <c r="AN405" s="39"/>
      <c r="AO405" s="39"/>
      <c r="AP405" s="39"/>
      <c r="AQ405" s="39"/>
      <c r="AR405" s="39"/>
      <c r="AS405" s="39"/>
      <c r="AT405" s="39"/>
      <c r="AU405" s="39"/>
      <c r="AV405" s="39"/>
      <c r="AW405" s="39"/>
      <c r="AX405" s="39"/>
      <c r="AY405" s="39"/>
      <c r="CR405" s="25"/>
    </row>
    <row r="406" spans="1:96" s="711" customFormat="1" ht="12.75">
      <c r="D406" s="2484"/>
      <c r="E406" s="2484"/>
      <c r="F406" s="2484"/>
      <c r="G406" s="2484"/>
      <c r="H406" s="2484"/>
      <c r="I406" s="2484"/>
      <c r="J406" s="2484"/>
      <c r="K406" s="2484"/>
      <c r="L406" s="2484"/>
      <c r="M406" s="2484"/>
      <c r="N406" s="2484"/>
      <c r="O406" s="2484"/>
      <c r="P406" s="2484"/>
      <c r="Q406" s="2484"/>
      <c r="R406" s="2484"/>
      <c r="S406" s="2484"/>
      <c r="T406" s="2484"/>
      <c r="U406" s="2484"/>
      <c r="V406" s="2484"/>
      <c r="W406" s="2484"/>
      <c r="X406" s="2484"/>
      <c r="Y406" s="2484"/>
      <c r="Z406" s="2484"/>
      <c r="AA406" s="2484"/>
      <c r="AB406" s="2484"/>
      <c r="AC406" s="2484"/>
      <c r="AD406" s="2484"/>
      <c r="AE406" s="2484"/>
      <c r="AF406" s="2484"/>
      <c r="AG406" s="2484"/>
      <c r="AH406" s="2484"/>
      <c r="AI406" s="2484"/>
      <c r="AJ406" s="2484"/>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353" t="s">
        <v>2696</v>
      </c>
      <c r="J409" s="2353"/>
      <c r="K409" s="2353"/>
      <c r="L409" s="2353"/>
      <c r="M409" s="2353"/>
      <c r="N409" s="2353"/>
      <c r="O409" s="2353"/>
      <c r="P409" s="2353"/>
      <c r="Q409" s="2353"/>
      <c r="R409" s="2353"/>
      <c r="S409" s="2353"/>
      <c r="T409" s="2353"/>
      <c r="U409" s="2353"/>
      <c r="V409" s="2353"/>
      <c r="W409" s="2353"/>
      <c r="X409" s="2353"/>
      <c r="Y409" s="2353"/>
      <c r="Z409" s="2353"/>
      <c r="AA409" s="2353"/>
      <c r="AB409" s="2353"/>
      <c r="AC409" s="2353"/>
      <c r="AD409" s="2353"/>
      <c r="AE409" s="2353"/>
    </row>
    <row r="410" spans="1:96" ht="12.75" customHeight="1">
      <c r="C410" s="25"/>
      <c r="D410" s="25"/>
      <c r="E410" s="12" t="s">
        <v>111</v>
      </c>
      <c r="F410" s="25"/>
      <c r="G410" s="25"/>
      <c r="H410" s="25"/>
      <c r="I410" s="25"/>
      <c r="J410" s="25"/>
      <c r="K410" s="25"/>
      <c r="L410" s="25"/>
      <c r="M410" s="25"/>
      <c r="N410" s="25"/>
      <c r="O410" s="25"/>
      <c r="P410" s="711"/>
      <c r="Q410" s="711"/>
      <c r="R410" s="2089" t="s">
        <v>570</v>
      </c>
      <c r="S410" s="2089"/>
      <c r="T410" s="12" t="s">
        <v>595</v>
      </c>
      <c r="U410" s="711"/>
      <c r="V410" s="711"/>
      <c r="W410" s="711"/>
      <c r="X410" s="711"/>
      <c r="Y410" s="711"/>
      <c r="Z410" s="711"/>
      <c r="AA410" s="711"/>
      <c r="AB410" s="711"/>
      <c r="AC410" s="711"/>
      <c r="AD410" s="2401">
        <v>5</v>
      </c>
      <c r="AE410" s="2401"/>
      <c r="AF410" s="711"/>
    </row>
    <row r="411" spans="1:96" ht="12.75">
      <c r="C411" s="25"/>
      <c r="E411" s="12" t="s">
        <v>112</v>
      </c>
      <c r="F411" s="711"/>
      <c r="G411" s="711"/>
      <c r="H411" s="711"/>
      <c r="I411" s="711"/>
      <c r="J411" s="711"/>
      <c r="K411" s="711"/>
      <c r="L411" s="711"/>
      <c r="M411" s="711"/>
      <c r="N411" s="25"/>
      <c r="O411" s="25"/>
      <c r="P411" s="711"/>
      <c r="Q411" s="711"/>
      <c r="R411" s="2089" t="s">
        <v>617</v>
      </c>
      <c r="S411" s="2089"/>
      <c r="T411" s="12" t="s">
        <v>595</v>
      </c>
      <c r="U411" s="711"/>
      <c r="V411" s="711"/>
      <c r="W411" s="711"/>
      <c r="X411" s="711"/>
      <c r="Y411" s="711"/>
      <c r="Z411" s="711"/>
      <c r="AA411" s="711"/>
      <c r="AB411" s="711"/>
      <c r="AC411" s="711"/>
      <c r="AD411" s="2401">
        <v>0</v>
      </c>
      <c r="AE411" s="2401"/>
      <c r="AF411" s="711"/>
    </row>
    <row r="412" spans="1:96" ht="12.75" customHeight="1">
      <c r="C412" s="25"/>
      <c r="E412" s="12" t="s">
        <v>113</v>
      </c>
      <c r="F412" s="711"/>
      <c r="G412" s="711"/>
      <c r="H412" s="711"/>
      <c r="I412" s="711"/>
      <c r="J412" s="711"/>
      <c r="K412" s="711"/>
      <c r="L412" s="711"/>
      <c r="M412" s="711"/>
      <c r="N412" s="25"/>
      <c r="O412" s="25"/>
      <c r="P412" s="711"/>
      <c r="Q412" s="711"/>
      <c r="R412" s="711"/>
      <c r="S412" s="2089" t="s">
        <v>570</v>
      </c>
      <c r="T412" s="2089"/>
      <c r="U412" s="711"/>
      <c r="V412" s="711"/>
      <c r="W412" s="711"/>
      <c r="X412" s="711"/>
      <c r="Y412" s="711"/>
      <c r="Z412" s="711"/>
      <c r="AA412" s="711"/>
      <c r="AB412" s="711"/>
      <c r="AC412" s="711"/>
      <c r="AD412" s="711"/>
      <c r="AE412" s="711"/>
      <c r="AF412" s="711"/>
    </row>
    <row r="413" spans="1:96" ht="12.75" customHeight="1">
      <c r="E413" s="12" t="s">
        <v>175</v>
      </c>
      <c r="F413" s="711"/>
      <c r="G413" s="711"/>
      <c r="H413" s="3464" t="s">
        <v>2756</v>
      </c>
      <c r="I413" s="3464"/>
      <c r="J413" s="3464"/>
      <c r="K413" s="3464"/>
      <c r="L413" s="3464"/>
      <c r="M413" s="3464"/>
      <c r="N413" s="3464"/>
      <c r="O413" s="3464"/>
      <c r="P413" s="3464"/>
      <c r="Q413" s="3464"/>
      <c r="R413" s="3464"/>
      <c r="S413" s="3464"/>
      <c r="T413" s="3464"/>
      <c r="U413" s="3464"/>
      <c r="V413" s="3464"/>
      <c r="W413" s="3464"/>
      <c r="X413" s="3464"/>
      <c r="Y413" s="3464"/>
      <c r="Z413" s="3464"/>
      <c r="AA413" s="3464"/>
      <c r="AB413" s="3464"/>
      <c r="AC413" s="3464"/>
      <c r="AD413" s="3464"/>
      <c r="AE413" s="3464"/>
      <c r="AF413" s="711"/>
    </row>
    <row r="414" spans="1:96" ht="12.75" customHeight="1">
      <c r="E414" s="25"/>
      <c r="F414" s="711"/>
      <c r="G414" s="711"/>
      <c r="H414" s="3465"/>
      <c r="I414" s="3465"/>
      <c r="J414" s="3465"/>
      <c r="K414" s="3465"/>
      <c r="L414" s="3465"/>
      <c r="M414" s="3465"/>
      <c r="N414" s="3465"/>
      <c r="O414" s="3465"/>
      <c r="P414" s="3465"/>
      <c r="Q414" s="3465"/>
      <c r="R414" s="3465"/>
      <c r="S414" s="3465"/>
      <c r="T414" s="3465"/>
      <c r="U414" s="3465"/>
      <c r="V414" s="3465"/>
      <c r="W414" s="3465"/>
      <c r="X414" s="3465"/>
      <c r="Y414" s="3465"/>
      <c r="Z414" s="3465"/>
      <c r="AA414" s="3465"/>
      <c r="AB414" s="3465"/>
      <c r="AC414" s="3465"/>
      <c r="AD414" s="3465"/>
      <c r="AE414" s="3465"/>
      <c r="AF414" s="711"/>
    </row>
    <row r="415" spans="1:96" ht="12.75" customHeight="1"/>
    <row r="416" spans="1:96" ht="12.75" customHeight="1">
      <c r="A416" s="50" t="s">
        <v>616</v>
      </c>
      <c r="B416" s="50"/>
      <c r="C416" s="50"/>
      <c r="D416" s="50" t="s">
        <v>119</v>
      </c>
      <c r="AF416" s="50" t="s">
        <v>1016</v>
      </c>
    </row>
    <row r="417" spans="1:96" ht="12.75" customHeight="1">
      <c r="E417" s="2399"/>
      <c r="F417" s="2399"/>
      <c r="G417" s="2399"/>
      <c r="H417" s="23" t="s">
        <v>120</v>
      </c>
      <c r="I417" s="2399"/>
      <c r="J417" s="2399"/>
      <c r="K417" s="2399"/>
      <c r="L417" s="12" t="s">
        <v>121</v>
      </c>
      <c r="N417" s="141" t="s">
        <v>601</v>
      </c>
      <c r="P417" s="2477">
        <v>1.25</v>
      </c>
      <c r="Q417" s="2477"/>
      <c r="R417" s="2477"/>
      <c r="S417" s="12" t="s">
        <v>122</v>
      </c>
      <c r="W417" s="2561">
        <f>IF(E417&gt;0,(E417*I417),(P417*43560))</f>
        <v>54450</v>
      </c>
      <c r="X417" s="2561"/>
      <c r="Y417" s="2561"/>
      <c r="Z417" s="12" t="s">
        <v>123</v>
      </c>
      <c r="AF417" s="2480">
        <f>IF(P417&gt;0,(AG436/P417),(AG436/(W417/43560)))</f>
        <v>108.8</v>
      </c>
      <c r="AG417" s="2480"/>
      <c r="AH417" s="2480"/>
      <c r="AM417" s="239"/>
    </row>
    <row r="418" spans="1:96" ht="12.75">
      <c r="E418" s="12" t="s">
        <v>54</v>
      </c>
    </row>
    <row r="419" spans="1:96" ht="12.75" customHeight="1">
      <c r="E419" s="2550"/>
      <c r="F419" s="2550"/>
      <c r="G419" s="2550"/>
      <c r="H419" s="2550"/>
      <c r="I419" s="2550"/>
      <c r="J419" s="2550"/>
      <c r="K419" s="2550"/>
      <c r="L419" s="2550"/>
      <c r="M419" s="2550"/>
      <c r="N419" s="2550"/>
      <c r="O419" s="2550"/>
      <c r="P419" s="2550"/>
      <c r="Q419" s="2550"/>
      <c r="R419" s="2550"/>
      <c r="S419" s="2550"/>
      <c r="T419" s="2550"/>
      <c r="U419" s="2550"/>
      <c r="V419" s="2550"/>
      <c r="W419" s="2550"/>
      <c r="X419" s="2550"/>
      <c r="Y419" s="2550"/>
      <c r="Z419" s="2550"/>
      <c r="AA419" s="2550"/>
      <c r="AB419" s="2550"/>
      <c r="AC419" s="2550"/>
      <c r="AD419" s="2550"/>
      <c r="AE419" s="2550"/>
      <c r="AF419" s="2550"/>
      <c r="AG419" s="2550"/>
      <c r="AH419" s="2550"/>
      <c r="AI419" s="2550"/>
      <c r="AJ419" s="2550"/>
    </row>
    <row r="420" spans="1:96" s="39" customFormat="1" ht="12.75" customHeight="1">
      <c r="E420" s="254" t="s">
        <v>2050</v>
      </c>
      <c r="F420" s="1651"/>
      <c r="G420" s="1651"/>
      <c r="H420" s="1651"/>
      <c r="I420" s="2397">
        <v>1.25</v>
      </c>
      <c r="J420" s="2397"/>
      <c r="K420" s="2397"/>
      <c r="L420" s="1651"/>
      <c r="M420" s="254"/>
      <c r="N420" s="1651"/>
      <c r="O420" s="1651"/>
      <c r="P420" s="2365">
        <f>(CS637+CS645+CS661)/I420</f>
        <v>195.2</v>
      </c>
      <c r="Q420" s="2365"/>
      <c r="R420" s="2365"/>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89">
        <v>1</v>
      </c>
      <c r="Q423" s="2089"/>
      <c r="S423" s="12" t="s">
        <v>195</v>
      </c>
      <c r="AE423" s="2089">
        <v>1</v>
      </c>
      <c r="AF423" s="2089"/>
    </row>
    <row r="424" spans="1:96" ht="12.75">
      <c r="E424" s="12" t="s">
        <v>196</v>
      </c>
      <c r="P424" s="2089">
        <v>0</v>
      </c>
      <c r="Q424" s="2089"/>
      <c r="S424" s="12" t="s">
        <v>136</v>
      </c>
      <c r="AE424" s="2089" t="s">
        <v>617</v>
      </c>
      <c r="AF424" s="2089"/>
    </row>
    <row r="425" spans="1:96" ht="12.75">
      <c r="F425" s="67" t="s">
        <v>137</v>
      </c>
    </row>
    <row r="426" spans="1:96" ht="12.75">
      <c r="F426" s="2519"/>
      <c r="G426" s="2519"/>
      <c r="H426" s="2519"/>
      <c r="I426" s="2519"/>
      <c r="J426" s="2519"/>
      <c r="K426" s="2519"/>
      <c r="L426" s="2519"/>
      <c r="M426" s="2519"/>
      <c r="N426" s="2519"/>
      <c r="O426" s="2519"/>
      <c r="P426" s="2519"/>
      <c r="Q426" s="2519"/>
      <c r="R426" s="2519"/>
      <c r="S426" s="2519"/>
      <c r="T426" s="2519"/>
      <c r="U426" s="2519"/>
      <c r="V426" s="2519"/>
      <c r="W426" s="2519"/>
      <c r="X426" s="2519"/>
      <c r="Y426" s="2519"/>
      <c r="Z426" s="2519"/>
      <c r="AA426" s="2519"/>
      <c r="AB426" s="2519"/>
      <c r="AC426" s="2519"/>
      <c r="AD426" s="2519"/>
      <c r="AE426" s="2519"/>
      <c r="AF426" s="2519"/>
      <c r="AG426" s="2519"/>
      <c r="AH426" s="2519"/>
    </row>
    <row r="427" spans="1:96" ht="12.75" customHeight="1">
      <c r="F427" s="2518"/>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2518"/>
      <c r="AG427" s="2518"/>
      <c r="AH427" s="2518"/>
    </row>
    <row r="428" spans="1:96" ht="12.75" customHeight="1">
      <c r="E428" s="12" t="s">
        <v>634</v>
      </c>
      <c r="N428" s="39"/>
      <c r="O428" s="39"/>
      <c r="P428" s="235"/>
      <c r="Q428" s="2089" t="s">
        <v>570</v>
      </c>
      <c r="R428" s="2089"/>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89" t="s">
        <v>617</v>
      </c>
      <c r="AG429" s="2600"/>
    </row>
    <row r="430" spans="1:96" ht="12.75" customHeight="1">
      <c r="S430" s="25"/>
      <c r="T430" s="25"/>
    </row>
    <row r="431" spans="1:96" ht="12.75" customHeight="1">
      <c r="A431" s="50"/>
      <c r="B431" s="50"/>
      <c r="C431" s="50"/>
      <c r="E431" s="7" t="s">
        <v>314</v>
      </c>
      <c r="Z431" s="2089" t="s">
        <v>695</v>
      </c>
      <c r="AA431" s="208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89" t="s">
        <v>617</v>
      </c>
      <c r="AA433" s="2089"/>
    </row>
    <row r="434" spans="1:110" ht="12.75" customHeight="1"/>
    <row r="435" spans="1:110" ht="12.75" customHeight="1">
      <c r="A435" s="50" t="s">
        <v>492</v>
      </c>
      <c r="B435" s="50"/>
      <c r="C435" s="50"/>
      <c r="D435" s="50" t="s">
        <v>806</v>
      </c>
      <c r="AF435" s="80"/>
    </row>
    <row r="436" spans="1:110" ht="12.75" customHeight="1">
      <c r="D436" s="2341" t="s">
        <v>46</v>
      </c>
      <c r="E436" s="2342"/>
      <c r="F436" s="2342"/>
      <c r="G436" s="2342"/>
      <c r="H436" s="2342"/>
      <c r="I436" s="2342"/>
      <c r="J436" s="2342"/>
      <c r="K436" s="2342"/>
      <c r="L436" s="2342"/>
      <c r="M436" s="2342"/>
      <c r="N436" s="2342"/>
      <c r="O436" s="2342"/>
      <c r="P436" s="2342"/>
      <c r="Q436" s="2342"/>
      <c r="R436" s="2342"/>
      <c r="S436" s="2342"/>
      <c r="T436" s="2342"/>
      <c r="U436" s="2342"/>
      <c r="V436" s="2342"/>
      <c r="W436" s="2342"/>
      <c r="X436" s="2342"/>
      <c r="Y436" s="2342"/>
      <c r="Z436" s="2342"/>
      <c r="AA436" s="2342"/>
      <c r="AB436" s="2342"/>
      <c r="AC436" s="2342"/>
      <c r="AD436" s="2342"/>
      <c r="AE436" s="2342"/>
      <c r="AF436" s="2562"/>
      <c r="AG436" s="2536">
        <v>136</v>
      </c>
      <c r="AH436" s="2536"/>
      <c r="AI436" s="2536"/>
      <c r="AJ436" s="2536"/>
    </row>
    <row r="437" spans="1:110" ht="12.75" customHeight="1">
      <c r="D437" s="2488" t="s">
        <v>1391</v>
      </c>
      <c r="E437" s="2489"/>
      <c r="F437" s="2489"/>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c r="AG437" s="2573">
        <v>0</v>
      </c>
      <c r="AH437" s="2419"/>
      <c r="AI437" s="2419"/>
      <c r="AJ437" s="2419"/>
    </row>
    <row r="438" spans="1:110" ht="12.75" customHeight="1">
      <c r="D438" s="2488" t="s">
        <v>1113</v>
      </c>
      <c r="E438" s="2489"/>
      <c r="F438" s="2489"/>
      <c r="G438" s="2489"/>
      <c r="H438" s="2489"/>
      <c r="I438" s="2489"/>
      <c r="J438" s="2489"/>
      <c r="K438" s="2489"/>
      <c r="L438" s="2489"/>
      <c r="M438" s="2489"/>
      <c r="N438" s="2489"/>
      <c r="O438" s="2489"/>
      <c r="P438" s="2489"/>
      <c r="Q438" s="2489"/>
      <c r="R438" s="2489"/>
      <c r="S438" s="2489"/>
      <c r="T438" s="2489"/>
      <c r="U438" s="2489"/>
      <c r="V438" s="2489"/>
      <c r="W438" s="2489"/>
      <c r="X438" s="2489"/>
      <c r="Y438" s="2489"/>
      <c r="Z438" s="2489"/>
      <c r="AA438" s="2489"/>
      <c r="AB438" s="2489"/>
      <c r="AC438" s="2489"/>
      <c r="AD438" s="2489"/>
      <c r="AE438" s="2489"/>
      <c r="AF438" s="2490"/>
      <c r="AG438" s="2536">
        <v>135</v>
      </c>
      <c r="AH438" s="2536"/>
      <c r="AI438" s="2536"/>
      <c r="AJ438" s="2536"/>
    </row>
    <row r="439" spans="1:110" ht="12.75" customHeight="1">
      <c r="D439" s="2488" t="s">
        <v>1114</v>
      </c>
      <c r="E439" s="2489"/>
      <c r="F439" s="2489"/>
      <c r="G439" s="2489"/>
      <c r="H439" s="2489"/>
      <c r="I439" s="2489"/>
      <c r="J439" s="2489"/>
      <c r="K439" s="2489"/>
      <c r="L439" s="2489"/>
      <c r="M439" s="2489"/>
      <c r="N439" s="2489"/>
      <c r="O439" s="2489"/>
      <c r="P439" s="2489"/>
      <c r="Q439" s="2489"/>
      <c r="R439" s="2489"/>
      <c r="S439" s="2489"/>
      <c r="T439" s="2489"/>
      <c r="U439" s="2489"/>
      <c r="V439" s="2489"/>
      <c r="W439" s="2489"/>
      <c r="X439" s="2489"/>
      <c r="Y439" s="2489"/>
      <c r="Z439" s="2489"/>
      <c r="AA439" s="2489"/>
      <c r="AB439" s="2489"/>
      <c r="AC439" s="2489"/>
      <c r="AD439" s="2489"/>
      <c r="AE439" s="2489"/>
      <c r="AF439" s="2490"/>
      <c r="AG439" s="2536">
        <v>135</v>
      </c>
      <c r="AH439" s="2536"/>
      <c r="AI439" s="2536"/>
      <c r="AJ439" s="2536"/>
    </row>
    <row r="440" spans="1:110" ht="12.75" customHeight="1">
      <c r="D440" s="2488" t="s">
        <v>1116</v>
      </c>
      <c r="E440" s="2489"/>
      <c r="F440" s="2489"/>
      <c r="G440" s="2489"/>
      <c r="H440" s="2489"/>
      <c r="I440" s="2489"/>
      <c r="J440" s="2489"/>
      <c r="K440" s="2489"/>
      <c r="L440" s="2489"/>
      <c r="M440" s="2489"/>
      <c r="N440" s="2489"/>
      <c r="O440" s="2489"/>
      <c r="P440" s="2489"/>
      <c r="Q440" s="2489"/>
      <c r="R440" s="2489"/>
      <c r="S440" s="2489"/>
      <c r="T440" s="2489"/>
      <c r="U440" s="2489"/>
      <c r="V440" s="2489"/>
      <c r="W440" s="2489"/>
      <c r="X440" s="2489"/>
      <c r="Y440" s="2489"/>
      <c r="Z440" s="2489"/>
      <c r="AA440" s="2489"/>
      <c r="AB440" s="2489"/>
      <c r="AC440" s="2489"/>
      <c r="AD440" s="2489"/>
      <c r="AE440" s="2489"/>
      <c r="AF440" s="2490"/>
      <c r="AG440" s="2538">
        <f>IF(ISERROR(AG439/AG438),"",AG439/AG438)</f>
        <v>1</v>
      </c>
      <c r="AH440" s="2538"/>
      <c r="AI440" s="2538"/>
      <c r="AJ440" s="2538"/>
    </row>
    <row r="441" spans="1:110" ht="12.75" customHeight="1">
      <c r="D441" s="2488" t="s">
        <v>1115</v>
      </c>
      <c r="E441" s="2489"/>
      <c r="F441" s="2489"/>
      <c r="G441" s="2489"/>
      <c r="H441" s="2489"/>
      <c r="I441" s="2489"/>
      <c r="J441" s="2489"/>
      <c r="K441" s="2489"/>
      <c r="L441" s="2489"/>
      <c r="M441" s="2489"/>
      <c r="N441" s="2489"/>
      <c r="O441" s="2489"/>
      <c r="P441" s="2489"/>
      <c r="Q441" s="2489"/>
      <c r="R441" s="2489"/>
      <c r="S441" s="2489"/>
      <c r="T441" s="2489"/>
      <c r="U441" s="2489"/>
      <c r="V441" s="2489"/>
      <c r="W441" s="2489"/>
      <c r="X441" s="2489"/>
      <c r="Y441" s="2489"/>
      <c r="Z441" s="2489"/>
      <c r="AA441" s="2489"/>
      <c r="AB441" s="2489"/>
      <c r="AC441" s="2489"/>
      <c r="AD441" s="2489"/>
      <c r="AE441" s="2489"/>
      <c r="AF441" s="2490"/>
      <c r="AG441" s="2537">
        <v>93917</v>
      </c>
      <c r="AH441" s="2537"/>
      <c r="AI441" s="2537"/>
      <c r="AJ441" s="2537"/>
    </row>
    <row r="442" spans="1:110" ht="12.75" customHeight="1">
      <c r="D442" s="2488" t="s">
        <v>1117</v>
      </c>
      <c r="E442" s="2489"/>
      <c r="F442" s="2489"/>
      <c r="G442" s="2489"/>
      <c r="H442" s="2489"/>
      <c r="I442" s="2489"/>
      <c r="J442" s="2489"/>
      <c r="K442" s="2489"/>
      <c r="L442" s="2489"/>
      <c r="M442" s="2489"/>
      <c r="N442" s="2489"/>
      <c r="O442" s="2489"/>
      <c r="P442" s="2489"/>
      <c r="Q442" s="2489"/>
      <c r="R442" s="2489"/>
      <c r="S442" s="2489"/>
      <c r="T442" s="2489"/>
      <c r="U442" s="2489"/>
      <c r="V442" s="2489"/>
      <c r="W442" s="2489"/>
      <c r="X442" s="2489"/>
      <c r="Y442" s="2489"/>
      <c r="Z442" s="2489"/>
      <c r="AA442" s="2489"/>
      <c r="AB442" s="2489"/>
      <c r="AC442" s="2489"/>
      <c r="AD442" s="2489"/>
      <c r="AE442" s="2489"/>
      <c r="AF442" s="2490"/>
      <c r="AG442" s="2537">
        <v>93917</v>
      </c>
      <c r="AH442" s="2537"/>
      <c r="AI442" s="2537"/>
      <c r="AJ442" s="2537"/>
    </row>
    <row r="443" spans="1:110" ht="12.75" customHeight="1">
      <c r="D443" s="2488" t="s">
        <v>1118</v>
      </c>
      <c r="E443" s="2489"/>
      <c r="F443" s="2489"/>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90"/>
      <c r="AG443" s="2538">
        <f>IF(ISERROR(AG442/AG441),"",AG442/AG441)</f>
        <v>1</v>
      </c>
      <c r="AH443" s="2538"/>
      <c r="AI443" s="2538"/>
      <c r="AJ443" s="2538"/>
    </row>
    <row r="444" spans="1:110" ht="12.75" customHeight="1">
      <c r="D444" s="2488" t="s">
        <v>1119</v>
      </c>
      <c r="E444" s="2489"/>
      <c r="F444" s="2489"/>
      <c r="G444" s="2489"/>
      <c r="H444" s="2489"/>
      <c r="I444" s="2489"/>
      <c r="J444" s="2489"/>
      <c r="K444" s="2489"/>
      <c r="L444" s="2489"/>
      <c r="M444" s="2489"/>
      <c r="N444" s="2489"/>
      <c r="O444" s="2489"/>
      <c r="P444" s="2489"/>
      <c r="Q444" s="2489"/>
      <c r="R444" s="2489"/>
      <c r="S444" s="2489"/>
      <c r="T444" s="2489"/>
      <c r="U444" s="2489"/>
      <c r="V444" s="2489"/>
      <c r="W444" s="2489"/>
      <c r="X444" s="2489"/>
      <c r="Y444" s="2489"/>
      <c r="Z444" s="2489"/>
      <c r="AA444" s="2489"/>
      <c r="AB444" s="2489"/>
      <c r="AC444" s="2489"/>
      <c r="AD444" s="2489"/>
      <c r="AE444" s="2489"/>
      <c r="AF444" s="2490"/>
      <c r="AG444" s="2538">
        <f>MIN(IF(AG440&gt;AG443,AG443,AG440),1)</f>
        <v>1</v>
      </c>
      <c r="AH444" s="2538"/>
      <c r="AI444" s="2538"/>
      <c r="AJ444" s="2538"/>
    </row>
    <row r="445" spans="1:110" ht="12.75" customHeight="1">
      <c r="D445" s="2488" t="s">
        <v>2582</v>
      </c>
      <c r="E445" s="2342"/>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2562"/>
      <c r="AG445" s="2537">
        <v>1850</v>
      </c>
      <c r="AH445" s="2537"/>
      <c r="AI445" s="2537"/>
      <c r="AJ445" s="2537"/>
    </row>
    <row r="446" spans="1:110" ht="12.75" customHeight="1">
      <c r="D446" s="2341" t="s">
        <v>594</v>
      </c>
      <c r="E446" s="2342"/>
      <c r="F446" s="2342"/>
      <c r="G446" s="2342"/>
      <c r="H446" s="2342"/>
      <c r="I446" s="2342"/>
      <c r="J446" s="2342"/>
      <c r="K446" s="2342"/>
      <c r="L446" s="2342"/>
      <c r="M446" s="2342"/>
      <c r="N446" s="2342"/>
      <c r="O446" s="2342"/>
      <c r="P446" s="2342"/>
      <c r="Q446" s="2342"/>
      <c r="R446" s="2342"/>
      <c r="S446" s="2342"/>
      <c r="T446" s="2342"/>
      <c r="U446" s="2342"/>
      <c r="V446" s="2342"/>
      <c r="W446" s="2342"/>
      <c r="X446" s="2342"/>
      <c r="Y446" s="2342"/>
      <c r="Z446" s="2342"/>
      <c r="AA446" s="2342"/>
      <c r="AB446" s="2342"/>
      <c r="AC446" s="2342"/>
      <c r="AD446" s="2342"/>
      <c r="AE446" s="2342"/>
      <c r="AF446" s="2562"/>
      <c r="AG446" s="2479">
        <v>0</v>
      </c>
      <c r="AH446" s="2479"/>
      <c r="AI446" s="2479"/>
      <c r="AJ446" s="247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88" t="s">
        <v>1369</v>
      </c>
      <c r="E447" s="2342"/>
      <c r="F447" s="2342"/>
      <c r="G447" s="2342"/>
      <c r="H447" s="2342"/>
      <c r="I447" s="2342"/>
      <c r="J447" s="2342"/>
      <c r="K447" s="2342"/>
      <c r="L447" s="2342"/>
      <c r="M447" s="2342"/>
      <c r="N447" s="2342"/>
      <c r="O447" s="2342"/>
      <c r="P447" s="2342"/>
      <c r="Q447" s="2342"/>
      <c r="R447" s="2342"/>
      <c r="S447" s="2342"/>
      <c r="T447" s="2342"/>
      <c r="U447" s="2342"/>
      <c r="V447" s="2342"/>
      <c r="W447" s="2342"/>
      <c r="X447" s="2342"/>
      <c r="Y447" s="2342"/>
      <c r="Z447" s="2342"/>
      <c r="AA447" s="2342"/>
      <c r="AB447" s="2342"/>
      <c r="AC447" s="2342"/>
      <c r="AD447" s="2342"/>
      <c r="AE447" s="2342"/>
      <c r="AF447" s="2562"/>
      <c r="AG447" s="2479">
        <v>45240</v>
      </c>
      <c r="AH447" s="2479"/>
      <c r="AI447" s="2479"/>
      <c r="AJ447" s="247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8" t="s">
        <v>1120</v>
      </c>
      <c r="E448" s="2342"/>
      <c r="F448" s="2342"/>
      <c r="G448" s="2342"/>
      <c r="H448" s="2342"/>
      <c r="I448" s="2342"/>
      <c r="J448" s="2342"/>
      <c r="K448" s="2342"/>
      <c r="L448" s="2342"/>
      <c r="M448" s="2342"/>
      <c r="N448" s="2342"/>
      <c r="O448" s="2342"/>
      <c r="P448" s="2342"/>
      <c r="Q448" s="2342"/>
      <c r="R448" s="2342"/>
      <c r="S448" s="2342"/>
      <c r="T448" s="2342"/>
      <c r="U448" s="2342"/>
      <c r="V448" s="2342"/>
      <c r="W448" s="2342"/>
      <c r="X448" s="2342"/>
      <c r="Y448" s="2342"/>
      <c r="Z448" s="2342"/>
      <c r="AA448" s="2342"/>
      <c r="AB448" s="2342"/>
      <c r="AC448" s="2342"/>
      <c r="AD448" s="2342"/>
      <c r="AE448" s="2342"/>
      <c r="AF448" s="2562"/>
      <c r="AG448" s="2479">
        <v>0</v>
      </c>
      <c r="AH448" s="2479"/>
      <c r="AI448" s="2479"/>
      <c r="AJ448" s="247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3" t="s">
        <v>1121</v>
      </c>
      <c r="E449" s="2544"/>
      <c r="F449" s="2544"/>
      <c r="G449" s="2544"/>
      <c r="H449" s="2544"/>
      <c r="I449" s="2544"/>
      <c r="J449" s="2544"/>
      <c r="K449" s="2544"/>
      <c r="L449" s="2544"/>
      <c r="M449" s="2544"/>
      <c r="N449" s="2544"/>
      <c r="O449" s="2544"/>
      <c r="P449" s="2544"/>
      <c r="Q449" s="2544"/>
      <c r="R449" s="2544"/>
      <c r="S449" s="2544"/>
      <c r="T449" s="2544"/>
      <c r="U449" s="2544"/>
      <c r="V449" s="2544"/>
      <c r="W449" s="2544"/>
      <c r="X449" s="2544"/>
      <c r="Y449" s="2544"/>
      <c r="Z449" s="2544"/>
      <c r="AA449" s="2544"/>
      <c r="AB449" s="2544"/>
      <c r="AC449" s="2544"/>
      <c r="AD449" s="2544"/>
      <c r="AE449" s="2544"/>
      <c r="AF449" s="2545"/>
      <c r="AG449" s="2599">
        <f>AG441+AG445+AG447+AG448</f>
        <v>141007</v>
      </c>
      <c r="AH449" s="2599"/>
      <c r="AI449" s="2599"/>
      <c r="AJ449" s="25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6" t="s">
        <v>1370</v>
      </c>
      <c r="E450" s="2546"/>
      <c r="F450" s="2546"/>
      <c r="G450" s="2546"/>
      <c r="H450" s="2546"/>
      <c r="I450" s="2546"/>
      <c r="J450" s="2546"/>
      <c r="K450" s="2546"/>
      <c r="L450" s="2546"/>
      <c r="M450" s="2546"/>
      <c r="N450" s="2546"/>
      <c r="O450" s="2546"/>
      <c r="P450" s="2546"/>
      <c r="Q450" s="2546"/>
      <c r="R450" s="2546"/>
      <c r="S450" s="2546"/>
      <c r="T450" s="2546"/>
      <c r="U450" s="2546"/>
      <c r="V450" s="2546"/>
      <c r="W450" s="2546"/>
      <c r="X450" s="2546"/>
      <c r="Y450" s="2546"/>
      <c r="Z450" s="2546"/>
      <c r="AA450" s="2546"/>
      <c r="AB450" s="2546"/>
      <c r="AC450" s="2546"/>
      <c r="AD450" s="2546"/>
      <c r="AE450" s="2546"/>
      <c r="AF450" s="2546"/>
      <c r="AG450" s="2546"/>
      <c r="AH450" s="2546"/>
      <c r="AI450" s="2546"/>
      <c r="AJ450" s="254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7"/>
      <c r="E451" s="2547"/>
      <c r="F451" s="2547"/>
      <c r="G451" s="2547"/>
      <c r="H451" s="2547"/>
      <c r="I451" s="2547"/>
      <c r="J451" s="2547"/>
      <c r="K451" s="2547"/>
      <c r="L451" s="2547"/>
      <c r="M451" s="2547"/>
      <c r="N451" s="2547"/>
      <c r="O451" s="2547"/>
      <c r="P451" s="2547"/>
      <c r="Q451" s="2547"/>
      <c r="R451" s="2547"/>
      <c r="S451" s="2547"/>
      <c r="T451" s="2547"/>
      <c r="U451" s="2547"/>
      <c r="V451" s="2547"/>
      <c r="W451" s="2547"/>
      <c r="X451" s="2547"/>
      <c r="Y451" s="2547"/>
      <c r="Z451" s="2547"/>
      <c r="AA451" s="2547"/>
      <c r="AB451" s="2547"/>
      <c r="AC451" s="2547"/>
      <c r="AD451" s="2547"/>
      <c r="AE451" s="2547"/>
      <c r="AF451" s="2547"/>
      <c r="AG451" s="2547"/>
      <c r="AH451" s="2547"/>
      <c r="AI451" s="2547"/>
      <c r="AJ451" s="254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9">
        <f>'Sources and Uses Budget'!B105/Application!AG436</f>
        <v>600663.38620821619</v>
      </c>
      <c r="AD453" s="2539"/>
      <c r="AE453" s="2539"/>
      <c r="AF453" s="253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9">
        <f>'Sources and Uses Budget'!C105/Application!AG436</f>
        <v>600663.38620821619</v>
      </c>
      <c r="AD454" s="2539"/>
      <c r="AE454" s="2539"/>
      <c r="AF454" s="253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9">
        <f>('Sources and Uses Budget'!$S$107+'Sources and Uses Budget'!$T$107)/Application!AG436</f>
        <v>488754.84957568685</v>
      </c>
      <c r="AD455" s="2539"/>
      <c r="AE455" s="2539"/>
      <c r="AF455" s="253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32" t="s">
        <v>720</v>
      </c>
      <c r="E464" s="2533"/>
      <c r="F464" s="2533"/>
      <c r="G464" s="2533"/>
      <c r="H464" s="2533"/>
      <c r="I464" s="2533"/>
      <c r="J464" s="2533"/>
      <c r="K464" s="2533"/>
      <c r="L464" s="2533"/>
      <c r="M464" s="2533"/>
      <c r="N464" s="2533"/>
      <c r="O464" s="2533"/>
      <c r="P464" s="2533"/>
      <c r="Q464" s="2533"/>
      <c r="R464" s="2533"/>
      <c r="S464" s="2533"/>
      <c r="T464" s="2533"/>
      <c r="U464" s="2533"/>
      <c r="V464" s="2534"/>
      <c r="W464" s="2393">
        <v>0</v>
      </c>
      <c r="X464" s="2394"/>
      <c r="Y464" s="23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32" t="s">
        <v>721</v>
      </c>
      <c r="E465" s="2533"/>
      <c r="F465" s="2533"/>
      <c r="G465" s="2533"/>
      <c r="H465" s="2533"/>
      <c r="I465" s="2533"/>
      <c r="J465" s="2533"/>
      <c r="K465" s="2533"/>
      <c r="L465" s="2533"/>
      <c r="M465" s="2533"/>
      <c r="N465" s="2533"/>
      <c r="O465" s="2533"/>
      <c r="P465" s="2533"/>
      <c r="Q465" s="2533"/>
      <c r="R465" s="2533"/>
      <c r="S465" s="2533"/>
      <c r="T465" s="2533"/>
      <c r="U465" s="2533"/>
      <c r="V465" s="2534"/>
      <c r="W465" s="2393">
        <v>0</v>
      </c>
      <c r="X465" s="2394"/>
      <c r="Y465" s="23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32" t="s">
        <v>722</v>
      </c>
      <c r="E466" s="2533"/>
      <c r="F466" s="2533"/>
      <c r="G466" s="2533"/>
      <c r="H466" s="2533"/>
      <c r="I466" s="2533"/>
      <c r="J466" s="2533"/>
      <c r="K466" s="2533"/>
      <c r="L466" s="2533"/>
      <c r="M466" s="2533"/>
      <c r="N466" s="2533"/>
      <c r="O466" s="2533"/>
      <c r="P466" s="2533"/>
      <c r="Q466" s="2533"/>
      <c r="R466" s="2533"/>
      <c r="S466" s="2533"/>
      <c r="T466" s="2533"/>
      <c r="U466" s="2533"/>
      <c r="V466" s="2534"/>
      <c r="W466" s="2393"/>
      <c r="X466" s="2394"/>
      <c r="Y466" s="23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2" t="s">
        <v>723</v>
      </c>
      <c r="E467" s="2533"/>
      <c r="F467" s="2533"/>
      <c r="G467" s="2533"/>
      <c r="H467" s="2533"/>
      <c r="I467" s="2533"/>
      <c r="J467" s="2533"/>
      <c r="K467" s="2533"/>
      <c r="L467" s="2533"/>
      <c r="M467" s="2533"/>
      <c r="N467" s="2533"/>
      <c r="O467" s="2533"/>
      <c r="P467" s="2533"/>
      <c r="Q467" s="2533"/>
      <c r="R467" s="2533"/>
      <c r="S467" s="2533"/>
      <c r="T467" s="2533"/>
      <c r="U467" s="2533"/>
      <c r="V467" s="2534"/>
      <c r="W467" s="2393">
        <v>0</v>
      </c>
      <c r="X467" s="2394"/>
      <c r="Y467" s="23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2" t="s">
        <v>929</v>
      </c>
      <c r="E468" s="2533"/>
      <c r="F468" s="2533"/>
      <c r="G468" s="2533"/>
      <c r="H468" s="2533"/>
      <c r="I468" s="2533"/>
      <c r="J468" s="2533"/>
      <c r="K468" s="2533"/>
      <c r="L468" s="2533"/>
      <c r="M468" s="2533"/>
      <c r="N468" s="2533"/>
      <c r="O468" s="2533"/>
      <c r="P468" s="2533"/>
      <c r="Q468" s="2533"/>
      <c r="R468" s="2533"/>
      <c r="S468" s="2533"/>
      <c r="T468" s="2533"/>
      <c r="U468" s="2533"/>
      <c r="V468" s="2534"/>
      <c r="W468" s="2393">
        <v>0</v>
      </c>
      <c r="X468" s="2394"/>
      <c r="Y468" s="23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32" t="s">
        <v>724</v>
      </c>
      <c r="E469" s="2533"/>
      <c r="F469" s="2533"/>
      <c r="G469" s="2533"/>
      <c r="H469" s="2533"/>
      <c r="I469" s="2533"/>
      <c r="J469" s="2533"/>
      <c r="K469" s="2533"/>
      <c r="L469" s="2533"/>
      <c r="M469" s="2533"/>
      <c r="N469" s="2533"/>
      <c r="O469" s="2533"/>
      <c r="P469" s="2533"/>
      <c r="Q469" s="2533"/>
      <c r="R469" s="2533"/>
      <c r="S469" s="2533"/>
      <c r="T469" s="2533"/>
      <c r="U469" s="2533"/>
      <c r="V469" s="2534"/>
      <c r="W469" s="2393">
        <v>0</v>
      </c>
      <c r="X469" s="2394"/>
      <c r="Y469" s="23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32" t="s">
        <v>1089</v>
      </c>
      <c r="E470" s="2533"/>
      <c r="F470" s="2533"/>
      <c r="G470" s="2533"/>
      <c r="H470" s="2533"/>
      <c r="I470" s="2533"/>
      <c r="J470" s="2533"/>
      <c r="K470" s="2533"/>
      <c r="L470" s="2533"/>
      <c r="M470" s="2533"/>
      <c r="N470" s="2533"/>
      <c r="O470" s="2533"/>
      <c r="P470" s="2533"/>
      <c r="Q470" s="2533"/>
      <c r="R470" s="2533"/>
      <c r="S470" s="2533"/>
      <c r="T470" s="2533"/>
      <c r="U470" s="2533"/>
      <c r="V470" s="2534"/>
      <c r="W470" s="2393">
        <v>0</v>
      </c>
      <c r="X470" s="2394"/>
      <c r="Y470" s="23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98" t="s">
        <v>1862</v>
      </c>
      <c r="E471" s="2533"/>
      <c r="F471" s="2533"/>
      <c r="G471" s="2533"/>
      <c r="H471" s="2533"/>
      <c r="I471" s="2533"/>
      <c r="J471" s="2533"/>
      <c r="K471" s="2533"/>
      <c r="L471" s="2533"/>
      <c r="M471" s="2533"/>
      <c r="N471" s="2533"/>
      <c r="O471" s="2533"/>
      <c r="P471" s="2533"/>
      <c r="Q471" s="2533"/>
      <c r="R471" s="2533"/>
      <c r="S471" s="2533"/>
      <c r="T471" s="2533"/>
      <c r="U471" s="2533"/>
      <c r="V471" s="2534"/>
      <c r="W471" s="2393">
        <f>ROUNDUP(136*0.15,0)</f>
        <v>21</v>
      </c>
      <c r="X471" s="2394"/>
      <c r="Y471" s="23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5"/>
      <c r="H472" s="2596"/>
      <c r="I472" s="2596"/>
      <c r="J472" s="2596"/>
      <c r="K472" s="2596"/>
      <c r="L472" s="2596"/>
      <c r="M472" s="2596"/>
      <c r="N472" s="2596"/>
      <c r="O472" s="2596"/>
      <c r="P472" s="2596"/>
      <c r="Q472" s="2596"/>
      <c r="R472" s="2596"/>
      <c r="S472" s="2596"/>
      <c r="T472" s="2596"/>
      <c r="U472" s="2596"/>
      <c r="V472" s="2597"/>
      <c r="W472" s="2393">
        <v>0</v>
      </c>
      <c r="X472" s="2394"/>
      <c r="Y472" s="23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7" t="s">
        <v>853</v>
      </c>
      <c r="B478" s="2337"/>
      <c r="C478" s="2337"/>
      <c r="D478" s="2337"/>
      <c r="E478" s="2337"/>
      <c r="F478" s="2337"/>
      <c r="G478" s="2337"/>
      <c r="H478" s="2337"/>
      <c r="I478" s="2337"/>
      <c r="J478" s="2337"/>
      <c r="K478" s="2337"/>
      <c r="L478" s="2337"/>
      <c r="M478" s="2337"/>
      <c r="N478" s="2337"/>
      <c r="O478" s="2337"/>
      <c r="P478" s="2337"/>
      <c r="Q478" s="2337"/>
      <c r="R478" s="2337"/>
      <c r="S478" s="2337"/>
      <c r="T478" s="2337"/>
      <c r="U478" s="2337"/>
      <c r="V478" s="2337"/>
      <c r="W478" s="2337"/>
      <c r="X478" s="2337"/>
      <c r="Y478" s="2337"/>
      <c r="Z478" s="2337"/>
      <c r="AA478" s="2337"/>
      <c r="AB478" s="2337"/>
      <c r="AC478" s="2337"/>
      <c r="AD478" s="2337"/>
      <c r="AE478" s="2337"/>
      <c r="AF478" s="2337"/>
      <c r="AG478" s="2337"/>
      <c r="AH478" s="2337"/>
      <c r="AI478" s="2337"/>
      <c r="AJ478" s="2337"/>
      <c r="AK478" s="2337"/>
      <c r="AL478" s="233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8"/>
      <c r="B479" s="2338"/>
      <c r="C479" s="2338"/>
      <c r="D479" s="2338"/>
      <c r="E479" s="2338"/>
      <c r="F479" s="2338"/>
      <c r="G479" s="2338"/>
      <c r="H479" s="2338"/>
      <c r="I479" s="2338"/>
      <c r="J479" s="2338"/>
      <c r="K479" s="2338"/>
      <c r="L479" s="2338"/>
      <c r="M479" s="2338"/>
      <c r="N479" s="2338"/>
      <c r="O479" s="2338"/>
      <c r="P479" s="2338"/>
      <c r="Q479" s="2338"/>
      <c r="R479" s="2338"/>
      <c r="S479" s="2338"/>
      <c r="T479" s="2338"/>
      <c r="U479" s="2338"/>
      <c r="V479" s="2338"/>
      <c r="W479" s="2338"/>
      <c r="X479" s="2338"/>
      <c r="Y479" s="2338"/>
      <c r="Z479" s="2338"/>
      <c r="AA479" s="2338"/>
      <c r="AB479" s="2338"/>
      <c r="AC479" s="2338"/>
      <c r="AD479" s="2338"/>
      <c r="AE479" s="2338"/>
      <c r="AF479" s="2338"/>
      <c r="AG479" s="2338"/>
      <c r="AH479" s="2338"/>
      <c r="AI479" s="2338"/>
      <c r="AJ479" s="2338"/>
      <c r="AK479" s="2338"/>
      <c r="AL479" s="233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86" t="s">
        <v>854</v>
      </c>
      <c r="U483" s="2487"/>
      <c r="V483" s="2487"/>
      <c r="W483" s="2487"/>
      <c r="X483" s="2487"/>
      <c r="Y483" s="2487"/>
      <c r="Z483" s="2487"/>
      <c r="AA483" s="2487"/>
      <c r="AB483" s="2487"/>
      <c r="AC483" s="2487"/>
      <c r="AD483" s="2487"/>
      <c r="AE483" s="2487"/>
      <c r="AF483" s="2487"/>
      <c r="AG483" s="2487"/>
      <c r="AH483" s="256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69" t="s">
        <v>36</v>
      </c>
      <c r="U484" s="2569"/>
      <c r="V484" s="2569"/>
      <c r="W484" s="2569"/>
      <c r="X484" s="2569"/>
      <c r="Y484" s="2569" t="s">
        <v>37</v>
      </c>
      <c r="Z484" s="2569"/>
      <c r="AA484" s="2569"/>
      <c r="AB484" s="2569"/>
      <c r="AC484" s="2569"/>
      <c r="AD484" s="2569" t="s">
        <v>345</v>
      </c>
      <c r="AE484" s="2569"/>
      <c r="AF484" s="2569"/>
      <c r="AG484" s="2569"/>
      <c r="AH484" s="256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69"/>
      <c r="U485" s="2569"/>
      <c r="V485" s="2569"/>
      <c r="W485" s="2569"/>
      <c r="X485" s="2569"/>
      <c r="Y485" s="2569"/>
      <c r="Z485" s="2569"/>
      <c r="AA485" s="2569"/>
      <c r="AB485" s="2569"/>
      <c r="AC485" s="2569"/>
      <c r="AD485" s="2569"/>
      <c r="AE485" s="2569"/>
      <c r="AF485" s="2569"/>
      <c r="AG485" s="2569"/>
      <c r="AH485" s="256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85">
        <v>43537</v>
      </c>
      <c r="U486" s="2485"/>
      <c r="V486" s="2485"/>
      <c r="W486" s="2485"/>
      <c r="X486" s="2485"/>
      <c r="Y486" s="2485" t="s">
        <v>617</v>
      </c>
      <c r="Z486" s="2485"/>
      <c r="AA486" s="2485"/>
      <c r="AB486" s="2485"/>
      <c r="AC486" s="2485"/>
      <c r="AD486" s="2485">
        <v>43844</v>
      </c>
      <c r="AE486" s="2485"/>
      <c r="AF486" s="2485"/>
      <c r="AG486" s="2485"/>
      <c r="AH486" s="24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85">
        <v>44774</v>
      </c>
      <c r="U487" s="2485"/>
      <c r="V487" s="2485"/>
      <c r="W487" s="2485"/>
      <c r="X487" s="2485"/>
      <c r="Y487" s="2485">
        <v>45017</v>
      </c>
      <c r="Z487" s="2485"/>
      <c r="AA487" s="2485"/>
      <c r="AB487" s="2485"/>
      <c r="AC487" s="2485"/>
      <c r="AD487" s="2485" t="s">
        <v>2698</v>
      </c>
      <c r="AE487" s="2485"/>
      <c r="AF487" s="2485"/>
      <c r="AG487" s="2485"/>
      <c r="AH487" s="24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85" t="s">
        <v>617</v>
      </c>
      <c r="U488" s="2485"/>
      <c r="V488" s="2485"/>
      <c r="W488" s="2485"/>
      <c r="X488" s="2485"/>
      <c r="Y488" s="2485" t="s">
        <v>617</v>
      </c>
      <c r="Z488" s="2485"/>
      <c r="AA488" s="2485"/>
      <c r="AB488" s="2485"/>
      <c r="AC488" s="2485"/>
      <c r="AD488" s="2485" t="s">
        <v>617</v>
      </c>
      <c r="AE488" s="2485"/>
      <c r="AF488" s="2485"/>
      <c r="AG488" s="2485"/>
      <c r="AH488" s="24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85">
        <v>44805</v>
      </c>
      <c r="U489" s="2485"/>
      <c r="V489" s="2485"/>
      <c r="W489" s="2485"/>
      <c r="X489" s="2485"/>
      <c r="Y489" s="2485">
        <v>44986</v>
      </c>
      <c r="Z489" s="2485"/>
      <c r="AA489" s="2485"/>
      <c r="AB489" s="2485"/>
      <c r="AC489" s="2485"/>
      <c r="AD489" s="2485" t="s">
        <v>2698</v>
      </c>
      <c r="AE489" s="2485"/>
      <c r="AF489" s="2485"/>
      <c r="AG489" s="2485"/>
      <c r="AH489" s="24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85" t="s">
        <v>617</v>
      </c>
      <c r="U490" s="2485"/>
      <c r="V490" s="2485"/>
      <c r="W490" s="2485"/>
      <c r="X490" s="2485"/>
      <c r="Y490" s="2485" t="s">
        <v>617</v>
      </c>
      <c r="Z490" s="2485"/>
      <c r="AA490" s="2485"/>
      <c r="AB490" s="2485"/>
      <c r="AC490" s="2485"/>
      <c r="AD490" s="2485" t="s">
        <v>617</v>
      </c>
      <c r="AE490" s="2485"/>
      <c r="AF490" s="2485"/>
      <c r="AG490" s="2485"/>
      <c r="AH490" s="24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85" t="s">
        <v>617</v>
      </c>
      <c r="U491" s="2485"/>
      <c r="V491" s="2485"/>
      <c r="W491" s="2485"/>
      <c r="X491" s="2485"/>
      <c r="Y491" s="2485" t="s">
        <v>617</v>
      </c>
      <c r="Z491" s="2485"/>
      <c r="AA491" s="2485"/>
      <c r="AB491" s="2485"/>
      <c r="AC491" s="2485"/>
      <c r="AD491" s="2485" t="s">
        <v>617</v>
      </c>
      <c r="AE491" s="2485"/>
      <c r="AF491" s="2485"/>
      <c r="AG491" s="2485"/>
      <c r="AH491" s="24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85">
        <v>44805</v>
      </c>
      <c r="U492" s="2485"/>
      <c r="V492" s="2485"/>
      <c r="W492" s="2485"/>
      <c r="X492" s="2485"/>
      <c r="Y492" s="2485">
        <v>44986</v>
      </c>
      <c r="Z492" s="2485"/>
      <c r="AA492" s="2485"/>
      <c r="AB492" s="2485"/>
      <c r="AC492" s="2485"/>
      <c r="AD492" s="2485" t="s">
        <v>2698</v>
      </c>
      <c r="AE492" s="2485"/>
      <c r="AF492" s="2485"/>
      <c r="AG492" s="2485"/>
      <c r="AH492" s="248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85" t="s">
        <v>617</v>
      </c>
      <c r="U493" s="2485"/>
      <c r="V493" s="2485"/>
      <c r="W493" s="2485"/>
      <c r="X493" s="2485"/>
      <c r="Y493" s="2485" t="s">
        <v>617</v>
      </c>
      <c r="Z493" s="2485"/>
      <c r="AA493" s="2485"/>
      <c r="AB493" s="2485"/>
      <c r="AC493" s="2485"/>
      <c r="AD493" s="2485" t="s">
        <v>617</v>
      </c>
      <c r="AE493" s="2485"/>
      <c r="AF493" s="2485"/>
      <c r="AG493" s="2485"/>
      <c r="AH493" s="24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85" t="s">
        <v>617</v>
      </c>
      <c r="U494" s="2485"/>
      <c r="V494" s="2485"/>
      <c r="W494" s="2485"/>
      <c r="X494" s="2485"/>
      <c r="Y494" s="2485" t="s">
        <v>617</v>
      </c>
      <c r="Z494" s="2485"/>
      <c r="AA494" s="2485"/>
      <c r="AB494" s="2485"/>
      <c r="AC494" s="2485"/>
      <c r="AD494" s="2485" t="s">
        <v>617</v>
      </c>
      <c r="AE494" s="2485"/>
      <c r="AF494" s="2485"/>
      <c r="AG494" s="2485"/>
      <c r="AH494" s="24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485" t="s">
        <v>617</v>
      </c>
      <c r="U495" s="2485"/>
      <c r="V495" s="2485"/>
      <c r="W495" s="2485"/>
      <c r="X495" s="2485"/>
      <c r="Y495" s="2485" t="s">
        <v>617</v>
      </c>
      <c r="Z495" s="2485"/>
      <c r="AA495" s="2485"/>
      <c r="AB495" s="2485"/>
      <c r="AC495" s="2485"/>
      <c r="AD495" s="2485" t="s">
        <v>617</v>
      </c>
      <c r="AE495" s="2485"/>
      <c r="AF495" s="2485"/>
      <c r="AG495" s="2485"/>
      <c r="AH495" s="24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1" t="s">
        <v>410</v>
      </c>
      <c r="R497" s="2552"/>
      <c r="S497" s="2552"/>
      <c r="T497" s="2552"/>
      <c r="U497" s="2552"/>
      <c r="V497" s="2552"/>
      <c r="W497" s="2552"/>
      <c r="X497" s="2552"/>
      <c r="Y497" s="2552"/>
      <c r="Z497" s="2552"/>
      <c r="AA497" s="2552"/>
      <c r="AB497" s="2552"/>
      <c r="AC497" s="2552"/>
      <c r="AD497" s="2552"/>
      <c r="AE497" s="2552"/>
      <c r="AF497" s="2552"/>
      <c r="AG497" s="2552"/>
      <c r="AH497" s="2552"/>
      <c r="AI497" s="2552"/>
      <c r="AJ497" s="2552"/>
      <c r="AK497" s="25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25" t="s">
        <v>2699</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42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25" t="s">
        <v>2700</v>
      </c>
      <c r="R499" s="2071"/>
      <c r="S499" s="2071"/>
      <c r="T499" s="2071"/>
      <c r="U499" s="2071"/>
      <c r="V499" s="2071"/>
      <c r="W499" s="2071"/>
      <c r="X499" s="2071"/>
      <c r="Y499" s="2071"/>
      <c r="Z499" s="2071"/>
      <c r="AA499" s="2071"/>
      <c r="AB499" s="2071"/>
      <c r="AC499" s="2071"/>
      <c r="AD499" s="2071"/>
      <c r="AE499" s="2071"/>
      <c r="AF499" s="2071"/>
      <c r="AG499" s="2071"/>
      <c r="AH499" s="2071"/>
      <c r="AI499" s="2071"/>
      <c r="AJ499" s="2071"/>
      <c r="AK499" s="242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25" t="s">
        <v>2700</v>
      </c>
      <c r="R500" s="2071"/>
      <c r="S500" s="2071"/>
      <c r="T500" s="2071"/>
      <c r="U500" s="2071"/>
      <c r="V500" s="2071"/>
      <c r="W500" s="2071"/>
      <c r="X500" s="2071"/>
      <c r="Y500" s="2071"/>
      <c r="Z500" s="2071"/>
      <c r="AA500" s="2071"/>
      <c r="AB500" s="2071"/>
      <c r="AC500" s="2071"/>
      <c r="AD500" s="2071"/>
      <c r="AE500" s="2071"/>
      <c r="AF500" s="2071"/>
      <c r="AG500" s="2071"/>
      <c r="AH500" s="2071"/>
      <c r="AI500" s="2071"/>
      <c r="AJ500" s="2071"/>
      <c r="AK500" s="242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4" t="s">
        <v>414</v>
      </c>
      <c r="C501" s="2555"/>
      <c r="D501" s="2555"/>
      <c r="E501" s="2555"/>
      <c r="F501" s="2555"/>
      <c r="G501" s="2555"/>
      <c r="H501" s="2555"/>
      <c r="I501" s="2555"/>
      <c r="J501" s="2555"/>
      <c r="K501" s="2555"/>
      <c r="L501" s="2555"/>
      <c r="M501" s="2555"/>
      <c r="N501" s="2555"/>
      <c r="O501" s="2555"/>
      <c r="P501" s="2556"/>
      <c r="Q501" s="2602" t="s">
        <v>695</v>
      </c>
      <c r="R501" s="2603"/>
      <c r="S501" s="2347" t="s">
        <v>171</v>
      </c>
      <c r="T501" s="2348"/>
      <c r="U501" s="2348"/>
      <c r="V501" s="2348"/>
      <c r="W501" s="2348"/>
      <c r="X501" s="2348"/>
      <c r="Y501" s="2348"/>
      <c r="Z501" s="2348"/>
      <c r="AA501" s="2348"/>
      <c r="AB501" s="2348"/>
      <c r="AC501" s="2348"/>
      <c r="AD501" s="2348"/>
      <c r="AE501" s="2348"/>
      <c r="AF501" s="2348"/>
      <c r="AG501" s="2348"/>
      <c r="AH501" s="2348"/>
      <c r="AI501" s="2348"/>
      <c r="AJ501" s="2348"/>
      <c r="AK501" s="23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7"/>
      <c r="C502" s="2558"/>
      <c r="D502" s="2558"/>
      <c r="E502" s="2558"/>
      <c r="F502" s="2558"/>
      <c r="G502" s="2558"/>
      <c r="H502" s="2558"/>
      <c r="I502" s="2558"/>
      <c r="J502" s="2558"/>
      <c r="K502" s="2558"/>
      <c r="L502" s="2558"/>
      <c r="M502" s="2558"/>
      <c r="N502" s="2558"/>
      <c r="O502" s="2558"/>
      <c r="P502" s="2559"/>
      <c r="Q502" s="2604"/>
      <c r="R502" s="2605"/>
      <c r="S502" s="2350"/>
      <c r="T502" s="2351"/>
      <c r="U502" s="2351"/>
      <c r="V502" s="2351"/>
      <c r="W502" s="2351"/>
      <c r="X502" s="2351"/>
      <c r="Y502" s="2351"/>
      <c r="Z502" s="2351"/>
      <c r="AA502" s="2351"/>
      <c r="AB502" s="2351"/>
      <c r="AC502" s="2351"/>
      <c r="AD502" s="2351"/>
      <c r="AE502" s="2351"/>
      <c r="AF502" s="2351"/>
      <c r="AG502" s="2351"/>
      <c r="AH502" s="2351"/>
      <c r="AI502" s="2351"/>
      <c r="AJ502" s="2351"/>
      <c r="AK502" s="23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570" t="s">
        <v>695</v>
      </c>
      <c r="R503" s="2571"/>
      <c r="S503" s="2571"/>
      <c r="T503" s="2571"/>
      <c r="U503" s="2571"/>
      <c r="V503" s="2571"/>
      <c r="W503" s="2571"/>
      <c r="X503" s="2571"/>
      <c r="Y503" s="2571"/>
      <c r="Z503" s="2571"/>
      <c r="AA503" s="2571"/>
      <c r="AB503" s="2571"/>
      <c r="AC503" s="2571"/>
      <c r="AD503" s="2571"/>
      <c r="AE503" s="2571"/>
      <c r="AF503" s="2571"/>
      <c r="AG503" s="2571"/>
      <c r="AH503" s="2571"/>
      <c r="AI503" s="2571"/>
      <c r="AJ503" s="2571"/>
      <c r="AK503" s="25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25" t="s">
        <v>2701</v>
      </c>
      <c r="R504" s="2071"/>
      <c r="S504" s="2071"/>
      <c r="T504" s="2071"/>
      <c r="U504" s="2071"/>
      <c r="V504" s="2071"/>
      <c r="W504" s="2071"/>
      <c r="X504" s="2071"/>
      <c r="Y504" s="2071"/>
      <c r="Z504" s="2071"/>
      <c r="AA504" s="2071"/>
      <c r="AB504" s="2071"/>
      <c r="AC504" s="2071"/>
      <c r="AD504" s="2071"/>
      <c r="AE504" s="2071"/>
      <c r="AF504" s="2071"/>
      <c r="AG504" s="2071"/>
      <c r="AH504" s="2071"/>
      <c r="AI504" s="2071"/>
      <c r="AJ504" s="2071"/>
      <c r="AK504" s="242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25" t="s">
        <v>2747</v>
      </c>
      <c r="R505" s="2071"/>
      <c r="S505" s="2071"/>
      <c r="T505" s="2071"/>
      <c r="U505" s="2071"/>
      <c r="V505" s="2071"/>
      <c r="W505" s="2071"/>
      <c r="X505" s="2071"/>
      <c r="Y505" s="2071"/>
      <c r="Z505" s="2071"/>
      <c r="AA505" s="2071"/>
      <c r="AB505" s="2071"/>
      <c r="AC505" s="2071"/>
      <c r="AD505" s="2071"/>
      <c r="AE505" s="2071"/>
      <c r="AF505" s="2071"/>
      <c r="AG505" s="2071"/>
      <c r="AH505" s="2071"/>
      <c r="AI505" s="2071"/>
      <c r="AJ505" s="2071"/>
      <c r="AK505" s="242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25">
        <v>127</v>
      </c>
      <c r="R506" s="2071"/>
      <c r="S506" s="2071"/>
      <c r="T506" s="2071"/>
      <c r="U506" s="2071"/>
      <c r="V506" s="2071"/>
      <c r="W506" s="2071"/>
      <c r="X506" s="2071"/>
      <c r="Y506" s="2071"/>
      <c r="Z506" s="2071"/>
      <c r="AA506" s="2071"/>
      <c r="AB506" s="2071"/>
      <c r="AC506" s="2071"/>
      <c r="AD506" s="2071"/>
      <c r="AE506" s="2071"/>
      <c r="AF506" s="2071"/>
      <c r="AG506" s="2071"/>
      <c r="AH506" s="2071"/>
      <c r="AI506" s="2071"/>
      <c r="AJ506" s="2071"/>
      <c r="AK506" s="242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21">
        <v>117</v>
      </c>
      <c r="N507" s="2122"/>
      <c r="O507" s="2122"/>
      <c r="P507" s="2123"/>
      <c r="Q507" s="1419" t="s">
        <v>1880</v>
      </c>
      <c r="R507" s="1420"/>
      <c r="S507" s="1420"/>
      <c r="T507" s="1420"/>
      <c r="U507" s="1420"/>
      <c r="V507" s="1420"/>
      <c r="W507" s="1420"/>
      <c r="X507" s="1420"/>
      <c r="Y507" s="1420"/>
      <c r="Z507" s="1420"/>
      <c r="AA507" s="1420"/>
      <c r="AB507" s="1420"/>
      <c r="AC507" s="1420"/>
      <c r="AD507" s="1420"/>
      <c r="AE507" s="1420"/>
      <c r="AF507" s="1420"/>
      <c r="AG507" s="1420"/>
      <c r="AH507" s="2121">
        <v>10</v>
      </c>
      <c r="AI507" s="2122"/>
      <c r="AJ507" s="2122"/>
      <c r="AK507" s="212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1" t="s">
        <v>418</v>
      </c>
      <c r="AD511" s="2552"/>
      <c r="AE511" s="2552"/>
      <c r="AF511" s="2552"/>
      <c r="AG511" s="2552"/>
      <c r="AH511" s="2552"/>
      <c r="AI511" s="2552"/>
      <c r="AJ511" s="2552"/>
      <c r="AK511" s="25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6" t="s">
        <v>419</v>
      </c>
      <c r="AD512" s="2487"/>
      <c r="AE512" s="2487"/>
      <c r="AF512" s="2487"/>
      <c r="AG512" s="82" t="s">
        <v>420</v>
      </c>
      <c r="AH512" s="2487" t="s">
        <v>421</v>
      </c>
      <c r="AI512" s="2487"/>
      <c r="AJ512" s="2487"/>
      <c r="AK512" s="256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76" t="s">
        <v>422</v>
      </c>
      <c r="C513" s="2577"/>
      <c r="D513" s="2577"/>
      <c r="E513" s="2577"/>
      <c r="F513" s="2577"/>
      <c r="G513" s="2577"/>
      <c r="H513" s="2578"/>
      <c r="I513" s="72" t="s">
        <v>423</v>
      </c>
      <c r="J513" s="72"/>
      <c r="K513" s="72"/>
      <c r="L513" s="72"/>
      <c r="M513" s="72"/>
      <c r="N513" s="72"/>
      <c r="O513" s="72"/>
      <c r="P513" s="72"/>
      <c r="Q513" s="72"/>
      <c r="R513" s="72"/>
      <c r="S513" s="72"/>
      <c r="T513" s="72"/>
      <c r="U513" s="72"/>
      <c r="V513" s="72"/>
      <c r="W513" s="72"/>
      <c r="X513" s="25"/>
      <c r="Y513" s="25"/>
      <c r="AC513" s="2541">
        <v>4</v>
      </c>
      <c r="AD513" s="2542"/>
      <c r="AE513" s="2542"/>
      <c r="AF513" s="2542"/>
      <c r="AG513" s="75" t="s">
        <v>420</v>
      </c>
      <c r="AH513" s="2241">
        <v>2023</v>
      </c>
      <c r="AI513" s="2241"/>
      <c r="AJ513" s="2241"/>
      <c r="AK513" s="224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79"/>
      <c r="C514" s="2580"/>
      <c r="D514" s="2580"/>
      <c r="E514" s="2580"/>
      <c r="F514" s="2580"/>
      <c r="G514" s="2580"/>
      <c r="H514" s="2581"/>
      <c r="I514" s="80" t="s">
        <v>424</v>
      </c>
      <c r="J514" s="80"/>
      <c r="K514" s="80"/>
      <c r="L514" s="80"/>
      <c r="M514" s="80"/>
      <c r="N514" s="80"/>
      <c r="O514" s="80"/>
      <c r="P514" s="80"/>
      <c r="Q514" s="80"/>
      <c r="R514" s="80"/>
      <c r="S514" s="80"/>
      <c r="T514" s="80"/>
      <c r="U514" s="80"/>
      <c r="V514" s="80"/>
      <c r="W514" s="80"/>
      <c r="X514" s="80"/>
      <c r="Y514" s="80"/>
      <c r="Z514" s="80"/>
      <c r="AA514" s="80"/>
      <c r="AB514" s="80"/>
      <c r="AC514" s="2541">
        <v>5</v>
      </c>
      <c r="AD514" s="2542"/>
      <c r="AE514" s="2542"/>
      <c r="AF514" s="2542"/>
      <c r="AG514" s="65" t="s">
        <v>420</v>
      </c>
      <c r="AH514" s="2241">
        <v>2023</v>
      </c>
      <c r="AI514" s="2241"/>
      <c r="AJ514" s="2241"/>
      <c r="AK514" s="224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76" t="s">
        <v>425</v>
      </c>
      <c r="C515" s="2577"/>
      <c r="D515" s="2577"/>
      <c r="E515" s="2577"/>
      <c r="F515" s="2577"/>
      <c r="G515" s="2577"/>
      <c r="H515" s="2578"/>
      <c r="I515" s="72" t="s">
        <v>426</v>
      </c>
      <c r="J515" s="72"/>
      <c r="K515" s="72"/>
      <c r="L515" s="72"/>
      <c r="M515" s="72"/>
      <c r="N515" s="72"/>
      <c r="O515" s="72"/>
      <c r="P515" s="72"/>
      <c r="Q515" s="72"/>
      <c r="R515" s="72"/>
      <c r="S515" s="72"/>
      <c r="T515" s="72"/>
      <c r="U515" s="72"/>
      <c r="V515" s="72"/>
      <c r="W515" s="72"/>
      <c r="X515" s="25"/>
      <c r="Y515" s="25"/>
      <c r="AC515" s="2541" t="s">
        <v>617</v>
      </c>
      <c r="AD515" s="2542"/>
      <c r="AE515" s="2542"/>
      <c r="AF515" s="2542"/>
      <c r="AG515" s="75" t="s">
        <v>420</v>
      </c>
      <c r="AH515" s="2241" t="s">
        <v>617</v>
      </c>
      <c r="AI515" s="2241"/>
      <c r="AJ515" s="2241"/>
      <c r="AK515" s="224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79"/>
      <c r="C516" s="2580"/>
      <c r="D516" s="2580"/>
      <c r="E516" s="2580"/>
      <c r="F516" s="2580"/>
      <c r="G516" s="2580"/>
      <c r="H516" s="2581"/>
      <c r="I516" s="25" t="s">
        <v>427</v>
      </c>
      <c r="J516" s="25"/>
      <c r="K516" s="25"/>
      <c r="L516" s="25"/>
      <c r="M516" s="25"/>
      <c r="N516" s="25"/>
      <c r="O516" s="25"/>
      <c r="P516" s="25"/>
      <c r="Q516" s="25"/>
      <c r="R516" s="25"/>
      <c r="S516" s="25"/>
      <c r="T516" s="25"/>
      <c r="U516" s="25"/>
      <c r="V516" s="25"/>
      <c r="W516" s="25"/>
      <c r="X516" s="25"/>
      <c r="Y516" s="25"/>
      <c r="AC516" s="2541" t="s">
        <v>617</v>
      </c>
      <c r="AD516" s="2542"/>
      <c r="AE516" s="2542"/>
      <c r="AF516" s="2542"/>
      <c r="AG516" s="75" t="s">
        <v>420</v>
      </c>
      <c r="AH516" s="2241" t="s">
        <v>617</v>
      </c>
      <c r="AI516" s="2241"/>
      <c r="AJ516" s="2241"/>
      <c r="AK516" s="224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79"/>
      <c r="C517" s="2580"/>
      <c r="D517" s="2580"/>
      <c r="E517" s="2580"/>
      <c r="F517" s="2580"/>
      <c r="G517" s="2580"/>
      <c r="H517" s="2581"/>
      <c r="I517" s="25" t="s">
        <v>428</v>
      </c>
      <c r="J517" s="25"/>
      <c r="K517" s="25"/>
      <c r="L517" s="25"/>
      <c r="M517" s="25"/>
      <c r="N517" s="25"/>
      <c r="O517" s="25"/>
      <c r="P517" s="25"/>
      <c r="Q517" s="25"/>
      <c r="R517" s="25"/>
      <c r="S517" s="25"/>
      <c r="T517" s="25"/>
      <c r="U517" s="25"/>
      <c r="V517" s="25"/>
      <c r="W517" s="25"/>
      <c r="X517" s="25"/>
      <c r="Y517" s="25"/>
      <c r="AC517" s="2541">
        <v>12</v>
      </c>
      <c r="AD517" s="2542"/>
      <c r="AE517" s="2542"/>
      <c r="AF517" s="2542"/>
      <c r="AG517" s="75" t="s">
        <v>420</v>
      </c>
      <c r="AH517" s="2241">
        <v>2022</v>
      </c>
      <c r="AI517" s="2241"/>
      <c r="AJ517" s="2241"/>
      <c r="AK517" s="224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79"/>
      <c r="C518" s="2580"/>
      <c r="D518" s="2580"/>
      <c r="E518" s="2580"/>
      <c r="F518" s="2580"/>
      <c r="G518" s="2580"/>
      <c r="H518" s="2581"/>
      <c r="I518" s="25" t="s">
        <v>429</v>
      </c>
      <c r="J518" s="25"/>
      <c r="K518" s="25"/>
      <c r="L518" s="25"/>
      <c r="M518" s="25"/>
      <c r="N518" s="25"/>
      <c r="O518" s="25"/>
      <c r="P518" s="25"/>
      <c r="Q518" s="25"/>
      <c r="R518" s="25"/>
      <c r="S518" s="25"/>
      <c r="T518" s="25"/>
      <c r="U518" s="25"/>
      <c r="V518" s="25"/>
      <c r="W518" s="25"/>
      <c r="X518" s="25"/>
      <c r="Y518" s="25"/>
      <c r="AC518" s="2541">
        <v>5</v>
      </c>
      <c r="AD518" s="2542"/>
      <c r="AE518" s="2542"/>
      <c r="AF518" s="2542"/>
      <c r="AG518" s="75" t="s">
        <v>420</v>
      </c>
      <c r="AH518" s="2241">
        <v>2023</v>
      </c>
      <c r="AI518" s="2241"/>
      <c r="AJ518" s="2241"/>
      <c r="AK518" s="224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79"/>
      <c r="C519" s="2580"/>
      <c r="D519" s="2580"/>
      <c r="E519" s="2580"/>
      <c r="F519" s="2580"/>
      <c r="G519" s="2580"/>
      <c r="H519" s="2581"/>
      <c r="I519" s="177" t="s">
        <v>430</v>
      </c>
      <c r="J519" s="25"/>
      <c r="K519" s="25"/>
      <c r="L519" s="25"/>
      <c r="M519" s="25"/>
      <c r="N519" s="25"/>
      <c r="O519" s="25"/>
      <c r="P519" s="25"/>
      <c r="Q519" s="25"/>
      <c r="R519" s="25"/>
      <c r="S519" s="25"/>
      <c r="T519" s="25"/>
      <c r="U519" s="25"/>
      <c r="V519" s="25"/>
      <c r="W519" s="25"/>
      <c r="X519" s="25"/>
      <c r="Y519" s="25"/>
      <c r="AC519" s="2416">
        <v>6</v>
      </c>
      <c r="AD519" s="2417"/>
      <c r="AE519" s="2417"/>
      <c r="AF519" s="2417"/>
      <c r="AG519" s="75" t="s">
        <v>420</v>
      </c>
      <c r="AH519" s="2241">
        <v>2023</v>
      </c>
      <c r="AI519" s="2241"/>
      <c r="AJ519" s="2241"/>
      <c r="AK519" s="224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79"/>
      <c r="C520" s="2580"/>
      <c r="D520" s="2580"/>
      <c r="E520" s="2580"/>
      <c r="F520" s="2580"/>
      <c r="G520" s="2580"/>
      <c r="H520" s="2581"/>
      <c r="I520" s="1422" t="s">
        <v>175</v>
      </c>
      <c r="J520" s="80"/>
      <c r="K520" s="80"/>
      <c r="L520" s="2574" t="s">
        <v>340</v>
      </c>
      <c r="M520" s="2549"/>
      <c r="N520" s="2549"/>
      <c r="O520" s="2549"/>
      <c r="P520" s="2549"/>
      <c r="Q520" s="2549"/>
      <c r="R520" s="2549"/>
      <c r="S520" s="2549"/>
      <c r="T520" s="2549"/>
      <c r="U520" s="2549"/>
      <c r="V520" s="2549"/>
      <c r="W520" s="2549"/>
      <c r="X520" s="2549"/>
      <c r="Y520" s="2549"/>
      <c r="Z520" s="2549"/>
      <c r="AA520" s="2549"/>
      <c r="AB520" s="2575"/>
      <c r="AC520" s="2541" t="s">
        <v>617</v>
      </c>
      <c r="AD520" s="2542"/>
      <c r="AE520" s="2542"/>
      <c r="AF520" s="2542"/>
      <c r="AG520" s="1394" t="s">
        <v>420</v>
      </c>
      <c r="AH520" s="2241"/>
      <c r="AI520" s="2241"/>
      <c r="AJ520" s="2241"/>
      <c r="AK520" s="224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36" t="s">
        <v>695</v>
      </c>
      <c r="AD521" s="2536"/>
      <c r="AE521" s="2536"/>
      <c r="AF521" s="2536"/>
      <c r="AG521" s="1631"/>
      <c r="AH521" s="2585"/>
      <c r="AI521" s="2585"/>
      <c r="AJ521" s="2585"/>
      <c r="AK521" s="258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6"/>
      <c r="AD522" s="2047"/>
      <c r="AE522" s="2047"/>
      <c r="AF522" s="2048"/>
      <c r="AG522" s="1631"/>
      <c r="AH522" s="2585"/>
      <c r="AI522" s="2585"/>
      <c r="AJ522" s="2585"/>
      <c r="AK522" s="258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587"/>
      <c r="AD524" s="2588"/>
      <c r="AE524" s="2588"/>
      <c r="AF524" s="2589"/>
      <c r="AG524" s="1632"/>
      <c r="AH524" s="2590"/>
      <c r="AI524" s="2590"/>
      <c r="AJ524" s="2590"/>
      <c r="AK524" s="259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601" t="s">
        <v>419</v>
      </c>
      <c r="AD525" s="2592"/>
      <c r="AE525" s="2592"/>
      <c r="AF525" s="2592"/>
      <c r="AG525" s="1632" t="s">
        <v>420</v>
      </c>
      <c r="AH525" s="2592" t="s">
        <v>421</v>
      </c>
      <c r="AI525" s="2592"/>
      <c r="AJ525" s="2592"/>
      <c r="AK525" s="259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76" t="s">
        <v>431</v>
      </c>
      <c r="C526" s="2577"/>
      <c r="D526" s="2577"/>
      <c r="E526" s="2577"/>
      <c r="F526" s="2577"/>
      <c r="G526" s="2577"/>
      <c r="H526" s="2578"/>
      <c r="I526" s="72" t="s">
        <v>432</v>
      </c>
      <c r="J526" s="72"/>
      <c r="K526" s="72"/>
      <c r="L526" s="72"/>
      <c r="M526" s="72"/>
      <c r="N526" s="72"/>
      <c r="O526" s="72"/>
      <c r="P526" s="72"/>
      <c r="Q526" s="72"/>
      <c r="R526" s="72"/>
      <c r="S526" s="72"/>
      <c r="T526" s="72"/>
      <c r="U526" s="72"/>
      <c r="V526" s="72"/>
      <c r="W526" s="72"/>
      <c r="X526" s="25"/>
      <c r="Y526" s="25"/>
      <c r="AC526" s="2541">
        <v>7</v>
      </c>
      <c r="AD526" s="2542"/>
      <c r="AE526" s="2542"/>
      <c r="AF526" s="2542"/>
      <c r="AG526" s="75" t="s">
        <v>420</v>
      </c>
      <c r="AH526" s="2241">
        <v>2022</v>
      </c>
      <c r="AI526" s="2241"/>
      <c r="AJ526" s="2241"/>
      <c r="AK526" s="224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79"/>
      <c r="C527" s="2580"/>
      <c r="D527" s="2580"/>
      <c r="E527" s="2580"/>
      <c r="F527" s="2580"/>
      <c r="G527" s="2580"/>
      <c r="H527" s="2581"/>
      <c r="I527" s="25" t="s">
        <v>433</v>
      </c>
      <c r="J527" s="25"/>
      <c r="K527" s="25"/>
      <c r="L527" s="25"/>
      <c r="M527" s="25"/>
      <c r="N527" s="25"/>
      <c r="O527" s="25"/>
      <c r="P527" s="25"/>
      <c r="Q527" s="25"/>
      <c r="R527" s="25"/>
      <c r="S527" s="25"/>
      <c r="T527" s="25"/>
      <c r="U527" s="25"/>
      <c r="V527" s="25"/>
      <c r="W527" s="25"/>
      <c r="X527" s="25"/>
      <c r="Y527" s="25"/>
      <c r="AC527" s="2541">
        <v>8</v>
      </c>
      <c r="AD527" s="2542"/>
      <c r="AE527" s="2542"/>
      <c r="AF527" s="2542"/>
      <c r="AG527" s="75" t="s">
        <v>420</v>
      </c>
      <c r="AH527" s="2241">
        <v>2023</v>
      </c>
      <c r="AI527" s="2241"/>
      <c r="AJ527" s="2241"/>
      <c r="AK527" s="224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79"/>
      <c r="C528" s="2580"/>
      <c r="D528" s="2580"/>
      <c r="E528" s="2580"/>
      <c r="F528" s="2580"/>
      <c r="G528" s="2580"/>
      <c r="H528" s="2581"/>
      <c r="I528" s="80" t="s">
        <v>434</v>
      </c>
      <c r="J528" s="80"/>
      <c r="K528" s="80"/>
      <c r="L528" s="80"/>
      <c r="M528" s="80"/>
      <c r="N528" s="80"/>
      <c r="O528" s="80"/>
      <c r="P528" s="80"/>
      <c r="Q528" s="80"/>
      <c r="R528" s="80"/>
      <c r="S528" s="80"/>
      <c r="T528" s="80"/>
      <c r="U528" s="80"/>
      <c r="V528" s="80"/>
      <c r="W528" s="80"/>
      <c r="X528" s="80"/>
      <c r="Y528" s="80"/>
      <c r="Z528" s="80"/>
      <c r="AA528" s="80"/>
      <c r="AB528" s="80"/>
      <c r="AC528" s="2541">
        <v>5</v>
      </c>
      <c r="AD528" s="2542"/>
      <c r="AE528" s="2542"/>
      <c r="AF528" s="2542"/>
      <c r="AG528" s="65" t="s">
        <v>420</v>
      </c>
      <c r="AH528" s="2241">
        <v>2023</v>
      </c>
      <c r="AI528" s="2241"/>
      <c r="AJ528" s="2241"/>
      <c r="AK528" s="224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76" t="s">
        <v>435</v>
      </c>
      <c r="C529" s="2577"/>
      <c r="D529" s="2577"/>
      <c r="E529" s="2577"/>
      <c r="F529" s="2577"/>
      <c r="G529" s="2577"/>
      <c r="H529" s="2578"/>
      <c r="I529" s="72" t="s">
        <v>432</v>
      </c>
      <c r="J529" s="72"/>
      <c r="K529" s="72"/>
      <c r="L529" s="72"/>
      <c r="M529" s="72"/>
      <c r="N529" s="72"/>
      <c r="O529" s="72"/>
      <c r="P529" s="72"/>
      <c r="Q529" s="72"/>
      <c r="R529" s="72"/>
      <c r="S529" s="72"/>
      <c r="T529" s="72"/>
      <c r="U529" s="72"/>
      <c r="V529" s="72"/>
      <c r="W529" s="72"/>
      <c r="X529" s="72"/>
      <c r="Y529" s="72"/>
      <c r="Z529" s="72"/>
      <c r="AA529" s="72"/>
      <c r="AB529" s="72"/>
      <c r="AC529" s="2416">
        <v>7</v>
      </c>
      <c r="AD529" s="2417"/>
      <c r="AE529" s="2417"/>
      <c r="AF529" s="2417"/>
      <c r="AG529" s="196" t="s">
        <v>420</v>
      </c>
      <c r="AH529" s="2241">
        <v>2022</v>
      </c>
      <c r="AI529" s="2241"/>
      <c r="AJ529" s="2241"/>
      <c r="AK529" s="224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79"/>
      <c r="C530" s="2580"/>
      <c r="D530" s="2580"/>
      <c r="E530" s="2580"/>
      <c r="F530" s="2580"/>
      <c r="G530" s="2580"/>
      <c r="H530" s="2581"/>
      <c r="I530" s="25" t="s">
        <v>433</v>
      </c>
      <c r="J530" s="25"/>
      <c r="K530" s="25"/>
      <c r="L530" s="25"/>
      <c r="M530" s="25"/>
      <c r="N530" s="25"/>
      <c r="O530" s="25"/>
      <c r="P530" s="25"/>
      <c r="Q530" s="25"/>
      <c r="R530" s="25"/>
      <c r="S530" s="25"/>
      <c r="T530" s="25"/>
      <c r="U530" s="25"/>
      <c r="V530" s="25"/>
      <c r="W530" s="25"/>
      <c r="X530" s="25"/>
      <c r="Y530" s="25"/>
      <c r="Z530" s="25"/>
      <c r="AA530" s="25"/>
      <c r="AB530" s="25"/>
      <c r="AC530" s="2541">
        <v>8</v>
      </c>
      <c r="AD530" s="2542"/>
      <c r="AE530" s="2542"/>
      <c r="AF530" s="2542"/>
      <c r="AG530" s="75" t="s">
        <v>420</v>
      </c>
      <c r="AH530" s="2241">
        <v>2023</v>
      </c>
      <c r="AI530" s="2241"/>
      <c r="AJ530" s="2241"/>
      <c r="AK530" s="224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82"/>
      <c r="C531" s="2583"/>
      <c r="D531" s="2583"/>
      <c r="E531" s="2583"/>
      <c r="F531" s="2583"/>
      <c r="G531" s="2583"/>
      <c r="H531" s="2584"/>
      <c r="I531" s="80" t="s">
        <v>434</v>
      </c>
      <c r="J531" s="80"/>
      <c r="K531" s="80"/>
      <c r="L531" s="80"/>
      <c r="M531" s="80"/>
      <c r="N531" s="80"/>
      <c r="O531" s="80"/>
      <c r="P531" s="80"/>
      <c r="Q531" s="80"/>
      <c r="R531" s="80"/>
      <c r="S531" s="80"/>
      <c r="T531" s="80"/>
      <c r="U531" s="80"/>
      <c r="V531" s="80"/>
      <c r="W531" s="80"/>
      <c r="X531" s="80"/>
      <c r="Y531" s="80"/>
      <c r="Z531" s="80"/>
      <c r="AA531" s="80"/>
      <c r="AB531" s="80"/>
      <c r="AC531" s="2541">
        <v>5</v>
      </c>
      <c r="AD531" s="2542"/>
      <c r="AE531" s="2542"/>
      <c r="AF531" s="2542"/>
      <c r="AG531" s="65" t="s">
        <v>420</v>
      </c>
      <c r="AH531" s="2241">
        <v>2023</v>
      </c>
      <c r="AI531" s="2241"/>
      <c r="AJ531" s="2241"/>
      <c r="AK531" s="224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76" t="s">
        <v>436</v>
      </c>
      <c r="C532" s="2577"/>
      <c r="D532" s="2577"/>
      <c r="E532" s="2577"/>
      <c r="F532" s="2577"/>
      <c r="G532" s="2577"/>
      <c r="H532" s="2578"/>
      <c r="I532" s="71" t="s">
        <v>437</v>
      </c>
      <c r="J532" s="72"/>
      <c r="K532" s="72"/>
      <c r="L532" s="72"/>
      <c r="M532" s="72"/>
      <c r="N532" s="72"/>
      <c r="O532" s="2071" t="s">
        <v>2751</v>
      </c>
      <c r="P532" s="2071"/>
      <c r="Q532" s="2071"/>
      <c r="R532" s="2071"/>
      <c r="S532" s="2071"/>
      <c r="T532" s="2071"/>
      <c r="U532" s="2071"/>
      <c r="V532" s="2071"/>
      <c r="W532" s="2071"/>
      <c r="X532" s="2071"/>
      <c r="Y532" s="2071"/>
      <c r="Z532" s="2071"/>
      <c r="AA532" s="2071"/>
      <c r="AB532" s="94"/>
      <c r="AC532" s="2416" t="s">
        <v>617</v>
      </c>
      <c r="AD532" s="2417"/>
      <c r="AE532" s="2417"/>
      <c r="AF532" s="2417"/>
      <c r="AG532" s="196" t="s">
        <v>420</v>
      </c>
      <c r="AH532" s="2241"/>
      <c r="AI532" s="2241"/>
      <c r="AJ532" s="2241"/>
      <c r="AK532" s="224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79"/>
      <c r="C533" s="2580"/>
      <c r="D533" s="2580"/>
      <c r="E533" s="2580"/>
      <c r="F533" s="2580"/>
      <c r="G533" s="2580"/>
      <c r="H533" s="2581"/>
      <c r="I533" s="171" t="s">
        <v>438</v>
      </c>
      <c r="J533" s="25"/>
      <c r="K533" s="25"/>
      <c r="L533" s="25"/>
      <c r="M533" s="25"/>
      <c r="N533" s="25"/>
      <c r="O533" s="25"/>
      <c r="P533" s="25"/>
      <c r="Q533" s="25"/>
      <c r="R533" s="25"/>
      <c r="S533" s="25"/>
      <c r="T533" s="25"/>
      <c r="U533" s="25"/>
      <c r="V533" s="25"/>
      <c r="W533" s="25"/>
      <c r="X533" s="25"/>
      <c r="Y533" s="25"/>
      <c r="Z533" s="25"/>
      <c r="AA533" s="25"/>
      <c r="AB533" s="101"/>
      <c r="AC533" s="2541">
        <v>11</v>
      </c>
      <c r="AD533" s="2542"/>
      <c r="AE533" s="2542"/>
      <c r="AF533" s="2542"/>
      <c r="AG533" s="75" t="s">
        <v>420</v>
      </c>
      <c r="AH533" s="2241">
        <v>2021</v>
      </c>
      <c r="AI533" s="2241"/>
      <c r="AJ533" s="2241"/>
      <c r="AK533" s="224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79"/>
      <c r="C534" s="2580"/>
      <c r="D534" s="2580"/>
      <c r="E534" s="2580"/>
      <c r="F534" s="2580"/>
      <c r="G534" s="2580"/>
      <c r="H534" s="2581"/>
      <c r="I534" s="79" t="s">
        <v>439</v>
      </c>
      <c r="J534" s="80"/>
      <c r="K534" s="80"/>
      <c r="L534" s="80"/>
      <c r="M534" s="80"/>
      <c r="N534" s="80"/>
      <c r="O534" s="80"/>
      <c r="P534" s="80"/>
      <c r="Q534" s="80"/>
      <c r="R534" s="80"/>
      <c r="S534" s="80"/>
      <c r="T534" s="80"/>
      <c r="U534" s="80"/>
      <c r="V534" s="80"/>
      <c r="W534" s="80"/>
      <c r="X534" s="80"/>
      <c r="Y534" s="80"/>
      <c r="Z534" s="80"/>
      <c r="AA534" s="80"/>
      <c r="AB534" s="81"/>
      <c r="AC534" s="2541">
        <v>2</v>
      </c>
      <c r="AD534" s="2542"/>
      <c r="AE534" s="2542"/>
      <c r="AF534" s="2542"/>
      <c r="AG534" s="65" t="s">
        <v>420</v>
      </c>
      <c r="AH534" s="2241">
        <v>2022</v>
      </c>
      <c r="AI534" s="2241"/>
      <c r="AJ534" s="2241"/>
      <c r="AK534" s="224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79"/>
      <c r="C535" s="2580"/>
      <c r="D535" s="2580"/>
      <c r="E535" s="2580"/>
      <c r="F535" s="2580"/>
      <c r="G535" s="2580"/>
      <c r="H535" s="2581"/>
      <c r="I535" s="72" t="s">
        <v>440</v>
      </c>
      <c r="J535" s="72"/>
      <c r="K535" s="72"/>
      <c r="L535" s="72"/>
      <c r="M535" s="72"/>
      <c r="N535" s="72"/>
      <c r="O535" s="2091" t="s">
        <v>2752</v>
      </c>
      <c r="P535" s="2091"/>
      <c r="Q535" s="2091"/>
      <c r="R535" s="2091"/>
      <c r="S535" s="2091"/>
      <c r="T535" s="2091"/>
      <c r="U535" s="2091"/>
      <c r="V535" s="2091"/>
      <c r="W535" s="2091"/>
      <c r="X535" s="2091"/>
      <c r="Y535" s="2091"/>
      <c r="Z535" s="2091"/>
      <c r="AA535" s="2091"/>
      <c r="AC535" s="2541" t="s">
        <v>617</v>
      </c>
      <c r="AD535" s="2542"/>
      <c r="AE535" s="2542"/>
      <c r="AF535" s="2542"/>
      <c r="AG535" s="75" t="s">
        <v>420</v>
      </c>
      <c r="AH535" s="2241"/>
      <c r="AI535" s="2241"/>
      <c r="AJ535" s="2241"/>
      <c r="AK535" s="224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79"/>
      <c r="C536" s="2580"/>
      <c r="D536" s="2580"/>
      <c r="E536" s="2580"/>
      <c r="F536" s="2580"/>
      <c r="G536" s="2580"/>
      <c r="H536" s="2581"/>
      <c r="I536" s="25" t="s">
        <v>438</v>
      </c>
      <c r="J536" s="25"/>
      <c r="K536" s="25"/>
      <c r="L536" s="25"/>
      <c r="M536" s="25"/>
      <c r="N536" s="25"/>
      <c r="O536" s="25"/>
      <c r="P536" s="25"/>
      <c r="Q536" s="25"/>
      <c r="R536" s="25"/>
      <c r="S536" s="25"/>
      <c r="T536" s="25"/>
      <c r="U536" s="25"/>
      <c r="V536" s="25"/>
      <c r="W536" s="25"/>
      <c r="X536" s="25"/>
      <c r="Y536" s="25"/>
      <c r="AC536" s="2541">
        <v>8</v>
      </c>
      <c r="AD536" s="2542"/>
      <c r="AE536" s="2542"/>
      <c r="AF536" s="2542"/>
      <c r="AG536" s="75" t="s">
        <v>420</v>
      </c>
      <c r="AH536" s="2241">
        <v>2020</v>
      </c>
      <c r="AI536" s="2241"/>
      <c r="AJ536" s="2241"/>
      <c r="AK536" s="224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79"/>
      <c r="C537" s="2580"/>
      <c r="D537" s="2580"/>
      <c r="E537" s="2580"/>
      <c r="F537" s="2580"/>
      <c r="G537" s="2580"/>
      <c r="H537" s="2581"/>
      <c r="I537" s="80" t="s">
        <v>439</v>
      </c>
      <c r="J537" s="80"/>
      <c r="K537" s="80"/>
      <c r="L537" s="80"/>
      <c r="M537" s="80"/>
      <c r="N537" s="80"/>
      <c r="O537" s="80"/>
      <c r="P537" s="80"/>
      <c r="Q537" s="80"/>
      <c r="R537" s="80"/>
      <c r="S537" s="80"/>
      <c r="T537" s="80"/>
      <c r="U537" s="80"/>
      <c r="V537" s="80"/>
      <c r="W537" s="80"/>
      <c r="X537" s="80"/>
      <c r="Y537" s="80"/>
      <c r="Z537" s="80"/>
      <c r="AA537" s="80"/>
      <c r="AB537" s="80"/>
      <c r="AC537" s="2541">
        <v>5</v>
      </c>
      <c r="AD537" s="2542"/>
      <c r="AE537" s="2542"/>
      <c r="AF537" s="2542"/>
      <c r="AG537" s="65" t="s">
        <v>420</v>
      </c>
      <c r="AH537" s="2241">
        <v>2023</v>
      </c>
      <c r="AI537" s="2241"/>
      <c r="AJ537" s="2241"/>
      <c r="AK537" s="224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79"/>
      <c r="C538" s="2580"/>
      <c r="D538" s="2580"/>
      <c r="E538" s="2580"/>
      <c r="F538" s="2580"/>
      <c r="G538" s="2580"/>
      <c r="H538" s="2581"/>
      <c r="I538" s="72" t="s">
        <v>440</v>
      </c>
      <c r="J538" s="72"/>
      <c r="K538" s="72"/>
      <c r="L538" s="72"/>
      <c r="M538" s="72"/>
      <c r="N538" s="72"/>
      <c r="O538" s="2091" t="s">
        <v>340</v>
      </c>
      <c r="P538" s="2091"/>
      <c r="Q538" s="2091"/>
      <c r="R538" s="2091"/>
      <c r="S538" s="2091"/>
      <c r="T538" s="2091"/>
      <c r="U538" s="2091"/>
      <c r="V538" s="2091"/>
      <c r="W538" s="2091"/>
      <c r="X538" s="2091"/>
      <c r="Y538" s="2091"/>
      <c r="Z538" s="2091"/>
      <c r="AA538" s="2091"/>
      <c r="AC538" s="2541" t="s">
        <v>617</v>
      </c>
      <c r="AD538" s="2542"/>
      <c r="AE538" s="2542"/>
      <c r="AF538" s="2542"/>
      <c r="AG538" s="75" t="s">
        <v>420</v>
      </c>
      <c r="AH538" s="2241"/>
      <c r="AI538" s="2241"/>
      <c r="AJ538" s="2241"/>
      <c r="AK538" s="224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79"/>
      <c r="C539" s="2580"/>
      <c r="D539" s="2580"/>
      <c r="E539" s="2580"/>
      <c r="F539" s="2580"/>
      <c r="G539" s="2580"/>
      <c r="H539" s="2581"/>
      <c r="I539" s="25" t="s">
        <v>438</v>
      </c>
      <c r="J539" s="25"/>
      <c r="K539" s="25"/>
      <c r="L539" s="25"/>
      <c r="M539" s="25"/>
      <c r="N539" s="25"/>
      <c r="O539" s="25"/>
      <c r="P539" s="25"/>
      <c r="Q539" s="25"/>
      <c r="R539" s="25"/>
      <c r="S539" s="25"/>
      <c r="T539" s="25"/>
      <c r="U539" s="25"/>
      <c r="V539" s="25"/>
      <c r="W539" s="25"/>
      <c r="X539" s="25"/>
      <c r="Y539" s="25"/>
      <c r="AC539" s="2541" t="s">
        <v>617</v>
      </c>
      <c r="AD539" s="2542"/>
      <c r="AE539" s="2542"/>
      <c r="AF539" s="2542"/>
      <c r="AG539" s="75" t="s">
        <v>420</v>
      </c>
      <c r="AH539" s="2241"/>
      <c r="AI539" s="2241"/>
      <c r="AJ539" s="2241"/>
      <c r="AK539" s="224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79"/>
      <c r="C540" s="2580"/>
      <c r="D540" s="2580"/>
      <c r="E540" s="2580"/>
      <c r="F540" s="2580"/>
      <c r="G540" s="2580"/>
      <c r="H540" s="2581"/>
      <c r="I540" s="80" t="s">
        <v>439</v>
      </c>
      <c r="J540" s="80"/>
      <c r="K540" s="80"/>
      <c r="L540" s="80"/>
      <c r="M540" s="80"/>
      <c r="N540" s="80"/>
      <c r="O540" s="80"/>
      <c r="P540" s="80"/>
      <c r="Q540" s="80"/>
      <c r="R540" s="80"/>
      <c r="S540" s="80"/>
      <c r="T540" s="80"/>
      <c r="U540" s="80"/>
      <c r="V540" s="80"/>
      <c r="W540" s="80"/>
      <c r="X540" s="80"/>
      <c r="Y540" s="80"/>
      <c r="Z540" s="80"/>
      <c r="AA540" s="80"/>
      <c r="AB540" s="80"/>
      <c r="AC540" s="2541" t="s">
        <v>617</v>
      </c>
      <c r="AD540" s="2542"/>
      <c r="AE540" s="2542"/>
      <c r="AF540" s="2542"/>
      <c r="AG540" s="65" t="s">
        <v>420</v>
      </c>
      <c r="AH540" s="2241"/>
      <c r="AI540" s="2241"/>
      <c r="AJ540" s="2241"/>
      <c r="AK540" s="224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79"/>
      <c r="C541" s="2580"/>
      <c r="D541" s="2580"/>
      <c r="E541" s="2580"/>
      <c r="F541" s="2580"/>
      <c r="G541" s="2580"/>
      <c r="H541" s="2581"/>
      <c r="I541" s="72" t="s">
        <v>440</v>
      </c>
      <c r="J541" s="72"/>
      <c r="K541" s="72"/>
      <c r="L541" s="72"/>
      <c r="M541" s="72"/>
      <c r="N541" s="72"/>
      <c r="O541" s="2091" t="s">
        <v>340</v>
      </c>
      <c r="P541" s="2091"/>
      <c r="Q541" s="2091"/>
      <c r="R541" s="2091"/>
      <c r="S541" s="2091"/>
      <c r="T541" s="2091"/>
      <c r="U541" s="2091"/>
      <c r="V541" s="2091"/>
      <c r="W541" s="2091"/>
      <c r="X541" s="2091"/>
      <c r="Y541" s="2091"/>
      <c r="Z541" s="2091"/>
      <c r="AA541" s="2091"/>
      <c r="AC541" s="2541" t="s">
        <v>617</v>
      </c>
      <c r="AD541" s="2542"/>
      <c r="AE541" s="2542"/>
      <c r="AF541" s="2542"/>
      <c r="AG541" s="75" t="s">
        <v>420</v>
      </c>
      <c r="AH541" s="2241"/>
      <c r="AI541" s="2241"/>
      <c r="AJ541" s="2241"/>
      <c r="AK541" s="224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79"/>
      <c r="C542" s="2580"/>
      <c r="D542" s="2580"/>
      <c r="E542" s="2580"/>
      <c r="F542" s="2580"/>
      <c r="G542" s="2580"/>
      <c r="H542" s="2581"/>
      <c r="I542" s="25" t="s">
        <v>438</v>
      </c>
      <c r="J542" s="25"/>
      <c r="K542" s="25"/>
      <c r="L542" s="25"/>
      <c r="M542" s="25"/>
      <c r="N542" s="25"/>
      <c r="O542" s="25"/>
      <c r="P542" s="25"/>
      <c r="Q542" s="25"/>
      <c r="R542" s="25"/>
      <c r="S542" s="25"/>
      <c r="T542" s="25"/>
      <c r="U542" s="25"/>
      <c r="V542" s="25"/>
      <c r="W542" s="25"/>
      <c r="X542" s="25"/>
      <c r="Y542" s="25"/>
      <c r="AC542" s="2541" t="s">
        <v>617</v>
      </c>
      <c r="AD542" s="2542"/>
      <c r="AE542" s="2542"/>
      <c r="AF542" s="2542"/>
      <c r="AG542" s="75" t="s">
        <v>420</v>
      </c>
      <c r="AH542" s="2241"/>
      <c r="AI542" s="2241"/>
      <c r="AJ542" s="2241"/>
      <c r="AK542" s="224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79"/>
      <c r="C543" s="2580"/>
      <c r="D543" s="2580"/>
      <c r="E543" s="2580"/>
      <c r="F543" s="2580"/>
      <c r="G543" s="2580"/>
      <c r="H543" s="2581"/>
      <c r="I543" s="80" t="s">
        <v>439</v>
      </c>
      <c r="J543" s="80"/>
      <c r="K543" s="80"/>
      <c r="L543" s="80"/>
      <c r="M543" s="80"/>
      <c r="N543" s="80"/>
      <c r="O543" s="80"/>
      <c r="P543" s="80"/>
      <c r="Q543" s="80"/>
      <c r="R543" s="80"/>
      <c r="S543" s="80"/>
      <c r="T543" s="80"/>
      <c r="U543" s="80"/>
      <c r="V543" s="80"/>
      <c r="W543" s="80"/>
      <c r="X543" s="80"/>
      <c r="Y543" s="80"/>
      <c r="Z543" s="80"/>
      <c r="AA543" s="80"/>
      <c r="AB543" s="80"/>
      <c r="AC543" s="2541" t="s">
        <v>617</v>
      </c>
      <c r="AD543" s="2542"/>
      <c r="AE543" s="2542"/>
      <c r="AF543" s="2542"/>
      <c r="AG543" s="65" t="s">
        <v>420</v>
      </c>
      <c r="AH543" s="2241"/>
      <c r="AI543" s="2241"/>
      <c r="AJ543" s="2241"/>
      <c r="AK543" s="224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79"/>
      <c r="C544" s="2580"/>
      <c r="D544" s="2580"/>
      <c r="E544" s="2580"/>
      <c r="F544" s="2580"/>
      <c r="G544" s="2580"/>
      <c r="H544" s="2581"/>
      <c r="I544" s="72" t="s">
        <v>440</v>
      </c>
      <c r="J544" s="72"/>
      <c r="K544" s="72"/>
      <c r="L544" s="72"/>
      <c r="M544" s="72"/>
      <c r="N544" s="72"/>
      <c r="O544" s="2091" t="s">
        <v>340</v>
      </c>
      <c r="P544" s="2091"/>
      <c r="Q544" s="2091"/>
      <c r="R544" s="2091"/>
      <c r="S544" s="2091"/>
      <c r="T544" s="2091"/>
      <c r="U544" s="2091"/>
      <c r="V544" s="2091"/>
      <c r="W544" s="2091"/>
      <c r="X544" s="2091"/>
      <c r="Y544" s="2091"/>
      <c r="Z544" s="2091"/>
      <c r="AA544" s="2091"/>
      <c r="AC544" s="2541" t="s">
        <v>617</v>
      </c>
      <c r="AD544" s="2542"/>
      <c r="AE544" s="2542"/>
      <c r="AF544" s="2542"/>
      <c r="AG544" s="75" t="s">
        <v>420</v>
      </c>
      <c r="AH544" s="2241"/>
      <c r="AI544" s="2241"/>
      <c r="AJ544" s="2241"/>
      <c r="AK544" s="224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79"/>
      <c r="C545" s="2580"/>
      <c r="D545" s="2580"/>
      <c r="E545" s="2580"/>
      <c r="F545" s="2580"/>
      <c r="G545" s="2580"/>
      <c r="H545" s="2581"/>
      <c r="I545" s="25" t="s">
        <v>438</v>
      </c>
      <c r="J545" s="25"/>
      <c r="K545" s="25"/>
      <c r="L545" s="25"/>
      <c r="M545" s="25"/>
      <c r="N545" s="25"/>
      <c r="O545" s="25"/>
      <c r="P545" s="25"/>
      <c r="Q545" s="25"/>
      <c r="R545" s="25"/>
      <c r="S545" s="25"/>
      <c r="T545" s="25"/>
      <c r="U545" s="25"/>
      <c r="V545" s="25"/>
      <c r="W545" s="25"/>
      <c r="X545" s="25"/>
      <c r="Y545" s="25"/>
      <c r="AC545" s="2541" t="s">
        <v>617</v>
      </c>
      <c r="AD545" s="2542"/>
      <c r="AE545" s="2542"/>
      <c r="AF545" s="2542"/>
      <c r="AG545" s="65" t="s">
        <v>420</v>
      </c>
      <c r="AH545" s="2241"/>
      <c r="AI545" s="2241"/>
      <c r="AJ545" s="2241"/>
      <c r="AK545" s="224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79"/>
      <c r="C546" s="2580"/>
      <c r="D546" s="2580"/>
      <c r="E546" s="2580"/>
      <c r="F546" s="2580"/>
      <c r="G546" s="2580"/>
      <c r="H546" s="2581"/>
      <c r="I546" s="80" t="s">
        <v>439</v>
      </c>
      <c r="J546" s="80"/>
      <c r="K546" s="80"/>
      <c r="L546" s="80"/>
      <c r="M546" s="80"/>
      <c r="N546" s="80"/>
      <c r="O546" s="80"/>
      <c r="P546" s="80"/>
      <c r="Q546" s="80"/>
      <c r="R546" s="80"/>
      <c r="S546" s="80"/>
      <c r="T546" s="80"/>
      <c r="U546" s="80"/>
      <c r="V546" s="80"/>
      <c r="W546" s="80"/>
      <c r="X546" s="80"/>
      <c r="Y546" s="80"/>
      <c r="Z546" s="80"/>
      <c r="AA546" s="80"/>
      <c r="AB546" s="80"/>
      <c r="AC546" s="2541" t="s">
        <v>617</v>
      </c>
      <c r="AD546" s="2542"/>
      <c r="AE546" s="2542"/>
      <c r="AF546" s="2542"/>
      <c r="AG546" s="75" t="s">
        <v>420</v>
      </c>
      <c r="AH546" s="2241"/>
      <c r="AI546" s="2241"/>
      <c r="AJ546" s="2241"/>
      <c r="AK546" s="224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79"/>
      <c r="C547" s="2580"/>
      <c r="D547" s="2580"/>
      <c r="E547" s="2580"/>
      <c r="F547" s="2580"/>
      <c r="G547" s="2580"/>
      <c r="H547" s="2581"/>
      <c r="I547" s="72" t="s">
        <v>440</v>
      </c>
      <c r="J547" s="72"/>
      <c r="K547" s="72"/>
      <c r="L547" s="72"/>
      <c r="M547" s="72"/>
      <c r="N547" s="72"/>
      <c r="O547" s="2091" t="s">
        <v>340</v>
      </c>
      <c r="P547" s="2091"/>
      <c r="Q547" s="2091"/>
      <c r="R547" s="2091"/>
      <c r="S547" s="2091"/>
      <c r="T547" s="2091"/>
      <c r="U547" s="2091"/>
      <c r="V547" s="2091"/>
      <c r="W547" s="2091"/>
      <c r="X547" s="2091"/>
      <c r="Y547" s="2091"/>
      <c r="Z547" s="2091"/>
      <c r="AA547" s="2091"/>
      <c r="AC547" s="2541" t="s">
        <v>617</v>
      </c>
      <c r="AD547" s="2542"/>
      <c r="AE547" s="2542"/>
      <c r="AF547" s="2542"/>
      <c r="AG547" s="65" t="s">
        <v>420</v>
      </c>
      <c r="AH547" s="2241"/>
      <c r="AI547" s="2241"/>
      <c r="AJ547" s="2241"/>
      <c r="AK547" s="224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79"/>
      <c r="C548" s="2580"/>
      <c r="D548" s="2580"/>
      <c r="E548" s="2580"/>
      <c r="F548" s="2580"/>
      <c r="G548" s="2580"/>
      <c r="H548" s="2581"/>
      <c r="I548" s="25" t="s">
        <v>438</v>
      </c>
      <c r="J548" s="25"/>
      <c r="K548" s="25"/>
      <c r="L548" s="25"/>
      <c r="M548" s="25"/>
      <c r="N548" s="25"/>
      <c r="O548" s="25"/>
      <c r="P548" s="25"/>
      <c r="Q548" s="25"/>
      <c r="R548" s="25"/>
      <c r="S548" s="25"/>
      <c r="T548" s="25"/>
      <c r="U548" s="25"/>
      <c r="V548" s="25"/>
      <c r="W548" s="25"/>
      <c r="X548" s="25"/>
      <c r="Y548" s="25"/>
      <c r="AC548" s="2541" t="s">
        <v>617</v>
      </c>
      <c r="AD548" s="2542"/>
      <c r="AE548" s="2542"/>
      <c r="AF548" s="2542"/>
      <c r="AG548" s="75" t="s">
        <v>420</v>
      </c>
      <c r="AH548" s="2241"/>
      <c r="AI548" s="2241"/>
      <c r="AJ548" s="2241"/>
      <c r="AK548" s="224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79"/>
      <c r="C549" s="2580"/>
      <c r="D549" s="2580"/>
      <c r="E549" s="2580"/>
      <c r="F549" s="2580"/>
      <c r="G549" s="2580"/>
      <c r="H549" s="2581"/>
      <c r="I549" s="80" t="s">
        <v>439</v>
      </c>
      <c r="J549" s="80"/>
      <c r="K549" s="80"/>
      <c r="L549" s="80"/>
      <c r="M549" s="80"/>
      <c r="N549" s="80"/>
      <c r="O549" s="80"/>
      <c r="P549" s="80"/>
      <c r="Q549" s="80"/>
      <c r="R549" s="80"/>
      <c r="S549" s="80"/>
      <c r="T549" s="80"/>
      <c r="U549" s="80"/>
      <c r="V549" s="80"/>
      <c r="W549" s="80"/>
      <c r="X549" s="80"/>
      <c r="Y549" s="80"/>
      <c r="Z549" s="80"/>
      <c r="AA549" s="80"/>
      <c r="AB549" s="80"/>
      <c r="AC549" s="2541" t="s">
        <v>617</v>
      </c>
      <c r="AD549" s="2542"/>
      <c r="AE549" s="2542"/>
      <c r="AF549" s="2542"/>
      <c r="AG549" s="65" t="s">
        <v>420</v>
      </c>
      <c r="AH549" s="2241"/>
      <c r="AI549" s="2241"/>
      <c r="AJ549" s="2241"/>
      <c r="AK549" s="224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79"/>
      <c r="C550" s="2580"/>
      <c r="D550" s="2580"/>
      <c r="E550" s="2580"/>
      <c r="F550" s="2580"/>
      <c r="G550" s="2580"/>
      <c r="H550" s="2581"/>
      <c r="I550" s="72" t="s">
        <v>587</v>
      </c>
      <c r="J550" s="72"/>
      <c r="K550" s="72"/>
      <c r="L550" s="72"/>
      <c r="M550" s="72"/>
      <c r="N550" s="72"/>
      <c r="O550" s="72"/>
      <c r="P550" s="72"/>
      <c r="Q550" s="72"/>
      <c r="R550" s="72"/>
      <c r="S550" s="72"/>
      <c r="T550" s="72"/>
      <c r="U550" s="72"/>
      <c r="V550" s="72"/>
      <c r="W550" s="72"/>
      <c r="X550" s="25"/>
      <c r="Y550" s="25"/>
      <c r="AC550" s="2541">
        <v>6</v>
      </c>
      <c r="AD550" s="2542"/>
      <c r="AE550" s="2542"/>
      <c r="AF550" s="2542"/>
      <c r="AG550" s="65" t="s">
        <v>420</v>
      </c>
      <c r="AH550" s="2241">
        <v>2023</v>
      </c>
      <c r="AI550" s="2241"/>
      <c r="AJ550" s="2241"/>
      <c r="AK550" s="224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79"/>
      <c r="C551" s="2580"/>
      <c r="D551" s="2580"/>
      <c r="E551" s="2580"/>
      <c r="F551" s="2580"/>
      <c r="G551" s="2580"/>
      <c r="H551" s="2581"/>
      <c r="I551" s="25" t="s">
        <v>588</v>
      </c>
      <c r="J551" s="25"/>
      <c r="K551" s="25"/>
      <c r="L551" s="25"/>
      <c r="M551" s="25"/>
      <c r="N551" s="25"/>
      <c r="O551" s="25"/>
      <c r="P551" s="25"/>
      <c r="Q551" s="25"/>
      <c r="R551" s="25"/>
      <c r="S551" s="25"/>
      <c r="T551" s="25"/>
      <c r="U551" s="25"/>
      <c r="V551" s="25"/>
      <c r="W551" s="25"/>
      <c r="X551" s="25"/>
      <c r="Y551" s="25"/>
      <c r="AC551" s="2541">
        <v>5</v>
      </c>
      <c r="AD551" s="2542"/>
      <c r="AE551" s="2542"/>
      <c r="AF551" s="2542"/>
      <c r="AG551" s="75" t="s">
        <v>420</v>
      </c>
      <c r="AH551" s="2241">
        <v>2023</v>
      </c>
      <c r="AI551" s="2241"/>
      <c r="AJ551" s="2241"/>
      <c r="AK551" s="224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79"/>
      <c r="C552" s="2580"/>
      <c r="D552" s="2580"/>
      <c r="E552" s="2580"/>
      <c r="F552" s="2580"/>
      <c r="G552" s="2580"/>
      <c r="H552" s="2581"/>
      <c r="I552" s="25" t="s">
        <v>589</v>
      </c>
      <c r="J552" s="25"/>
      <c r="K552" s="25"/>
      <c r="L552" s="25"/>
      <c r="M552" s="25"/>
      <c r="N552" s="25"/>
      <c r="O552" s="25"/>
      <c r="P552" s="25"/>
      <c r="Q552" s="25"/>
      <c r="R552" s="25"/>
      <c r="S552" s="25"/>
      <c r="T552" s="25"/>
      <c r="U552" s="25"/>
      <c r="V552" s="25"/>
      <c r="W552" s="25"/>
      <c r="X552" s="25"/>
      <c r="Y552" s="25"/>
      <c r="AC552" s="2541">
        <v>8</v>
      </c>
      <c r="AD552" s="2542"/>
      <c r="AE552" s="2542"/>
      <c r="AF552" s="2542"/>
      <c r="AG552" s="65" t="s">
        <v>420</v>
      </c>
      <c r="AH552" s="2241">
        <v>2025</v>
      </c>
      <c r="AI552" s="2241"/>
      <c r="AJ552" s="2241"/>
      <c r="AK552" s="224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79"/>
      <c r="C553" s="2580"/>
      <c r="D553" s="2580"/>
      <c r="E553" s="2580"/>
      <c r="F553" s="2580"/>
      <c r="G553" s="2580"/>
      <c r="H553" s="2581"/>
      <c r="I553" s="25" t="s">
        <v>590</v>
      </c>
      <c r="J553" s="25"/>
      <c r="K553" s="25"/>
      <c r="L553" s="25"/>
      <c r="M553" s="25"/>
      <c r="N553" s="25"/>
      <c r="O553" s="25"/>
      <c r="P553" s="25"/>
      <c r="Q553" s="25"/>
      <c r="R553" s="25"/>
      <c r="S553" s="25"/>
      <c r="T553" s="25"/>
      <c r="U553" s="25"/>
      <c r="V553" s="25"/>
      <c r="W553" s="25"/>
      <c r="X553" s="25"/>
      <c r="Y553" s="25"/>
      <c r="AC553" s="2541">
        <v>8</v>
      </c>
      <c r="AD553" s="2542"/>
      <c r="AE553" s="2542"/>
      <c r="AF553" s="2542"/>
      <c r="AG553" s="65" t="s">
        <v>420</v>
      </c>
      <c r="AH553" s="2241">
        <v>2025</v>
      </c>
      <c r="AI553" s="2241"/>
      <c r="AJ553" s="2241"/>
      <c r="AK553" s="224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82"/>
      <c r="C554" s="2583"/>
      <c r="D554" s="2583"/>
      <c r="E554" s="2583"/>
      <c r="F554" s="2583"/>
      <c r="G554" s="2583"/>
      <c r="H554" s="2584"/>
      <c r="I554" s="80" t="s">
        <v>475</v>
      </c>
      <c r="J554" s="80"/>
      <c r="K554" s="80"/>
      <c r="L554" s="80"/>
      <c r="M554" s="80"/>
      <c r="N554" s="80"/>
      <c r="O554" s="80"/>
      <c r="P554" s="80"/>
      <c r="Q554" s="80"/>
      <c r="R554" s="80"/>
      <c r="S554" s="80"/>
      <c r="T554" s="80"/>
      <c r="U554" s="80"/>
      <c r="V554" s="80"/>
      <c r="W554" s="80"/>
      <c r="X554" s="80"/>
      <c r="Y554" s="80"/>
      <c r="Z554" s="80"/>
      <c r="AA554" s="80"/>
      <c r="AB554" s="80"/>
      <c r="AC554" s="2541">
        <v>4</v>
      </c>
      <c r="AD554" s="2542"/>
      <c r="AE554" s="2542"/>
      <c r="AF554" s="2542"/>
      <c r="AG554" s="65" t="s">
        <v>420</v>
      </c>
      <c r="AH554" s="2241">
        <v>2026</v>
      </c>
      <c r="AI554" s="2241"/>
      <c r="AJ554" s="2241"/>
      <c r="AK554" s="224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568</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64" t="s">
        <v>477</v>
      </c>
      <c r="C563" s="2128"/>
      <c r="D563" s="2128"/>
      <c r="E563" s="2128"/>
      <c r="F563" s="2128"/>
      <c r="G563" s="2128"/>
      <c r="H563" s="2128"/>
      <c r="I563" s="2128"/>
      <c r="J563" s="2128"/>
      <c r="K563" s="2128"/>
      <c r="L563" s="2128"/>
      <c r="M563" s="2128"/>
      <c r="N563" s="2128"/>
      <c r="O563" s="2128"/>
      <c r="P563" s="2129"/>
      <c r="Q563" s="2564" t="s">
        <v>2169</v>
      </c>
      <c r="R563" s="2565"/>
      <c r="S563" s="2566"/>
      <c r="T563" s="2564" t="s">
        <v>2167</v>
      </c>
      <c r="U563" s="2565"/>
      <c r="V563" s="2566"/>
      <c r="W563" s="2564" t="s">
        <v>478</v>
      </c>
      <c r="X563" s="2565"/>
      <c r="Y563" s="2566"/>
      <c r="Z563" s="2564" t="s">
        <v>2168</v>
      </c>
      <c r="AA563" s="2565"/>
      <c r="AB563" s="2565"/>
      <c r="AC563" s="2565"/>
      <c r="AD563" s="2565"/>
      <c r="AE563" s="2564" t="s">
        <v>1986</v>
      </c>
      <c r="AF563" s="2565"/>
      <c r="AG563" s="2565"/>
      <c r="AH563" s="2566"/>
      <c r="AI563" s="2564" t="s">
        <v>1987</v>
      </c>
      <c r="AJ563" s="2565"/>
      <c r="AK563" s="2565"/>
      <c r="AL563" s="2566"/>
      <c r="AM563" s="2564" t="s">
        <v>479</v>
      </c>
      <c r="AN563" s="2565"/>
      <c r="AO563" s="2565"/>
      <c r="AP563" s="2565"/>
      <c r="AQ563" s="2565"/>
      <c r="AR563" s="2565"/>
      <c r="AS563" s="25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42" t="s">
        <v>2704</v>
      </c>
      <c r="D564" s="2142"/>
      <c r="E564" s="2142"/>
      <c r="F564" s="2142"/>
      <c r="G564" s="2142"/>
      <c r="H564" s="2142"/>
      <c r="I564" s="2142"/>
      <c r="J564" s="2142"/>
      <c r="K564" s="2142"/>
      <c r="L564" s="2142"/>
      <c r="M564" s="2142"/>
      <c r="N564" s="2142"/>
      <c r="O564" s="2142"/>
      <c r="P564" s="2143"/>
      <c r="Q564" s="2063">
        <v>36</v>
      </c>
      <c r="R564" s="2063"/>
      <c r="S564" s="2064"/>
      <c r="T564" s="2062">
        <v>36</v>
      </c>
      <c r="U564" s="2063"/>
      <c r="V564" s="2064"/>
      <c r="W564" s="2065">
        <v>3.5000000000000003E-2</v>
      </c>
      <c r="X564" s="2066"/>
      <c r="Y564" s="2067"/>
      <c r="Z564" s="2563" t="s">
        <v>2712</v>
      </c>
      <c r="AA564" s="2563"/>
      <c r="AB564" s="2563"/>
      <c r="AC564" s="2563"/>
      <c r="AD564" s="2563"/>
      <c r="AE564" s="2056">
        <v>1</v>
      </c>
      <c r="AF564" s="2057"/>
      <c r="AG564" s="2057"/>
      <c r="AH564" s="2058"/>
      <c r="AI564" s="2059" t="s">
        <v>2711</v>
      </c>
      <c r="AJ564" s="2060"/>
      <c r="AK564" s="2060"/>
      <c r="AL564" s="2061"/>
      <c r="AM564" s="2309">
        <f>+'[10]Project Summary (Internal)'!$M$44</f>
        <v>42700000</v>
      </c>
      <c r="AN564" s="2310"/>
      <c r="AO564" s="2310"/>
      <c r="AP564" s="2310"/>
      <c r="AQ564" s="2310"/>
      <c r="AR564" s="2310"/>
      <c r="AS564" s="2267"/>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42" t="s">
        <v>2705</v>
      </c>
      <c r="D565" s="2142"/>
      <c r="E565" s="2142"/>
      <c r="F565" s="2142"/>
      <c r="G565" s="2142"/>
      <c r="H565" s="2142"/>
      <c r="I565" s="2142"/>
      <c r="J565" s="2142"/>
      <c r="K565" s="2142"/>
      <c r="L565" s="2142"/>
      <c r="M565" s="2142"/>
      <c r="N565" s="2142"/>
      <c r="O565" s="2142"/>
      <c r="P565" s="2143"/>
      <c r="Q565" s="2062">
        <v>36</v>
      </c>
      <c r="R565" s="2063"/>
      <c r="S565" s="2064"/>
      <c r="T565" s="2062">
        <v>36</v>
      </c>
      <c r="U565" s="2063"/>
      <c r="V565" s="2064"/>
      <c r="W565" s="2065">
        <v>3.5000000000000003E-2</v>
      </c>
      <c r="X565" s="2066"/>
      <c r="Y565" s="2067"/>
      <c r="Z565" s="2563" t="s">
        <v>2712</v>
      </c>
      <c r="AA565" s="2563"/>
      <c r="AB565" s="2563"/>
      <c r="AC565" s="2563"/>
      <c r="AD565" s="2563"/>
      <c r="AE565" s="2056">
        <v>2</v>
      </c>
      <c r="AF565" s="2057"/>
      <c r="AG565" s="2057"/>
      <c r="AH565" s="2058"/>
      <c r="AI565" s="2059" t="s">
        <v>2711</v>
      </c>
      <c r="AJ565" s="2060"/>
      <c r="AK565" s="2060"/>
      <c r="AL565" s="2061"/>
      <c r="AM565" s="2309">
        <f>+'[10]Project Summary (Internal)'!$M$42</f>
        <v>11646387.853336751</v>
      </c>
      <c r="AN565" s="2310"/>
      <c r="AO565" s="2310"/>
      <c r="AP565" s="2310"/>
      <c r="AQ565" s="2310"/>
      <c r="AR565" s="2310"/>
      <c r="AS565" s="226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42" t="s">
        <v>2706</v>
      </c>
      <c r="D566" s="2142"/>
      <c r="E566" s="2142"/>
      <c r="F566" s="2142"/>
      <c r="G566" s="2142"/>
      <c r="H566" s="2142"/>
      <c r="I566" s="2142"/>
      <c r="J566" s="2142"/>
      <c r="K566" s="2142"/>
      <c r="L566" s="2142"/>
      <c r="M566" s="2142"/>
      <c r="N566" s="2142"/>
      <c r="O566" s="2142"/>
      <c r="P566" s="2143"/>
      <c r="Q566" s="2062">
        <v>660</v>
      </c>
      <c r="R566" s="2063"/>
      <c r="S566" s="2064"/>
      <c r="T566" s="2062">
        <v>660</v>
      </c>
      <c r="U566" s="2063"/>
      <c r="V566" s="2064"/>
      <c r="W566" s="2065">
        <v>0.04</v>
      </c>
      <c r="X566" s="2066"/>
      <c r="Y566" s="2067"/>
      <c r="Z566" s="2567" t="s">
        <v>2712</v>
      </c>
      <c r="AA566" s="2563"/>
      <c r="AB566" s="2563"/>
      <c r="AC566" s="2563"/>
      <c r="AD566" s="2568"/>
      <c r="AE566" s="2056">
        <v>3</v>
      </c>
      <c r="AF566" s="2057"/>
      <c r="AG566" s="2057"/>
      <c r="AH566" s="2058"/>
      <c r="AI566" s="2059" t="s">
        <v>2713</v>
      </c>
      <c r="AJ566" s="2060"/>
      <c r="AK566" s="2060"/>
      <c r="AL566" s="2061"/>
      <c r="AM566" s="2309">
        <f>+'[10]S&amp;U Qtr'!$S$19</f>
        <v>3600000</v>
      </c>
      <c r="AN566" s="2310"/>
      <c r="AO566" s="2310"/>
      <c r="AP566" s="2310"/>
      <c r="AQ566" s="2310"/>
      <c r="AR566" s="2310"/>
      <c r="AS566" s="226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42" t="s">
        <v>2707</v>
      </c>
      <c r="D567" s="2142"/>
      <c r="E567" s="2142"/>
      <c r="F567" s="2142"/>
      <c r="G567" s="2142"/>
      <c r="H567" s="2142"/>
      <c r="I567" s="2142"/>
      <c r="J567" s="2142"/>
      <c r="K567" s="2142"/>
      <c r="L567" s="2142"/>
      <c r="M567" s="2142"/>
      <c r="N567" s="2142"/>
      <c r="O567" s="2142"/>
      <c r="P567" s="2143"/>
      <c r="Q567" s="2062">
        <v>660</v>
      </c>
      <c r="R567" s="2063"/>
      <c r="S567" s="2064"/>
      <c r="T567" s="2062">
        <v>660</v>
      </c>
      <c r="U567" s="2063"/>
      <c r="V567" s="2064"/>
      <c r="W567" s="2065">
        <v>0.03</v>
      </c>
      <c r="X567" s="2066"/>
      <c r="Y567" s="2067"/>
      <c r="Z567" s="2567" t="s">
        <v>2712</v>
      </c>
      <c r="AA567" s="2563"/>
      <c r="AB567" s="2563"/>
      <c r="AC567" s="2563"/>
      <c r="AD567" s="2568"/>
      <c r="AE567" s="2056">
        <v>4</v>
      </c>
      <c r="AF567" s="2057"/>
      <c r="AG567" s="2057"/>
      <c r="AH567" s="2058"/>
      <c r="AI567" s="2059" t="s">
        <v>2713</v>
      </c>
      <c r="AJ567" s="2060"/>
      <c r="AK567" s="2060"/>
      <c r="AL567" s="2061"/>
      <c r="AM567" s="2309">
        <f>+'[10]S&amp;U Qtr'!$W$16</f>
        <v>12510000</v>
      </c>
      <c r="AN567" s="2310"/>
      <c r="AO567" s="2310"/>
      <c r="AP567" s="2310"/>
      <c r="AQ567" s="2310"/>
      <c r="AR567" s="2310"/>
      <c r="AS567" s="226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42" t="s">
        <v>2708</v>
      </c>
      <c r="D568" s="2142"/>
      <c r="E568" s="2142"/>
      <c r="F568" s="2142"/>
      <c r="G568" s="2142"/>
      <c r="H568" s="2142"/>
      <c r="I568" s="2142"/>
      <c r="J568" s="2142"/>
      <c r="K568" s="2142"/>
      <c r="L568" s="2142"/>
      <c r="M568" s="2142"/>
      <c r="N568" s="2142"/>
      <c r="O568" s="2142"/>
      <c r="P568" s="2143"/>
      <c r="Q568" s="2062"/>
      <c r="R568" s="2063"/>
      <c r="S568" s="2064"/>
      <c r="T568" s="2062"/>
      <c r="U568" s="2063"/>
      <c r="V568" s="2064"/>
      <c r="W568" s="2065"/>
      <c r="X568" s="2066"/>
      <c r="Y568" s="2067"/>
      <c r="Z568" s="2563" t="s">
        <v>617</v>
      </c>
      <c r="AA568" s="2563"/>
      <c r="AB568" s="2563"/>
      <c r="AC568" s="2563"/>
      <c r="AD568" s="2563"/>
      <c r="AE568" s="2056"/>
      <c r="AF568" s="2057"/>
      <c r="AG568" s="2057"/>
      <c r="AH568" s="2058"/>
      <c r="AI568" s="2059"/>
      <c r="AJ568" s="2060"/>
      <c r="AK568" s="2060"/>
      <c r="AL568" s="2061"/>
      <c r="AM568" s="2309">
        <f>+'[10]S&amp;U Qtr'!$W$17</f>
        <v>5500000</v>
      </c>
      <c r="AN568" s="2310"/>
      <c r="AO568" s="2310"/>
      <c r="AP568" s="2310"/>
      <c r="AQ568" s="2310"/>
      <c r="AR568" s="2310"/>
      <c r="AS568" s="226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42" t="s">
        <v>2709</v>
      </c>
      <c r="D569" s="2142"/>
      <c r="E569" s="2142"/>
      <c r="F569" s="2142"/>
      <c r="G569" s="2142"/>
      <c r="H569" s="2142"/>
      <c r="I569" s="2142"/>
      <c r="J569" s="2142"/>
      <c r="K569" s="2142"/>
      <c r="L569" s="2142"/>
      <c r="M569" s="2142"/>
      <c r="N569" s="2142"/>
      <c r="O569" s="2142"/>
      <c r="P569" s="2143"/>
      <c r="Q569" s="2062"/>
      <c r="R569" s="2063"/>
      <c r="S569" s="2064"/>
      <c r="T569" s="2062"/>
      <c r="U569" s="2063"/>
      <c r="V569" s="2064"/>
      <c r="W569" s="2065"/>
      <c r="X569" s="2066"/>
      <c r="Y569" s="2067"/>
      <c r="Z569" s="2563" t="s">
        <v>617</v>
      </c>
      <c r="AA569" s="2563"/>
      <c r="AB569" s="2563"/>
      <c r="AC569" s="2563"/>
      <c r="AD569" s="2563"/>
      <c r="AE569" s="2056"/>
      <c r="AF569" s="2057"/>
      <c r="AG569" s="2057"/>
      <c r="AH569" s="2058"/>
      <c r="AI569" s="2059"/>
      <c r="AJ569" s="2060"/>
      <c r="AK569" s="2060"/>
      <c r="AL569" s="2061"/>
      <c r="AM569" s="2309">
        <f>+'[10]S&amp;U Qtr'!$S$7</f>
        <v>3076262.1236173399</v>
      </c>
      <c r="AN569" s="2310"/>
      <c r="AO569" s="2310"/>
      <c r="AP569" s="2310"/>
      <c r="AQ569" s="2310"/>
      <c r="AR569" s="2310"/>
      <c r="AS569" s="226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42" t="s">
        <v>2710</v>
      </c>
      <c r="D570" s="2142"/>
      <c r="E570" s="2142"/>
      <c r="F570" s="2142"/>
      <c r="G570" s="2142"/>
      <c r="H570" s="2142"/>
      <c r="I570" s="2142"/>
      <c r="J570" s="2142"/>
      <c r="K570" s="2142"/>
      <c r="L570" s="2142"/>
      <c r="M570" s="2142"/>
      <c r="N570" s="2142"/>
      <c r="O570" s="2142"/>
      <c r="P570" s="2143"/>
      <c r="Q570" s="2062"/>
      <c r="R570" s="2063"/>
      <c r="S570" s="2064"/>
      <c r="T570" s="2062"/>
      <c r="U570" s="2063"/>
      <c r="V570" s="2064"/>
      <c r="W570" s="2065"/>
      <c r="X570" s="2066"/>
      <c r="Y570" s="2067"/>
      <c r="Z570" s="2563" t="s">
        <v>617</v>
      </c>
      <c r="AA570" s="2563"/>
      <c r="AB570" s="2563"/>
      <c r="AC570" s="2563"/>
      <c r="AD570" s="2563"/>
      <c r="AE570" s="2056"/>
      <c r="AF570" s="2057"/>
      <c r="AG570" s="2057"/>
      <c r="AH570" s="2058"/>
      <c r="AI570" s="2059"/>
      <c r="AJ570" s="2060"/>
      <c r="AK570" s="2060"/>
      <c r="AL570" s="2061"/>
      <c r="AM570" s="2309">
        <f>+'[10]S&amp;U Qtr'!$W$28-SUM(AM564:AS569)</f>
        <v>2657572.547363326</v>
      </c>
      <c r="AN570" s="2310"/>
      <c r="AO570" s="2310"/>
      <c r="AP570" s="2310"/>
      <c r="AQ570" s="2310"/>
      <c r="AR570" s="2310"/>
      <c r="AS570" s="226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42"/>
      <c r="D571" s="2142"/>
      <c r="E571" s="2142"/>
      <c r="F571" s="2142"/>
      <c r="G571" s="2142"/>
      <c r="H571" s="2142"/>
      <c r="I571" s="2142"/>
      <c r="J571" s="2142"/>
      <c r="K571" s="2142"/>
      <c r="L571" s="2142"/>
      <c r="M571" s="2142"/>
      <c r="N571" s="2142"/>
      <c r="O571" s="2142"/>
      <c r="P571" s="2143"/>
      <c r="Q571" s="2062"/>
      <c r="R571" s="2063"/>
      <c r="S571" s="2064"/>
      <c r="T571" s="2062"/>
      <c r="U571" s="2063"/>
      <c r="V571" s="2064"/>
      <c r="W571" s="2065"/>
      <c r="X571" s="2066"/>
      <c r="Y571" s="2067"/>
      <c r="Z571" s="2563" t="s">
        <v>1348</v>
      </c>
      <c r="AA571" s="2563"/>
      <c r="AB571" s="2563"/>
      <c r="AC571" s="2563"/>
      <c r="AD571" s="2563"/>
      <c r="AE571" s="2056"/>
      <c r="AF571" s="2057"/>
      <c r="AG571" s="2057"/>
      <c r="AH571" s="2058"/>
      <c r="AI571" s="2059"/>
      <c r="AJ571" s="2060"/>
      <c r="AK571" s="2060"/>
      <c r="AL571" s="2061"/>
      <c r="AM571" s="2309"/>
      <c r="AN571" s="2310"/>
      <c r="AO571" s="2310"/>
      <c r="AP571" s="2310"/>
      <c r="AQ571" s="2310"/>
      <c r="AR571" s="2310"/>
      <c r="AS571" s="2267"/>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42"/>
      <c r="D572" s="2142"/>
      <c r="E572" s="2142"/>
      <c r="F572" s="2142"/>
      <c r="G572" s="2142"/>
      <c r="H572" s="2142"/>
      <c r="I572" s="2142"/>
      <c r="J572" s="2142"/>
      <c r="K572" s="2142"/>
      <c r="L572" s="2142"/>
      <c r="M572" s="2142"/>
      <c r="N572" s="2142"/>
      <c r="O572" s="2142"/>
      <c r="P572" s="2143"/>
      <c r="Q572" s="2062"/>
      <c r="R572" s="2063"/>
      <c r="S572" s="2064"/>
      <c r="T572" s="2062"/>
      <c r="U572" s="2063"/>
      <c r="V572" s="2064"/>
      <c r="W572" s="2065"/>
      <c r="X572" s="2066"/>
      <c r="Y572" s="2067"/>
      <c r="Z572" s="2563" t="s">
        <v>1348</v>
      </c>
      <c r="AA572" s="2563"/>
      <c r="AB572" s="2563"/>
      <c r="AC572" s="2563"/>
      <c r="AD572" s="2563"/>
      <c r="AE572" s="2056"/>
      <c r="AF572" s="2057"/>
      <c r="AG572" s="2057"/>
      <c r="AH572" s="2058"/>
      <c r="AI572" s="2059"/>
      <c r="AJ572" s="2060"/>
      <c r="AK572" s="2060"/>
      <c r="AL572" s="2061"/>
      <c r="AM572" s="2309"/>
      <c r="AN572" s="2310"/>
      <c r="AO572" s="2310"/>
      <c r="AP572" s="2310"/>
      <c r="AQ572" s="2310"/>
      <c r="AR572" s="2310"/>
      <c r="AS572" s="2267"/>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42"/>
      <c r="D573" s="2142"/>
      <c r="E573" s="2142"/>
      <c r="F573" s="2142"/>
      <c r="G573" s="2142"/>
      <c r="H573" s="2142"/>
      <c r="I573" s="2142"/>
      <c r="J573" s="2142"/>
      <c r="K573" s="2142"/>
      <c r="L573" s="2142"/>
      <c r="M573" s="2142"/>
      <c r="N573" s="2142"/>
      <c r="O573" s="2142"/>
      <c r="P573" s="2143"/>
      <c r="Q573" s="2062"/>
      <c r="R573" s="2063"/>
      <c r="S573" s="2064"/>
      <c r="T573" s="2062"/>
      <c r="U573" s="2063"/>
      <c r="V573" s="2064"/>
      <c r="W573" s="2065"/>
      <c r="X573" s="2066"/>
      <c r="Y573" s="2067"/>
      <c r="Z573" s="2563" t="s">
        <v>1348</v>
      </c>
      <c r="AA573" s="2563"/>
      <c r="AB573" s="2563"/>
      <c r="AC573" s="2563"/>
      <c r="AD573" s="2563"/>
      <c r="AE573" s="2056"/>
      <c r="AF573" s="2057"/>
      <c r="AG573" s="2057"/>
      <c r="AH573" s="2058"/>
      <c r="AI573" s="2059"/>
      <c r="AJ573" s="2060"/>
      <c r="AK573" s="2060"/>
      <c r="AL573" s="2061"/>
      <c r="AM573" s="2309"/>
      <c r="AN573" s="2310"/>
      <c r="AO573" s="2310"/>
      <c r="AP573" s="2310"/>
      <c r="AQ573" s="2310"/>
      <c r="AR573" s="2310"/>
      <c r="AS573" s="226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42"/>
      <c r="D574" s="2142"/>
      <c r="E574" s="2142"/>
      <c r="F574" s="2142"/>
      <c r="G574" s="2142"/>
      <c r="H574" s="2142"/>
      <c r="I574" s="2142"/>
      <c r="J574" s="2142"/>
      <c r="K574" s="2142"/>
      <c r="L574" s="2142"/>
      <c r="M574" s="2142"/>
      <c r="N574" s="2142"/>
      <c r="O574" s="2142"/>
      <c r="P574" s="2143"/>
      <c r="Q574" s="2062"/>
      <c r="R574" s="2063"/>
      <c r="S574" s="2064"/>
      <c r="T574" s="2062"/>
      <c r="U574" s="2063"/>
      <c r="V574" s="2064"/>
      <c r="W574" s="2065"/>
      <c r="X574" s="2066"/>
      <c r="Y574" s="2067"/>
      <c r="Z574" s="2563" t="s">
        <v>1348</v>
      </c>
      <c r="AA574" s="2563"/>
      <c r="AB574" s="2563"/>
      <c r="AC574" s="2563"/>
      <c r="AD574" s="2563"/>
      <c r="AE574" s="2056"/>
      <c r="AF574" s="2057"/>
      <c r="AG574" s="2057"/>
      <c r="AH574" s="2058"/>
      <c r="AI574" s="2059"/>
      <c r="AJ574" s="2060"/>
      <c r="AK574" s="2060"/>
      <c r="AL574" s="2061"/>
      <c r="AM574" s="2309"/>
      <c r="AN574" s="2310"/>
      <c r="AO574" s="2310"/>
      <c r="AP574" s="2310"/>
      <c r="AQ574" s="2310"/>
      <c r="AR574" s="2310"/>
      <c r="AS574" s="226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42"/>
      <c r="D575" s="2142"/>
      <c r="E575" s="2142"/>
      <c r="F575" s="2142"/>
      <c r="G575" s="2142"/>
      <c r="H575" s="2142"/>
      <c r="I575" s="2142"/>
      <c r="J575" s="2142"/>
      <c r="K575" s="2142"/>
      <c r="L575" s="2142"/>
      <c r="M575" s="2142"/>
      <c r="N575" s="2142"/>
      <c r="O575" s="2142"/>
      <c r="P575" s="2143"/>
      <c r="Q575" s="2062"/>
      <c r="R575" s="2063"/>
      <c r="S575" s="2064"/>
      <c r="T575" s="2062"/>
      <c r="U575" s="2063"/>
      <c r="V575" s="2064"/>
      <c r="W575" s="2065"/>
      <c r="X575" s="2066"/>
      <c r="Y575" s="2067"/>
      <c r="Z575" s="2563" t="s">
        <v>1348</v>
      </c>
      <c r="AA575" s="2563"/>
      <c r="AB575" s="2563"/>
      <c r="AC575" s="2563"/>
      <c r="AD575" s="2563"/>
      <c r="AE575" s="2056"/>
      <c r="AF575" s="2057"/>
      <c r="AG575" s="2057"/>
      <c r="AH575" s="2058"/>
      <c r="AI575" s="2059"/>
      <c r="AJ575" s="2060"/>
      <c r="AK575" s="2060"/>
      <c r="AL575" s="2061"/>
      <c r="AM575" s="2309"/>
      <c r="AN575" s="2310"/>
      <c r="AO575" s="2310"/>
      <c r="AP575" s="2310"/>
      <c r="AQ575" s="2310"/>
      <c r="AR575" s="2310"/>
      <c r="AS575" s="226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5" t="s">
        <v>132</v>
      </c>
      <c r="C576" s="2386"/>
      <c r="D576" s="2386"/>
      <c r="E576" s="2386"/>
      <c r="F576" s="2386"/>
      <c r="G576" s="2386"/>
      <c r="H576" s="2386"/>
      <c r="I576" s="2386"/>
      <c r="J576" s="2386"/>
      <c r="K576" s="2386"/>
      <c r="L576" s="2386"/>
      <c r="M576" s="2386"/>
      <c r="N576" s="2386"/>
      <c r="O576" s="2386"/>
      <c r="P576" s="2386"/>
      <c r="Q576" s="2386"/>
      <c r="R576" s="2386"/>
      <c r="S576" s="2386"/>
      <c r="T576" s="2386"/>
      <c r="U576" s="2475"/>
      <c r="V576" s="2386"/>
      <c r="W576" s="2386"/>
      <c r="X576" s="2386"/>
      <c r="Y576" s="2386"/>
      <c r="Z576" s="2386"/>
      <c r="AA576" s="2386"/>
      <c r="AB576" s="2386"/>
      <c r="AC576" s="2386"/>
      <c r="AD576" s="2386"/>
      <c r="AE576" s="2386"/>
      <c r="AF576" s="2386"/>
      <c r="AG576" s="2386"/>
      <c r="AH576" s="2386"/>
      <c r="AI576" s="2386"/>
      <c r="AJ576" s="2386"/>
      <c r="AK576" s="2386"/>
      <c r="AL576" s="2387"/>
      <c r="AM576" s="2277">
        <f>SUM(AM564:AS575)</f>
        <v>81690222.524317414</v>
      </c>
      <c r="AN576" s="2278"/>
      <c r="AO576" s="2278"/>
      <c r="AP576" s="2278"/>
      <c r="AQ576" s="2278"/>
      <c r="AR576" s="2278"/>
      <c r="AS576" s="22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2" t="str">
        <f>C564</f>
        <v>Citi/Construction Loan TE Bonds</v>
      </c>
      <c r="H578" s="2072"/>
      <c r="I578" s="2072"/>
      <c r="J578" s="2072"/>
      <c r="K578" s="2072"/>
      <c r="L578" s="2072"/>
      <c r="M578" s="2072"/>
      <c r="N578" s="2072"/>
      <c r="O578" s="2072"/>
      <c r="P578" s="2072"/>
      <c r="Q578" s="2072"/>
      <c r="R578" s="2072"/>
      <c r="S578" s="14"/>
      <c r="T578" s="87" t="s">
        <v>118</v>
      </c>
      <c r="U578" s="12" t="s">
        <v>488</v>
      </c>
      <c r="Z578" s="2072" t="str">
        <f>C565</f>
        <v>Citi/Construction Loan recycled bonds</v>
      </c>
      <c r="AA578" s="2072"/>
      <c r="AB578" s="2072"/>
      <c r="AC578" s="2072"/>
      <c r="AD578" s="2072"/>
      <c r="AE578" s="2072"/>
      <c r="AF578" s="2072"/>
      <c r="AG578" s="2072"/>
      <c r="AH578" s="2072"/>
      <c r="AI578" s="2072"/>
      <c r="AJ578" s="2072"/>
      <c r="AK578" s="207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1" t="s">
        <v>2733</v>
      </c>
      <c r="H579" s="2091"/>
      <c r="I579" s="2091"/>
      <c r="J579" s="2091"/>
      <c r="K579" s="2091"/>
      <c r="L579" s="2091"/>
      <c r="M579" s="2091"/>
      <c r="N579" s="2091"/>
      <c r="O579" s="2091"/>
      <c r="P579" s="2091"/>
      <c r="Q579" s="2091"/>
      <c r="R579" s="2091"/>
      <c r="S579" s="14"/>
      <c r="T579" s="35"/>
      <c r="U579" s="12" t="s">
        <v>90</v>
      </c>
      <c r="Z579" s="2091" t="str">
        <f>G579</f>
        <v>300 South Grand Ave Suite 3110</v>
      </c>
      <c r="AA579" s="2091"/>
      <c r="AB579" s="2091"/>
      <c r="AC579" s="2091"/>
      <c r="AD579" s="2091"/>
      <c r="AE579" s="2091"/>
      <c r="AF579" s="2091"/>
      <c r="AG579" s="2091"/>
      <c r="AH579" s="2091"/>
      <c r="AI579" s="2091"/>
      <c r="AJ579" s="2091"/>
      <c r="AK579" s="2091"/>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91" t="s">
        <v>519</v>
      </c>
      <c r="H580" s="2091"/>
      <c r="I580" s="2091"/>
      <c r="J580" s="2091"/>
      <c r="K580" s="2091"/>
      <c r="L580" s="2091"/>
      <c r="M580" s="2091"/>
      <c r="N580" s="2091"/>
      <c r="O580" s="2091"/>
      <c r="P580" s="2091"/>
      <c r="Q580" s="2091"/>
      <c r="R580" s="2091"/>
      <c r="S580" s="88"/>
      <c r="T580" s="35"/>
      <c r="U580" s="12" t="s">
        <v>606</v>
      </c>
      <c r="Z580" s="2091" t="str">
        <f>G580</f>
        <v>Los Angeles</v>
      </c>
      <c r="AA580" s="2091"/>
      <c r="AB580" s="2091"/>
      <c r="AC580" s="2091"/>
      <c r="AD580" s="2091"/>
      <c r="AE580" s="2091"/>
      <c r="AF580" s="2091"/>
      <c r="AG580" s="2091"/>
      <c r="AH580" s="2091"/>
      <c r="AI580" s="2091"/>
      <c r="AJ580" s="2091"/>
      <c r="AK580" s="2091"/>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2753</v>
      </c>
      <c r="H581" s="2091"/>
      <c r="I581" s="2091"/>
      <c r="J581" s="2091"/>
      <c r="K581" s="2091"/>
      <c r="L581" s="2091"/>
      <c r="M581" s="2091"/>
      <c r="N581" s="2091"/>
      <c r="O581" s="2091"/>
      <c r="P581" s="2091"/>
      <c r="Q581" s="2091"/>
      <c r="R581" s="2091"/>
      <c r="S581" s="14"/>
      <c r="T581" s="35"/>
      <c r="U581" s="12" t="s">
        <v>17</v>
      </c>
      <c r="Z581" s="2091" t="str">
        <f>G581</f>
        <v>Li Hao</v>
      </c>
      <c r="AA581" s="2091"/>
      <c r="AB581" s="2091"/>
      <c r="AC581" s="2091"/>
      <c r="AD581" s="2091"/>
      <c r="AE581" s="2091"/>
      <c r="AF581" s="2091"/>
      <c r="AG581" s="2091"/>
      <c r="AH581" s="2091"/>
      <c r="AI581" s="2091"/>
      <c r="AJ581" s="2091"/>
      <c r="AK581" s="209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090" t="s">
        <v>2754</v>
      </c>
      <c r="H582" s="2090"/>
      <c r="I582" s="2090"/>
      <c r="J582" s="2090"/>
      <c r="K582" s="2090"/>
      <c r="L582" s="2090"/>
      <c r="O582" s="137" t="s">
        <v>212</v>
      </c>
      <c r="P582" s="2088"/>
      <c r="Q582" s="2088"/>
      <c r="R582" s="2088"/>
      <c r="S582" s="16"/>
      <c r="T582" s="35"/>
      <c r="U582" s="12" t="s">
        <v>322</v>
      </c>
      <c r="Z582" s="2090" t="str">
        <f>G582</f>
        <v>213-239-1914</v>
      </c>
      <c r="AA582" s="2090"/>
      <c r="AB582" s="2090"/>
      <c r="AC582" s="2090"/>
      <c r="AD582" s="2090"/>
      <c r="AE582" s="2090"/>
      <c r="AH582" s="137" t="s">
        <v>212</v>
      </c>
      <c r="AI582" s="2088"/>
      <c r="AJ582" s="2088"/>
      <c r="AK582" s="208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2734</v>
      </c>
      <c r="I583" s="2091"/>
      <c r="J583" s="2091"/>
      <c r="K583" s="2091"/>
      <c r="L583" s="2091"/>
      <c r="M583" s="2091"/>
      <c r="N583" s="2091"/>
      <c r="O583" s="2091"/>
      <c r="P583" s="2091"/>
      <c r="Q583" s="2091"/>
      <c r="R583" s="2091"/>
      <c r="S583" s="14"/>
      <c r="T583" s="35"/>
      <c r="U583" s="12" t="s">
        <v>18</v>
      </c>
      <c r="AA583" s="2091" t="s">
        <v>2734</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400" t="s">
        <v>2735</v>
      </c>
      <c r="N584" s="2400"/>
      <c r="O584" s="2400"/>
      <c r="P584" s="2400"/>
      <c r="Q584" s="2400"/>
      <c r="R584" s="2400"/>
      <c r="S584" s="14"/>
      <c r="T584" s="35"/>
      <c r="U584" s="502" t="s">
        <v>1349</v>
      </c>
      <c r="V584" s="711"/>
      <c r="W584" s="711"/>
      <c r="X584" s="711"/>
      <c r="Y584" s="711"/>
      <c r="Z584" s="711"/>
      <c r="AA584" s="14"/>
      <c r="AB584" s="14"/>
      <c r="AC584" s="14"/>
      <c r="AD584" s="14"/>
      <c r="AE584" s="14"/>
      <c r="AF584" s="2400" t="s">
        <v>2735</v>
      </c>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9" t="s">
        <v>570</v>
      </c>
      <c r="O585" s="2089"/>
      <c r="T585" s="35"/>
      <c r="U585" s="12" t="s">
        <v>20</v>
      </c>
      <c r="AG585" s="2089" t="s">
        <v>570</v>
      </c>
      <c r="AH585" s="208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2" t="str">
        <f>C566</f>
        <v>IHTF County of San Diego/sub loan</v>
      </c>
      <c r="H587" s="2072"/>
      <c r="I587" s="2072"/>
      <c r="J587" s="2072"/>
      <c r="K587" s="2072"/>
      <c r="L587" s="2072"/>
      <c r="M587" s="2072"/>
      <c r="N587" s="2072"/>
      <c r="O587" s="2072"/>
      <c r="P587" s="2072"/>
      <c r="Q587" s="2072"/>
      <c r="R587" s="2072"/>
      <c r="T587" s="87" t="s">
        <v>607</v>
      </c>
      <c r="U587" s="12" t="s">
        <v>488</v>
      </c>
      <c r="Z587" s="2072" t="str">
        <f>C567</f>
        <v>County of San Diego/Land Value note</v>
      </c>
      <c r="AA587" s="2072"/>
      <c r="AB587" s="2072"/>
      <c r="AC587" s="2072"/>
      <c r="AD587" s="2072"/>
      <c r="AE587" s="2072"/>
      <c r="AF587" s="2072"/>
      <c r="AG587" s="2072"/>
      <c r="AH587" s="2072"/>
      <c r="AI587" s="2072"/>
      <c r="AJ587" s="2072"/>
      <c r="AK587" s="207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
        <v>2736</v>
      </c>
      <c r="H588" s="2091"/>
      <c r="I588" s="2091"/>
      <c r="J588" s="2091"/>
      <c r="K588" s="2091"/>
      <c r="L588" s="2091"/>
      <c r="M588" s="2091"/>
      <c r="N588" s="2091"/>
      <c r="O588" s="2091"/>
      <c r="P588" s="2091"/>
      <c r="Q588" s="2091"/>
      <c r="R588" s="2091"/>
      <c r="T588" s="35"/>
      <c r="U588" s="12" t="s">
        <v>90</v>
      </c>
      <c r="Z588" s="2091" t="s">
        <v>2736</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71" t="s">
        <v>759</v>
      </c>
      <c r="H589" s="2071"/>
      <c r="I589" s="2071"/>
      <c r="J589" s="2071"/>
      <c r="K589" s="2071"/>
      <c r="L589" s="2071"/>
      <c r="M589" s="2071"/>
      <c r="N589" s="2071"/>
      <c r="O589" s="2071"/>
      <c r="P589" s="2071"/>
      <c r="Q589" s="2071"/>
      <c r="R589" s="2071"/>
      <c r="T589" s="35"/>
      <c r="U589" s="12" t="s">
        <v>606</v>
      </c>
      <c r="Z589" s="2071" t="s">
        <v>759</v>
      </c>
      <c r="AA589" s="2071"/>
      <c r="AB589" s="2071"/>
      <c r="AC589" s="2071"/>
      <c r="AD589" s="2071"/>
      <c r="AE589" s="2071"/>
      <c r="AF589" s="2071"/>
      <c r="AG589" s="2071"/>
      <c r="AH589" s="2071"/>
      <c r="AI589" s="2071"/>
      <c r="AJ589" s="2071"/>
      <c r="AK589" s="207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1" t="s">
        <v>2737</v>
      </c>
      <c r="H590" s="2071"/>
      <c r="I590" s="2071"/>
      <c r="J590" s="2071"/>
      <c r="K590" s="2071"/>
      <c r="L590" s="2071"/>
      <c r="M590" s="2071"/>
      <c r="N590" s="2071"/>
      <c r="O590" s="2071"/>
      <c r="P590" s="2071"/>
      <c r="Q590" s="2071"/>
      <c r="R590" s="2071"/>
      <c r="T590" s="35"/>
      <c r="U590" s="12" t="s">
        <v>17</v>
      </c>
      <c r="Z590" s="2071" t="s">
        <v>2737</v>
      </c>
      <c r="AA590" s="2071"/>
      <c r="AB590" s="2071"/>
      <c r="AC590" s="2071"/>
      <c r="AD590" s="2071"/>
      <c r="AE590" s="2071"/>
      <c r="AF590" s="2071"/>
      <c r="AG590" s="2071"/>
      <c r="AH590" s="2071"/>
      <c r="AI590" s="2071"/>
      <c r="AJ590" s="2071"/>
      <c r="AK590" s="207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090" t="s">
        <v>2738</v>
      </c>
      <c r="H591" s="2090"/>
      <c r="I591" s="2090"/>
      <c r="J591" s="2090"/>
      <c r="K591" s="2090"/>
      <c r="L591" s="2090"/>
      <c r="O591" s="137" t="s">
        <v>212</v>
      </c>
      <c r="P591" s="2088"/>
      <c r="Q591" s="2088"/>
      <c r="R591" s="2088"/>
      <c r="T591" s="35"/>
      <c r="U591" s="12" t="s">
        <v>322</v>
      </c>
      <c r="Z591" s="2090" t="s">
        <v>2738</v>
      </c>
      <c r="AA591" s="2090"/>
      <c r="AB591" s="2090"/>
      <c r="AC591" s="2090"/>
      <c r="AD591" s="2090"/>
      <c r="AE591" s="2090"/>
      <c r="AH591" s="137" t="s">
        <v>212</v>
      </c>
      <c r="AI591" s="2088"/>
      <c r="AJ591" s="2088"/>
      <c r="AK591" s="208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2739</v>
      </c>
      <c r="I592" s="2091"/>
      <c r="J592" s="2091"/>
      <c r="K592" s="2091"/>
      <c r="L592" s="2091"/>
      <c r="M592" s="2091"/>
      <c r="N592" s="2091"/>
      <c r="O592" s="2091"/>
      <c r="P592" s="2091"/>
      <c r="Q592" s="2091"/>
      <c r="R592" s="2091"/>
      <c r="T592" s="35"/>
      <c r="U592" s="12" t="s">
        <v>18</v>
      </c>
      <c r="AA592" s="2091" t="s">
        <v>2739</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9" t="s">
        <v>570</v>
      </c>
      <c r="O593" s="2089"/>
      <c r="T593" s="35"/>
      <c r="U593" s="12" t="s">
        <v>20</v>
      </c>
      <c r="AG593" s="2089" t="s">
        <v>570</v>
      </c>
      <c r="AH593" s="208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2" t="str">
        <f>C568</f>
        <v>Subordinate Developer fee</v>
      </c>
      <c r="H595" s="2072"/>
      <c r="I595" s="2072"/>
      <c r="J595" s="2072"/>
      <c r="K595" s="2072"/>
      <c r="L595" s="2072"/>
      <c r="M595" s="2072"/>
      <c r="N595" s="2072"/>
      <c r="O595" s="2072"/>
      <c r="P595" s="2072"/>
      <c r="Q595" s="2072"/>
      <c r="R595" s="2072"/>
      <c r="T595" s="87" t="s">
        <v>610</v>
      </c>
      <c r="U595" s="12" t="s">
        <v>488</v>
      </c>
      <c r="Z595" s="2072" t="str">
        <f>C569</f>
        <v>Federal LIHTC equity/Richman</v>
      </c>
      <c r="AA595" s="2072"/>
      <c r="AB595" s="2072"/>
      <c r="AC595" s="2072"/>
      <c r="AD595" s="2072"/>
      <c r="AE595" s="2072"/>
      <c r="AF595" s="2072"/>
      <c r="AG595" s="2072"/>
      <c r="AH595" s="2072"/>
      <c r="AI595" s="2072"/>
      <c r="AJ595" s="2072"/>
      <c r="AK595" s="207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2607</v>
      </c>
      <c r="H596" s="2091"/>
      <c r="I596" s="2091"/>
      <c r="J596" s="2091"/>
      <c r="K596" s="2091"/>
      <c r="L596" s="2091"/>
      <c r="M596" s="2091"/>
      <c r="N596" s="2091"/>
      <c r="O596" s="2091"/>
      <c r="P596" s="2091"/>
      <c r="Q596" s="2091"/>
      <c r="R596" s="2091"/>
      <c r="T596" s="35"/>
      <c r="U596" s="12" t="s">
        <v>90</v>
      </c>
      <c r="Z596" s="2091" t="s">
        <v>2741</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91" t="s">
        <v>2608</v>
      </c>
      <c r="H597" s="2091"/>
      <c r="I597" s="2091"/>
      <c r="J597" s="2091"/>
      <c r="K597" s="2091"/>
      <c r="L597" s="2091"/>
      <c r="M597" s="2091"/>
      <c r="N597" s="2091"/>
      <c r="O597" s="2091"/>
      <c r="P597" s="2091"/>
      <c r="Q597" s="2091"/>
      <c r="R597" s="2091"/>
      <c r="T597" s="35"/>
      <c r="U597" s="12" t="s">
        <v>606</v>
      </c>
      <c r="Z597" s="2071" t="s">
        <v>2742</v>
      </c>
      <c r="AA597" s="2071"/>
      <c r="AB597" s="2071"/>
      <c r="AC597" s="2071"/>
      <c r="AD597" s="2071"/>
      <c r="AE597" s="2071"/>
      <c r="AF597" s="2071"/>
      <c r="AG597" s="2071"/>
      <c r="AH597" s="2071"/>
      <c r="AI597" s="2071"/>
      <c r="AJ597" s="2071"/>
      <c r="AK597" s="207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2740</v>
      </c>
      <c r="H598" s="2091"/>
      <c r="I598" s="2091"/>
      <c r="J598" s="2091"/>
      <c r="K598" s="2091"/>
      <c r="L598" s="2091"/>
      <c r="M598" s="2091"/>
      <c r="N598" s="2091"/>
      <c r="O598" s="2091"/>
      <c r="P598" s="2091"/>
      <c r="Q598" s="2091"/>
      <c r="R598" s="2091"/>
      <c r="T598" s="35"/>
      <c r="U598" s="12" t="s">
        <v>17</v>
      </c>
      <c r="Z598" s="2071" t="s">
        <v>2743</v>
      </c>
      <c r="AA598" s="2071"/>
      <c r="AB598" s="2071"/>
      <c r="AC598" s="2071"/>
      <c r="AD598" s="2071"/>
      <c r="AE598" s="2071"/>
      <c r="AF598" s="2071"/>
      <c r="AG598" s="2071"/>
      <c r="AH598" s="2071"/>
      <c r="AI598" s="2071"/>
      <c r="AJ598" s="2071"/>
      <c r="AK598" s="207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0" t="s">
        <v>2611</v>
      </c>
      <c r="H599" s="2090"/>
      <c r="I599" s="2090"/>
      <c r="J599" s="2090"/>
      <c r="K599" s="2090"/>
      <c r="L599" s="2090"/>
      <c r="O599" s="137" t="s">
        <v>212</v>
      </c>
      <c r="P599" s="2088"/>
      <c r="Q599" s="2088"/>
      <c r="R599" s="2088"/>
      <c r="T599" s="35"/>
      <c r="U599" s="12" t="s">
        <v>322</v>
      </c>
      <c r="Z599" s="2090" t="s">
        <v>2744</v>
      </c>
      <c r="AA599" s="2090"/>
      <c r="AB599" s="2090"/>
      <c r="AC599" s="2090"/>
      <c r="AD599" s="2090"/>
      <c r="AE599" s="2090"/>
      <c r="AH599" s="137" t="s">
        <v>212</v>
      </c>
      <c r="AI599" s="2088"/>
      <c r="AJ599" s="2088"/>
      <c r="AK599" s="208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2739</v>
      </c>
      <c r="I600" s="2091"/>
      <c r="J600" s="2091"/>
      <c r="K600" s="2091"/>
      <c r="L600" s="2091"/>
      <c r="M600" s="2091"/>
      <c r="N600" s="2091"/>
      <c r="O600" s="2091"/>
      <c r="P600" s="2091"/>
      <c r="Q600" s="2091"/>
      <c r="R600" s="2091"/>
      <c r="T600" s="35"/>
      <c r="U600" s="12" t="s">
        <v>18</v>
      </c>
      <c r="AA600" s="2091" t="s">
        <v>2745</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89" t="s">
        <v>570</v>
      </c>
      <c r="O601" s="2089"/>
      <c r="T601" s="35"/>
      <c r="U601" s="12" t="s">
        <v>20</v>
      </c>
      <c r="AG601" s="2089" t="s">
        <v>570</v>
      </c>
      <c r="AH601" s="208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2" t="str">
        <f>C570</f>
        <v>Deferred Costs during construction</v>
      </c>
      <c r="H603" s="2072"/>
      <c r="I603" s="2072"/>
      <c r="J603" s="2072"/>
      <c r="K603" s="2072"/>
      <c r="L603" s="2072"/>
      <c r="M603" s="2072"/>
      <c r="N603" s="2072"/>
      <c r="O603" s="2072"/>
      <c r="P603" s="2072"/>
      <c r="Q603" s="2072"/>
      <c r="R603" s="2072"/>
      <c r="T603" s="87" t="s">
        <v>481</v>
      </c>
      <c r="U603" s="12" t="s">
        <v>488</v>
      </c>
      <c r="Z603" s="2072">
        <f>C571</f>
        <v>0</v>
      </c>
      <c r="AA603" s="2072"/>
      <c r="AB603" s="2072"/>
      <c r="AC603" s="2072"/>
      <c r="AD603" s="2072"/>
      <c r="AE603" s="2072"/>
      <c r="AF603" s="2072"/>
      <c r="AG603" s="2072"/>
      <c r="AH603" s="2072"/>
      <c r="AI603" s="2072"/>
      <c r="AJ603" s="2072"/>
      <c r="AK603" s="207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1" t="s">
        <v>2607</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91" t="s">
        <v>2608</v>
      </c>
      <c r="H605" s="2091"/>
      <c r="I605" s="2091"/>
      <c r="J605" s="2091"/>
      <c r="K605" s="2091"/>
      <c r="L605" s="2091"/>
      <c r="M605" s="2091"/>
      <c r="N605" s="2091"/>
      <c r="O605" s="2091"/>
      <c r="P605" s="2091"/>
      <c r="Q605" s="2091"/>
      <c r="R605" s="2091"/>
      <c r="T605" s="35"/>
      <c r="U605" s="12" t="s">
        <v>606</v>
      </c>
      <c r="Z605" s="2071"/>
      <c r="AA605" s="2071"/>
      <c r="AB605" s="2071"/>
      <c r="AC605" s="2071"/>
      <c r="AD605" s="2071"/>
      <c r="AE605" s="2071"/>
      <c r="AF605" s="2071"/>
      <c r="AG605" s="2071"/>
      <c r="AH605" s="2071"/>
      <c r="AI605" s="2071"/>
      <c r="AJ605" s="2071"/>
      <c r="AK605" s="207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1" t="s">
        <v>2740</v>
      </c>
      <c r="H606" s="2091"/>
      <c r="I606" s="2091"/>
      <c r="J606" s="2091"/>
      <c r="K606" s="2091"/>
      <c r="L606" s="2091"/>
      <c r="M606" s="2091"/>
      <c r="N606" s="2091"/>
      <c r="O606" s="2091"/>
      <c r="P606" s="2091"/>
      <c r="Q606" s="2091"/>
      <c r="R606" s="2091"/>
      <c r="T606" s="35"/>
      <c r="U606" s="12" t="s">
        <v>17</v>
      </c>
      <c r="Z606" s="2071"/>
      <c r="AA606" s="2071"/>
      <c r="AB606" s="2071"/>
      <c r="AC606" s="2071"/>
      <c r="AD606" s="2071"/>
      <c r="AE606" s="2071"/>
      <c r="AF606" s="2071"/>
      <c r="AG606" s="2071"/>
      <c r="AH606" s="2071"/>
      <c r="AI606" s="2071"/>
      <c r="AJ606" s="2071"/>
      <c r="AK606" s="207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0" t="s">
        <v>2611</v>
      </c>
      <c r="H607" s="2090"/>
      <c r="I607" s="2090"/>
      <c r="J607" s="2090"/>
      <c r="K607" s="2090"/>
      <c r="L607" s="2090"/>
      <c r="M607" s="12"/>
      <c r="N607" s="12"/>
      <c r="O607" s="137" t="s">
        <v>212</v>
      </c>
      <c r="P607" s="2088"/>
      <c r="Q607" s="2088"/>
      <c r="R607" s="2088"/>
      <c r="S607" s="12"/>
      <c r="T607" s="35"/>
      <c r="U607" s="12" t="s">
        <v>322</v>
      </c>
      <c r="V607" s="12"/>
      <c r="W607" s="12"/>
      <c r="X607" s="12"/>
      <c r="Y607" s="12"/>
      <c r="Z607" s="2355"/>
      <c r="AA607" s="2355"/>
      <c r="AB607" s="2355"/>
      <c r="AC607" s="2355"/>
      <c r="AD607" s="2355"/>
      <c r="AE607" s="2355"/>
      <c r="AF607" s="12"/>
      <c r="AG607" s="12"/>
      <c r="AH607" s="137" t="s">
        <v>212</v>
      </c>
      <c r="AI607" s="2088"/>
      <c r="AJ607" s="2088"/>
      <c r="AK607" s="208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1" t="s">
        <v>1963</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89" t="s">
        <v>570</v>
      </c>
      <c r="O609" s="2089"/>
      <c r="P609" s="12"/>
      <c r="Q609" s="12"/>
      <c r="R609" s="12"/>
      <c r="S609" s="12"/>
      <c r="T609" s="35"/>
      <c r="U609" s="12" t="s">
        <v>20</v>
      </c>
      <c r="V609" s="12"/>
      <c r="W609" s="12"/>
      <c r="X609" s="12"/>
      <c r="Y609" s="12"/>
      <c r="Z609" s="12"/>
      <c r="AA609" s="12"/>
      <c r="AB609" s="12"/>
      <c r="AC609" s="12"/>
      <c r="AD609" s="12"/>
      <c r="AE609" s="12"/>
      <c r="AF609" s="12"/>
      <c r="AG609" s="2089" t="s">
        <v>695</v>
      </c>
      <c r="AH609" s="2089"/>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97"/>
      <c r="BH609" s="2099"/>
      <c r="BI609" s="185" t="s">
        <v>500</v>
      </c>
      <c r="BJ609" s="186"/>
      <c r="BK609" s="2097"/>
      <c r="BL609" s="2099"/>
      <c r="BM609" s="58"/>
      <c r="BN609" s="2215" t="s">
        <v>659</v>
      </c>
      <c r="BO609" s="2216"/>
      <c r="BP609" s="2216"/>
      <c r="BQ609" s="2216"/>
      <c r="BR609" s="2217"/>
      <c r="BS609" s="2144" t="s">
        <v>331</v>
      </c>
      <c r="BT609" s="2144"/>
      <c r="BU609" s="2144"/>
      <c r="BV609" s="2144"/>
      <c r="BW609" s="2144"/>
      <c r="BX609" s="2144" t="s">
        <v>168</v>
      </c>
      <c r="BY609" s="2144"/>
      <c r="BZ609" s="2144"/>
      <c r="CA609" s="2144"/>
      <c r="CB609" s="2144"/>
      <c r="CC609" s="2144" t="s">
        <v>169</v>
      </c>
      <c r="CD609" s="2144"/>
      <c r="CE609" s="2144"/>
      <c r="CF609" s="2144"/>
      <c r="CG609" s="2144"/>
      <c r="CH609" s="2144" t="s">
        <v>485</v>
      </c>
      <c r="CI609" s="2144"/>
      <c r="CJ609" s="2144"/>
      <c r="CK609" s="2144"/>
      <c r="CL609" s="2144"/>
      <c r="CM609" s="2144" t="s">
        <v>31</v>
      </c>
      <c r="CN609" s="2144"/>
      <c r="CO609" s="2144"/>
      <c r="CP609" s="2144"/>
      <c r="CQ609" s="2144"/>
      <c r="CR609" s="1648"/>
      <c r="CS609" s="2144" t="s">
        <v>659</v>
      </c>
      <c r="CT609" s="2144"/>
      <c r="CU609" s="2144"/>
      <c r="CV609" s="2144"/>
      <c r="CW609" s="2144"/>
      <c r="CX609" s="2144" t="s">
        <v>331</v>
      </c>
      <c r="CY609" s="2144"/>
      <c r="CZ609" s="2144"/>
      <c r="DA609" s="2144"/>
      <c r="DB609" s="2144"/>
      <c r="DC609" s="2144" t="s">
        <v>168</v>
      </c>
      <c r="DD609" s="2144"/>
      <c r="DE609" s="2144"/>
      <c r="DF609" s="2144"/>
      <c r="DG609" s="2144"/>
      <c r="DH609" s="2144" t="s">
        <v>169</v>
      </c>
      <c r="DI609" s="2144"/>
      <c r="DJ609" s="2144"/>
      <c r="DK609" s="2144"/>
      <c r="DL609" s="2144"/>
      <c r="DM609" s="2144" t="s">
        <v>485</v>
      </c>
      <c r="DN609" s="2144"/>
      <c r="DO609" s="2144"/>
      <c r="DP609" s="2144"/>
      <c r="DQ609" s="2144"/>
      <c r="DR609" s="2144" t="s">
        <v>31</v>
      </c>
      <c r="DS609" s="2144"/>
      <c r="DT609" s="2144"/>
      <c r="DU609" s="2144"/>
      <c r="DV609" s="2144"/>
      <c r="DX609" s="2144" t="s">
        <v>659</v>
      </c>
      <c r="DY609" s="2144"/>
      <c r="DZ609" s="2144"/>
      <c r="EA609" s="2144"/>
      <c r="EB609" s="2144"/>
      <c r="EC609" s="2144" t="s">
        <v>331</v>
      </c>
      <c r="ED609" s="2144"/>
      <c r="EE609" s="2144"/>
      <c r="EF609" s="2144"/>
      <c r="EG609" s="2144"/>
      <c r="EH609" s="2144" t="s">
        <v>168</v>
      </c>
      <c r="EI609" s="2144"/>
      <c r="EJ609" s="2144"/>
      <c r="EK609" s="2144"/>
      <c r="EL609" s="2144"/>
      <c r="EM609" s="2144" t="s">
        <v>169</v>
      </c>
      <c r="EN609" s="2144"/>
      <c r="EO609" s="2144"/>
      <c r="EP609" s="2144"/>
      <c r="EQ609" s="2144"/>
      <c r="ER609" s="2144" t="s">
        <v>485</v>
      </c>
      <c r="ES609" s="2144"/>
      <c r="ET609" s="2144"/>
      <c r="EU609" s="2144"/>
      <c r="EV609" s="2144"/>
      <c r="EW609" s="2144" t="s">
        <v>31</v>
      </c>
      <c r="EX609" s="2144"/>
      <c r="EY609" s="2144"/>
      <c r="EZ609" s="2144"/>
      <c r="FA609" s="214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102">
        <f t="shared" ref="BE610:BE634" si="0">IF(AND(AC728&lt;=0.5,AC728&gt;=0.36),1,0)</f>
        <v>0</v>
      </c>
      <c r="BF610" s="2104"/>
      <c r="BG610" s="2097">
        <f t="shared" ref="BG610:BG634" si="1">IF(BE610=1,G728,0)</f>
        <v>0</v>
      </c>
      <c r="BH610" s="2099"/>
      <c r="BI610" s="2102">
        <f t="shared" ref="BI610:BI634" si="2">IF(AND(AC728&lt;=0.35,AC728&gt;0),1,0)</f>
        <v>0</v>
      </c>
      <c r="BJ610" s="2104"/>
      <c r="BK610" s="2097">
        <f t="shared" ref="BK610:BK634" si="3">IF(BI610=1,G728,0)</f>
        <v>0</v>
      </c>
      <c r="BL610" s="2099"/>
      <c r="BM610" s="58"/>
      <c r="BN610" s="2092">
        <f t="shared" ref="BN610:BN634" si="4">IF(B728="SRO/Studio",G728,0)</f>
        <v>0</v>
      </c>
      <c r="BO610" s="2093"/>
      <c r="BP610" s="2093"/>
      <c r="BQ610" s="2093"/>
      <c r="BR610" s="2094"/>
      <c r="BS610" s="2052">
        <f t="shared" ref="BS610:BS634" si="5">IF(B728="1 Bedroom",G728,0)</f>
        <v>12</v>
      </c>
      <c r="BT610" s="2052"/>
      <c r="BU610" s="2052"/>
      <c r="BV610" s="2052"/>
      <c r="BW610" s="2052"/>
      <c r="BX610" s="2052">
        <f t="shared" ref="BX610:BX634" si="6">IF(B728="2 Bedrooms",G728,0)</f>
        <v>0</v>
      </c>
      <c r="BY610" s="2052"/>
      <c r="BZ610" s="2052"/>
      <c r="CA610" s="2052"/>
      <c r="CB610" s="2052"/>
      <c r="CC610" s="2052">
        <f t="shared" ref="CC610:CC634" si="7">IF(B728="3 Bedrooms",G728,0)</f>
        <v>0</v>
      </c>
      <c r="CD610" s="2052"/>
      <c r="CE610" s="2052"/>
      <c r="CF610" s="2052"/>
      <c r="CG610" s="2052"/>
      <c r="CH610" s="2052">
        <f t="shared" ref="CH610:CH634" si="8">IF(B728="4 Bedrooms",G728,0)</f>
        <v>0</v>
      </c>
      <c r="CI610" s="2052"/>
      <c r="CJ610" s="2052"/>
      <c r="CK610" s="2052"/>
      <c r="CL610" s="2052"/>
      <c r="CM610" s="2052">
        <f t="shared" ref="CM610:CM634" si="9">IF(B728="5 Bedrooms",G728,0)</f>
        <v>0</v>
      </c>
      <c r="CN610" s="2052"/>
      <c r="CO610" s="2052"/>
      <c r="CP610" s="2052"/>
      <c r="CQ610" s="2052"/>
      <c r="CR610" s="265"/>
      <c r="CS610" s="2100">
        <f t="shared" ref="CS610:CS634" si="10">IF(AND(B728="SRO/Studio",AC728&lt;=0.3),G728,0)</f>
        <v>0</v>
      </c>
      <c r="CT610" s="2100"/>
      <c r="CU610" s="2100"/>
      <c r="CV610" s="2100"/>
      <c r="CW610" s="2100"/>
      <c r="CX610" s="2100">
        <f t="shared" ref="CX610:CX634" si="11">IF(AND(B728="1 Bedroom",AC728&lt;=0.3),G728,0)</f>
        <v>0</v>
      </c>
      <c r="CY610" s="2100"/>
      <c r="CZ610" s="2100"/>
      <c r="DA610" s="2100"/>
      <c r="DB610" s="2100"/>
      <c r="DC610" s="2100">
        <f t="shared" ref="DC610:DC634" si="12">IF(AND(B728="2 Bedrooms",AC728&lt;=0.3),G728,0)</f>
        <v>0</v>
      </c>
      <c r="DD610" s="2100"/>
      <c r="DE610" s="2100"/>
      <c r="DF610" s="2100"/>
      <c r="DG610" s="2100"/>
      <c r="DH610" s="2100">
        <f t="shared" ref="DH610:DH634" si="13">IF(AND(B728="3 Bedrooms",AC728&lt;=0.3),G728,0)</f>
        <v>0</v>
      </c>
      <c r="DI610" s="2100"/>
      <c r="DJ610" s="2100"/>
      <c r="DK610" s="2100"/>
      <c r="DL610" s="2100"/>
      <c r="DM610" s="2100">
        <f t="shared" ref="DM610:DM634" si="14">IF(AND(B728="4 Bedrooms",AC728&lt;=0.3),G728,0)</f>
        <v>0</v>
      </c>
      <c r="DN610" s="2100"/>
      <c r="DO610" s="2100"/>
      <c r="DP610" s="2100"/>
      <c r="DQ610" s="2100"/>
      <c r="DR610" s="2100">
        <f t="shared" ref="DR610:DR634" si="15">IF(AND(B728="5 Bedrooms",AC728&lt;=0.3),G728,0)</f>
        <v>0</v>
      </c>
      <c r="DS610" s="2100"/>
      <c r="DT610" s="2100"/>
      <c r="DU610" s="2100"/>
      <c r="DV610" s="2100"/>
      <c r="DX610" s="2102" t="str">
        <f t="shared" ref="DX610:DX634" si="16">IF(BN610&gt;0,O728," ")</f>
        <v xml:space="preserve"> </v>
      </c>
      <c r="DY610" s="2103"/>
      <c r="DZ610" s="2103"/>
      <c r="EA610" s="2103"/>
      <c r="EB610" s="2104"/>
      <c r="EC610" s="2102">
        <f t="shared" ref="EC610:EC634" si="17">IF(BS610&gt;0,O728," ")</f>
        <v>1749</v>
      </c>
      <c r="ED610" s="2103"/>
      <c r="EE610" s="2103"/>
      <c r="EF610" s="2103"/>
      <c r="EG610" s="2104"/>
      <c r="EH610" s="2102" t="str">
        <f t="shared" ref="EH610:EH634" si="18">IF(BX610&gt;0,O728," ")</f>
        <v xml:space="preserve"> </v>
      </c>
      <c r="EI610" s="2103"/>
      <c r="EJ610" s="2103"/>
      <c r="EK610" s="2103"/>
      <c r="EL610" s="2104"/>
      <c r="EM610" s="2102" t="str">
        <f t="shared" ref="EM610:EM634" si="19">IF(CC610&gt;0,O728," ")</f>
        <v xml:space="preserve"> </v>
      </c>
      <c r="EN610" s="2103"/>
      <c r="EO610" s="2103"/>
      <c r="EP610" s="2103"/>
      <c r="EQ610" s="2104"/>
      <c r="ER610" s="2102" t="str">
        <f t="shared" ref="ER610:ER634" si="20">IF(CH610&gt;0,O728," ")</f>
        <v xml:space="preserve"> </v>
      </c>
      <c r="ES610" s="2103"/>
      <c r="ET610" s="2103"/>
      <c r="EU610" s="2103"/>
      <c r="EV610" s="2104"/>
      <c r="EW610" s="2102" t="str">
        <f t="shared" ref="EW610:EW634" si="21">IF(CM610&gt;0,O728," ")</f>
        <v xml:space="preserve"> </v>
      </c>
      <c r="EX610" s="2103"/>
      <c r="EY610" s="2103"/>
      <c r="EZ610" s="2103"/>
      <c r="FA610" s="2104"/>
    </row>
    <row r="611" spans="1:157" s="7" customFormat="1" ht="12.75">
      <c r="A611" s="87" t="s">
        <v>486</v>
      </c>
      <c r="B611" s="12" t="s">
        <v>488</v>
      </c>
      <c r="C611" s="12"/>
      <c r="D611" s="12"/>
      <c r="E611" s="12"/>
      <c r="F611" s="12"/>
      <c r="G611" s="2072">
        <f>C572</f>
        <v>0</v>
      </c>
      <c r="H611" s="2072"/>
      <c r="I611" s="2072"/>
      <c r="J611" s="2072"/>
      <c r="K611" s="2072"/>
      <c r="L611" s="2072"/>
      <c r="M611" s="2072"/>
      <c r="N611" s="2072"/>
      <c r="O611" s="2072"/>
      <c r="P611" s="2072"/>
      <c r="Q611" s="2072"/>
      <c r="R611" s="2072"/>
      <c r="S611" s="12"/>
      <c r="T611" s="87" t="s">
        <v>672</v>
      </c>
      <c r="U611" s="12" t="s">
        <v>488</v>
      </c>
      <c r="V611" s="12"/>
      <c r="W611" s="12"/>
      <c r="X611" s="12"/>
      <c r="Y611" s="12"/>
      <c r="Z611" s="2072">
        <f>C573</f>
        <v>0</v>
      </c>
      <c r="AA611" s="2072"/>
      <c r="AB611" s="2072"/>
      <c r="AC611" s="2072"/>
      <c r="AD611" s="2072"/>
      <c r="AE611" s="2072"/>
      <c r="AF611" s="2072"/>
      <c r="AG611" s="2072"/>
      <c r="AH611" s="2072"/>
      <c r="AI611" s="2072"/>
      <c r="AJ611" s="2072"/>
      <c r="AK611" s="2072"/>
      <c r="AL611" s="12"/>
      <c r="AM611" s="39"/>
      <c r="AN611" s="39"/>
      <c r="AO611" s="39"/>
      <c r="AP611" s="39"/>
      <c r="AQ611" s="39"/>
      <c r="AR611" s="39"/>
      <c r="AS611" s="39"/>
      <c r="AT611" s="39"/>
      <c r="AU611" s="39"/>
      <c r="AV611" s="39"/>
      <c r="AW611" s="39"/>
      <c r="AX611" s="39"/>
      <c r="AY611" s="39"/>
      <c r="BA611" s="7" t="s">
        <v>168</v>
      </c>
      <c r="BB611" s="58"/>
      <c r="BC611" s="58"/>
      <c r="BD611" s="58"/>
      <c r="BE611" s="2102">
        <f t="shared" si="0"/>
        <v>0</v>
      </c>
      <c r="BF611" s="2104"/>
      <c r="BG611" s="2097">
        <f t="shared" si="1"/>
        <v>0</v>
      </c>
      <c r="BH611" s="2099"/>
      <c r="BI611" s="2102">
        <f t="shared" si="2"/>
        <v>0</v>
      </c>
      <c r="BJ611" s="2104"/>
      <c r="BK611" s="2097">
        <f t="shared" si="3"/>
        <v>0</v>
      </c>
      <c r="BL611" s="2099"/>
      <c r="BM611" s="58"/>
      <c r="BN611" s="2092">
        <f t="shared" si="4"/>
        <v>0</v>
      </c>
      <c r="BO611" s="2093"/>
      <c r="BP611" s="2093"/>
      <c r="BQ611" s="2093"/>
      <c r="BR611" s="2094"/>
      <c r="BS611" s="2052">
        <f t="shared" si="5"/>
        <v>37</v>
      </c>
      <c r="BT611" s="2052"/>
      <c r="BU611" s="2052"/>
      <c r="BV611" s="2052"/>
      <c r="BW611" s="2052"/>
      <c r="BX611" s="2052">
        <f t="shared" si="6"/>
        <v>0</v>
      </c>
      <c r="BY611" s="2052"/>
      <c r="BZ611" s="2052"/>
      <c r="CA611" s="2052"/>
      <c r="CB611" s="2052"/>
      <c r="CC611" s="2052">
        <f t="shared" si="7"/>
        <v>0</v>
      </c>
      <c r="CD611" s="2052"/>
      <c r="CE611" s="2052"/>
      <c r="CF611" s="2052"/>
      <c r="CG611" s="2052"/>
      <c r="CH611" s="2052">
        <f t="shared" si="8"/>
        <v>0</v>
      </c>
      <c r="CI611" s="2052"/>
      <c r="CJ611" s="2052"/>
      <c r="CK611" s="2052"/>
      <c r="CL611" s="2052"/>
      <c r="CM611" s="2052">
        <f t="shared" si="9"/>
        <v>0</v>
      </c>
      <c r="CN611" s="2052"/>
      <c r="CO611" s="2052"/>
      <c r="CP611" s="2052"/>
      <c r="CQ611" s="2052"/>
      <c r="CR611" s="265"/>
      <c r="CS611" s="2100">
        <f t="shared" si="10"/>
        <v>0</v>
      </c>
      <c r="CT611" s="2100"/>
      <c r="CU611" s="2100"/>
      <c r="CV611" s="2100"/>
      <c r="CW611" s="2100"/>
      <c r="CX611" s="2100">
        <f t="shared" si="11"/>
        <v>0</v>
      </c>
      <c r="CY611" s="2100"/>
      <c r="CZ611" s="2100"/>
      <c r="DA611" s="2100"/>
      <c r="DB611" s="2100"/>
      <c r="DC611" s="2100">
        <f t="shared" si="12"/>
        <v>0</v>
      </c>
      <c r="DD611" s="2100"/>
      <c r="DE611" s="2100"/>
      <c r="DF611" s="2100"/>
      <c r="DG611" s="2100"/>
      <c r="DH611" s="2100">
        <f t="shared" si="13"/>
        <v>0</v>
      </c>
      <c r="DI611" s="2100"/>
      <c r="DJ611" s="2100"/>
      <c r="DK611" s="2100"/>
      <c r="DL611" s="2100"/>
      <c r="DM611" s="2100">
        <f t="shared" si="14"/>
        <v>0</v>
      </c>
      <c r="DN611" s="2100"/>
      <c r="DO611" s="2100"/>
      <c r="DP611" s="2100"/>
      <c r="DQ611" s="2100"/>
      <c r="DR611" s="2100">
        <f t="shared" si="15"/>
        <v>0</v>
      </c>
      <c r="DS611" s="2100"/>
      <c r="DT611" s="2100"/>
      <c r="DU611" s="2100"/>
      <c r="DV611" s="2100"/>
      <c r="DX611" s="2102" t="str">
        <f t="shared" si="16"/>
        <v xml:space="preserve"> </v>
      </c>
      <c r="DY611" s="2103"/>
      <c r="DZ611" s="2103"/>
      <c r="EA611" s="2103"/>
      <c r="EB611" s="2104"/>
      <c r="EC611" s="2102">
        <f t="shared" si="17"/>
        <v>1379</v>
      </c>
      <c r="ED611" s="2103"/>
      <c r="EE611" s="2103"/>
      <c r="EF611" s="2103"/>
      <c r="EG611" s="2104"/>
      <c r="EH611" s="2102" t="str">
        <f t="shared" si="18"/>
        <v xml:space="preserve"> </v>
      </c>
      <c r="EI611" s="2103"/>
      <c r="EJ611" s="2103"/>
      <c r="EK611" s="2103"/>
      <c r="EL611" s="2104"/>
      <c r="EM611" s="2102" t="str">
        <f t="shared" si="19"/>
        <v xml:space="preserve"> </v>
      </c>
      <c r="EN611" s="2103"/>
      <c r="EO611" s="2103"/>
      <c r="EP611" s="2103"/>
      <c r="EQ611" s="2104"/>
      <c r="ER611" s="2102" t="str">
        <f t="shared" si="20"/>
        <v xml:space="preserve"> </v>
      </c>
      <c r="ES611" s="2103"/>
      <c r="ET611" s="2103"/>
      <c r="EU611" s="2103"/>
      <c r="EV611" s="2104"/>
      <c r="EW611" s="2102" t="str">
        <f t="shared" si="21"/>
        <v xml:space="preserve"> </v>
      </c>
      <c r="EX611" s="2103"/>
      <c r="EY611" s="2103"/>
      <c r="EZ611" s="2103"/>
      <c r="FA611" s="2104"/>
    </row>
    <row r="612" spans="1:157" ht="12.75">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102">
        <f t="shared" si="0"/>
        <v>1</v>
      </c>
      <c r="BF612" s="2104"/>
      <c r="BG612" s="2097">
        <f t="shared" si="1"/>
        <v>7</v>
      </c>
      <c r="BH612" s="2099"/>
      <c r="BI612" s="2102">
        <f t="shared" si="2"/>
        <v>0</v>
      </c>
      <c r="BJ612" s="2104"/>
      <c r="BK612" s="2097">
        <f t="shared" si="3"/>
        <v>0</v>
      </c>
      <c r="BL612" s="2099"/>
      <c r="BM612" s="58"/>
      <c r="BN612" s="2092">
        <f t="shared" si="4"/>
        <v>0</v>
      </c>
      <c r="BO612" s="2093"/>
      <c r="BP612" s="2093"/>
      <c r="BQ612" s="2093"/>
      <c r="BR612" s="2094"/>
      <c r="BS612" s="2052">
        <f t="shared" si="5"/>
        <v>7</v>
      </c>
      <c r="BT612" s="2052"/>
      <c r="BU612" s="2052"/>
      <c r="BV612" s="2052"/>
      <c r="BW612" s="2052"/>
      <c r="BX612" s="2052">
        <f t="shared" si="6"/>
        <v>0</v>
      </c>
      <c r="BY612" s="2052"/>
      <c r="BZ612" s="2052"/>
      <c r="CA612" s="2052"/>
      <c r="CB612" s="2052"/>
      <c r="CC612" s="2052">
        <f t="shared" si="7"/>
        <v>0</v>
      </c>
      <c r="CD612" s="2052"/>
      <c r="CE612" s="2052"/>
      <c r="CF612" s="2052"/>
      <c r="CG612" s="2052"/>
      <c r="CH612" s="2052">
        <f t="shared" si="8"/>
        <v>0</v>
      </c>
      <c r="CI612" s="2052"/>
      <c r="CJ612" s="2052"/>
      <c r="CK612" s="2052"/>
      <c r="CL612" s="2052"/>
      <c r="CM612" s="2052">
        <f t="shared" si="9"/>
        <v>0</v>
      </c>
      <c r="CN612" s="2052"/>
      <c r="CO612" s="2052"/>
      <c r="CP612" s="2052"/>
      <c r="CQ612" s="2052"/>
      <c r="CR612" s="265"/>
      <c r="CS612" s="2100">
        <f t="shared" si="10"/>
        <v>0</v>
      </c>
      <c r="CT612" s="2100"/>
      <c r="CU612" s="2100"/>
      <c r="CV612" s="2100"/>
      <c r="CW612" s="2100"/>
      <c r="CX612" s="2100">
        <f t="shared" si="11"/>
        <v>0</v>
      </c>
      <c r="CY612" s="2100"/>
      <c r="CZ612" s="2100"/>
      <c r="DA612" s="2100"/>
      <c r="DB612" s="2100"/>
      <c r="DC612" s="2100">
        <f t="shared" si="12"/>
        <v>0</v>
      </c>
      <c r="DD612" s="2100"/>
      <c r="DE612" s="2100"/>
      <c r="DF612" s="2100"/>
      <c r="DG612" s="2100"/>
      <c r="DH612" s="2100">
        <f t="shared" si="13"/>
        <v>0</v>
      </c>
      <c r="DI612" s="2100"/>
      <c r="DJ612" s="2100"/>
      <c r="DK612" s="2100"/>
      <c r="DL612" s="2100"/>
      <c r="DM612" s="2100">
        <f t="shared" si="14"/>
        <v>0</v>
      </c>
      <c r="DN612" s="2100"/>
      <c r="DO612" s="2100"/>
      <c r="DP612" s="2100"/>
      <c r="DQ612" s="2100"/>
      <c r="DR612" s="2100">
        <f t="shared" si="15"/>
        <v>0</v>
      </c>
      <c r="DS612" s="2100"/>
      <c r="DT612" s="2100"/>
      <c r="DU612" s="2100"/>
      <c r="DV612" s="2100"/>
      <c r="DX612" s="2102" t="str">
        <f t="shared" si="16"/>
        <v xml:space="preserve"> </v>
      </c>
      <c r="DY612" s="2103"/>
      <c r="DZ612" s="2103"/>
      <c r="EA612" s="2103"/>
      <c r="EB612" s="2104"/>
      <c r="EC612" s="2102">
        <f t="shared" si="17"/>
        <v>1135</v>
      </c>
      <c r="ED612" s="2103"/>
      <c r="EE612" s="2103"/>
      <c r="EF612" s="2103"/>
      <c r="EG612" s="2104"/>
      <c r="EH612" s="2102" t="str">
        <f t="shared" si="18"/>
        <v xml:space="preserve"> </v>
      </c>
      <c r="EI612" s="2103"/>
      <c r="EJ612" s="2103"/>
      <c r="EK612" s="2103"/>
      <c r="EL612" s="2104"/>
      <c r="EM612" s="2102" t="str">
        <f t="shared" si="19"/>
        <v xml:space="preserve"> </v>
      </c>
      <c r="EN612" s="2103"/>
      <c r="EO612" s="2103"/>
      <c r="EP612" s="2103"/>
      <c r="EQ612" s="2104"/>
      <c r="ER612" s="2102" t="str">
        <f t="shared" si="20"/>
        <v xml:space="preserve"> </v>
      </c>
      <c r="ES612" s="2103"/>
      <c r="ET612" s="2103"/>
      <c r="EU612" s="2103"/>
      <c r="EV612" s="2104"/>
      <c r="EW612" s="2102" t="str">
        <f t="shared" si="21"/>
        <v xml:space="preserve"> </v>
      </c>
      <c r="EX612" s="2103"/>
      <c r="EY612" s="2103"/>
      <c r="EZ612" s="2103"/>
      <c r="FA612" s="2104"/>
    </row>
    <row r="613" spans="1:157" ht="12.75">
      <c r="A613" s="35"/>
      <c r="B613" s="12" t="s">
        <v>606</v>
      </c>
      <c r="G613" s="2091"/>
      <c r="H613" s="2091"/>
      <c r="I613" s="2091"/>
      <c r="J613" s="2091"/>
      <c r="K613" s="2091"/>
      <c r="L613" s="2091"/>
      <c r="M613" s="2091"/>
      <c r="N613" s="2091"/>
      <c r="O613" s="2091"/>
      <c r="P613" s="2091"/>
      <c r="Q613" s="2091"/>
      <c r="R613" s="2091"/>
      <c r="T613" s="35"/>
      <c r="U613" s="12" t="s">
        <v>606</v>
      </c>
      <c r="Z613" s="2071"/>
      <c r="AA613" s="2071"/>
      <c r="AB613" s="2071"/>
      <c r="AC613" s="2071"/>
      <c r="AD613" s="2071"/>
      <c r="AE613" s="2071"/>
      <c r="AF613" s="2071"/>
      <c r="AG613" s="2071"/>
      <c r="AH613" s="2071"/>
      <c r="AI613" s="2071"/>
      <c r="AJ613" s="2071"/>
      <c r="AK613" s="2071"/>
      <c r="BA613" s="7" t="s">
        <v>170</v>
      </c>
      <c r="BB613" s="58"/>
      <c r="BC613" s="58"/>
      <c r="BD613" s="58"/>
      <c r="BE613" s="2102">
        <f t="shared" si="0"/>
        <v>0</v>
      </c>
      <c r="BF613" s="2104"/>
      <c r="BG613" s="2097">
        <f t="shared" si="1"/>
        <v>0</v>
      </c>
      <c r="BH613" s="2099"/>
      <c r="BI613" s="2102">
        <f t="shared" si="2"/>
        <v>1</v>
      </c>
      <c r="BJ613" s="2104"/>
      <c r="BK613" s="2097">
        <f t="shared" si="3"/>
        <v>7</v>
      </c>
      <c r="BL613" s="2099"/>
      <c r="BM613" s="58"/>
      <c r="BN613" s="2092">
        <f t="shared" si="4"/>
        <v>0</v>
      </c>
      <c r="BO613" s="2093"/>
      <c r="BP613" s="2093"/>
      <c r="BQ613" s="2093"/>
      <c r="BR613" s="2094"/>
      <c r="BS613" s="2052">
        <f t="shared" si="5"/>
        <v>7</v>
      </c>
      <c r="BT613" s="2052"/>
      <c r="BU613" s="2052"/>
      <c r="BV613" s="2052"/>
      <c r="BW613" s="2052"/>
      <c r="BX613" s="2052">
        <f t="shared" si="6"/>
        <v>0</v>
      </c>
      <c r="BY613" s="2052"/>
      <c r="BZ613" s="2052"/>
      <c r="CA613" s="2052"/>
      <c r="CB613" s="2052"/>
      <c r="CC613" s="2052">
        <f t="shared" si="7"/>
        <v>0</v>
      </c>
      <c r="CD613" s="2052"/>
      <c r="CE613" s="2052"/>
      <c r="CF613" s="2052"/>
      <c r="CG613" s="2052"/>
      <c r="CH613" s="2052">
        <f t="shared" si="8"/>
        <v>0</v>
      </c>
      <c r="CI613" s="2052"/>
      <c r="CJ613" s="2052"/>
      <c r="CK613" s="2052"/>
      <c r="CL613" s="2052"/>
      <c r="CM613" s="2052">
        <f t="shared" si="9"/>
        <v>0</v>
      </c>
      <c r="CN613" s="2052"/>
      <c r="CO613" s="2052"/>
      <c r="CP613" s="2052"/>
      <c r="CQ613" s="2052"/>
      <c r="CR613" s="265"/>
      <c r="CS613" s="2100">
        <f t="shared" si="10"/>
        <v>0</v>
      </c>
      <c r="CT613" s="2100"/>
      <c r="CU613" s="2100"/>
      <c r="CV613" s="2100"/>
      <c r="CW613" s="2100"/>
      <c r="CX613" s="2100">
        <f t="shared" si="11"/>
        <v>7</v>
      </c>
      <c r="CY613" s="2100"/>
      <c r="CZ613" s="2100"/>
      <c r="DA613" s="2100"/>
      <c r="DB613" s="2100"/>
      <c r="DC613" s="2100">
        <f t="shared" si="12"/>
        <v>0</v>
      </c>
      <c r="DD613" s="2100"/>
      <c r="DE613" s="2100"/>
      <c r="DF613" s="2100"/>
      <c r="DG613" s="2100"/>
      <c r="DH613" s="2100">
        <f t="shared" si="13"/>
        <v>0</v>
      </c>
      <c r="DI613" s="2100"/>
      <c r="DJ613" s="2100"/>
      <c r="DK613" s="2100"/>
      <c r="DL613" s="2100"/>
      <c r="DM613" s="2100">
        <f t="shared" si="14"/>
        <v>0</v>
      </c>
      <c r="DN613" s="2100"/>
      <c r="DO613" s="2100"/>
      <c r="DP613" s="2100"/>
      <c r="DQ613" s="2100"/>
      <c r="DR613" s="2100">
        <f t="shared" si="15"/>
        <v>0</v>
      </c>
      <c r="DS613" s="2100"/>
      <c r="DT613" s="2100"/>
      <c r="DU613" s="2100"/>
      <c r="DV613" s="2100"/>
      <c r="DX613" s="2102" t="str">
        <f t="shared" si="16"/>
        <v xml:space="preserve"> </v>
      </c>
      <c r="DY613" s="2103"/>
      <c r="DZ613" s="2103"/>
      <c r="EA613" s="2103"/>
      <c r="EB613" s="2104"/>
      <c r="EC613" s="2102">
        <f t="shared" si="17"/>
        <v>647</v>
      </c>
      <c r="ED613" s="2103"/>
      <c r="EE613" s="2103"/>
      <c r="EF613" s="2103"/>
      <c r="EG613" s="2104"/>
      <c r="EH613" s="2102" t="str">
        <f t="shared" si="18"/>
        <v xml:space="preserve"> </v>
      </c>
      <c r="EI613" s="2103"/>
      <c r="EJ613" s="2103"/>
      <c r="EK613" s="2103"/>
      <c r="EL613" s="2104"/>
      <c r="EM613" s="2102" t="str">
        <f t="shared" si="19"/>
        <v xml:space="preserve"> </v>
      </c>
      <c r="EN613" s="2103"/>
      <c r="EO613" s="2103"/>
      <c r="EP613" s="2103"/>
      <c r="EQ613" s="2104"/>
      <c r="ER613" s="2102" t="str">
        <f t="shared" si="20"/>
        <v xml:space="preserve"> </v>
      </c>
      <c r="ES613" s="2103"/>
      <c r="ET613" s="2103"/>
      <c r="EU613" s="2103"/>
      <c r="EV613" s="2104"/>
      <c r="EW613" s="2102" t="str">
        <f t="shared" si="21"/>
        <v xml:space="preserve"> </v>
      </c>
      <c r="EX613" s="2103"/>
      <c r="EY613" s="2103"/>
      <c r="EZ613" s="2103"/>
      <c r="FA613" s="2104"/>
    </row>
    <row r="614" spans="1:157" ht="12.75">
      <c r="A614" s="35"/>
      <c r="B614" s="12" t="s">
        <v>17</v>
      </c>
      <c r="G614" s="2091"/>
      <c r="H614" s="2091"/>
      <c r="I614" s="2091"/>
      <c r="J614" s="2091"/>
      <c r="K614" s="2091"/>
      <c r="L614" s="2091"/>
      <c r="M614" s="2091"/>
      <c r="N614" s="2091"/>
      <c r="O614" s="2091"/>
      <c r="P614" s="2091"/>
      <c r="Q614" s="2091"/>
      <c r="R614" s="2091"/>
      <c r="T614" s="35"/>
      <c r="U614" s="12" t="s">
        <v>17</v>
      </c>
      <c r="Z614" s="2071"/>
      <c r="AA614" s="2071"/>
      <c r="AB614" s="2071"/>
      <c r="AC614" s="2071"/>
      <c r="AD614" s="2071"/>
      <c r="AE614" s="2071"/>
      <c r="AF614" s="2071"/>
      <c r="AG614" s="2071"/>
      <c r="AH614" s="2071"/>
      <c r="AI614" s="2071"/>
      <c r="AJ614" s="2071"/>
      <c r="AK614" s="2071"/>
      <c r="BA614" s="7" t="s">
        <v>31</v>
      </c>
      <c r="BB614" s="58"/>
      <c r="BC614" s="58"/>
      <c r="BD614" s="58"/>
      <c r="BE614" s="2102">
        <f t="shared" si="0"/>
        <v>0</v>
      </c>
      <c r="BF614" s="2104"/>
      <c r="BG614" s="2097">
        <f t="shared" si="1"/>
        <v>0</v>
      </c>
      <c r="BH614" s="2099"/>
      <c r="BI614" s="2102">
        <f t="shared" si="2"/>
        <v>0</v>
      </c>
      <c r="BJ614" s="2104"/>
      <c r="BK614" s="2097">
        <f t="shared" si="3"/>
        <v>0</v>
      </c>
      <c r="BL614" s="2099"/>
      <c r="BM614" s="58"/>
      <c r="BN614" s="2092">
        <f t="shared" si="4"/>
        <v>0</v>
      </c>
      <c r="BO614" s="2093"/>
      <c r="BP614" s="2093"/>
      <c r="BQ614" s="2093"/>
      <c r="BR614" s="2094"/>
      <c r="BS614" s="2052">
        <f t="shared" si="5"/>
        <v>0</v>
      </c>
      <c r="BT614" s="2052"/>
      <c r="BU614" s="2052"/>
      <c r="BV614" s="2052"/>
      <c r="BW614" s="2052"/>
      <c r="BX614" s="2052">
        <f t="shared" si="6"/>
        <v>8</v>
      </c>
      <c r="BY614" s="2052"/>
      <c r="BZ614" s="2052"/>
      <c r="CA614" s="2052"/>
      <c r="CB614" s="2052"/>
      <c r="CC614" s="2052">
        <f t="shared" si="7"/>
        <v>0</v>
      </c>
      <c r="CD614" s="2052"/>
      <c r="CE614" s="2052"/>
      <c r="CF614" s="2052"/>
      <c r="CG614" s="2052"/>
      <c r="CH614" s="2052">
        <f t="shared" si="8"/>
        <v>0</v>
      </c>
      <c r="CI614" s="2052"/>
      <c r="CJ614" s="2052"/>
      <c r="CK614" s="2052"/>
      <c r="CL614" s="2052"/>
      <c r="CM614" s="2052">
        <f t="shared" si="9"/>
        <v>0</v>
      </c>
      <c r="CN614" s="2052"/>
      <c r="CO614" s="2052"/>
      <c r="CP614" s="2052"/>
      <c r="CQ614" s="2052"/>
      <c r="CR614" s="265"/>
      <c r="CS614" s="2100">
        <f t="shared" si="10"/>
        <v>0</v>
      </c>
      <c r="CT614" s="2100"/>
      <c r="CU614" s="2100"/>
      <c r="CV614" s="2100"/>
      <c r="CW614" s="2100"/>
      <c r="CX614" s="2100">
        <f t="shared" si="11"/>
        <v>0</v>
      </c>
      <c r="CY614" s="2100"/>
      <c r="CZ614" s="2100"/>
      <c r="DA614" s="2100"/>
      <c r="DB614" s="2100"/>
      <c r="DC614" s="2100">
        <f t="shared" si="12"/>
        <v>0</v>
      </c>
      <c r="DD614" s="2100"/>
      <c r="DE614" s="2100"/>
      <c r="DF614" s="2100"/>
      <c r="DG614" s="2100"/>
      <c r="DH614" s="2100">
        <f t="shared" si="13"/>
        <v>0</v>
      </c>
      <c r="DI614" s="2100"/>
      <c r="DJ614" s="2100"/>
      <c r="DK614" s="2100"/>
      <c r="DL614" s="2100"/>
      <c r="DM614" s="2100">
        <f t="shared" si="14"/>
        <v>0</v>
      </c>
      <c r="DN614" s="2100"/>
      <c r="DO614" s="2100"/>
      <c r="DP614" s="2100"/>
      <c r="DQ614" s="2100"/>
      <c r="DR614" s="2100">
        <f t="shared" si="15"/>
        <v>0</v>
      </c>
      <c r="DS614" s="2100"/>
      <c r="DT614" s="2100"/>
      <c r="DU614" s="2100"/>
      <c r="DV614" s="2100"/>
      <c r="DX614" s="2102" t="str">
        <f t="shared" si="16"/>
        <v xml:space="preserve"> </v>
      </c>
      <c r="DY614" s="2103"/>
      <c r="DZ614" s="2103"/>
      <c r="EA614" s="2103"/>
      <c r="EB614" s="2104"/>
      <c r="EC614" s="2102" t="str">
        <f t="shared" si="17"/>
        <v xml:space="preserve"> </v>
      </c>
      <c r="ED614" s="2103"/>
      <c r="EE614" s="2103"/>
      <c r="EF614" s="2103"/>
      <c r="EG614" s="2104"/>
      <c r="EH614" s="2102">
        <f t="shared" si="18"/>
        <v>2228</v>
      </c>
      <c r="EI614" s="2103"/>
      <c r="EJ614" s="2103"/>
      <c r="EK614" s="2103"/>
      <c r="EL614" s="2104"/>
      <c r="EM614" s="2102" t="str">
        <f t="shared" si="19"/>
        <v xml:space="preserve"> </v>
      </c>
      <c r="EN614" s="2103"/>
      <c r="EO614" s="2103"/>
      <c r="EP614" s="2103"/>
      <c r="EQ614" s="2104"/>
      <c r="ER614" s="2102" t="str">
        <f t="shared" si="20"/>
        <v xml:space="preserve"> </v>
      </c>
      <c r="ES614" s="2103"/>
      <c r="ET614" s="2103"/>
      <c r="EU614" s="2103"/>
      <c r="EV614" s="2104"/>
      <c r="EW614" s="2102" t="str">
        <f t="shared" si="21"/>
        <v xml:space="preserve"> </v>
      </c>
      <c r="EX614" s="2103"/>
      <c r="EY614" s="2103"/>
      <c r="EZ614" s="2103"/>
      <c r="FA614" s="2104"/>
    </row>
    <row r="615" spans="1:157" ht="12.75">
      <c r="A615" s="35"/>
      <c r="B615" s="12" t="s">
        <v>322</v>
      </c>
      <c r="G615" s="2355"/>
      <c r="H615" s="2355"/>
      <c r="I615" s="2355"/>
      <c r="J615" s="2355"/>
      <c r="K615" s="2355"/>
      <c r="L615" s="2355"/>
      <c r="O615" s="137" t="s">
        <v>212</v>
      </c>
      <c r="P615" s="2088"/>
      <c r="Q615" s="2088"/>
      <c r="R615" s="2088"/>
      <c r="T615" s="35"/>
      <c r="U615" s="12" t="s">
        <v>322</v>
      </c>
      <c r="Z615" s="2355"/>
      <c r="AA615" s="2355"/>
      <c r="AB615" s="2355"/>
      <c r="AC615" s="2355"/>
      <c r="AD615" s="2355"/>
      <c r="AE615" s="2355"/>
      <c r="AH615" s="137" t="s">
        <v>212</v>
      </c>
      <c r="AI615" s="2088"/>
      <c r="AJ615" s="2088"/>
      <c r="AK615" s="2088"/>
      <c r="AZ615" s="58"/>
      <c r="BA615" s="58"/>
      <c r="BB615" s="58"/>
      <c r="BC615" s="58"/>
      <c r="BD615" s="58"/>
      <c r="BE615" s="2102">
        <f t="shared" si="0"/>
        <v>0</v>
      </c>
      <c r="BF615" s="2104"/>
      <c r="BG615" s="2097">
        <f t="shared" si="1"/>
        <v>0</v>
      </c>
      <c r="BH615" s="2099"/>
      <c r="BI615" s="2102">
        <f t="shared" si="2"/>
        <v>0</v>
      </c>
      <c r="BJ615" s="2104"/>
      <c r="BK615" s="2097">
        <f t="shared" si="3"/>
        <v>0</v>
      </c>
      <c r="BL615" s="2099"/>
      <c r="BM615" s="58"/>
      <c r="BN615" s="2092">
        <f t="shared" si="4"/>
        <v>0</v>
      </c>
      <c r="BO615" s="2093"/>
      <c r="BP615" s="2093"/>
      <c r="BQ615" s="2093"/>
      <c r="BR615" s="2094"/>
      <c r="BS615" s="2052">
        <f t="shared" si="5"/>
        <v>0</v>
      </c>
      <c r="BT615" s="2052"/>
      <c r="BU615" s="2052"/>
      <c r="BV615" s="2052"/>
      <c r="BW615" s="2052"/>
      <c r="BX615" s="2052">
        <f t="shared" si="6"/>
        <v>21</v>
      </c>
      <c r="BY615" s="2052"/>
      <c r="BZ615" s="2052"/>
      <c r="CA615" s="2052"/>
      <c r="CB615" s="2052"/>
      <c r="CC615" s="2052">
        <f t="shared" si="7"/>
        <v>0</v>
      </c>
      <c r="CD615" s="2052"/>
      <c r="CE615" s="2052"/>
      <c r="CF615" s="2052"/>
      <c r="CG615" s="2052"/>
      <c r="CH615" s="2052">
        <f t="shared" si="8"/>
        <v>0</v>
      </c>
      <c r="CI615" s="2052"/>
      <c r="CJ615" s="2052"/>
      <c r="CK615" s="2052"/>
      <c r="CL615" s="2052"/>
      <c r="CM615" s="2052">
        <f t="shared" si="9"/>
        <v>0</v>
      </c>
      <c r="CN615" s="2052"/>
      <c r="CO615" s="2052"/>
      <c r="CP615" s="2052"/>
      <c r="CQ615" s="2052"/>
      <c r="CR615" s="265"/>
      <c r="CS615" s="2100">
        <f t="shared" si="10"/>
        <v>0</v>
      </c>
      <c r="CT615" s="2100"/>
      <c r="CU615" s="2100"/>
      <c r="CV615" s="2100"/>
      <c r="CW615" s="2100"/>
      <c r="CX615" s="2100">
        <f t="shared" si="11"/>
        <v>0</v>
      </c>
      <c r="CY615" s="2100"/>
      <c r="CZ615" s="2100"/>
      <c r="DA615" s="2100"/>
      <c r="DB615" s="2100"/>
      <c r="DC615" s="2100">
        <f t="shared" si="12"/>
        <v>0</v>
      </c>
      <c r="DD615" s="2100"/>
      <c r="DE615" s="2100"/>
      <c r="DF615" s="2100"/>
      <c r="DG615" s="2100"/>
      <c r="DH615" s="2100">
        <f t="shared" si="13"/>
        <v>0</v>
      </c>
      <c r="DI615" s="2100"/>
      <c r="DJ615" s="2100"/>
      <c r="DK615" s="2100"/>
      <c r="DL615" s="2100"/>
      <c r="DM615" s="2100">
        <f t="shared" si="14"/>
        <v>0</v>
      </c>
      <c r="DN615" s="2100"/>
      <c r="DO615" s="2100"/>
      <c r="DP615" s="2100"/>
      <c r="DQ615" s="2100"/>
      <c r="DR615" s="2100">
        <f t="shared" si="15"/>
        <v>0</v>
      </c>
      <c r="DS615" s="2100"/>
      <c r="DT615" s="2100"/>
      <c r="DU615" s="2100"/>
      <c r="DV615" s="2100"/>
      <c r="DX615" s="2102" t="str">
        <f t="shared" si="16"/>
        <v xml:space="preserve"> </v>
      </c>
      <c r="DY615" s="2103"/>
      <c r="DZ615" s="2103"/>
      <c r="EA615" s="2103"/>
      <c r="EB615" s="2104"/>
      <c r="EC615" s="2102" t="str">
        <f t="shared" si="17"/>
        <v xml:space="preserve"> </v>
      </c>
      <c r="ED615" s="2103"/>
      <c r="EE615" s="2103"/>
      <c r="EF615" s="2103"/>
      <c r="EG615" s="2104"/>
      <c r="EH615" s="2102">
        <f t="shared" si="18"/>
        <v>1642</v>
      </c>
      <c r="EI615" s="2103"/>
      <c r="EJ615" s="2103"/>
      <c r="EK615" s="2103"/>
      <c r="EL615" s="2104"/>
      <c r="EM615" s="2102" t="str">
        <f t="shared" si="19"/>
        <v xml:space="preserve"> </v>
      </c>
      <c r="EN615" s="2103"/>
      <c r="EO615" s="2103"/>
      <c r="EP615" s="2103"/>
      <c r="EQ615" s="2104"/>
      <c r="ER615" s="2102" t="str">
        <f t="shared" si="20"/>
        <v xml:space="preserve"> </v>
      </c>
      <c r="ES615" s="2103"/>
      <c r="ET615" s="2103"/>
      <c r="EU615" s="2103"/>
      <c r="EV615" s="2104"/>
      <c r="EW615" s="2102" t="str">
        <f t="shared" si="21"/>
        <v xml:space="preserve"> </v>
      </c>
      <c r="EX615" s="2103"/>
      <c r="EY615" s="2103"/>
      <c r="EZ615" s="2103"/>
      <c r="FA615" s="2104"/>
    </row>
    <row r="616" spans="1:157" ht="12.75">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102">
        <f t="shared" si="0"/>
        <v>1</v>
      </c>
      <c r="BF616" s="2104"/>
      <c r="BG616" s="2097">
        <f t="shared" si="1"/>
        <v>4</v>
      </c>
      <c r="BH616" s="2099"/>
      <c r="BI616" s="2102">
        <f t="shared" si="2"/>
        <v>0</v>
      </c>
      <c r="BJ616" s="2104"/>
      <c r="BK616" s="2097">
        <f t="shared" si="3"/>
        <v>0</v>
      </c>
      <c r="BL616" s="2099"/>
      <c r="BM616" s="58"/>
      <c r="BN616" s="2092">
        <f t="shared" si="4"/>
        <v>0</v>
      </c>
      <c r="BO616" s="2093"/>
      <c r="BP616" s="2093"/>
      <c r="BQ616" s="2093"/>
      <c r="BR616" s="2094"/>
      <c r="BS616" s="2052">
        <f t="shared" si="5"/>
        <v>0</v>
      </c>
      <c r="BT616" s="2052"/>
      <c r="BU616" s="2052"/>
      <c r="BV616" s="2052"/>
      <c r="BW616" s="2052"/>
      <c r="BX616" s="2052">
        <f t="shared" si="6"/>
        <v>4</v>
      </c>
      <c r="BY616" s="2052"/>
      <c r="BZ616" s="2052"/>
      <c r="CA616" s="2052"/>
      <c r="CB616" s="2052"/>
      <c r="CC616" s="2052">
        <f t="shared" si="7"/>
        <v>0</v>
      </c>
      <c r="CD616" s="2052"/>
      <c r="CE616" s="2052"/>
      <c r="CF616" s="2052"/>
      <c r="CG616" s="2052"/>
      <c r="CH616" s="2052">
        <f t="shared" si="8"/>
        <v>0</v>
      </c>
      <c r="CI616" s="2052"/>
      <c r="CJ616" s="2052"/>
      <c r="CK616" s="2052"/>
      <c r="CL616" s="2052"/>
      <c r="CM616" s="2052">
        <f t="shared" si="9"/>
        <v>0</v>
      </c>
      <c r="CN616" s="2052"/>
      <c r="CO616" s="2052"/>
      <c r="CP616" s="2052"/>
      <c r="CQ616" s="2052"/>
      <c r="CR616" s="265"/>
      <c r="CS616" s="2100">
        <f t="shared" si="10"/>
        <v>0</v>
      </c>
      <c r="CT616" s="2100"/>
      <c r="CU616" s="2100"/>
      <c r="CV616" s="2100"/>
      <c r="CW616" s="2100"/>
      <c r="CX616" s="2100">
        <f t="shared" si="11"/>
        <v>0</v>
      </c>
      <c r="CY616" s="2100"/>
      <c r="CZ616" s="2100"/>
      <c r="DA616" s="2100"/>
      <c r="DB616" s="2100"/>
      <c r="DC616" s="2100">
        <f t="shared" si="12"/>
        <v>0</v>
      </c>
      <c r="DD616" s="2100"/>
      <c r="DE616" s="2100"/>
      <c r="DF616" s="2100"/>
      <c r="DG616" s="2100"/>
      <c r="DH616" s="2100">
        <f t="shared" si="13"/>
        <v>0</v>
      </c>
      <c r="DI616" s="2100"/>
      <c r="DJ616" s="2100"/>
      <c r="DK616" s="2100"/>
      <c r="DL616" s="2100"/>
      <c r="DM616" s="2100">
        <f t="shared" si="14"/>
        <v>0</v>
      </c>
      <c r="DN616" s="2100"/>
      <c r="DO616" s="2100"/>
      <c r="DP616" s="2100"/>
      <c r="DQ616" s="2100"/>
      <c r="DR616" s="2100">
        <f t="shared" si="15"/>
        <v>0</v>
      </c>
      <c r="DS616" s="2100"/>
      <c r="DT616" s="2100"/>
      <c r="DU616" s="2100"/>
      <c r="DV616" s="2100"/>
      <c r="DX616" s="2102" t="str">
        <f t="shared" si="16"/>
        <v xml:space="preserve"> </v>
      </c>
      <c r="DY616" s="2103"/>
      <c r="DZ616" s="2103"/>
      <c r="EA616" s="2103"/>
      <c r="EB616" s="2104"/>
      <c r="EC616" s="2102" t="str">
        <f t="shared" si="17"/>
        <v xml:space="preserve"> </v>
      </c>
      <c r="ED616" s="2103"/>
      <c r="EE616" s="2103"/>
      <c r="EF616" s="2103"/>
      <c r="EG616" s="2104"/>
      <c r="EH616" s="2102">
        <f t="shared" si="18"/>
        <v>1349</v>
      </c>
      <c r="EI616" s="2103"/>
      <c r="EJ616" s="2103"/>
      <c r="EK616" s="2103"/>
      <c r="EL616" s="2104"/>
      <c r="EM616" s="2102" t="str">
        <f t="shared" si="19"/>
        <v xml:space="preserve"> </v>
      </c>
      <c r="EN616" s="2103"/>
      <c r="EO616" s="2103"/>
      <c r="EP616" s="2103"/>
      <c r="EQ616" s="2104"/>
      <c r="ER616" s="2102" t="str">
        <f t="shared" si="20"/>
        <v xml:space="preserve"> </v>
      </c>
      <c r="ES616" s="2103"/>
      <c r="ET616" s="2103"/>
      <c r="EU616" s="2103"/>
      <c r="EV616" s="2104"/>
      <c r="EW616" s="2102" t="str">
        <f t="shared" si="21"/>
        <v xml:space="preserve"> </v>
      </c>
      <c r="EX616" s="2103"/>
      <c r="EY616" s="2103"/>
      <c r="EZ616" s="2103"/>
      <c r="FA616" s="2104"/>
    </row>
    <row r="617" spans="1:157" ht="12.75">
      <c r="A617" s="35"/>
      <c r="B617" s="12" t="s">
        <v>20</v>
      </c>
      <c r="N617" s="2089" t="s">
        <v>695</v>
      </c>
      <c r="O617" s="2089"/>
      <c r="T617" s="35"/>
      <c r="U617" s="12" t="s">
        <v>20</v>
      </c>
      <c r="AG617" s="2089" t="s">
        <v>695</v>
      </c>
      <c r="AH617" s="2089"/>
      <c r="AZ617" s="58"/>
      <c r="BA617" s="58"/>
      <c r="BB617" s="58"/>
      <c r="BC617" s="58"/>
      <c r="BD617" s="58"/>
      <c r="BE617" s="2102">
        <f t="shared" si="0"/>
        <v>0</v>
      </c>
      <c r="BF617" s="2104"/>
      <c r="BG617" s="2097">
        <f t="shared" si="1"/>
        <v>0</v>
      </c>
      <c r="BH617" s="2099"/>
      <c r="BI617" s="2102">
        <f t="shared" si="2"/>
        <v>1</v>
      </c>
      <c r="BJ617" s="2104"/>
      <c r="BK617" s="2097">
        <f t="shared" si="3"/>
        <v>4</v>
      </c>
      <c r="BL617" s="2099"/>
      <c r="BM617" s="58"/>
      <c r="BN617" s="2092">
        <f t="shared" si="4"/>
        <v>0</v>
      </c>
      <c r="BO617" s="2093"/>
      <c r="BP617" s="2093"/>
      <c r="BQ617" s="2093"/>
      <c r="BR617" s="2094"/>
      <c r="BS617" s="2052">
        <f t="shared" si="5"/>
        <v>0</v>
      </c>
      <c r="BT617" s="2052"/>
      <c r="BU617" s="2052"/>
      <c r="BV617" s="2052"/>
      <c r="BW617" s="2052"/>
      <c r="BX617" s="2052">
        <f t="shared" si="6"/>
        <v>4</v>
      </c>
      <c r="BY617" s="2052"/>
      <c r="BZ617" s="2052"/>
      <c r="CA617" s="2052"/>
      <c r="CB617" s="2052"/>
      <c r="CC617" s="2052">
        <f t="shared" si="7"/>
        <v>0</v>
      </c>
      <c r="CD617" s="2052"/>
      <c r="CE617" s="2052"/>
      <c r="CF617" s="2052"/>
      <c r="CG617" s="2052"/>
      <c r="CH617" s="2052">
        <f t="shared" si="8"/>
        <v>0</v>
      </c>
      <c r="CI617" s="2052"/>
      <c r="CJ617" s="2052"/>
      <c r="CK617" s="2052"/>
      <c r="CL617" s="2052"/>
      <c r="CM617" s="2052">
        <f t="shared" si="9"/>
        <v>0</v>
      </c>
      <c r="CN617" s="2052"/>
      <c r="CO617" s="2052"/>
      <c r="CP617" s="2052"/>
      <c r="CQ617" s="2052"/>
      <c r="CR617" s="265"/>
      <c r="CS617" s="2100">
        <f t="shared" si="10"/>
        <v>0</v>
      </c>
      <c r="CT617" s="2100"/>
      <c r="CU617" s="2100"/>
      <c r="CV617" s="2100"/>
      <c r="CW617" s="2100"/>
      <c r="CX617" s="2100">
        <f t="shared" si="11"/>
        <v>0</v>
      </c>
      <c r="CY617" s="2100"/>
      <c r="CZ617" s="2100"/>
      <c r="DA617" s="2100"/>
      <c r="DB617" s="2100"/>
      <c r="DC617" s="2100">
        <f t="shared" si="12"/>
        <v>4</v>
      </c>
      <c r="DD617" s="2100"/>
      <c r="DE617" s="2100"/>
      <c r="DF617" s="2100"/>
      <c r="DG617" s="2100"/>
      <c r="DH617" s="2100">
        <f t="shared" si="13"/>
        <v>0</v>
      </c>
      <c r="DI617" s="2100"/>
      <c r="DJ617" s="2100"/>
      <c r="DK617" s="2100"/>
      <c r="DL617" s="2100"/>
      <c r="DM617" s="2100">
        <f t="shared" si="14"/>
        <v>0</v>
      </c>
      <c r="DN617" s="2100"/>
      <c r="DO617" s="2100"/>
      <c r="DP617" s="2100"/>
      <c r="DQ617" s="2100"/>
      <c r="DR617" s="2100">
        <f t="shared" si="15"/>
        <v>0</v>
      </c>
      <c r="DS617" s="2100"/>
      <c r="DT617" s="2100"/>
      <c r="DU617" s="2100"/>
      <c r="DV617" s="2100"/>
      <c r="DX617" s="2102" t="str">
        <f t="shared" si="16"/>
        <v xml:space="preserve"> </v>
      </c>
      <c r="DY617" s="2103"/>
      <c r="DZ617" s="2103"/>
      <c r="EA617" s="2103"/>
      <c r="EB617" s="2104"/>
      <c r="EC617" s="2102" t="str">
        <f t="shared" si="17"/>
        <v xml:space="preserve"> </v>
      </c>
      <c r="ED617" s="2103"/>
      <c r="EE617" s="2103"/>
      <c r="EF617" s="2103"/>
      <c r="EG617" s="2104"/>
      <c r="EH617" s="2102">
        <f t="shared" si="18"/>
        <v>764</v>
      </c>
      <c r="EI617" s="2103"/>
      <c r="EJ617" s="2103"/>
      <c r="EK617" s="2103"/>
      <c r="EL617" s="2104"/>
      <c r="EM617" s="2102" t="str">
        <f t="shared" si="19"/>
        <v xml:space="preserve"> </v>
      </c>
      <c r="EN617" s="2103"/>
      <c r="EO617" s="2103"/>
      <c r="EP617" s="2103"/>
      <c r="EQ617" s="2104"/>
      <c r="ER617" s="2102" t="str">
        <f t="shared" si="20"/>
        <v xml:space="preserve"> </v>
      </c>
      <c r="ES617" s="2103"/>
      <c r="ET617" s="2103"/>
      <c r="EU617" s="2103"/>
      <c r="EV617" s="2104"/>
      <c r="EW617" s="2102" t="str">
        <f t="shared" si="21"/>
        <v xml:space="preserve"> </v>
      </c>
      <c r="EX617" s="2103"/>
      <c r="EY617" s="2103"/>
      <c r="EZ617" s="2103"/>
      <c r="FA617" s="210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102">
        <f t="shared" si="0"/>
        <v>0</v>
      </c>
      <c r="BF618" s="2104"/>
      <c r="BG618" s="2097">
        <f t="shared" si="1"/>
        <v>0</v>
      </c>
      <c r="BH618" s="2099"/>
      <c r="BI618" s="2102">
        <f t="shared" si="2"/>
        <v>0</v>
      </c>
      <c r="BJ618" s="2104"/>
      <c r="BK618" s="2097">
        <f t="shared" si="3"/>
        <v>0</v>
      </c>
      <c r="BL618" s="2099"/>
      <c r="BM618" s="58"/>
      <c r="BN618" s="2092">
        <f t="shared" si="4"/>
        <v>0</v>
      </c>
      <c r="BO618" s="2093"/>
      <c r="BP618" s="2093"/>
      <c r="BQ618" s="2093"/>
      <c r="BR618" s="2094"/>
      <c r="BS618" s="2052">
        <f t="shared" si="5"/>
        <v>0</v>
      </c>
      <c r="BT618" s="2052"/>
      <c r="BU618" s="2052"/>
      <c r="BV618" s="2052"/>
      <c r="BW618" s="2052"/>
      <c r="BX618" s="2052">
        <f t="shared" si="6"/>
        <v>0</v>
      </c>
      <c r="BY618" s="2052"/>
      <c r="BZ618" s="2052"/>
      <c r="CA618" s="2052"/>
      <c r="CB618" s="2052"/>
      <c r="CC618" s="2052">
        <f t="shared" si="7"/>
        <v>8</v>
      </c>
      <c r="CD618" s="2052"/>
      <c r="CE618" s="2052"/>
      <c r="CF618" s="2052"/>
      <c r="CG618" s="2052"/>
      <c r="CH618" s="2052">
        <f t="shared" si="8"/>
        <v>0</v>
      </c>
      <c r="CI618" s="2052"/>
      <c r="CJ618" s="2052"/>
      <c r="CK618" s="2052"/>
      <c r="CL618" s="2052"/>
      <c r="CM618" s="2052">
        <f t="shared" si="9"/>
        <v>0</v>
      </c>
      <c r="CN618" s="2052"/>
      <c r="CO618" s="2052"/>
      <c r="CP618" s="2052"/>
      <c r="CQ618" s="2052"/>
      <c r="CR618" s="265"/>
      <c r="CS618" s="2100">
        <f t="shared" si="10"/>
        <v>0</v>
      </c>
      <c r="CT618" s="2100"/>
      <c r="CU618" s="2100"/>
      <c r="CV618" s="2100"/>
      <c r="CW618" s="2100"/>
      <c r="CX618" s="2100">
        <f t="shared" si="11"/>
        <v>0</v>
      </c>
      <c r="CY618" s="2100"/>
      <c r="CZ618" s="2100"/>
      <c r="DA618" s="2100"/>
      <c r="DB618" s="2100"/>
      <c r="DC618" s="2100">
        <f t="shared" si="12"/>
        <v>0</v>
      </c>
      <c r="DD618" s="2100"/>
      <c r="DE618" s="2100"/>
      <c r="DF618" s="2100"/>
      <c r="DG618" s="2100"/>
      <c r="DH618" s="2100">
        <f t="shared" si="13"/>
        <v>0</v>
      </c>
      <c r="DI618" s="2100"/>
      <c r="DJ618" s="2100"/>
      <c r="DK618" s="2100"/>
      <c r="DL618" s="2100"/>
      <c r="DM618" s="2100">
        <f t="shared" si="14"/>
        <v>0</v>
      </c>
      <c r="DN618" s="2100"/>
      <c r="DO618" s="2100"/>
      <c r="DP618" s="2100"/>
      <c r="DQ618" s="2100"/>
      <c r="DR618" s="2100">
        <f t="shared" si="15"/>
        <v>0</v>
      </c>
      <c r="DS618" s="2100"/>
      <c r="DT618" s="2100"/>
      <c r="DU618" s="2100"/>
      <c r="DV618" s="2100"/>
      <c r="DX618" s="2102" t="str">
        <f t="shared" si="16"/>
        <v xml:space="preserve"> </v>
      </c>
      <c r="DY618" s="2103"/>
      <c r="DZ618" s="2103"/>
      <c r="EA618" s="2103"/>
      <c r="EB618" s="2104"/>
      <c r="EC618" s="2102" t="str">
        <f t="shared" si="17"/>
        <v xml:space="preserve"> </v>
      </c>
      <c r="ED618" s="2103"/>
      <c r="EE618" s="2103"/>
      <c r="EF618" s="2103"/>
      <c r="EG618" s="2104"/>
      <c r="EH618" s="2102" t="str">
        <f t="shared" si="18"/>
        <v xml:space="preserve"> </v>
      </c>
      <c r="EI618" s="2103"/>
      <c r="EJ618" s="2103"/>
      <c r="EK618" s="2103"/>
      <c r="EL618" s="2104"/>
      <c r="EM618" s="2102">
        <f t="shared" si="19"/>
        <v>2562</v>
      </c>
      <c r="EN618" s="2103"/>
      <c r="EO618" s="2103"/>
      <c r="EP618" s="2103"/>
      <c r="EQ618" s="2104"/>
      <c r="ER618" s="2102" t="str">
        <f t="shared" si="20"/>
        <v xml:space="preserve"> </v>
      </c>
      <c r="ES618" s="2103"/>
      <c r="ET618" s="2103"/>
      <c r="EU618" s="2103"/>
      <c r="EV618" s="2104"/>
      <c r="EW618" s="2102" t="str">
        <f t="shared" si="21"/>
        <v xml:space="preserve"> </v>
      </c>
      <c r="EX618" s="2103"/>
      <c r="EY618" s="2103"/>
      <c r="EZ618" s="2103"/>
      <c r="FA618" s="2104"/>
    </row>
    <row r="619" spans="1:157" s="7" customFormat="1" ht="12.75">
      <c r="A619" s="87" t="s">
        <v>369</v>
      </c>
      <c r="B619" s="12" t="s">
        <v>488</v>
      </c>
      <c r="C619" s="12"/>
      <c r="D619" s="12"/>
      <c r="E619" s="12"/>
      <c r="F619" s="12"/>
      <c r="G619" s="2072">
        <f>C574</f>
        <v>0</v>
      </c>
      <c r="H619" s="2072"/>
      <c r="I619" s="2072"/>
      <c r="J619" s="2072"/>
      <c r="K619" s="2072"/>
      <c r="L619" s="2072"/>
      <c r="M619" s="2072"/>
      <c r="N619" s="2072"/>
      <c r="O619" s="2072"/>
      <c r="P619" s="2072"/>
      <c r="Q619" s="2072"/>
      <c r="R619" s="2072"/>
      <c r="S619" s="12"/>
      <c r="T619" s="87" t="s">
        <v>370</v>
      </c>
      <c r="U619" s="12" t="s">
        <v>488</v>
      </c>
      <c r="V619" s="12"/>
      <c r="W619" s="12"/>
      <c r="X619" s="12"/>
      <c r="Y619" s="12"/>
      <c r="Z619" s="2072">
        <f>C575</f>
        <v>0</v>
      </c>
      <c r="AA619" s="2072"/>
      <c r="AB619" s="2072"/>
      <c r="AC619" s="2072"/>
      <c r="AD619" s="2072"/>
      <c r="AE619" s="2072"/>
      <c r="AF619" s="2072"/>
      <c r="AG619" s="2072"/>
      <c r="AH619" s="2072"/>
      <c r="AI619" s="2072"/>
      <c r="AJ619" s="2072"/>
      <c r="AK619" s="2072"/>
      <c r="AL619" s="12"/>
      <c r="AM619" s="39"/>
      <c r="AN619" s="39"/>
      <c r="AO619" s="39"/>
      <c r="AP619" s="39"/>
      <c r="AQ619" s="39"/>
      <c r="AR619" s="39"/>
      <c r="AS619" s="39"/>
      <c r="AT619" s="39"/>
      <c r="AU619" s="39"/>
      <c r="AV619" s="39"/>
      <c r="AW619" s="39"/>
      <c r="AX619" s="39"/>
      <c r="AY619" s="39"/>
      <c r="AZ619" s="58"/>
      <c r="BA619" s="58"/>
      <c r="BB619" s="58"/>
      <c r="BC619" s="58"/>
      <c r="BD619" s="58"/>
      <c r="BE619" s="2102">
        <f t="shared" si="0"/>
        <v>0</v>
      </c>
      <c r="BF619" s="2104"/>
      <c r="BG619" s="2097">
        <f t="shared" si="1"/>
        <v>0</v>
      </c>
      <c r="BH619" s="2099"/>
      <c r="BI619" s="2102">
        <f t="shared" si="2"/>
        <v>0</v>
      </c>
      <c r="BJ619" s="2104"/>
      <c r="BK619" s="2097">
        <f t="shared" si="3"/>
        <v>0</v>
      </c>
      <c r="BL619" s="2099"/>
      <c r="BM619" s="58"/>
      <c r="BN619" s="2092">
        <f t="shared" si="4"/>
        <v>0</v>
      </c>
      <c r="BO619" s="2093"/>
      <c r="BP619" s="2093"/>
      <c r="BQ619" s="2093"/>
      <c r="BR619" s="2094"/>
      <c r="BS619" s="2052">
        <f t="shared" si="5"/>
        <v>0</v>
      </c>
      <c r="BT619" s="2052"/>
      <c r="BU619" s="2052"/>
      <c r="BV619" s="2052"/>
      <c r="BW619" s="2052"/>
      <c r="BX619" s="2052">
        <f t="shared" si="6"/>
        <v>0</v>
      </c>
      <c r="BY619" s="2052"/>
      <c r="BZ619" s="2052"/>
      <c r="CA619" s="2052"/>
      <c r="CB619" s="2052"/>
      <c r="CC619" s="2052">
        <f t="shared" si="7"/>
        <v>19</v>
      </c>
      <c r="CD619" s="2052"/>
      <c r="CE619" s="2052"/>
      <c r="CF619" s="2052"/>
      <c r="CG619" s="2052"/>
      <c r="CH619" s="2052">
        <f t="shared" si="8"/>
        <v>0</v>
      </c>
      <c r="CI619" s="2052"/>
      <c r="CJ619" s="2052"/>
      <c r="CK619" s="2052"/>
      <c r="CL619" s="2052"/>
      <c r="CM619" s="2052">
        <f t="shared" si="9"/>
        <v>0</v>
      </c>
      <c r="CN619" s="2052"/>
      <c r="CO619" s="2052"/>
      <c r="CP619" s="2052"/>
      <c r="CQ619" s="2052"/>
      <c r="CR619" s="265"/>
      <c r="CS619" s="2100">
        <f t="shared" si="10"/>
        <v>0</v>
      </c>
      <c r="CT619" s="2100"/>
      <c r="CU619" s="2100"/>
      <c r="CV619" s="2100"/>
      <c r="CW619" s="2100"/>
      <c r="CX619" s="2100">
        <f t="shared" si="11"/>
        <v>0</v>
      </c>
      <c r="CY619" s="2100"/>
      <c r="CZ619" s="2100"/>
      <c r="DA619" s="2100"/>
      <c r="DB619" s="2100"/>
      <c r="DC619" s="2100">
        <f t="shared" si="12"/>
        <v>0</v>
      </c>
      <c r="DD619" s="2100"/>
      <c r="DE619" s="2100"/>
      <c r="DF619" s="2100"/>
      <c r="DG619" s="2100"/>
      <c r="DH619" s="2100">
        <f t="shared" si="13"/>
        <v>0</v>
      </c>
      <c r="DI619" s="2100"/>
      <c r="DJ619" s="2100"/>
      <c r="DK619" s="2100"/>
      <c r="DL619" s="2100"/>
      <c r="DM619" s="2100">
        <f t="shared" si="14"/>
        <v>0</v>
      </c>
      <c r="DN619" s="2100"/>
      <c r="DO619" s="2100"/>
      <c r="DP619" s="2100"/>
      <c r="DQ619" s="2100"/>
      <c r="DR619" s="2100">
        <f t="shared" si="15"/>
        <v>0</v>
      </c>
      <c r="DS619" s="2100"/>
      <c r="DT619" s="2100"/>
      <c r="DU619" s="2100"/>
      <c r="DV619" s="2100"/>
      <c r="DX619" s="2102" t="str">
        <f t="shared" si="16"/>
        <v xml:space="preserve"> </v>
      </c>
      <c r="DY619" s="2103"/>
      <c r="DZ619" s="2103"/>
      <c r="EA619" s="2103"/>
      <c r="EB619" s="2104"/>
      <c r="EC619" s="2102" t="str">
        <f t="shared" si="17"/>
        <v xml:space="preserve"> </v>
      </c>
      <c r="ED619" s="2103"/>
      <c r="EE619" s="2103"/>
      <c r="EF619" s="2103"/>
      <c r="EG619" s="2104"/>
      <c r="EH619" s="2102" t="str">
        <f t="shared" si="18"/>
        <v xml:space="preserve"> </v>
      </c>
      <c r="EI619" s="2103"/>
      <c r="EJ619" s="2103"/>
      <c r="EK619" s="2103"/>
      <c r="EL619" s="2104"/>
      <c r="EM619" s="2102">
        <f t="shared" si="19"/>
        <v>1885</v>
      </c>
      <c r="EN619" s="2103"/>
      <c r="EO619" s="2103"/>
      <c r="EP619" s="2103"/>
      <c r="EQ619" s="2104"/>
      <c r="ER619" s="2102" t="str">
        <f t="shared" si="20"/>
        <v xml:space="preserve"> </v>
      </c>
      <c r="ES619" s="2103"/>
      <c r="ET619" s="2103"/>
      <c r="EU619" s="2103"/>
      <c r="EV619" s="2104"/>
      <c r="EW619" s="2102" t="str">
        <f t="shared" si="21"/>
        <v xml:space="preserve"> </v>
      </c>
      <c r="EX619" s="2103"/>
      <c r="EY619" s="2103"/>
      <c r="EZ619" s="2103"/>
      <c r="FA619" s="2104"/>
    </row>
    <row r="620" spans="1:157" s="7" customFormat="1" ht="12.75">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102">
        <f t="shared" si="0"/>
        <v>1</v>
      </c>
      <c r="BF620" s="2104"/>
      <c r="BG620" s="2097">
        <f t="shared" si="1"/>
        <v>4</v>
      </c>
      <c r="BH620" s="2099"/>
      <c r="BI620" s="2102">
        <f t="shared" si="2"/>
        <v>0</v>
      </c>
      <c r="BJ620" s="2104"/>
      <c r="BK620" s="2097">
        <f t="shared" si="3"/>
        <v>0</v>
      </c>
      <c r="BL620" s="2099"/>
      <c r="BM620" s="58"/>
      <c r="BN620" s="2092">
        <f t="shared" si="4"/>
        <v>0</v>
      </c>
      <c r="BO620" s="2093"/>
      <c r="BP620" s="2093"/>
      <c r="BQ620" s="2093"/>
      <c r="BR620" s="2094"/>
      <c r="BS620" s="2052">
        <f t="shared" si="5"/>
        <v>0</v>
      </c>
      <c r="BT620" s="2052"/>
      <c r="BU620" s="2052"/>
      <c r="BV620" s="2052"/>
      <c r="BW620" s="2052"/>
      <c r="BX620" s="2052">
        <f t="shared" si="6"/>
        <v>0</v>
      </c>
      <c r="BY620" s="2052"/>
      <c r="BZ620" s="2052"/>
      <c r="CA620" s="2052"/>
      <c r="CB620" s="2052"/>
      <c r="CC620" s="2052">
        <f t="shared" si="7"/>
        <v>4</v>
      </c>
      <c r="CD620" s="2052"/>
      <c r="CE620" s="2052"/>
      <c r="CF620" s="2052"/>
      <c r="CG620" s="2052"/>
      <c r="CH620" s="2052">
        <f t="shared" si="8"/>
        <v>0</v>
      </c>
      <c r="CI620" s="2052"/>
      <c r="CJ620" s="2052"/>
      <c r="CK620" s="2052"/>
      <c r="CL620" s="2052"/>
      <c r="CM620" s="2052">
        <f t="shared" si="9"/>
        <v>0</v>
      </c>
      <c r="CN620" s="2052"/>
      <c r="CO620" s="2052"/>
      <c r="CP620" s="2052"/>
      <c r="CQ620" s="2052"/>
      <c r="CR620" s="265"/>
      <c r="CS620" s="2100">
        <f t="shared" si="10"/>
        <v>0</v>
      </c>
      <c r="CT620" s="2100"/>
      <c r="CU620" s="2100"/>
      <c r="CV620" s="2100"/>
      <c r="CW620" s="2100"/>
      <c r="CX620" s="2100">
        <f t="shared" si="11"/>
        <v>0</v>
      </c>
      <c r="CY620" s="2100"/>
      <c r="CZ620" s="2100"/>
      <c r="DA620" s="2100"/>
      <c r="DB620" s="2100"/>
      <c r="DC620" s="2100">
        <f t="shared" si="12"/>
        <v>0</v>
      </c>
      <c r="DD620" s="2100"/>
      <c r="DE620" s="2100"/>
      <c r="DF620" s="2100"/>
      <c r="DG620" s="2100"/>
      <c r="DH620" s="2100">
        <f t="shared" si="13"/>
        <v>0</v>
      </c>
      <c r="DI620" s="2100"/>
      <c r="DJ620" s="2100"/>
      <c r="DK620" s="2100"/>
      <c r="DL620" s="2100"/>
      <c r="DM620" s="2100">
        <f t="shared" si="14"/>
        <v>0</v>
      </c>
      <c r="DN620" s="2100"/>
      <c r="DO620" s="2100"/>
      <c r="DP620" s="2100"/>
      <c r="DQ620" s="2100"/>
      <c r="DR620" s="2100">
        <f t="shared" si="15"/>
        <v>0</v>
      </c>
      <c r="DS620" s="2100"/>
      <c r="DT620" s="2100"/>
      <c r="DU620" s="2100"/>
      <c r="DV620" s="2100"/>
      <c r="DX620" s="2102" t="str">
        <f t="shared" si="16"/>
        <v xml:space="preserve"> </v>
      </c>
      <c r="DY620" s="2103"/>
      <c r="DZ620" s="2103"/>
      <c r="EA620" s="2103"/>
      <c r="EB620" s="2104"/>
      <c r="EC620" s="2102" t="str">
        <f t="shared" si="17"/>
        <v xml:space="preserve"> </v>
      </c>
      <c r="ED620" s="2103"/>
      <c r="EE620" s="2103"/>
      <c r="EF620" s="2103"/>
      <c r="EG620" s="2104"/>
      <c r="EH620" s="2102" t="str">
        <f t="shared" si="18"/>
        <v xml:space="preserve"> </v>
      </c>
      <c r="EI620" s="2103"/>
      <c r="EJ620" s="2103"/>
      <c r="EK620" s="2103"/>
      <c r="EL620" s="2104"/>
      <c r="EM620" s="2102">
        <f t="shared" si="19"/>
        <v>1546</v>
      </c>
      <c r="EN620" s="2103"/>
      <c r="EO620" s="2103"/>
      <c r="EP620" s="2103"/>
      <c r="EQ620" s="2104"/>
      <c r="ER620" s="2102" t="str">
        <f t="shared" si="20"/>
        <v xml:space="preserve"> </v>
      </c>
      <c r="ES620" s="2103"/>
      <c r="ET620" s="2103"/>
      <c r="EU620" s="2103"/>
      <c r="EV620" s="2104"/>
      <c r="EW620" s="2102" t="str">
        <f t="shared" si="21"/>
        <v xml:space="preserve"> </v>
      </c>
      <c r="EX620" s="2103"/>
      <c r="EY620" s="2103"/>
      <c r="EZ620" s="2103"/>
      <c r="FA620" s="2104"/>
    </row>
    <row r="621" spans="1:157" ht="12.75">
      <c r="B621" s="12" t="s">
        <v>606</v>
      </c>
      <c r="G621" s="2091"/>
      <c r="H621" s="2091"/>
      <c r="I621" s="2091"/>
      <c r="J621" s="2091"/>
      <c r="K621" s="2091"/>
      <c r="L621" s="2091"/>
      <c r="M621" s="2091"/>
      <c r="N621" s="2091"/>
      <c r="O621" s="2091"/>
      <c r="P621" s="2091"/>
      <c r="Q621" s="2091"/>
      <c r="R621" s="2091"/>
      <c r="U621" s="12" t="s">
        <v>606</v>
      </c>
      <c r="Z621" s="2071"/>
      <c r="AA621" s="2071"/>
      <c r="AB621" s="2071"/>
      <c r="AC621" s="2071"/>
      <c r="AD621" s="2071"/>
      <c r="AE621" s="2071"/>
      <c r="AF621" s="2071"/>
      <c r="AG621" s="2071"/>
      <c r="AH621" s="2071"/>
      <c r="AI621" s="2071"/>
      <c r="AJ621" s="2071"/>
      <c r="AK621" s="2071"/>
      <c r="AZ621" s="58"/>
      <c r="BA621" s="58"/>
      <c r="BB621" s="58"/>
      <c r="BC621" s="58"/>
      <c r="BD621" s="58"/>
      <c r="BE621" s="2102">
        <f t="shared" si="0"/>
        <v>0</v>
      </c>
      <c r="BF621" s="2104"/>
      <c r="BG621" s="2097">
        <f t="shared" si="1"/>
        <v>0</v>
      </c>
      <c r="BH621" s="2099"/>
      <c r="BI621" s="2102">
        <f t="shared" si="2"/>
        <v>1</v>
      </c>
      <c r="BJ621" s="2104"/>
      <c r="BK621" s="2097">
        <f t="shared" si="3"/>
        <v>4</v>
      </c>
      <c r="BL621" s="2099"/>
      <c r="BM621" s="58"/>
      <c r="BN621" s="2092">
        <f t="shared" si="4"/>
        <v>0</v>
      </c>
      <c r="BO621" s="2093"/>
      <c r="BP621" s="2093"/>
      <c r="BQ621" s="2093"/>
      <c r="BR621" s="2094"/>
      <c r="BS621" s="2052">
        <f t="shared" si="5"/>
        <v>0</v>
      </c>
      <c r="BT621" s="2052"/>
      <c r="BU621" s="2052"/>
      <c r="BV621" s="2052"/>
      <c r="BW621" s="2052"/>
      <c r="BX621" s="2052">
        <f t="shared" si="6"/>
        <v>0</v>
      </c>
      <c r="BY621" s="2052"/>
      <c r="BZ621" s="2052"/>
      <c r="CA621" s="2052"/>
      <c r="CB621" s="2052"/>
      <c r="CC621" s="2052">
        <f t="shared" si="7"/>
        <v>4</v>
      </c>
      <c r="CD621" s="2052"/>
      <c r="CE621" s="2052"/>
      <c r="CF621" s="2052"/>
      <c r="CG621" s="2052"/>
      <c r="CH621" s="2052">
        <f t="shared" si="8"/>
        <v>0</v>
      </c>
      <c r="CI621" s="2052"/>
      <c r="CJ621" s="2052"/>
      <c r="CK621" s="2052"/>
      <c r="CL621" s="2052"/>
      <c r="CM621" s="2052">
        <f t="shared" si="9"/>
        <v>0</v>
      </c>
      <c r="CN621" s="2052"/>
      <c r="CO621" s="2052"/>
      <c r="CP621" s="2052"/>
      <c r="CQ621" s="2052"/>
      <c r="CR621" s="265"/>
      <c r="CS621" s="2100">
        <f t="shared" si="10"/>
        <v>0</v>
      </c>
      <c r="CT621" s="2100"/>
      <c r="CU621" s="2100"/>
      <c r="CV621" s="2100"/>
      <c r="CW621" s="2100"/>
      <c r="CX621" s="2100">
        <f t="shared" si="11"/>
        <v>0</v>
      </c>
      <c r="CY621" s="2100"/>
      <c r="CZ621" s="2100"/>
      <c r="DA621" s="2100"/>
      <c r="DB621" s="2100"/>
      <c r="DC621" s="2100">
        <f t="shared" si="12"/>
        <v>0</v>
      </c>
      <c r="DD621" s="2100"/>
      <c r="DE621" s="2100"/>
      <c r="DF621" s="2100"/>
      <c r="DG621" s="2100"/>
      <c r="DH621" s="2100">
        <f t="shared" si="13"/>
        <v>4</v>
      </c>
      <c r="DI621" s="2100"/>
      <c r="DJ621" s="2100"/>
      <c r="DK621" s="2100"/>
      <c r="DL621" s="2100"/>
      <c r="DM621" s="2100">
        <f t="shared" si="14"/>
        <v>0</v>
      </c>
      <c r="DN621" s="2100"/>
      <c r="DO621" s="2100"/>
      <c r="DP621" s="2100"/>
      <c r="DQ621" s="2100"/>
      <c r="DR621" s="2100">
        <f t="shared" si="15"/>
        <v>0</v>
      </c>
      <c r="DS621" s="2100"/>
      <c r="DT621" s="2100"/>
      <c r="DU621" s="2100"/>
      <c r="DV621" s="2100"/>
      <c r="DX621" s="2102" t="str">
        <f t="shared" si="16"/>
        <v xml:space="preserve"> </v>
      </c>
      <c r="DY621" s="2103"/>
      <c r="DZ621" s="2103"/>
      <c r="EA621" s="2103"/>
      <c r="EB621" s="2104"/>
      <c r="EC621" s="2102" t="str">
        <f t="shared" si="17"/>
        <v xml:space="preserve"> </v>
      </c>
      <c r="ED621" s="2103"/>
      <c r="EE621" s="2103"/>
      <c r="EF621" s="2103"/>
      <c r="EG621" s="2104"/>
      <c r="EH621" s="2102" t="str">
        <f t="shared" si="18"/>
        <v xml:space="preserve"> </v>
      </c>
      <c r="EI621" s="2103"/>
      <c r="EJ621" s="2103"/>
      <c r="EK621" s="2103"/>
      <c r="EL621" s="2104"/>
      <c r="EM621" s="2102">
        <f t="shared" si="19"/>
        <v>870</v>
      </c>
      <c r="EN621" s="2103"/>
      <c r="EO621" s="2103"/>
      <c r="EP621" s="2103"/>
      <c r="EQ621" s="2104"/>
      <c r="ER621" s="2102" t="str">
        <f t="shared" si="20"/>
        <v xml:space="preserve"> </v>
      </c>
      <c r="ES621" s="2103"/>
      <c r="ET621" s="2103"/>
      <c r="EU621" s="2103"/>
      <c r="EV621" s="2104"/>
      <c r="EW621" s="2102" t="str">
        <f t="shared" si="21"/>
        <v xml:space="preserve"> </v>
      </c>
      <c r="EX621" s="2103"/>
      <c r="EY621" s="2103"/>
      <c r="EZ621" s="2103"/>
      <c r="FA621" s="2104"/>
    </row>
    <row r="622" spans="1:157" ht="12.75">
      <c r="B622" s="12" t="s">
        <v>17</v>
      </c>
      <c r="G622" s="2091"/>
      <c r="H622" s="2091"/>
      <c r="I622" s="2091"/>
      <c r="J622" s="2091"/>
      <c r="K622" s="2091"/>
      <c r="L622" s="2091"/>
      <c r="M622" s="2091"/>
      <c r="N622" s="2091"/>
      <c r="O622" s="2091"/>
      <c r="P622" s="2091"/>
      <c r="Q622" s="2091"/>
      <c r="R622" s="2091"/>
      <c r="U622" s="12" t="s">
        <v>17</v>
      </c>
      <c r="Z622" s="2071"/>
      <c r="AA622" s="2071"/>
      <c r="AB622" s="2071"/>
      <c r="AC622" s="2071"/>
      <c r="AD622" s="2071"/>
      <c r="AE622" s="2071"/>
      <c r="AF622" s="2071"/>
      <c r="AG622" s="2071"/>
      <c r="AH622" s="2071"/>
      <c r="AI622" s="2071"/>
      <c r="AJ622" s="2071"/>
      <c r="AK622" s="2071"/>
      <c r="AZ622" s="58"/>
      <c r="BA622" s="58"/>
      <c r="BB622" s="58"/>
      <c r="BC622" s="58"/>
      <c r="BD622" s="58"/>
      <c r="BE622" s="2102">
        <f t="shared" si="0"/>
        <v>0</v>
      </c>
      <c r="BF622" s="2104"/>
      <c r="BG622" s="2097">
        <f t="shared" si="1"/>
        <v>0</v>
      </c>
      <c r="BH622" s="2099"/>
      <c r="BI622" s="2102">
        <f t="shared" si="2"/>
        <v>0</v>
      </c>
      <c r="BJ622" s="2104"/>
      <c r="BK622" s="2097">
        <f t="shared" si="3"/>
        <v>0</v>
      </c>
      <c r="BL622" s="2099"/>
      <c r="BM622" s="58"/>
      <c r="BN622" s="2092">
        <f t="shared" si="4"/>
        <v>0</v>
      </c>
      <c r="BO622" s="2093"/>
      <c r="BP622" s="2093"/>
      <c r="BQ622" s="2093"/>
      <c r="BR622" s="2094"/>
      <c r="BS622" s="2052">
        <f t="shared" si="5"/>
        <v>0</v>
      </c>
      <c r="BT622" s="2052"/>
      <c r="BU622" s="2052"/>
      <c r="BV622" s="2052"/>
      <c r="BW622" s="2052"/>
      <c r="BX622" s="2052">
        <f t="shared" si="6"/>
        <v>0</v>
      </c>
      <c r="BY622" s="2052"/>
      <c r="BZ622" s="2052"/>
      <c r="CA622" s="2052"/>
      <c r="CB622" s="2052"/>
      <c r="CC622" s="2052">
        <f t="shared" si="7"/>
        <v>0</v>
      </c>
      <c r="CD622" s="2052"/>
      <c r="CE622" s="2052"/>
      <c r="CF622" s="2052"/>
      <c r="CG622" s="2052"/>
      <c r="CH622" s="2052">
        <f t="shared" si="8"/>
        <v>0</v>
      </c>
      <c r="CI622" s="2052"/>
      <c r="CJ622" s="2052"/>
      <c r="CK622" s="2052"/>
      <c r="CL622" s="2052"/>
      <c r="CM622" s="2052">
        <f t="shared" si="9"/>
        <v>0</v>
      </c>
      <c r="CN622" s="2052"/>
      <c r="CO622" s="2052"/>
      <c r="CP622" s="2052"/>
      <c r="CQ622" s="2052"/>
      <c r="CR622" s="265"/>
      <c r="CS622" s="2100">
        <f t="shared" si="10"/>
        <v>0</v>
      </c>
      <c r="CT622" s="2100"/>
      <c r="CU622" s="2100"/>
      <c r="CV622" s="2100"/>
      <c r="CW622" s="2100"/>
      <c r="CX622" s="2100">
        <f t="shared" si="11"/>
        <v>0</v>
      </c>
      <c r="CY622" s="2100"/>
      <c r="CZ622" s="2100"/>
      <c r="DA622" s="2100"/>
      <c r="DB622" s="2100"/>
      <c r="DC622" s="2100">
        <f t="shared" si="12"/>
        <v>0</v>
      </c>
      <c r="DD622" s="2100"/>
      <c r="DE622" s="2100"/>
      <c r="DF622" s="2100"/>
      <c r="DG622" s="2100"/>
      <c r="DH622" s="2100">
        <f t="shared" si="13"/>
        <v>0</v>
      </c>
      <c r="DI622" s="2100"/>
      <c r="DJ622" s="2100"/>
      <c r="DK622" s="2100"/>
      <c r="DL622" s="2100"/>
      <c r="DM622" s="2100">
        <f t="shared" si="14"/>
        <v>0</v>
      </c>
      <c r="DN622" s="2100"/>
      <c r="DO622" s="2100"/>
      <c r="DP622" s="2100"/>
      <c r="DQ622" s="2100"/>
      <c r="DR622" s="2100">
        <f t="shared" si="15"/>
        <v>0</v>
      </c>
      <c r="DS622" s="2100"/>
      <c r="DT622" s="2100"/>
      <c r="DU622" s="2100"/>
      <c r="DV622" s="2100"/>
      <c r="DX622" s="2102" t="str">
        <f t="shared" si="16"/>
        <v xml:space="preserve"> </v>
      </c>
      <c r="DY622" s="2103"/>
      <c r="DZ622" s="2103"/>
      <c r="EA622" s="2103"/>
      <c r="EB622" s="2104"/>
      <c r="EC622" s="2102" t="str">
        <f t="shared" si="17"/>
        <v xml:space="preserve"> </v>
      </c>
      <c r="ED622" s="2103"/>
      <c r="EE622" s="2103"/>
      <c r="EF622" s="2103"/>
      <c r="EG622" s="2104"/>
      <c r="EH622" s="2102" t="str">
        <f t="shared" si="18"/>
        <v xml:space="preserve"> </v>
      </c>
      <c r="EI622" s="2103"/>
      <c r="EJ622" s="2103"/>
      <c r="EK622" s="2103"/>
      <c r="EL622" s="2104"/>
      <c r="EM622" s="2102" t="str">
        <f t="shared" si="19"/>
        <v xml:space="preserve"> </v>
      </c>
      <c r="EN622" s="2103"/>
      <c r="EO622" s="2103"/>
      <c r="EP622" s="2103"/>
      <c r="EQ622" s="2104"/>
      <c r="ER622" s="2102" t="str">
        <f t="shared" si="20"/>
        <v xml:space="preserve"> </v>
      </c>
      <c r="ES622" s="2103"/>
      <c r="ET622" s="2103"/>
      <c r="EU622" s="2103"/>
      <c r="EV622" s="2104"/>
      <c r="EW622" s="2102" t="str">
        <f t="shared" si="21"/>
        <v xml:space="preserve"> </v>
      </c>
      <c r="EX622" s="2103"/>
      <c r="EY622" s="2103"/>
      <c r="EZ622" s="2103"/>
      <c r="FA622" s="2104"/>
    </row>
    <row r="623" spans="1:157" ht="12.75">
      <c r="B623" s="12" t="s">
        <v>322</v>
      </c>
      <c r="G623" s="2355"/>
      <c r="H623" s="2355"/>
      <c r="I623" s="2355"/>
      <c r="J623" s="2355"/>
      <c r="K623" s="2355"/>
      <c r="L623" s="2355"/>
      <c r="O623" s="137" t="s">
        <v>212</v>
      </c>
      <c r="P623" s="2088"/>
      <c r="Q623" s="2088"/>
      <c r="R623" s="2088"/>
      <c r="U623" s="12" t="s">
        <v>322</v>
      </c>
      <c r="Z623" s="2355"/>
      <c r="AA623" s="2355"/>
      <c r="AB623" s="2355"/>
      <c r="AC623" s="2355"/>
      <c r="AD623" s="2355"/>
      <c r="AE623" s="2355"/>
      <c r="AH623" s="137" t="s">
        <v>212</v>
      </c>
      <c r="AI623" s="2088"/>
      <c r="AJ623" s="2088"/>
      <c r="AK623" s="2088"/>
      <c r="AZ623" s="58"/>
      <c r="BA623" s="58"/>
      <c r="BB623" s="58"/>
      <c r="BC623" s="58"/>
      <c r="BD623" s="58"/>
      <c r="BE623" s="2102">
        <f t="shared" si="0"/>
        <v>0</v>
      </c>
      <c r="BF623" s="2104"/>
      <c r="BG623" s="2097">
        <f t="shared" si="1"/>
        <v>0</v>
      </c>
      <c r="BH623" s="2099"/>
      <c r="BI623" s="2102">
        <f t="shared" si="2"/>
        <v>0</v>
      </c>
      <c r="BJ623" s="2104"/>
      <c r="BK623" s="2097">
        <f t="shared" si="3"/>
        <v>0</v>
      </c>
      <c r="BL623" s="2099"/>
      <c r="BM623" s="58"/>
      <c r="BN623" s="2092">
        <f t="shared" si="4"/>
        <v>0</v>
      </c>
      <c r="BO623" s="2093"/>
      <c r="BP623" s="2093"/>
      <c r="BQ623" s="2093"/>
      <c r="BR623" s="2094"/>
      <c r="BS623" s="2052">
        <f t="shared" si="5"/>
        <v>0</v>
      </c>
      <c r="BT623" s="2052"/>
      <c r="BU623" s="2052"/>
      <c r="BV623" s="2052"/>
      <c r="BW623" s="2052"/>
      <c r="BX623" s="2052">
        <f t="shared" si="6"/>
        <v>0</v>
      </c>
      <c r="BY623" s="2052"/>
      <c r="BZ623" s="2052"/>
      <c r="CA623" s="2052"/>
      <c r="CB623" s="2052"/>
      <c r="CC623" s="2052">
        <f t="shared" si="7"/>
        <v>0</v>
      </c>
      <c r="CD623" s="2052"/>
      <c r="CE623" s="2052"/>
      <c r="CF623" s="2052"/>
      <c r="CG623" s="2052"/>
      <c r="CH623" s="2052">
        <f t="shared" si="8"/>
        <v>0</v>
      </c>
      <c r="CI623" s="2052"/>
      <c r="CJ623" s="2052"/>
      <c r="CK623" s="2052"/>
      <c r="CL623" s="2052"/>
      <c r="CM623" s="2052">
        <f t="shared" si="9"/>
        <v>0</v>
      </c>
      <c r="CN623" s="2052"/>
      <c r="CO623" s="2052"/>
      <c r="CP623" s="2052"/>
      <c r="CQ623" s="2052"/>
      <c r="CR623" s="265"/>
      <c r="CS623" s="2100">
        <f t="shared" si="10"/>
        <v>0</v>
      </c>
      <c r="CT623" s="2100"/>
      <c r="CU623" s="2100"/>
      <c r="CV623" s="2100"/>
      <c r="CW623" s="2100"/>
      <c r="CX623" s="2100">
        <f t="shared" si="11"/>
        <v>0</v>
      </c>
      <c r="CY623" s="2100"/>
      <c r="CZ623" s="2100"/>
      <c r="DA623" s="2100"/>
      <c r="DB623" s="2100"/>
      <c r="DC623" s="2100">
        <f t="shared" si="12"/>
        <v>0</v>
      </c>
      <c r="DD623" s="2100"/>
      <c r="DE623" s="2100"/>
      <c r="DF623" s="2100"/>
      <c r="DG623" s="2100"/>
      <c r="DH623" s="2100">
        <f t="shared" si="13"/>
        <v>0</v>
      </c>
      <c r="DI623" s="2100"/>
      <c r="DJ623" s="2100"/>
      <c r="DK623" s="2100"/>
      <c r="DL623" s="2100"/>
      <c r="DM623" s="2100">
        <f t="shared" si="14"/>
        <v>0</v>
      </c>
      <c r="DN623" s="2100"/>
      <c r="DO623" s="2100"/>
      <c r="DP623" s="2100"/>
      <c r="DQ623" s="2100"/>
      <c r="DR623" s="2100">
        <f t="shared" si="15"/>
        <v>0</v>
      </c>
      <c r="DS623" s="2100"/>
      <c r="DT623" s="2100"/>
      <c r="DU623" s="2100"/>
      <c r="DV623" s="2100"/>
      <c r="DX623" s="2102" t="str">
        <f t="shared" si="16"/>
        <v xml:space="preserve"> </v>
      </c>
      <c r="DY623" s="2103"/>
      <c r="DZ623" s="2103"/>
      <c r="EA623" s="2103"/>
      <c r="EB623" s="2104"/>
      <c r="EC623" s="2102" t="str">
        <f t="shared" si="17"/>
        <v xml:space="preserve"> </v>
      </c>
      <c r="ED623" s="2103"/>
      <c r="EE623" s="2103"/>
      <c r="EF623" s="2103"/>
      <c r="EG623" s="2104"/>
      <c r="EH623" s="2102" t="str">
        <f t="shared" si="18"/>
        <v xml:space="preserve"> </v>
      </c>
      <c r="EI623" s="2103"/>
      <c r="EJ623" s="2103"/>
      <c r="EK623" s="2103"/>
      <c r="EL623" s="2104"/>
      <c r="EM623" s="2102" t="str">
        <f t="shared" si="19"/>
        <v xml:space="preserve"> </v>
      </c>
      <c r="EN623" s="2103"/>
      <c r="EO623" s="2103"/>
      <c r="EP623" s="2103"/>
      <c r="EQ623" s="2104"/>
      <c r="ER623" s="2102" t="str">
        <f t="shared" si="20"/>
        <v xml:space="preserve"> </v>
      </c>
      <c r="ES623" s="2103"/>
      <c r="ET623" s="2103"/>
      <c r="EU623" s="2103"/>
      <c r="EV623" s="2104"/>
      <c r="EW623" s="2102" t="str">
        <f t="shared" si="21"/>
        <v xml:space="preserve"> </v>
      </c>
      <c r="EX623" s="2103"/>
      <c r="EY623" s="2103"/>
      <c r="EZ623" s="2103"/>
      <c r="FA623" s="2104"/>
    </row>
    <row r="624" spans="1:157" ht="12.75">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102">
        <f t="shared" si="0"/>
        <v>0</v>
      </c>
      <c r="BF624" s="2104"/>
      <c r="BG624" s="2097">
        <f t="shared" si="1"/>
        <v>0</v>
      </c>
      <c r="BH624" s="2099"/>
      <c r="BI624" s="2102">
        <f t="shared" si="2"/>
        <v>0</v>
      </c>
      <c r="BJ624" s="2104"/>
      <c r="BK624" s="2097">
        <f t="shared" si="3"/>
        <v>0</v>
      </c>
      <c r="BL624" s="2099"/>
      <c r="BM624" s="58"/>
      <c r="BN624" s="2092">
        <f t="shared" si="4"/>
        <v>0</v>
      </c>
      <c r="BO624" s="2093"/>
      <c r="BP624" s="2093"/>
      <c r="BQ624" s="2093"/>
      <c r="BR624" s="2094"/>
      <c r="BS624" s="2052">
        <f t="shared" si="5"/>
        <v>0</v>
      </c>
      <c r="BT624" s="2052"/>
      <c r="BU624" s="2052"/>
      <c r="BV624" s="2052"/>
      <c r="BW624" s="2052"/>
      <c r="BX624" s="2052">
        <f t="shared" si="6"/>
        <v>0</v>
      </c>
      <c r="BY624" s="2052"/>
      <c r="BZ624" s="2052"/>
      <c r="CA624" s="2052"/>
      <c r="CB624" s="2052"/>
      <c r="CC624" s="2052">
        <f t="shared" si="7"/>
        <v>0</v>
      </c>
      <c r="CD624" s="2052"/>
      <c r="CE624" s="2052"/>
      <c r="CF624" s="2052"/>
      <c r="CG624" s="2052"/>
      <c r="CH624" s="2052">
        <f t="shared" si="8"/>
        <v>0</v>
      </c>
      <c r="CI624" s="2052"/>
      <c r="CJ624" s="2052"/>
      <c r="CK624" s="2052"/>
      <c r="CL624" s="2052"/>
      <c r="CM624" s="2052">
        <f t="shared" si="9"/>
        <v>0</v>
      </c>
      <c r="CN624" s="2052"/>
      <c r="CO624" s="2052"/>
      <c r="CP624" s="2052"/>
      <c r="CQ624" s="2052"/>
      <c r="CR624" s="265"/>
      <c r="CS624" s="2100">
        <f t="shared" si="10"/>
        <v>0</v>
      </c>
      <c r="CT624" s="2100"/>
      <c r="CU624" s="2100"/>
      <c r="CV624" s="2100"/>
      <c r="CW624" s="2100"/>
      <c r="CX624" s="2100">
        <f t="shared" si="11"/>
        <v>0</v>
      </c>
      <c r="CY624" s="2100"/>
      <c r="CZ624" s="2100"/>
      <c r="DA624" s="2100"/>
      <c r="DB624" s="2100"/>
      <c r="DC624" s="2100">
        <f t="shared" si="12"/>
        <v>0</v>
      </c>
      <c r="DD624" s="2100"/>
      <c r="DE624" s="2100"/>
      <c r="DF624" s="2100"/>
      <c r="DG624" s="2100"/>
      <c r="DH624" s="2100">
        <f t="shared" si="13"/>
        <v>0</v>
      </c>
      <c r="DI624" s="2100"/>
      <c r="DJ624" s="2100"/>
      <c r="DK624" s="2100"/>
      <c r="DL624" s="2100"/>
      <c r="DM624" s="2100">
        <f t="shared" si="14"/>
        <v>0</v>
      </c>
      <c r="DN624" s="2100"/>
      <c r="DO624" s="2100"/>
      <c r="DP624" s="2100"/>
      <c r="DQ624" s="2100"/>
      <c r="DR624" s="2100">
        <f t="shared" si="15"/>
        <v>0</v>
      </c>
      <c r="DS624" s="2100"/>
      <c r="DT624" s="2100"/>
      <c r="DU624" s="2100"/>
      <c r="DV624" s="2100"/>
      <c r="DX624" s="2102" t="str">
        <f t="shared" si="16"/>
        <v xml:space="preserve"> </v>
      </c>
      <c r="DY624" s="2103"/>
      <c r="DZ624" s="2103"/>
      <c r="EA624" s="2103"/>
      <c r="EB624" s="2104"/>
      <c r="EC624" s="2102" t="str">
        <f t="shared" si="17"/>
        <v xml:space="preserve"> </v>
      </c>
      <c r="ED624" s="2103"/>
      <c r="EE624" s="2103"/>
      <c r="EF624" s="2103"/>
      <c r="EG624" s="2104"/>
      <c r="EH624" s="2102" t="str">
        <f t="shared" si="18"/>
        <v xml:space="preserve"> </v>
      </c>
      <c r="EI624" s="2103"/>
      <c r="EJ624" s="2103"/>
      <c r="EK624" s="2103"/>
      <c r="EL624" s="2104"/>
      <c r="EM624" s="2102" t="str">
        <f t="shared" si="19"/>
        <v xml:space="preserve"> </v>
      </c>
      <c r="EN624" s="2103"/>
      <c r="EO624" s="2103"/>
      <c r="EP624" s="2103"/>
      <c r="EQ624" s="2104"/>
      <c r="ER624" s="2102" t="str">
        <f t="shared" si="20"/>
        <v xml:space="preserve"> </v>
      </c>
      <c r="ES624" s="2103"/>
      <c r="ET624" s="2103"/>
      <c r="EU624" s="2103"/>
      <c r="EV624" s="2104"/>
      <c r="EW624" s="2102" t="str">
        <f t="shared" si="21"/>
        <v xml:space="preserve"> </v>
      </c>
      <c r="EX624" s="2103"/>
      <c r="EY624" s="2103"/>
      <c r="EZ624" s="2103"/>
      <c r="FA624" s="2104"/>
    </row>
    <row r="625" spans="1:157" ht="12.75">
      <c r="B625" s="12" t="s">
        <v>20</v>
      </c>
      <c r="N625" s="2089" t="s">
        <v>695</v>
      </c>
      <c r="O625" s="2089"/>
      <c r="U625" s="12" t="s">
        <v>20</v>
      </c>
      <c r="AG625" s="2089" t="s">
        <v>695</v>
      </c>
      <c r="AH625" s="2089"/>
      <c r="AZ625" s="58"/>
      <c r="BA625" s="58"/>
      <c r="BB625" s="58"/>
      <c r="BC625" s="58"/>
      <c r="BD625" s="58"/>
      <c r="BE625" s="2102">
        <f t="shared" si="0"/>
        <v>0</v>
      </c>
      <c r="BF625" s="2104"/>
      <c r="BG625" s="2097">
        <f t="shared" si="1"/>
        <v>0</v>
      </c>
      <c r="BH625" s="2099"/>
      <c r="BI625" s="2102">
        <f t="shared" si="2"/>
        <v>0</v>
      </c>
      <c r="BJ625" s="2104"/>
      <c r="BK625" s="2097">
        <f t="shared" si="3"/>
        <v>0</v>
      </c>
      <c r="BL625" s="2099"/>
      <c r="BM625" s="58"/>
      <c r="BN625" s="2092">
        <f t="shared" si="4"/>
        <v>0</v>
      </c>
      <c r="BO625" s="2093"/>
      <c r="BP625" s="2093"/>
      <c r="BQ625" s="2093"/>
      <c r="BR625" s="2094"/>
      <c r="BS625" s="2052">
        <f t="shared" si="5"/>
        <v>0</v>
      </c>
      <c r="BT625" s="2052"/>
      <c r="BU625" s="2052"/>
      <c r="BV625" s="2052"/>
      <c r="BW625" s="2052"/>
      <c r="BX625" s="2052">
        <f t="shared" si="6"/>
        <v>0</v>
      </c>
      <c r="BY625" s="2052"/>
      <c r="BZ625" s="2052"/>
      <c r="CA625" s="2052"/>
      <c r="CB625" s="2052"/>
      <c r="CC625" s="2052">
        <f t="shared" si="7"/>
        <v>0</v>
      </c>
      <c r="CD625" s="2052"/>
      <c r="CE625" s="2052"/>
      <c r="CF625" s="2052"/>
      <c r="CG625" s="2052"/>
      <c r="CH625" s="2052">
        <f t="shared" si="8"/>
        <v>0</v>
      </c>
      <c r="CI625" s="2052"/>
      <c r="CJ625" s="2052"/>
      <c r="CK625" s="2052"/>
      <c r="CL625" s="2052"/>
      <c r="CM625" s="2052">
        <f t="shared" si="9"/>
        <v>0</v>
      </c>
      <c r="CN625" s="2052"/>
      <c r="CO625" s="2052"/>
      <c r="CP625" s="2052"/>
      <c r="CQ625" s="2052"/>
      <c r="CR625" s="265"/>
      <c r="CS625" s="2100">
        <f t="shared" si="10"/>
        <v>0</v>
      </c>
      <c r="CT625" s="2100"/>
      <c r="CU625" s="2100"/>
      <c r="CV625" s="2100"/>
      <c r="CW625" s="2100"/>
      <c r="CX625" s="2100">
        <f t="shared" si="11"/>
        <v>0</v>
      </c>
      <c r="CY625" s="2100"/>
      <c r="CZ625" s="2100"/>
      <c r="DA625" s="2100"/>
      <c r="DB625" s="2100"/>
      <c r="DC625" s="2100">
        <f t="shared" si="12"/>
        <v>0</v>
      </c>
      <c r="DD625" s="2100"/>
      <c r="DE625" s="2100"/>
      <c r="DF625" s="2100"/>
      <c r="DG625" s="2100"/>
      <c r="DH625" s="2100">
        <f t="shared" si="13"/>
        <v>0</v>
      </c>
      <c r="DI625" s="2100"/>
      <c r="DJ625" s="2100"/>
      <c r="DK625" s="2100"/>
      <c r="DL625" s="2100"/>
      <c r="DM625" s="2100">
        <f t="shared" si="14"/>
        <v>0</v>
      </c>
      <c r="DN625" s="2100"/>
      <c r="DO625" s="2100"/>
      <c r="DP625" s="2100"/>
      <c r="DQ625" s="2100"/>
      <c r="DR625" s="2100">
        <f t="shared" si="15"/>
        <v>0</v>
      </c>
      <c r="DS625" s="2100"/>
      <c r="DT625" s="2100"/>
      <c r="DU625" s="2100"/>
      <c r="DV625" s="2100"/>
      <c r="DX625" s="2102" t="str">
        <f t="shared" si="16"/>
        <v xml:space="preserve"> </v>
      </c>
      <c r="DY625" s="2103"/>
      <c r="DZ625" s="2103"/>
      <c r="EA625" s="2103"/>
      <c r="EB625" s="2104"/>
      <c r="EC625" s="2102" t="str">
        <f t="shared" si="17"/>
        <v xml:space="preserve"> </v>
      </c>
      <c r="ED625" s="2103"/>
      <c r="EE625" s="2103"/>
      <c r="EF625" s="2103"/>
      <c r="EG625" s="2104"/>
      <c r="EH625" s="2102" t="str">
        <f t="shared" si="18"/>
        <v xml:space="preserve"> </v>
      </c>
      <c r="EI625" s="2103"/>
      <c r="EJ625" s="2103"/>
      <c r="EK625" s="2103"/>
      <c r="EL625" s="2104"/>
      <c r="EM625" s="2102" t="str">
        <f t="shared" si="19"/>
        <v xml:space="preserve"> </v>
      </c>
      <c r="EN625" s="2103"/>
      <c r="EO625" s="2103"/>
      <c r="EP625" s="2103"/>
      <c r="EQ625" s="2104"/>
      <c r="ER625" s="2102" t="str">
        <f t="shared" si="20"/>
        <v xml:space="preserve"> </v>
      </c>
      <c r="ES625" s="2103"/>
      <c r="ET625" s="2103"/>
      <c r="EU625" s="2103"/>
      <c r="EV625" s="2104"/>
      <c r="EW625" s="2102" t="str">
        <f t="shared" si="21"/>
        <v xml:space="preserve"> </v>
      </c>
      <c r="EX625" s="2103"/>
      <c r="EY625" s="2103"/>
      <c r="EZ625" s="2103"/>
      <c r="FA625" s="2104"/>
    </row>
    <row r="626" spans="1:157" ht="12.75">
      <c r="AZ626" s="58"/>
      <c r="BA626" s="58"/>
      <c r="BB626" s="58"/>
      <c r="BC626" s="58"/>
      <c r="BD626" s="58"/>
      <c r="BE626" s="2102">
        <f t="shared" si="0"/>
        <v>0</v>
      </c>
      <c r="BF626" s="2104"/>
      <c r="BG626" s="2097">
        <f t="shared" si="1"/>
        <v>0</v>
      </c>
      <c r="BH626" s="2099"/>
      <c r="BI626" s="2102">
        <f t="shared" si="2"/>
        <v>0</v>
      </c>
      <c r="BJ626" s="2104"/>
      <c r="BK626" s="2097">
        <f t="shared" si="3"/>
        <v>0</v>
      </c>
      <c r="BL626" s="2099"/>
      <c r="BM626" s="58"/>
      <c r="BN626" s="2092">
        <f t="shared" si="4"/>
        <v>0</v>
      </c>
      <c r="BO626" s="2093"/>
      <c r="BP626" s="2093"/>
      <c r="BQ626" s="2093"/>
      <c r="BR626" s="2094"/>
      <c r="BS626" s="2052">
        <f t="shared" si="5"/>
        <v>0</v>
      </c>
      <c r="BT626" s="2052"/>
      <c r="BU626" s="2052"/>
      <c r="BV626" s="2052"/>
      <c r="BW626" s="2052"/>
      <c r="BX626" s="2052">
        <f t="shared" si="6"/>
        <v>0</v>
      </c>
      <c r="BY626" s="2052"/>
      <c r="BZ626" s="2052"/>
      <c r="CA626" s="2052"/>
      <c r="CB626" s="2052"/>
      <c r="CC626" s="2052">
        <f t="shared" si="7"/>
        <v>0</v>
      </c>
      <c r="CD626" s="2052"/>
      <c r="CE626" s="2052"/>
      <c r="CF626" s="2052"/>
      <c r="CG626" s="2052"/>
      <c r="CH626" s="2052">
        <f t="shared" si="8"/>
        <v>0</v>
      </c>
      <c r="CI626" s="2052"/>
      <c r="CJ626" s="2052"/>
      <c r="CK626" s="2052"/>
      <c r="CL626" s="2052"/>
      <c r="CM626" s="2052">
        <f t="shared" si="9"/>
        <v>0</v>
      </c>
      <c r="CN626" s="2052"/>
      <c r="CO626" s="2052"/>
      <c r="CP626" s="2052"/>
      <c r="CQ626" s="2052"/>
      <c r="CR626" s="265"/>
      <c r="CS626" s="2100">
        <f t="shared" si="10"/>
        <v>0</v>
      </c>
      <c r="CT626" s="2100"/>
      <c r="CU626" s="2100"/>
      <c r="CV626" s="2100"/>
      <c r="CW626" s="2100"/>
      <c r="CX626" s="2100">
        <f t="shared" si="11"/>
        <v>0</v>
      </c>
      <c r="CY626" s="2100"/>
      <c r="CZ626" s="2100"/>
      <c r="DA626" s="2100"/>
      <c r="DB626" s="2100"/>
      <c r="DC626" s="2100">
        <f t="shared" si="12"/>
        <v>0</v>
      </c>
      <c r="DD626" s="2100"/>
      <c r="DE626" s="2100"/>
      <c r="DF626" s="2100"/>
      <c r="DG626" s="2100"/>
      <c r="DH626" s="2100">
        <f t="shared" si="13"/>
        <v>0</v>
      </c>
      <c r="DI626" s="2100"/>
      <c r="DJ626" s="2100"/>
      <c r="DK626" s="2100"/>
      <c r="DL626" s="2100"/>
      <c r="DM626" s="2100">
        <f t="shared" si="14"/>
        <v>0</v>
      </c>
      <c r="DN626" s="2100"/>
      <c r="DO626" s="2100"/>
      <c r="DP626" s="2100"/>
      <c r="DQ626" s="2100"/>
      <c r="DR626" s="2100">
        <f t="shared" si="15"/>
        <v>0</v>
      </c>
      <c r="DS626" s="2100"/>
      <c r="DT626" s="2100"/>
      <c r="DU626" s="2100"/>
      <c r="DV626" s="2100"/>
      <c r="DX626" s="2102" t="str">
        <f t="shared" si="16"/>
        <v xml:space="preserve"> </v>
      </c>
      <c r="DY626" s="2103"/>
      <c r="DZ626" s="2103"/>
      <c r="EA626" s="2103"/>
      <c r="EB626" s="2104"/>
      <c r="EC626" s="2102" t="str">
        <f t="shared" si="17"/>
        <v xml:space="preserve"> </v>
      </c>
      <c r="ED626" s="2103"/>
      <c r="EE626" s="2103"/>
      <c r="EF626" s="2103"/>
      <c r="EG626" s="2104"/>
      <c r="EH626" s="2102" t="str">
        <f t="shared" si="18"/>
        <v xml:space="preserve"> </v>
      </c>
      <c r="EI626" s="2103"/>
      <c r="EJ626" s="2103"/>
      <c r="EK626" s="2103"/>
      <c r="EL626" s="2104"/>
      <c r="EM626" s="2102" t="str">
        <f t="shared" si="19"/>
        <v xml:space="preserve"> </v>
      </c>
      <c r="EN626" s="2103"/>
      <c r="EO626" s="2103"/>
      <c r="EP626" s="2103"/>
      <c r="EQ626" s="2104"/>
      <c r="ER626" s="2102" t="str">
        <f t="shared" si="20"/>
        <v xml:space="preserve"> </v>
      </c>
      <c r="ES626" s="2103"/>
      <c r="ET626" s="2103"/>
      <c r="EU626" s="2103"/>
      <c r="EV626" s="2104"/>
      <c r="EW626" s="2102" t="str">
        <f t="shared" si="21"/>
        <v xml:space="preserve"> </v>
      </c>
      <c r="EX626" s="2103"/>
      <c r="EY626" s="2103"/>
      <c r="EZ626" s="2103"/>
      <c r="FA626" s="2104"/>
    </row>
    <row r="627" spans="1:157" ht="12.75" customHeight="1">
      <c r="A627" s="1894" t="s">
        <v>569</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102">
        <f t="shared" si="0"/>
        <v>0</v>
      </c>
      <c r="BF627" s="2104"/>
      <c r="BG627" s="2097">
        <f t="shared" si="1"/>
        <v>0</v>
      </c>
      <c r="BH627" s="2099"/>
      <c r="BI627" s="2102">
        <f t="shared" si="2"/>
        <v>0</v>
      </c>
      <c r="BJ627" s="2104"/>
      <c r="BK627" s="2097">
        <f t="shared" si="3"/>
        <v>0</v>
      </c>
      <c r="BL627" s="2099"/>
      <c r="BM627" s="58"/>
      <c r="BN627" s="2092">
        <f t="shared" si="4"/>
        <v>0</v>
      </c>
      <c r="BO627" s="2093"/>
      <c r="BP627" s="2093"/>
      <c r="BQ627" s="2093"/>
      <c r="BR627" s="2094"/>
      <c r="BS627" s="2052">
        <f t="shared" si="5"/>
        <v>0</v>
      </c>
      <c r="BT627" s="2052"/>
      <c r="BU627" s="2052"/>
      <c r="BV627" s="2052"/>
      <c r="BW627" s="2052"/>
      <c r="BX627" s="2052">
        <f t="shared" si="6"/>
        <v>0</v>
      </c>
      <c r="BY627" s="2052"/>
      <c r="BZ627" s="2052"/>
      <c r="CA627" s="2052"/>
      <c r="CB627" s="2052"/>
      <c r="CC627" s="2052">
        <f t="shared" si="7"/>
        <v>0</v>
      </c>
      <c r="CD627" s="2052"/>
      <c r="CE627" s="2052"/>
      <c r="CF627" s="2052"/>
      <c r="CG627" s="2052"/>
      <c r="CH627" s="2052">
        <f t="shared" si="8"/>
        <v>0</v>
      </c>
      <c r="CI627" s="2052"/>
      <c r="CJ627" s="2052"/>
      <c r="CK627" s="2052"/>
      <c r="CL627" s="2052"/>
      <c r="CM627" s="2052">
        <f t="shared" si="9"/>
        <v>0</v>
      </c>
      <c r="CN627" s="2052"/>
      <c r="CO627" s="2052"/>
      <c r="CP627" s="2052"/>
      <c r="CQ627" s="2052"/>
      <c r="CR627" s="265"/>
      <c r="CS627" s="2100">
        <f t="shared" si="10"/>
        <v>0</v>
      </c>
      <c r="CT627" s="2100"/>
      <c r="CU627" s="2100"/>
      <c r="CV627" s="2100"/>
      <c r="CW627" s="2100"/>
      <c r="CX627" s="2100">
        <f t="shared" si="11"/>
        <v>0</v>
      </c>
      <c r="CY627" s="2100"/>
      <c r="CZ627" s="2100"/>
      <c r="DA627" s="2100"/>
      <c r="DB627" s="2100"/>
      <c r="DC627" s="2100">
        <f t="shared" si="12"/>
        <v>0</v>
      </c>
      <c r="DD627" s="2100"/>
      <c r="DE627" s="2100"/>
      <c r="DF627" s="2100"/>
      <c r="DG627" s="2100"/>
      <c r="DH627" s="2100">
        <f t="shared" si="13"/>
        <v>0</v>
      </c>
      <c r="DI627" s="2100"/>
      <c r="DJ627" s="2100"/>
      <c r="DK627" s="2100"/>
      <c r="DL627" s="2100"/>
      <c r="DM627" s="2100">
        <f t="shared" si="14"/>
        <v>0</v>
      </c>
      <c r="DN627" s="2100"/>
      <c r="DO627" s="2100"/>
      <c r="DP627" s="2100"/>
      <c r="DQ627" s="2100"/>
      <c r="DR627" s="2100">
        <f t="shared" si="15"/>
        <v>0</v>
      </c>
      <c r="DS627" s="2100"/>
      <c r="DT627" s="2100"/>
      <c r="DU627" s="2100"/>
      <c r="DV627" s="2100"/>
      <c r="DX627" s="2102" t="str">
        <f t="shared" si="16"/>
        <v xml:space="preserve"> </v>
      </c>
      <c r="DY627" s="2103"/>
      <c r="DZ627" s="2103"/>
      <c r="EA627" s="2103"/>
      <c r="EB627" s="2104"/>
      <c r="EC627" s="2102" t="str">
        <f t="shared" si="17"/>
        <v xml:space="preserve"> </v>
      </c>
      <c r="ED627" s="2103"/>
      <c r="EE627" s="2103"/>
      <c r="EF627" s="2103"/>
      <c r="EG627" s="2104"/>
      <c r="EH627" s="2102" t="str">
        <f t="shared" si="18"/>
        <v xml:space="preserve"> </v>
      </c>
      <c r="EI627" s="2103"/>
      <c r="EJ627" s="2103"/>
      <c r="EK627" s="2103"/>
      <c r="EL627" s="2104"/>
      <c r="EM627" s="2102" t="str">
        <f t="shared" si="19"/>
        <v xml:space="preserve"> </v>
      </c>
      <c r="EN627" s="2103"/>
      <c r="EO627" s="2103"/>
      <c r="EP627" s="2103"/>
      <c r="EQ627" s="2104"/>
      <c r="ER627" s="2102" t="str">
        <f t="shared" si="20"/>
        <v xml:space="preserve"> </v>
      </c>
      <c r="ES627" s="2103"/>
      <c r="ET627" s="2103"/>
      <c r="EU627" s="2103"/>
      <c r="EV627" s="2104"/>
      <c r="EW627" s="2102" t="str">
        <f t="shared" si="21"/>
        <v xml:space="preserve"> </v>
      </c>
      <c r="EX627" s="2103"/>
      <c r="EY627" s="2103"/>
      <c r="EZ627" s="2103"/>
      <c r="FA627" s="2104"/>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102">
        <f t="shared" si="0"/>
        <v>0</v>
      </c>
      <c r="BF628" s="2104"/>
      <c r="BG628" s="2097">
        <f t="shared" si="1"/>
        <v>0</v>
      </c>
      <c r="BH628" s="2099"/>
      <c r="BI628" s="2102">
        <f t="shared" si="2"/>
        <v>0</v>
      </c>
      <c r="BJ628" s="2104"/>
      <c r="BK628" s="2097">
        <f t="shared" si="3"/>
        <v>0</v>
      </c>
      <c r="BL628" s="2099"/>
      <c r="BM628" s="58"/>
      <c r="BN628" s="2092">
        <f t="shared" si="4"/>
        <v>0</v>
      </c>
      <c r="BO628" s="2093"/>
      <c r="BP628" s="2093"/>
      <c r="BQ628" s="2093"/>
      <c r="BR628" s="2094"/>
      <c r="BS628" s="2052">
        <f t="shared" si="5"/>
        <v>0</v>
      </c>
      <c r="BT628" s="2052"/>
      <c r="BU628" s="2052"/>
      <c r="BV628" s="2052"/>
      <c r="BW628" s="2052"/>
      <c r="BX628" s="2052">
        <f t="shared" si="6"/>
        <v>0</v>
      </c>
      <c r="BY628" s="2052"/>
      <c r="BZ628" s="2052"/>
      <c r="CA628" s="2052"/>
      <c r="CB628" s="2052"/>
      <c r="CC628" s="2052">
        <f t="shared" si="7"/>
        <v>0</v>
      </c>
      <c r="CD628" s="2052"/>
      <c r="CE628" s="2052"/>
      <c r="CF628" s="2052"/>
      <c r="CG628" s="2052"/>
      <c r="CH628" s="2052">
        <f t="shared" si="8"/>
        <v>0</v>
      </c>
      <c r="CI628" s="2052"/>
      <c r="CJ628" s="2052"/>
      <c r="CK628" s="2052"/>
      <c r="CL628" s="2052"/>
      <c r="CM628" s="2052">
        <f t="shared" si="9"/>
        <v>0</v>
      </c>
      <c r="CN628" s="2052"/>
      <c r="CO628" s="2052"/>
      <c r="CP628" s="2052"/>
      <c r="CQ628" s="2052"/>
      <c r="CR628" s="265"/>
      <c r="CS628" s="2100">
        <f t="shared" si="10"/>
        <v>0</v>
      </c>
      <c r="CT628" s="2100"/>
      <c r="CU628" s="2100"/>
      <c r="CV628" s="2100"/>
      <c r="CW628" s="2100"/>
      <c r="CX628" s="2100">
        <f t="shared" si="11"/>
        <v>0</v>
      </c>
      <c r="CY628" s="2100"/>
      <c r="CZ628" s="2100"/>
      <c r="DA628" s="2100"/>
      <c r="DB628" s="2100"/>
      <c r="DC628" s="2100">
        <f t="shared" si="12"/>
        <v>0</v>
      </c>
      <c r="DD628" s="2100"/>
      <c r="DE628" s="2100"/>
      <c r="DF628" s="2100"/>
      <c r="DG628" s="2100"/>
      <c r="DH628" s="2100">
        <f t="shared" si="13"/>
        <v>0</v>
      </c>
      <c r="DI628" s="2100"/>
      <c r="DJ628" s="2100"/>
      <c r="DK628" s="2100"/>
      <c r="DL628" s="2100"/>
      <c r="DM628" s="2100">
        <f t="shared" si="14"/>
        <v>0</v>
      </c>
      <c r="DN628" s="2100"/>
      <c r="DO628" s="2100"/>
      <c r="DP628" s="2100"/>
      <c r="DQ628" s="2100"/>
      <c r="DR628" s="2100">
        <f t="shared" si="15"/>
        <v>0</v>
      </c>
      <c r="DS628" s="2100"/>
      <c r="DT628" s="2100"/>
      <c r="DU628" s="2100"/>
      <c r="DV628" s="2100"/>
      <c r="DX628" s="2102" t="str">
        <f t="shared" si="16"/>
        <v xml:space="preserve"> </v>
      </c>
      <c r="DY628" s="2103"/>
      <c r="DZ628" s="2103"/>
      <c r="EA628" s="2103"/>
      <c r="EB628" s="2104"/>
      <c r="EC628" s="2102" t="str">
        <f t="shared" si="17"/>
        <v xml:space="preserve"> </v>
      </c>
      <c r="ED628" s="2103"/>
      <c r="EE628" s="2103"/>
      <c r="EF628" s="2103"/>
      <c r="EG628" s="2104"/>
      <c r="EH628" s="2102" t="str">
        <f t="shared" si="18"/>
        <v xml:space="preserve"> </v>
      </c>
      <c r="EI628" s="2103"/>
      <c r="EJ628" s="2103"/>
      <c r="EK628" s="2103"/>
      <c r="EL628" s="2104"/>
      <c r="EM628" s="2102" t="str">
        <f t="shared" si="19"/>
        <v xml:space="preserve"> </v>
      </c>
      <c r="EN628" s="2103"/>
      <c r="EO628" s="2103"/>
      <c r="EP628" s="2103"/>
      <c r="EQ628" s="2104"/>
      <c r="ER628" s="2102" t="str">
        <f t="shared" si="20"/>
        <v xml:space="preserve"> </v>
      </c>
      <c r="ES628" s="2103"/>
      <c r="ET628" s="2103"/>
      <c r="EU628" s="2103"/>
      <c r="EV628" s="2104"/>
      <c r="EW628" s="2102" t="str">
        <f t="shared" si="21"/>
        <v xml:space="preserve"> </v>
      </c>
      <c r="EX628" s="2103"/>
      <c r="EY628" s="2103"/>
      <c r="EZ628" s="2103"/>
      <c r="FA628" s="2104"/>
    </row>
    <row r="629" spans="1:157" ht="12.75">
      <c r="A629" s="25"/>
      <c r="B629" s="25"/>
      <c r="C629" s="25"/>
      <c r="D629" s="25"/>
      <c r="E629" s="25"/>
      <c r="F629" s="25"/>
      <c r="G629" s="3"/>
      <c r="H629" s="25"/>
      <c r="AZ629" s="58"/>
      <c r="BA629" s="58"/>
      <c r="BB629" s="58"/>
      <c r="BC629" s="58"/>
      <c r="BD629" s="58"/>
      <c r="BE629" s="2102">
        <f t="shared" si="0"/>
        <v>0</v>
      </c>
      <c r="BF629" s="2104"/>
      <c r="BG629" s="2097">
        <f t="shared" si="1"/>
        <v>0</v>
      </c>
      <c r="BH629" s="2099"/>
      <c r="BI629" s="2102">
        <f t="shared" si="2"/>
        <v>0</v>
      </c>
      <c r="BJ629" s="2104"/>
      <c r="BK629" s="2097">
        <f t="shared" si="3"/>
        <v>0</v>
      </c>
      <c r="BL629" s="2099"/>
      <c r="BM629" s="58"/>
      <c r="BN629" s="2092">
        <f t="shared" si="4"/>
        <v>0</v>
      </c>
      <c r="BO629" s="2093"/>
      <c r="BP629" s="2093"/>
      <c r="BQ629" s="2093"/>
      <c r="BR629" s="2094"/>
      <c r="BS629" s="2052">
        <f t="shared" si="5"/>
        <v>0</v>
      </c>
      <c r="BT629" s="2052"/>
      <c r="BU629" s="2052"/>
      <c r="BV629" s="2052"/>
      <c r="BW629" s="2052"/>
      <c r="BX629" s="2052">
        <f t="shared" si="6"/>
        <v>0</v>
      </c>
      <c r="BY629" s="2052"/>
      <c r="BZ629" s="2052"/>
      <c r="CA629" s="2052"/>
      <c r="CB629" s="2052"/>
      <c r="CC629" s="2052">
        <f t="shared" si="7"/>
        <v>0</v>
      </c>
      <c r="CD629" s="2052"/>
      <c r="CE629" s="2052"/>
      <c r="CF629" s="2052"/>
      <c r="CG629" s="2052"/>
      <c r="CH629" s="2052">
        <f t="shared" si="8"/>
        <v>0</v>
      </c>
      <c r="CI629" s="2052"/>
      <c r="CJ629" s="2052"/>
      <c r="CK629" s="2052"/>
      <c r="CL629" s="2052"/>
      <c r="CM629" s="2052">
        <f t="shared" si="9"/>
        <v>0</v>
      </c>
      <c r="CN629" s="2052"/>
      <c r="CO629" s="2052"/>
      <c r="CP629" s="2052"/>
      <c r="CQ629" s="2052"/>
      <c r="CR629" s="265"/>
      <c r="CS629" s="2100">
        <f t="shared" si="10"/>
        <v>0</v>
      </c>
      <c r="CT629" s="2100"/>
      <c r="CU629" s="2100"/>
      <c r="CV629" s="2100"/>
      <c r="CW629" s="2100"/>
      <c r="CX629" s="2100">
        <f t="shared" si="11"/>
        <v>0</v>
      </c>
      <c r="CY629" s="2100"/>
      <c r="CZ629" s="2100"/>
      <c r="DA629" s="2100"/>
      <c r="DB629" s="2100"/>
      <c r="DC629" s="2100">
        <f t="shared" si="12"/>
        <v>0</v>
      </c>
      <c r="DD629" s="2100"/>
      <c r="DE629" s="2100"/>
      <c r="DF629" s="2100"/>
      <c r="DG629" s="2100"/>
      <c r="DH629" s="2100">
        <f t="shared" si="13"/>
        <v>0</v>
      </c>
      <c r="DI629" s="2100"/>
      <c r="DJ629" s="2100"/>
      <c r="DK629" s="2100"/>
      <c r="DL629" s="2100"/>
      <c r="DM629" s="2100">
        <f t="shared" si="14"/>
        <v>0</v>
      </c>
      <c r="DN629" s="2100"/>
      <c r="DO629" s="2100"/>
      <c r="DP629" s="2100"/>
      <c r="DQ629" s="2100"/>
      <c r="DR629" s="2100">
        <f t="shared" si="15"/>
        <v>0</v>
      </c>
      <c r="DS629" s="2100"/>
      <c r="DT629" s="2100"/>
      <c r="DU629" s="2100"/>
      <c r="DV629" s="2100"/>
      <c r="DX629" s="2102" t="str">
        <f t="shared" si="16"/>
        <v xml:space="preserve"> </v>
      </c>
      <c r="DY629" s="2103"/>
      <c r="DZ629" s="2103"/>
      <c r="EA629" s="2103"/>
      <c r="EB629" s="2104"/>
      <c r="EC629" s="2102" t="str">
        <f t="shared" si="17"/>
        <v xml:space="preserve"> </v>
      </c>
      <c r="ED629" s="2103"/>
      <c r="EE629" s="2103"/>
      <c r="EF629" s="2103"/>
      <c r="EG629" s="2104"/>
      <c r="EH629" s="2102" t="str">
        <f t="shared" si="18"/>
        <v xml:space="preserve"> </v>
      </c>
      <c r="EI629" s="2103"/>
      <c r="EJ629" s="2103"/>
      <c r="EK629" s="2103"/>
      <c r="EL629" s="2104"/>
      <c r="EM629" s="2102" t="str">
        <f t="shared" si="19"/>
        <v xml:space="preserve"> </v>
      </c>
      <c r="EN629" s="2103"/>
      <c r="EO629" s="2103"/>
      <c r="EP629" s="2103"/>
      <c r="EQ629" s="2104"/>
      <c r="ER629" s="2102" t="str">
        <f t="shared" si="20"/>
        <v xml:space="preserve"> </v>
      </c>
      <c r="ES629" s="2103"/>
      <c r="ET629" s="2103"/>
      <c r="EU629" s="2103"/>
      <c r="EV629" s="2104"/>
      <c r="EW629" s="2102" t="str">
        <f t="shared" si="21"/>
        <v xml:space="preserve"> </v>
      </c>
      <c r="EX629" s="2103"/>
      <c r="EY629" s="2103"/>
      <c r="EZ629" s="2103"/>
      <c r="FA629" s="2104"/>
    </row>
    <row r="630" spans="1:157" ht="12.75">
      <c r="A630" s="50" t="s">
        <v>325</v>
      </c>
      <c r="B630" s="50"/>
      <c r="C630" s="50" t="s">
        <v>21</v>
      </c>
      <c r="AZ630" s="58"/>
      <c r="BA630" s="58"/>
      <c r="BB630" s="58"/>
      <c r="BC630" s="58"/>
      <c r="BD630" s="58"/>
      <c r="BE630" s="2102">
        <f t="shared" si="0"/>
        <v>0</v>
      </c>
      <c r="BF630" s="2104"/>
      <c r="BG630" s="2097">
        <f t="shared" si="1"/>
        <v>0</v>
      </c>
      <c r="BH630" s="2099"/>
      <c r="BI630" s="2102">
        <f t="shared" si="2"/>
        <v>0</v>
      </c>
      <c r="BJ630" s="2104"/>
      <c r="BK630" s="2097">
        <f t="shared" si="3"/>
        <v>0</v>
      </c>
      <c r="BL630" s="2099"/>
      <c r="BM630" s="58"/>
      <c r="BN630" s="2092">
        <f t="shared" si="4"/>
        <v>0</v>
      </c>
      <c r="BO630" s="2093"/>
      <c r="BP630" s="2093"/>
      <c r="BQ630" s="2093"/>
      <c r="BR630" s="2094"/>
      <c r="BS630" s="2052">
        <f t="shared" si="5"/>
        <v>0</v>
      </c>
      <c r="BT630" s="2052"/>
      <c r="BU630" s="2052"/>
      <c r="BV630" s="2052"/>
      <c r="BW630" s="2052"/>
      <c r="BX630" s="2052">
        <f t="shared" si="6"/>
        <v>0</v>
      </c>
      <c r="BY630" s="2052"/>
      <c r="BZ630" s="2052"/>
      <c r="CA630" s="2052"/>
      <c r="CB630" s="2052"/>
      <c r="CC630" s="2052">
        <f t="shared" si="7"/>
        <v>0</v>
      </c>
      <c r="CD630" s="2052"/>
      <c r="CE630" s="2052"/>
      <c r="CF630" s="2052"/>
      <c r="CG630" s="2052"/>
      <c r="CH630" s="2052">
        <f t="shared" si="8"/>
        <v>0</v>
      </c>
      <c r="CI630" s="2052"/>
      <c r="CJ630" s="2052"/>
      <c r="CK630" s="2052"/>
      <c r="CL630" s="2052"/>
      <c r="CM630" s="2052">
        <f t="shared" si="9"/>
        <v>0</v>
      </c>
      <c r="CN630" s="2052"/>
      <c r="CO630" s="2052"/>
      <c r="CP630" s="2052"/>
      <c r="CQ630" s="2052"/>
      <c r="CR630" s="265"/>
      <c r="CS630" s="2100">
        <f t="shared" si="10"/>
        <v>0</v>
      </c>
      <c r="CT630" s="2100"/>
      <c r="CU630" s="2100"/>
      <c r="CV630" s="2100"/>
      <c r="CW630" s="2100"/>
      <c r="CX630" s="2100">
        <f t="shared" si="11"/>
        <v>0</v>
      </c>
      <c r="CY630" s="2100"/>
      <c r="CZ630" s="2100"/>
      <c r="DA630" s="2100"/>
      <c r="DB630" s="2100"/>
      <c r="DC630" s="2100">
        <f t="shared" si="12"/>
        <v>0</v>
      </c>
      <c r="DD630" s="2100"/>
      <c r="DE630" s="2100"/>
      <c r="DF630" s="2100"/>
      <c r="DG630" s="2100"/>
      <c r="DH630" s="2100">
        <f t="shared" si="13"/>
        <v>0</v>
      </c>
      <c r="DI630" s="2100"/>
      <c r="DJ630" s="2100"/>
      <c r="DK630" s="2100"/>
      <c r="DL630" s="2100"/>
      <c r="DM630" s="2100">
        <f t="shared" si="14"/>
        <v>0</v>
      </c>
      <c r="DN630" s="2100"/>
      <c r="DO630" s="2100"/>
      <c r="DP630" s="2100"/>
      <c r="DQ630" s="2100"/>
      <c r="DR630" s="2100">
        <f t="shared" si="15"/>
        <v>0</v>
      </c>
      <c r="DS630" s="2100"/>
      <c r="DT630" s="2100"/>
      <c r="DU630" s="2100"/>
      <c r="DV630" s="2100"/>
      <c r="DX630" s="2102" t="str">
        <f t="shared" si="16"/>
        <v xml:space="preserve"> </v>
      </c>
      <c r="DY630" s="2103"/>
      <c r="DZ630" s="2103"/>
      <c r="EA630" s="2103"/>
      <c r="EB630" s="2104"/>
      <c r="EC630" s="2102" t="str">
        <f t="shared" si="17"/>
        <v xml:space="preserve"> </v>
      </c>
      <c r="ED630" s="2103"/>
      <c r="EE630" s="2103"/>
      <c r="EF630" s="2103"/>
      <c r="EG630" s="2104"/>
      <c r="EH630" s="2102" t="str">
        <f t="shared" si="18"/>
        <v xml:space="preserve"> </v>
      </c>
      <c r="EI630" s="2103"/>
      <c r="EJ630" s="2103"/>
      <c r="EK630" s="2103"/>
      <c r="EL630" s="2104"/>
      <c r="EM630" s="2102" t="str">
        <f t="shared" si="19"/>
        <v xml:space="preserve"> </v>
      </c>
      <c r="EN630" s="2103"/>
      <c r="EO630" s="2103"/>
      <c r="EP630" s="2103"/>
      <c r="EQ630" s="2104"/>
      <c r="ER630" s="2102" t="str">
        <f t="shared" si="20"/>
        <v xml:space="preserve"> </v>
      </c>
      <c r="ES630" s="2103"/>
      <c r="ET630" s="2103"/>
      <c r="EU630" s="2103"/>
      <c r="EV630" s="2104"/>
      <c r="EW630" s="2102" t="str">
        <f t="shared" si="21"/>
        <v xml:space="preserve"> </v>
      </c>
      <c r="EX630" s="2103"/>
      <c r="EY630" s="2103"/>
      <c r="EZ630" s="2103"/>
      <c r="FA630" s="2104"/>
    </row>
    <row r="631" spans="1:157" ht="12.75">
      <c r="A631" s="50"/>
      <c r="B631" s="50"/>
      <c r="C631" s="50"/>
      <c r="AZ631" s="58"/>
      <c r="BA631" s="58"/>
      <c r="BB631" s="58"/>
      <c r="BC631" s="58"/>
      <c r="BD631" s="58"/>
      <c r="BE631" s="2102">
        <f t="shared" si="0"/>
        <v>0</v>
      </c>
      <c r="BF631" s="2104"/>
      <c r="BG631" s="2097">
        <f t="shared" si="1"/>
        <v>0</v>
      </c>
      <c r="BH631" s="2099"/>
      <c r="BI631" s="2102">
        <f t="shared" si="2"/>
        <v>0</v>
      </c>
      <c r="BJ631" s="2104"/>
      <c r="BK631" s="2097">
        <f t="shared" si="3"/>
        <v>0</v>
      </c>
      <c r="BL631" s="2099"/>
      <c r="BM631" s="58"/>
      <c r="BN631" s="2092">
        <f t="shared" si="4"/>
        <v>0</v>
      </c>
      <c r="BO631" s="2093"/>
      <c r="BP631" s="2093"/>
      <c r="BQ631" s="2093"/>
      <c r="BR631" s="2094"/>
      <c r="BS631" s="2052">
        <f t="shared" si="5"/>
        <v>0</v>
      </c>
      <c r="BT631" s="2052"/>
      <c r="BU631" s="2052"/>
      <c r="BV631" s="2052"/>
      <c r="BW631" s="2052"/>
      <c r="BX631" s="2052">
        <f t="shared" si="6"/>
        <v>0</v>
      </c>
      <c r="BY631" s="2052"/>
      <c r="BZ631" s="2052"/>
      <c r="CA631" s="2052"/>
      <c r="CB631" s="2052"/>
      <c r="CC631" s="2052">
        <f t="shared" si="7"/>
        <v>0</v>
      </c>
      <c r="CD631" s="2052"/>
      <c r="CE631" s="2052"/>
      <c r="CF631" s="2052"/>
      <c r="CG631" s="2052"/>
      <c r="CH631" s="2052">
        <f t="shared" si="8"/>
        <v>0</v>
      </c>
      <c r="CI631" s="2052"/>
      <c r="CJ631" s="2052"/>
      <c r="CK631" s="2052"/>
      <c r="CL631" s="2052"/>
      <c r="CM631" s="2052">
        <f t="shared" si="9"/>
        <v>0</v>
      </c>
      <c r="CN631" s="2052"/>
      <c r="CO631" s="2052"/>
      <c r="CP631" s="2052"/>
      <c r="CQ631" s="2052"/>
      <c r="CR631" s="265"/>
      <c r="CS631" s="2100">
        <f t="shared" si="10"/>
        <v>0</v>
      </c>
      <c r="CT631" s="2100"/>
      <c r="CU631" s="2100"/>
      <c r="CV631" s="2100"/>
      <c r="CW631" s="2100"/>
      <c r="CX631" s="2100">
        <f t="shared" si="11"/>
        <v>0</v>
      </c>
      <c r="CY631" s="2100"/>
      <c r="CZ631" s="2100"/>
      <c r="DA631" s="2100"/>
      <c r="DB631" s="2100"/>
      <c r="DC631" s="2100">
        <f t="shared" si="12"/>
        <v>0</v>
      </c>
      <c r="DD631" s="2100"/>
      <c r="DE631" s="2100"/>
      <c r="DF631" s="2100"/>
      <c r="DG631" s="2100"/>
      <c r="DH631" s="2100">
        <f t="shared" si="13"/>
        <v>0</v>
      </c>
      <c r="DI631" s="2100"/>
      <c r="DJ631" s="2100"/>
      <c r="DK631" s="2100"/>
      <c r="DL631" s="2100"/>
      <c r="DM631" s="2100">
        <f t="shared" si="14"/>
        <v>0</v>
      </c>
      <c r="DN631" s="2100"/>
      <c r="DO631" s="2100"/>
      <c r="DP631" s="2100"/>
      <c r="DQ631" s="2100"/>
      <c r="DR631" s="2100">
        <f t="shared" si="15"/>
        <v>0</v>
      </c>
      <c r="DS631" s="2100"/>
      <c r="DT631" s="2100"/>
      <c r="DU631" s="2100"/>
      <c r="DV631" s="2100"/>
      <c r="DX631" s="2102" t="str">
        <f t="shared" si="16"/>
        <v xml:space="preserve"> </v>
      </c>
      <c r="DY631" s="2103"/>
      <c r="DZ631" s="2103"/>
      <c r="EA631" s="2103"/>
      <c r="EB631" s="2104"/>
      <c r="EC631" s="2102" t="str">
        <f t="shared" si="17"/>
        <v xml:space="preserve"> </v>
      </c>
      <c r="ED631" s="2103"/>
      <c r="EE631" s="2103"/>
      <c r="EF631" s="2103"/>
      <c r="EG631" s="2104"/>
      <c r="EH631" s="2102" t="str">
        <f t="shared" si="18"/>
        <v xml:space="preserve"> </v>
      </c>
      <c r="EI631" s="2103"/>
      <c r="EJ631" s="2103"/>
      <c r="EK631" s="2103"/>
      <c r="EL631" s="2104"/>
      <c r="EM631" s="2102" t="str">
        <f t="shared" si="19"/>
        <v xml:space="preserve"> </v>
      </c>
      <c r="EN631" s="2103"/>
      <c r="EO631" s="2103"/>
      <c r="EP631" s="2103"/>
      <c r="EQ631" s="2104"/>
      <c r="ER631" s="2102" t="str">
        <f t="shared" si="20"/>
        <v xml:space="preserve"> </v>
      </c>
      <c r="ES631" s="2103"/>
      <c r="ET631" s="2103"/>
      <c r="EU631" s="2103"/>
      <c r="EV631" s="2104"/>
      <c r="EW631" s="2102" t="str">
        <f t="shared" si="21"/>
        <v xml:space="preserve"> </v>
      </c>
      <c r="EX631" s="2103"/>
      <c r="EY631" s="2103"/>
      <c r="EZ631" s="2103"/>
      <c r="FA631" s="210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102">
        <f t="shared" si="0"/>
        <v>0</v>
      </c>
      <c r="BF632" s="2104"/>
      <c r="BG632" s="2097">
        <f t="shared" si="1"/>
        <v>0</v>
      </c>
      <c r="BH632" s="2099"/>
      <c r="BI632" s="2102">
        <f t="shared" si="2"/>
        <v>0</v>
      </c>
      <c r="BJ632" s="2104"/>
      <c r="BK632" s="2097">
        <f t="shared" si="3"/>
        <v>0</v>
      </c>
      <c r="BL632" s="2099"/>
      <c r="BM632" s="58"/>
      <c r="BN632" s="2092">
        <f t="shared" si="4"/>
        <v>0</v>
      </c>
      <c r="BO632" s="2093"/>
      <c r="BP632" s="2093"/>
      <c r="BQ632" s="2093"/>
      <c r="BR632" s="2094"/>
      <c r="BS632" s="2052">
        <f t="shared" si="5"/>
        <v>0</v>
      </c>
      <c r="BT632" s="2052"/>
      <c r="BU632" s="2052"/>
      <c r="BV632" s="2052"/>
      <c r="BW632" s="2052"/>
      <c r="BX632" s="2052">
        <f t="shared" si="6"/>
        <v>0</v>
      </c>
      <c r="BY632" s="2052"/>
      <c r="BZ632" s="2052"/>
      <c r="CA632" s="2052"/>
      <c r="CB632" s="2052"/>
      <c r="CC632" s="2052">
        <f t="shared" si="7"/>
        <v>0</v>
      </c>
      <c r="CD632" s="2052"/>
      <c r="CE632" s="2052"/>
      <c r="CF632" s="2052"/>
      <c r="CG632" s="2052"/>
      <c r="CH632" s="2052">
        <f t="shared" si="8"/>
        <v>0</v>
      </c>
      <c r="CI632" s="2052"/>
      <c r="CJ632" s="2052"/>
      <c r="CK632" s="2052"/>
      <c r="CL632" s="2052"/>
      <c r="CM632" s="2052">
        <f t="shared" si="9"/>
        <v>0</v>
      </c>
      <c r="CN632" s="2052"/>
      <c r="CO632" s="2052"/>
      <c r="CP632" s="2052"/>
      <c r="CQ632" s="2052"/>
      <c r="CR632" s="265"/>
      <c r="CS632" s="2100">
        <f t="shared" si="10"/>
        <v>0</v>
      </c>
      <c r="CT632" s="2100"/>
      <c r="CU632" s="2100"/>
      <c r="CV632" s="2100"/>
      <c r="CW632" s="2100"/>
      <c r="CX632" s="2100">
        <f t="shared" si="11"/>
        <v>0</v>
      </c>
      <c r="CY632" s="2100"/>
      <c r="CZ632" s="2100"/>
      <c r="DA632" s="2100"/>
      <c r="DB632" s="2100"/>
      <c r="DC632" s="2100">
        <f t="shared" si="12"/>
        <v>0</v>
      </c>
      <c r="DD632" s="2100"/>
      <c r="DE632" s="2100"/>
      <c r="DF632" s="2100"/>
      <c r="DG632" s="2100"/>
      <c r="DH632" s="2100">
        <f t="shared" si="13"/>
        <v>0</v>
      </c>
      <c r="DI632" s="2100"/>
      <c r="DJ632" s="2100"/>
      <c r="DK632" s="2100"/>
      <c r="DL632" s="2100"/>
      <c r="DM632" s="2100">
        <f t="shared" si="14"/>
        <v>0</v>
      </c>
      <c r="DN632" s="2100"/>
      <c r="DO632" s="2100"/>
      <c r="DP632" s="2100"/>
      <c r="DQ632" s="2100"/>
      <c r="DR632" s="2100">
        <f t="shared" si="15"/>
        <v>0</v>
      </c>
      <c r="DS632" s="2100"/>
      <c r="DT632" s="2100"/>
      <c r="DU632" s="2100"/>
      <c r="DV632" s="2100"/>
      <c r="DX632" s="2102" t="str">
        <f t="shared" si="16"/>
        <v xml:space="preserve"> </v>
      </c>
      <c r="DY632" s="2103"/>
      <c r="DZ632" s="2103"/>
      <c r="EA632" s="2103"/>
      <c r="EB632" s="2104"/>
      <c r="EC632" s="2102" t="str">
        <f t="shared" si="17"/>
        <v xml:space="preserve"> </v>
      </c>
      <c r="ED632" s="2103"/>
      <c r="EE632" s="2103"/>
      <c r="EF632" s="2103"/>
      <c r="EG632" s="2104"/>
      <c r="EH632" s="2102" t="str">
        <f t="shared" si="18"/>
        <v xml:space="preserve"> </v>
      </c>
      <c r="EI632" s="2103"/>
      <c r="EJ632" s="2103"/>
      <c r="EK632" s="2103"/>
      <c r="EL632" s="2104"/>
      <c r="EM632" s="2102" t="str">
        <f t="shared" si="19"/>
        <v xml:space="preserve"> </v>
      </c>
      <c r="EN632" s="2103"/>
      <c r="EO632" s="2103"/>
      <c r="EP632" s="2103"/>
      <c r="EQ632" s="2104"/>
      <c r="ER632" s="2102" t="str">
        <f t="shared" si="20"/>
        <v xml:space="preserve"> </v>
      </c>
      <c r="ES632" s="2103"/>
      <c r="ET632" s="2103"/>
      <c r="EU632" s="2103"/>
      <c r="EV632" s="2104"/>
      <c r="EW632" s="2102" t="str">
        <f t="shared" si="21"/>
        <v xml:space="preserve"> </v>
      </c>
      <c r="EX632" s="2103"/>
      <c r="EY632" s="2103"/>
      <c r="EZ632" s="2103"/>
      <c r="FA632" s="2104"/>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102">
        <f t="shared" si="0"/>
        <v>0</v>
      </c>
      <c r="BF633" s="2104"/>
      <c r="BG633" s="2097">
        <f t="shared" si="1"/>
        <v>0</v>
      </c>
      <c r="BH633" s="2099"/>
      <c r="BI633" s="2102">
        <f t="shared" si="2"/>
        <v>0</v>
      </c>
      <c r="BJ633" s="2104"/>
      <c r="BK633" s="2097">
        <f t="shared" si="3"/>
        <v>0</v>
      </c>
      <c r="BL633" s="2099"/>
      <c r="BM633" s="58"/>
      <c r="BN633" s="2092">
        <f t="shared" si="4"/>
        <v>0</v>
      </c>
      <c r="BO633" s="2093"/>
      <c r="BP633" s="2093"/>
      <c r="BQ633" s="2093"/>
      <c r="BR633" s="2094"/>
      <c r="BS633" s="2052">
        <f t="shared" si="5"/>
        <v>0</v>
      </c>
      <c r="BT633" s="2052"/>
      <c r="BU633" s="2052"/>
      <c r="BV633" s="2052"/>
      <c r="BW633" s="2052"/>
      <c r="BX633" s="2052">
        <f t="shared" si="6"/>
        <v>0</v>
      </c>
      <c r="BY633" s="2052"/>
      <c r="BZ633" s="2052"/>
      <c r="CA633" s="2052"/>
      <c r="CB633" s="2052"/>
      <c r="CC633" s="2052">
        <f t="shared" si="7"/>
        <v>0</v>
      </c>
      <c r="CD633" s="2052"/>
      <c r="CE633" s="2052"/>
      <c r="CF633" s="2052"/>
      <c r="CG633" s="2052"/>
      <c r="CH633" s="2052">
        <f t="shared" si="8"/>
        <v>0</v>
      </c>
      <c r="CI633" s="2052"/>
      <c r="CJ633" s="2052"/>
      <c r="CK633" s="2052"/>
      <c r="CL633" s="2052"/>
      <c r="CM633" s="2052">
        <f t="shared" si="9"/>
        <v>0</v>
      </c>
      <c r="CN633" s="2052"/>
      <c r="CO633" s="2052"/>
      <c r="CP633" s="2052"/>
      <c r="CQ633" s="2052"/>
      <c r="CR633" s="265"/>
      <c r="CS633" s="2100">
        <f t="shared" si="10"/>
        <v>0</v>
      </c>
      <c r="CT633" s="2100"/>
      <c r="CU633" s="2100"/>
      <c r="CV633" s="2100"/>
      <c r="CW633" s="2100"/>
      <c r="CX633" s="2100">
        <f t="shared" si="11"/>
        <v>0</v>
      </c>
      <c r="CY633" s="2100"/>
      <c r="CZ633" s="2100"/>
      <c r="DA633" s="2100"/>
      <c r="DB633" s="2100"/>
      <c r="DC633" s="2100">
        <f t="shared" si="12"/>
        <v>0</v>
      </c>
      <c r="DD633" s="2100"/>
      <c r="DE633" s="2100"/>
      <c r="DF633" s="2100"/>
      <c r="DG633" s="2100"/>
      <c r="DH633" s="2100">
        <f t="shared" si="13"/>
        <v>0</v>
      </c>
      <c r="DI633" s="2100"/>
      <c r="DJ633" s="2100"/>
      <c r="DK633" s="2100"/>
      <c r="DL633" s="2100"/>
      <c r="DM633" s="2100">
        <f t="shared" si="14"/>
        <v>0</v>
      </c>
      <c r="DN633" s="2100"/>
      <c r="DO633" s="2100"/>
      <c r="DP633" s="2100"/>
      <c r="DQ633" s="2100"/>
      <c r="DR633" s="2100">
        <f t="shared" si="15"/>
        <v>0</v>
      </c>
      <c r="DS633" s="2100"/>
      <c r="DT633" s="2100"/>
      <c r="DU633" s="2100"/>
      <c r="DV633" s="2100"/>
      <c r="DX633" s="2102" t="str">
        <f t="shared" si="16"/>
        <v xml:space="preserve"> </v>
      </c>
      <c r="DY633" s="2103"/>
      <c r="DZ633" s="2103"/>
      <c r="EA633" s="2103"/>
      <c r="EB633" s="2104"/>
      <c r="EC633" s="2102" t="str">
        <f t="shared" si="17"/>
        <v xml:space="preserve"> </v>
      </c>
      <c r="ED633" s="2103"/>
      <c r="EE633" s="2103"/>
      <c r="EF633" s="2103"/>
      <c r="EG633" s="2104"/>
      <c r="EH633" s="2102" t="str">
        <f t="shared" si="18"/>
        <v xml:space="preserve"> </v>
      </c>
      <c r="EI633" s="2103"/>
      <c r="EJ633" s="2103"/>
      <c r="EK633" s="2103"/>
      <c r="EL633" s="2104"/>
      <c r="EM633" s="2102" t="str">
        <f t="shared" si="19"/>
        <v xml:space="preserve"> </v>
      </c>
      <c r="EN633" s="2103"/>
      <c r="EO633" s="2103"/>
      <c r="EP633" s="2103"/>
      <c r="EQ633" s="2104"/>
      <c r="ER633" s="2102" t="str">
        <f t="shared" si="20"/>
        <v xml:space="preserve"> </v>
      </c>
      <c r="ES633" s="2103"/>
      <c r="ET633" s="2103"/>
      <c r="EU633" s="2103"/>
      <c r="EV633" s="2104"/>
      <c r="EW633" s="2102" t="str">
        <f t="shared" si="21"/>
        <v xml:space="preserve"> </v>
      </c>
      <c r="EX633" s="2103"/>
      <c r="EY633" s="2103"/>
      <c r="EZ633" s="2103"/>
      <c r="FA633" s="2104"/>
    </row>
    <row r="634" spans="1:157" s="1661" customFormat="1" ht="12.75" customHeight="1">
      <c r="B634" s="2258" t="s">
        <v>477</v>
      </c>
      <c r="C634" s="2259"/>
      <c r="D634" s="2259"/>
      <c r="E634" s="2259"/>
      <c r="F634" s="2259"/>
      <c r="G634" s="2259"/>
      <c r="H634" s="2259"/>
      <c r="I634" s="2259"/>
      <c r="J634" s="2259"/>
      <c r="K634" s="2259"/>
      <c r="L634" s="2259"/>
      <c r="M634" s="2259"/>
      <c r="N634" s="2260"/>
      <c r="O634" s="2127" t="s">
        <v>2169</v>
      </c>
      <c r="P634" s="2128"/>
      <c r="Q634" s="2129"/>
      <c r="R634" s="2127" t="s">
        <v>2167</v>
      </c>
      <c r="S634" s="2128"/>
      <c r="T634" s="2129"/>
      <c r="U634" s="2115" t="s">
        <v>478</v>
      </c>
      <c r="V634" s="2115"/>
      <c r="W634" s="2116"/>
      <c r="X634" s="2127" t="s">
        <v>1988</v>
      </c>
      <c r="Y634" s="2128"/>
      <c r="Z634" s="2128"/>
      <c r="AA634" s="2128"/>
      <c r="AB634" s="2129"/>
      <c r="AC634" s="2367" t="s">
        <v>1986</v>
      </c>
      <c r="AD634" s="2368"/>
      <c r="AE634" s="2369"/>
      <c r="AF634" s="2127" t="s">
        <v>2378</v>
      </c>
      <c r="AG634" s="2128"/>
      <c r="AH634" s="2128"/>
      <c r="AI634" s="2128"/>
      <c r="AJ634" s="2129"/>
      <c r="AK634" s="2356" t="s">
        <v>2379</v>
      </c>
      <c r="AL634" s="2357"/>
      <c r="AM634" s="2357"/>
      <c r="AN634" s="2358"/>
      <c r="AO634" s="2409" t="s">
        <v>479</v>
      </c>
      <c r="AP634" s="2409"/>
      <c r="AQ634" s="2409"/>
      <c r="AR634" s="2409"/>
      <c r="AS634" s="2409"/>
      <c r="AT634" s="1662"/>
      <c r="AU634" s="1662"/>
      <c r="AV634" s="1662"/>
      <c r="AW634" s="1662"/>
      <c r="AX634" s="1662"/>
      <c r="AY634" s="1662"/>
      <c r="AZ634" s="181"/>
      <c r="BA634" s="181"/>
      <c r="BB634" s="181"/>
      <c r="BC634" s="181"/>
      <c r="BD634" s="181"/>
      <c r="BE634" s="2102">
        <f t="shared" si="0"/>
        <v>0</v>
      </c>
      <c r="BF634" s="2104"/>
      <c r="BG634" s="2097">
        <f t="shared" si="1"/>
        <v>0</v>
      </c>
      <c r="BH634" s="2099"/>
      <c r="BI634" s="2102">
        <f t="shared" si="2"/>
        <v>0</v>
      </c>
      <c r="BJ634" s="2104"/>
      <c r="BK634" s="2097">
        <f t="shared" si="3"/>
        <v>0</v>
      </c>
      <c r="BL634" s="2099"/>
      <c r="BM634" s="181"/>
      <c r="BN634" s="2092">
        <f t="shared" si="4"/>
        <v>0</v>
      </c>
      <c r="BO634" s="2093"/>
      <c r="BP634" s="2093"/>
      <c r="BQ634" s="2093"/>
      <c r="BR634" s="2094"/>
      <c r="BS634" s="2052">
        <f t="shared" si="5"/>
        <v>0</v>
      </c>
      <c r="BT634" s="2052"/>
      <c r="BU634" s="2052"/>
      <c r="BV634" s="2052"/>
      <c r="BW634" s="2052"/>
      <c r="BX634" s="2052">
        <f t="shared" si="6"/>
        <v>0</v>
      </c>
      <c r="BY634" s="2052"/>
      <c r="BZ634" s="2052"/>
      <c r="CA634" s="2052"/>
      <c r="CB634" s="2052"/>
      <c r="CC634" s="2052">
        <f t="shared" si="7"/>
        <v>0</v>
      </c>
      <c r="CD634" s="2052"/>
      <c r="CE634" s="2052"/>
      <c r="CF634" s="2052"/>
      <c r="CG634" s="2052"/>
      <c r="CH634" s="2052">
        <f t="shared" si="8"/>
        <v>0</v>
      </c>
      <c r="CI634" s="2052"/>
      <c r="CJ634" s="2052"/>
      <c r="CK634" s="2052"/>
      <c r="CL634" s="2052"/>
      <c r="CM634" s="2052">
        <f t="shared" si="9"/>
        <v>0</v>
      </c>
      <c r="CN634" s="2052"/>
      <c r="CO634" s="2052"/>
      <c r="CP634" s="2052"/>
      <c r="CQ634" s="2052"/>
      <c r="CR634" s="265"/>
      <c r="CS634" s="2100">
        <f t="shared" si="10"/>
        <v>0</v>
      </c>
      <c r="CT634" s="2100"/>
      <c r="CU634" s="2100"/>
      <c r="CV634" s="2100"/>
      <c r="CW634" s="2100"/>
      <c r="CX634" s="2100">
        <f t="shared" si="11"/>
        <v>0</v>
      </c>
      <c r="CY634" s="2100"/>
      <c r="CZ634" s="2100"/>
      <c r="DA634" s="2100"/>
      <c r="DB634" s="2100"/>
      <c r="DC634" s="2100">
        <f t="shared" si="12"/>
        <v>0</v>
      </c>
      <c r="DD634" s="2100"/>
      <c r="DE634" s="2100"/>
      <c r="DF634" s="2100"/>
      <c r="DG634" s="2100"/>
      <c r="DH634" s="2100">
        <f t="shared" si="13"/>
        <v>0</v>
      </c>
      <c r="DI634" s="2100"/>
      <c r="DJ634" s="2100"/>
      <c r="DK634" s="2100"/>
      <c r="DL634" s="2100"/>
      <c r="DM634" s="2100">
        <f t="shared" si="14"/>
        <v>0</v>
      </c>
      <c r="DN634" s="2100"/>
      <c r="DO634" s="2100"/>
      <c r="DP634" s="2100"/>
      <c r="DQ634" s="2100"/>
      <c r="DR634" s="2100">
        <f t="shared" si="15"/>
        <v>0</v>
      </c>
      <c r="DS634" s="2100"/>
      <c r="DT634" s="2100"/>
      <c r="DU634" s="2100"/>
      <c r="DV634" s="2100"/>
      <c r="DX634" s="2102" t="str">
        <f t="shared" si="16"/>
        <v xml:space="preserve"> </v>
      </c>
      <c r="DY634" s="2103"/>
      <c r="DZ634" s="2103"/>
      <c r="EA634" s="2103"/>
      <c r="EB634" s="2104"/>
      <c r="EC634" s="2102" t="str">
        <f t="shared" si="17"/>
        <v xml:space="preserve"> </v>
      </c>
      <c r="ED634" s="2103"/>
      <c r="EE634" s="2103"/>
      <c r="EF634" s="2103"/>
      <c r="EG634" s="2104"/>
      <c r="EH634" s="2102" t="str">
        <f t="shared" si="18"/>
        <v xml:space="preserve"> </v>
      </c>
      <c r="EI634" s="2103"/>
      <c r="EJ634" s="2103"/>
      <c r="EK634" s="2103"/>
      <c r="EL634" s="2104"/>
      <c r="EM634" s="2102" t="str">
        <f t="shared" si="19"/>
        <v xml:space="preserve"> </v>
      </c>
      <c r="EN634" s="2103"/>
      <c r="EO634" s="2103"/>
      <c r="EP634" s="2103"/>
      <c r="EQ634" s="2104"/>
      <c r="ER634" s="2102" t="str">
        <f t="shared" si="20"/>
        <v xml:space="preserve"> </v>
      </c>
      <c r="ES634" s="2103"/>
      <c r="ET634" s="2103"/>
      <c r="EU634" s="2103"/>
      <c r="EV634" s="2104"/>
      <c r="EW634" s="2102" t="str">
        <f t="shared" si="21"/>
        <v xml:space="preserve"> </v>
      </c>
      <c r="EX634" s="2103"/>
      <c r="EY634" s="2103"/>
      <c r="EZ634" s="2103"/>
      <c r="FA634" s="2104"/>
    </row>
    <row r="635" spans="1:157" s="1661" customFormat="1" ht="12.75">
      <c r="B635" s="2405"/>
      <c r="C635" s="2406"/>
      <c r="D635" s="2406"/>
      <c r="E635" s="2406"/>
      <c r="F635" s="2406"/>
      <c r="G635" s="2406"/>
      <c r="H635" s="2406"/>
      <c r="I635" s="2406"/>
      <c r="J635" s="2406"/>
      <c r="K635" s="2406"/>
      <c r="L635" s="2406"/>
      <c r="M635" s="2406"/>
      <c r="N635" s="2407"/>
      <c r="O635" s="2130"/>
      <c r="P635" s="2131"/>
      <c r="Q635" s="2132"/>
      <c r="R635" s="2130"/>
      <c r="S635" s="2131"/>
      <c r="T635" s="2132"/>
      <c r="U635" s="2117"/>
      <c r="V635" s="2117"/>
      <c r="W635" s="2118"/>
      <c r="X635" s="2130"/>
      <c r="Y635" s="2131"/>
      <c r="Z635" s="2131"/>
      <c r="AA635" s="2131"/>
      <c r="AB635" s="2132"/>
      <c r="AC635" s="2370"/>
      <c r="AD635" s="2371"/>
      <c r="AE635" s="2372"/>
      <c r="AF635" s="2130"/>
      <c r="AG635" s="2131"/>
      <c r="AH635" s="2131"/>
      <c r="AI635" s="2131"/>
      <c r="AJ635" s="2132"/>
      <c r="AK635" s="2359"/>
      <c r="AL635" s="2360"/>
      <c r="AM635" s="2360"/>
      <c r="AN635" s="2361"/>
      <c r="AO635" s="2409"/>
      <c r="AP635" s="2409"/>
      <c r="AQ635" s="2409"/>
      <c r="AR635" s="2409"/>
      <c r="AS635" s="2409"/>
      <c r="AT635" s="1662"/>
      <c r="AU635" s="1662"/>
      <c r="AV635" s="1662"/>
      <c r="AW635" s="1662"/>
      <c r="AX635" s="1662"/>
      <c r="AY635" s="1662"/>
      <c r="AZ635" s="181"/>
      <c r="BA635" s="181"/>
      <c r="BB635" s="181"/>
      <c r="BC635" s="181"/>
      <c r="BD635" s="181"/>
      <c r="BE635" s="181"/>
      <c r="BF635" s="181"/>
      <c r="BG635" s="2102">
        <f>SUM(BG610:BH634)</f>
        <v>15</v>
      </c>
      <c r="BH635" s="2104"/>
      <c r="BI635" s="181"/>
      <c r="BJ635" s="181"/>
      <c r="BK635" s="2102">
        <f>SUM(BK610:BL634)</f>
        <v>15</v>
      </c>
      <c r="BL635" s="2104"/>
      <c r="BM635" s="181"/>
      <c r="BN635" s="2102">
        <f>SUM(BN610:BR634)</f>
        <v>0</v>
      </c>
      <c r="BO635" s="2103"/>
      <c r="BP635" s="2103"/>
      <c r="BQ635" s="2103"/>
      <c r="BR635" s="2104"/>
      <c r="BS635" s="2101">
        <f>SUM(BS610:BW634)</f>
        <v>63</v>
      </c>
      <c r="BT635" s="2101"/>
      <c r="BU635" s="2101"/>
      <c r="BV635" s="2101"/>
      <c r="BW635" s="2101"/>
      <c r="BX635" s="2101">
        <f>SUM(BX610:CB634)</f>
        <v>37</v>
      </c>
      <c r="BY635" s="2101"/>
      <c r="BZ635" s="2101"/>
      <c r="CA635" s="2101"/>
      <c r="CB635" s="2101"/>
      <c r="CC635" s="2101">
        <f>SUM(CC610:CG634)</f>
        <v>35</v>
      </c>
      <c r="CD635" s="2101"/>
      <c r="CE635" s="2101"/>
      <c r="CF635" s="2101"/>
      <c r="CG635" s="2101"/>
      <c r="CH635" s="2101">
        <f>SUM(CH610:CL634)</f>
        <v>0</v>
      </c>
      <c r="CI635" s="2101"/>
      <c r="CJ635" s="2101"/>
      <c r="CK635" s="2101"/>
      <c r="CL635" s="2101"/>
      <c r="CM635" s="2101">
        <f>SUM(CM610:CQ634)</f>
        <v>0</v>
      </c>
      <c r="CN635" s="2101"/>
      <c r="CO635" s="2101"/>
      <c r="CP635" s="2101"/>
      <c r="CQ635" s="2101"/>
      <c r="CR635" s="689"/>
      <c r="CS635" s="2101">
        <f>SUM(CS610:CW634)</f>
        <v>0</v>
      </c>
      <c r="CT635" s="2101"/>
      <c r="CU635" s="2101"/>
      <c r="CV635" s="2101"/>
      <c r="CW635" s="2101"/>
      <c r="CX635" s="2101">
        <f>SUM(CX610:DB634)</f>
        <v>7</v>
      </c>
      <c r="CY635" s="2101"/>
      <c r="CZ635" s="2101"/>
      <c r="DA635" s="2101"/>
      <c r="DB635" s="2101"/>
      <c r="DC635" s="2101">
        <f>SUM(DC610:DG634)</f>
        <v>4</v>
      </c>
      <c r="DD635" s="2101"/>
      <c r="DE635" s="2101"/>
      <c r="DF635" s="2101"/>
      <c r="DG635" s="2101"/>
      <c r="DH635" s="2101">
        <f>SUM(DH610:DL634)</f>
        <v>4</v>
      </c>
      <c r="DI635" s="2101"/>
      <c r="DJ635" s="2101"/>
      <c r="DK635" s="2101"/>
      <c r="DL635" s="2101"/>
      <c r="DM635" s="2101">
        <f>SUM(DM610:DQ634)</f>
        <v>0</v>
      </c>
      <c r="DN635" s="2101"/>
      <c r="DO635" s="2101"/>
      <c r="DP635" s="2101"/>
      <c r="DQ635" s="2101"/>
      <c r="DR635" s="2101">
        <f>SUM(DR610:DV634)</f>
        <v>0</v>
      </c>
      <c r="DS635" s="2101"/>
      <c r="DT635" s="2101"/>
      <c r="DU635" s="2101"/>
      <c r="DV635" s="2101"/>
      <c r="DX635" s="2101">
        <f>SUM(DX610:EB634)</f>
        <v>0</v>
      </c>
      <c r="DY635" s="2101"/>
      <c r="DZ635" s="2101"/>
      <c r="EA635" s="2101"/>
      <c r="EB635" s="2101"/>
      <c r="EC635" s="2101">
        <f>SUM(EC610:EG634)</f>
        <v>4910</v>
      </c>
      <c r="ED635" s="2101"/>
      <c r="EE635" s="2101"/>
      <c r="EF635" s="2101"/>
      <c r="EG635" s="2101"/>
      <c r="EH635" s="2101">
        <f>SUM(EH610:EL634)</f>
        <v>5983</v>
      </c>
      <c r="EI635" s="2101"/>
      <c r="EJ635" s="2101"/>
      <c r="EK635" s="2101"/>
      <c r="EL635" s="2101"/>
      <c r="EM635" s="2101">
        <f>SUM(EM610:EQ634)</f>
        <v>6863</v>
      </c>
      <c r="EN635" s="2101"/>
      <c r="EO635" s="2101"/>
      <c r="EP635" s="2101"/>
      <c r="EQ635" s="2101"/>
      <c r="ER635" s="2101">
        <f>SUM(ER610:EV634)</f>
        <v>0</v>
      </c>
      <c r="ES635" s="2101"/>
      <c r="ET635" s="2101"/>
      <c r="EU635" s="2101"/>
      <c r="EV635" s="2101"/>
      <c r="EW635" s="2101">
        <f>SUM(EW610:FA634)</f>
        <v>0</v>
      </c>
      <c r="EX635" s="2101"/>
      <c r="EY635" s="2101"/>
      <c r="EZ635" s="2101"/>
      <c r="FA635" s="2101"/>
    </row>
    <row r="636" spans="1:157" s="1661" customFormat="1" ht="12.75">
      <c r="B636" s="2408"/>
      <c r="C636" s="2406"/>
      <c r="D636" s="2406"/>
      <c r="E636" s="2406"/>
      <c r="F636" s="2406"/>
      <c r="G636" s="2406"/>
      <c r="H636" s="2406"/>
      <c r="I636" s="2406"/>
      <c r="J636" s="2406"/>
      <c r="K636" s="2406"/>
      <c r="L636" s="2406"/>
      <c r="M636" s="2406"/>
      <c r="N636" s="2407"/>
      <c r="O636" s="2133"/>
      <c r="P636" s="2134"/>
      <c r="Q636" s="2135"/>
      <c r="R636" s="2133"/>
      <c r="S636" s="2134"/>
      <c r="T636" s="2135"/>
      <c r="U636" s="2119"/>
      <c r="V636" s="2119"/>
      <c r="W636" s="2120"/>
      <c r="X636" s="2133"/>
      <c r="Y636" s="2134"/>
      <c r="Z636" s="2134"/>
      <c r="AA636" s="2134"/>
      <c r="AB636" s="2135"/>
      <c r="AC636" s="2373"/>
      <c r="AD636" s="2374"/>
      <c r="AE636" s="2375"/>
      <c r="AF636" s="2133"/>
      <c r="AG636" s="2134"/>
      <c r="AH636" s="2134"/>
      <c r="AI636" s="2134"/>
      <c r="AJ636" s="2135"/>
      <c r="AK636" s="2362"/>
      <c r="AL636" s="2363"/>
      <c r="AM636" s="2363"/>
      <c r="AN636" s="2364"/>
      <c r="AO636" s="2409"/>
      <c r="AP636" s="2409"/>
      <c r="AQ636" s="2409"/>
      <c r="AR636" s="2409"/>
      <c r="AS636" s="240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102">
        <f>BN635+BS635+BX635+CC635+CH635+CM635</f>
        <v>135</v>
      </c>
      <c r="CN636" s="2103"/>
      <c r="CO636" s="2103"/>
      <c r="CP636" s="2103"/>
      <c r="CQ636" s="2104"/>
      <c r="CR636" s="689"/>
      <c r="CS636" s="181"/>
      <c r="CT636" s="181"/>
      <c r="CU636" s="181"/>
      <c r="CV636" s="181"/>
      <c r="CW636" s="181"/>
      <c r="CX636" s="181"/>
      <c r="CY636" s="181"/>
      <c r="CZ636" s="181"/>
      <c r="DA636" s="181"/>
      <c r="DB636" s="181"/>
      <c r="DC636" s="181"/>
      <c r="DD636" s="181"/>
      <c r="DE636" s="181"/>
      <c r="DF636" s="181"/>
    </row>
    <row r="637" spans="1:157" ht="12.75">
      <c r="B637" s="83" t="s">
        <v>117</v>
      </c>
      <c r="C637" s="2142" t="s">
        <v>2714</v>
      </c>
      <c r="D637" s="2142"/>
      <c r="E637" s="2142"/>
      <c r="F637" s="2142"/>
      <c r="G637" s="2142"/>
      <c r="H637" s="2142"/>
      <c r="I637" s="2142"/>
      <c r="J637" s="2142"/>
      <c r="K637" s="2142"/>
      <c r="L637" s="2142"/>
      <c r="M637" s="2142"/>
      <c r="N637" s="2143"/>
      <c r="O637" s="2112">
        <f>18*12</f>
        <v>216</v>
      </c>
      <c r="P637" s="2113"/>
      <c r="Q637" s="2114"/>
      <c r="R637" s="2062">
        <f>40*12</f>
        <v>480</v>
      </c>
      <c r="S637" s="2063"/>
      <c r="T637" s="2064"/>
      <c r="U637" s="2109">
        <v>4.3999999999999997E-2</v>
      </c>
      <c r="V637" s="2110"/>
      <c r="W637" s="2111"/>
      <c r="X637" s="2105" t="s">
        <v>1987</v>
      </c>
      <c r="Y637" s="2106"/>
      <c r="Z637" s="2106"/>
      <c r="AA637" s="2106"/>
      <c r="AB637" s="2107"/>
      <c r="AC637" s="2121">
        <v>1</v>
      </c>
      <c r="AD637" s="2122"/>
      <c r="AE637" s="2123"/>
      <c r="AF637" s="2218">
        <f>+'[10]Operating Budget'!$C$96</f>
        <v>1336910.052278589</v>
      </c>
      <c r="AG637" s="2219"/>
      <c r="AH637" s="2219"/>
      <c r="AI637" s="2219"/>
      <c r="AJ637" s="2220"/>
      <c r="AK637" s="2124"/>
      <c r="AL637" s="2125"/>
      <c r="AM637" s="2125"/>
      <c r="AN637" s="2126"/>
      <c r="AO637" s="2108">
        <f>+'[10]S&amp;U Qtr'!$W$12</f>
        <v>25140000</v>
      </c>
      <c r="AP637" s="2108"/>
      <c r="AQ637" s="2108"/>
      <c r="AR637" s="2108"/>
      <c r="AS637" s="2108"/>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63</v>
      </c>
      <c r="BX637" s="58"/>
      <c r="BY637" s="58"/>
      <c r="BZ637" s="58"/>
      <c r="CA637" s="58"/>
      <c r="CB637" s="1369">
        <f>BX635*2</f>
        <v>74</v>
      </c>
      <c r="CC637" s="58"/>
      <c r="CD637" s="58"/>
      <c r="CE637" s="58"/>
      <c r="CF637" s="58"/>
      <c r="CG637" s="1369">
        <f>CC635*3</f>
        <v>105</v>
      </c>
      <c r="CH637" s="58"/>
      <c r="CI637" s="58"/>
      <c r="CJ637" s="58"/>
      <c r="CK637" s="58"/>
      <c r="CL637" s="1369">
        <f>CH635*4</f>
        <v>0</v>
      </c>
      <c r="CM637" s="58"/>
      <c r="CN637" s="58"/>
      <c r="CO637" s="58"/>
      <c r="CP637" s="58"/>
      <c r="CQ637" s="1369">
        <f>CM635*5</f>
        <v>0</v>
      </c>
      <c r="CS637" s="1369">
        <f>BR637+BW637+CB637+CG637+CL637+CQ637</f>
        <v>242</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42" t="s">
        <v>2715</v>
      </c>
      <c r="D638" s="2142"/>
      <c r="E638" s="2142"/>
      <c r="F638" s="2142"/>
      <c r="G638" s="2142"/>
      <c r="H638" s="2142"/>
      <c r="I638" s="2142"/>
      <c r="J638" s="2142"/>
      <c r="K638" s="2142"/>
      <c r="L638" s="2142"/>
      <c r="M638" s="2142"/>
      <c r="N638" s="2143"/>
      <c r="O638" s="2112">
        <f>30*12</f>
        <v>360</v>
      </c>
      <c r="P638" s="2113"/>
      <c r="Q638" s="2114"/>
      <c r="R638" s="2062">
        <v>360</v>
      </c>
      <c r="S638" s="2063"/>
      <c r="T638" s="2064"/>
      <c r="U638" s="2109">
        <v>7.4999999999999997E-2</v>
      </c>
      <c r="V638" s="2110"/>
      <c r="W638" s="2111"/>
      <c r="X638" s="2105" t="s">
        <v>482</v>
      </c>
      <c r="Y638" s="2106"/>
      <c r="Z638" s="2106"/>
      <c r="AA638" s="2106"/>
      <c r="AB638" s="2107"/>
      <c r="AC638" s="2121">
        <v>2</v>
      </c>
      <c r="AD638" s="2122"/>
      <c r="AE638" s="2123"/>
      <c r="AF638" s="2218"/>
      <c r="AG638" s="2219"/>
      <c r="AH638" s="2219"/>
      <c r="AI638" s="2219"/>
      <c r="AJ638" s="2220"/>
      <c r="AK638" s="2124"/>
      <c r="AL638" s="2125"/>
      <c r="AM638" s="2125"/>
      <c r="AN638" s="2126"/>
      <c r="AO638" s="2108">
        <f>+'[10]S&amp;U Qtr'!$W$15</f>
        <v>2500000</v>
      </c>
      <c r="AP638" s="2108"/>
      <c r="AQ638" s="2108"/>
      <c r="AR638" s="2108"/>
      <c r="AS638" s="2108"/>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95" t="e">
        <f t="shared" ref="DX638:DX662" si="22">DX610*(BN610/$BN$635)</f>
        <v>#VALUE!</v>
      </c>
      <c r="DY638" s="2095"/>
      <c r="DZ638" s="2095"/>
      <c r="EA638" s="2095"/>
      <c r="EB638" s="2095"/>
      <c r="EC638" s="2095">
        <f t="shared" ref="EC638:EC662" si="23">EC610*(BS610/$BS$635)</f>
        <v>333.14285714285711</v>
      </c>
      <c r="ED638" s="2095"/>
      <c r="EE638" s="2095"/>
      <c r="EF638" s="2095"/>
      <c r="EG638" s="2095"/>
      <c r="EH638" s="2095" t="e">
        <f t="shared" ref="EH638:EH662" si="24">EH610*(BX610/$BX$635)</f>
        <v>#VALUE!</v>
      </c>
      <c r="EI638" s="2095"/>
      <c r="EJ638" s="2095"/>
      <c r="EK638" s="2095"/>
      <c r="EL638" s="2095"/>
      <c r="EM638" s="2095" t="e">
        <f t="shared" ref="EM638:EM662" si="25">EM610*(CC610/$CC$635)</f>
        <v>#VALUE!</v>
      </c>
      <c r="EN638" s="2095"/>
      <c r="EO638" s="2095"/>
      <c r="EP638" s="2095"/>
      <c r="EQ638" s="2095"/>
      <c r="ER638" s="2095" t="e">
        <f t="shared" ref="ER638:ER662" si="26">ER610*(CH610/$CH$635)</f>
        <v>#VALUE!</v>
      </c>
      <c r="ES638" s="2095"/>
      <c r="ET638" s="2095"/>
      <c r="EU638" s="2095"/>
      <c r="EV638" s="2095"/>
      <c r="EW638" s="2095" t="e">
        <f t="shared" ref="EW638:EW662" si="27">EW610*(CM610/$CM$635)</f>
        <v>#VALUE!</v>
      </c>
      <c r="EX638" s="2095"/>
      <c r="EY638" s="2095"/>
      <c r="EZ638" s="2095"/>
      <c r="FA638" s="2095"/>
    </row>
    <row r="639" spans="1:157" ht="12.75" customHeight="1">
      <c r="B639" s="84" t="s">
        <v>124</v>
      </c>
      <c r="C639" s="2142" t="str">
        <f>+C566</f>
        <v>IHTF County of San Diego/sub loan</v>
      </c>
      <c r="D639" s="2142"/>
      <c r="E639" s="2142"/>
      <c r="F639" s="2142"/>
      <c r="G639" s="2142"/>
      <c r="H639" s="2142"/>
      <c r="I639" s="2142"/>
      <c r="J639" s="2142"/>
      <c r="K639" s="2142"/>
      <c r="L639" s="2142"/>
      <c r="M639" s="2142"/>
      <c r="N639" s="2143"/>
      <c r="O639" s="2112">
        <v>660</v>
      </c>
      <c r="P639" s="2113"/>
      <c r="Q639" s="2114"/>
      <c r="R639" s="2062">
        <v>660</v>
      </c>
      <c r="S639" s="2063"/>
      <c r="T639" s="2064"/>
      <c r="U639" s="2109">
        <v>0.04</v>
      </c>
      <c r="V639" s="2110"/>
      <c r="W639" s="2111"/>
      <c r="X639" s="2105" t="s">
        <v>482</v>
      </c>
      <c r="Y639" s="2106"/>
      <c r="Z639" s="2106"/>
      <c r="AA639" s="2106"/>
      <c r="AB639" s="2107"/>
      <c r="AC639" s="2121">
        <v>3</v>
      </c>
      <c r="AD639" s="2122"/>
      <c r="AE639" s="2123"/>
      <c r="AF639" s="2218"/>
      <c r="AG639" s="2219"/>
      <c r="AH639" s="2219"/>
      <c r="AI639" s="2219"/>
      <c r="AJ639" s="2220"/>
      <c r="AK639" s="2124"/>
      <c r="AL639" s="2125"/>
      <c r="AM639" s="2125"/>
      <c r="AN639" s="2126"/>
      <c r="AO639" s="2108">
        <f>+'[10]S&amp;U Qtr'!$W$19</f>
        <v>4000000</v>
      </c>
      <c r="AP639" s="2108"/>
      <c r="AQ639" s="2108"/>
      <c r="AR639" s="2108"/>
      <c r="AS639" s="2108"/>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95" t="e">
        <f t="shared" si="22"/>
        <v>#VALUE!</v>
      </c>
      <c r="DY639" s="2095"/>
      <c r="DZ639" s="2095"/>
      <c r="EA639" s="2095"/>
      <c r="EB639" s="2095"/>
      <c r="EC639" s="2095">
        <f t="shared" si="23"/>
        <v>809.88888888888891</v>
      </c>
      <c r="ED639" s="2095"/>
      <c r="EE639" s="2095"/>
      <c r="EF639" s="2095"/>
      <c r="EG639" s="2095"/>
      <c r="EH639" s="2095" t="e">
        <f t="shared" si="24"/>
        <v>#VALUE!</v>
      </c>
      <c r="EI639" s="2095"/>
      <c r="EJ639" s="2095"/>
      <c r="EK639" s="2095"/>
      <c r="EL639" s="2095"/>
      <c r="EM639" s="2095" t="e">
        <f t="shared" si="25"/>
        <v>#VALUE!</v>
      </c>
      <c r="EN639" s="2095"/>
      <c r="EO639" s="2095"/>
      <c r="EP639" s="2095"/>
      <c r="EQ639" s="2095"/>
      <c r="ER639" s="2095" t="e">
        <f t="shared" si="26"/>
        <v>#VALUE!</v>
      </c>
      <c r="ES639" s="2095"/>
      <c r="ET639" s="2095"/>
      <c r="EU639" s="2095"/>
      <c r="EV639" s="2095"/>
      <c r="EW639" s="2095" t="e">
        <f t="shared" si="27"/>
        <v>#VALUE!</v>
      </c>
      <c r="EX639" s="2095"/>
      <c r="EY639" s="2095"/>
      <c r="EZ639" s="2095"/>
      <c r="FA639" s="2095"/>
    </row>
    <row r="640" spans="1:157" ht="12.75">
      <c r="B640" s="84" t="s">
        <v>607</v>
      </c>
      <c r="C640" s="2142" t="s">
        <v>2716</v>
      </c>
      <c r="D640" s="2142"/>
      <c r="E640" s="2142"/>
      <c r="F640" s="2142"/>
      <c r="G640" s="2142"/>
      <c r="H640" s="2142"/>
      <c r="I640" s="2142"/>
      <c r="J640" s="2142"/>
      <c r="K640" s="2142"/>
      <c r="L640" s="2142"/>
      <c r="M640" s="2142"/>
      <c r="N640" s="2143"/>
      <c r="O640" s="2112">
        <v>660</v>
      </c>
      <c r="P640" s="2113"/>
      <c r="Q640" s="2114"/>
      <c r="R640" s="2062">
        <v>660</v>
      </c>
      <c r="S640" s="2063"/>
      <c r="T640" s="2064"/>
      <c r="U640" s="2109">
        <v>0.03</v>
      </c>
      <c r="V640" s="2110"/>
      <c r="W640" s="2111"/>
      <c r="X640" s="2105" t="s">
        <v>482</v>
      </c>
      <c r="Y640" s="2106"/>
      <c r="Z640" s="2106"/>
      <c r="AA640" s="2106"/>
      <c r="AB640" s="2107"/>
      <c r="AC640" s="2121">
        <v>4</v>
      </c>
      <c r="AD640" s="2122"/>
      <c r="AE640" s="2123"/>
      <c r="AF640" s="2218"/>
      <c r="AG640" s="2219"/>
      <c r="AH640" s="2219"/>
      <c r="AI640" s="2219"/>
      <c r="AJ640" s="2220"/>
      <c r="AK640" s="2124"/>
      <c r="AL640" s="2125"/>
      <c r="AM640" s="2125"/>
      <c r="AN640" s="2126"/>
      <c r="AO640" s="2108">
        <f>+'[10]S&amp;U Qtr'!$W$16</f>
        <v>12510000</v>
      </c>
      <c r="AP640" s="2108"/>
      <c r="AQ640" s="2108"/>
      <c r="AR640" s="2108"/>
      <c r="AS640" s="2108"/>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92">
        <f>IF(J772="SRO/Studio",O772,0)</f>
        <v>0</v>
      </c>
      <c r="BO640" s="2093"/>
      <c r="BP640" s="2093"/>
      <c r="BQ640" s="2093"/>
      <c r="BR640" s="2094"/>
      <c r="BS640" s="2052">
        <f>IF(J772="1 Bedroom",O772,0)</f>
        <v>0</v>
      </c>
      <c r="BT640" s="2052"/>
      <c r="BU640" s="2052"/>
      <c r="BV640" s="2052"/>
      <c r="BW640" s="2052"/>
      <c r="BX640" s="2052">
        <f>IF(J772="2 Bedrooms",O772,0)</f>
        <v>1</v>
      </c>
      <c r="BY640" s="2052"/>
      <c r="BZ640" s="2052"/>
      <c r="CA640" s="2052"/>
      <c r="CB640" s="2052"/>
      <c r="CC640" s="2052">
        <f>IF(J772="3 Bedrooms",O772,0)</f>
        <v>0</v>
      </c>
      <c r="CD640" s="2052"/>
      <c r="CE640" s="2052"/>
      <c r="CF640" s="2052"/>
      <c r="CG640" s="2052"/>
      <c r="CH640" s="2052">
        <f>IF(J772="4 Bedrooms",O772,0)</f>
        <v>0</v>
      </c>
      <c r="CI640" s="2052"/>
      <c r="CJ640" s="2052"/>
      <c r="CK640" s="2052"/>
      <c r="CL640" s="2052"/>
      <c r="CM640" s="2052">
        <f>IF(J772="5 Bedrooms",O772,0)</f>
        <v>0</v>
      </c>
      <c r="CN640" s="2052"/>
      <c r="CO640" s="2052"/>
      <c r="CP640" s="2052"/>
      <c r="CQ640" s="2052"/>
      <c r="CR640" s="265"/>
      <c r="CS640" s="58"/>
      <c r="CT640" s="58"/>
      <c r="CU640" s="58"/>
      <c r="CV640" s="58"/>
      <c r="CW640" s="58"/>
      <c r="CX640" s="58"/>
      <c r="CY640" s="58"/>
      <c r="CZ640" s="58"/>
      <c r="DA640" s="58"/>
      <c r="DB640" s="58"/>
      <c r="DC640" s="58"/>
      <c r="DD640" s="58"/>
      <c r="DE640" s="58"/>
      <c r="DF640" s="58"/>
      <c r="DX640" s="2095" t="e">
        <f t="shared" si="22"/>
        <v>#VALUE!</v>
      </c>
      <c r="DY640" s="2095"/>
      <c r="DZ640" s="2095"/>
      <c r="EA640" s="2095"/>
      <c r="EB640" s="2095"/>
      <c r="EC640" s="2095">
        <f t="shared" si="23"/>
        <v>126.1111111111111</v>
      </c>
      <c r="ED640" s="2095"/>
      <c r="EE640" s="2095"/>
      <c r="EF640" s="2095"/>
      <c r="EG640" s="2095"/>
      <c r="EH640" s="2095" t="e">
        <f t="shared" si="24"/>
        <v>#VALUE!</v>
      </c>
      <c r="EI640" s="2095"/>
      <c r="EJ640" s="2095"/>
      <c r="EK640" s="2095"/>
      <c r="EL640" s="2095"/>
      <c r="EM640" s="2095" t="e">
        <f t="shared" si="25"/>
        <v>#VALUE!</v>
      </c>
      <c r="EN640" s="2095"/>
      <c r="EO640" s="2095"/>
      <c r="EP640" s="2095"/>
      <c r="EQ640" s="2095"/>
      <c r="ER640" s="2095" t="e">
        <f t="shared" si="26"/>
        <v>#VALUE!</v>
      </c>
      <c r="ES640" s="2095"/>
      <c r="ET640" s="2095"/>
      <c r="EU640" s="2095"/>
      <c r="EV640" s="2095"/>
      <c r="EW640" s="2095" t="e">
        <f t="shared" si="27"/>
        <v>#VALUE!</v>
      </c>
      <c r="EX640" s="2095"/>
      <c r="EY640" s="2095"/>
      <c r="EZ640" s="2095"/>
      <c r="FA640" s="2095"/>
    </row>
    <row r="641" spans="1:157" ht="12.75">
      <c r="B641" s="84" t="s">
        <v>805</v>
      </c>
      <c r="C641" s="2142" t="s">
        <v>2708</v>
      </c>
      <c r="D641" s="2142"/>
      <c r="E641" s="2142"/>
      <c r="F641" s="2142"/>
      <c r="G641" s="2142"/>
      <c r="H641" s="2142"/>
      <c r="I641" s="2142"/>
      <c r="J641" s="2142"/>
      <c r="K641" s="2142"/>
      <c r="L641" s="2142"/>
      <c r="M641" s="2142"/>
      <c r="N641" s="2143"/>
      <c r="O641" s="2112">
        <v>660</v>
      </c>
      <c r="P641" s="2113"/>
      <c r="Q641" s="2114"/>
      <c r="R641" s="2062">
        <v>660</v>
      </c>
      <c r="S641" s="2063"/>
      <c r="T641" s="2064"/>
      <c r="U641" s="2109" t="s">
        <v>2748</v>
      </c>
      <c r="V641" s="2110"/>
      <c r="W641" s="2111"/>
      <c r="X641" s="2105" t="s">
        <v>482</v>
      </c>
      <c r="Y641" s="2106"/>
      <c r="Z641" s="2106"/>
      <c r="AA641" s="2106"/>
      <c r="AB641" s="2107"/>
      <c r="AC641" s="2121"/>
      <c r="AD641" s="2122"/>
      <c r="AE641" s="2123"/>
      <c r="AF641" s="2218"/>
      <c r="AG641" s="2219"/>
      <c r="AH641" s="2219"/>
      <c r="AI641" s="2219"/>
      <c r="AJ641" s="2220"/>
      <c r="AK641" s="2124"/>
      <c r="AL641" s="2125"/>
      <c r="AM641" s="2125"/>
      <c r="AN641" s="2126"/>
      <c r="AO641" s="2108">
        <f>+'[10]S&amp;U Qtr'!$W$17</f>
        <v>5500000</v>
      </c>
      <c r="AP641" s="2108"/>
      <c r="AQ641" s="2108"/>
      <c r="AR641" s="2108"/>
      <c r="AS641" s="2108"/>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92">
        <f>IF(J773="SRO/Studio",O773,0)</f>
        <v>0</v>
      </c>
      <c r="BO641" s="2093"/>
      <c r="BP641" s="2093"/>
      <c r="BQ641" s="2093"/>
      <c r="BR641" s="2094"/>
      <c r="BS641" s="2052">
        <f>IF(J773="1 Bedroom",O773,0)</f>
        <v>0</v>
      </c>
      <c r="BT641" s="2052"/>
      <c r="BU641" s="2052"/>
      <c r="BV641" s="2052"/>
      <c r="BW641" s="2052"/>
      <c r="BX641" s="2052">
        <f>IF(J773="2 Bedrooms",O773,0)</f>
        <v>0</v>
      </c>
      <c r="BY641" s="2052"/>
      <c r="BZ641" s="2052"/>
      <c r="CA641" s="2052"/>
      <c r="CB641" s="2052"/>
      <c r="CC641" s="2052">
        <f>IF(J773="3 Bedrooms",O773,0)</f>
        <v>0</v>
      </c>
      <c r="CD641" s="2052"/>
      <c r="CE641" s="2052"/>
      <c r="CF641" s="2052"/>
      <c r="CG641" s="2052"/>
      <c r="CH641" s="2052">
        <f>IF(J773="4 Bedrooms",O773,0)</f>
        <v>0</v>
      </c>
      <c r="CI641" s="2052"/>
      <c r="CJ641" s="2052"/>
      <c r="CK641" s="2052"/>
      <c r="CL641" s="2052"/>
      <c r="CM641" s="2052">
        <f>IF(J773="5 Bedrooms",O773,0)</f>
        <v>0</v>
      </c>
      <c r="CN641" s="2052"/>
      <c r="CO641" s="2052"/>
      <c r="CP641" s="2052"/>
      <c r="CQ641" s="2052"/>
      <c r="CR641" s="265"/>
      <c r="CS641" s="58"/>
      <c r="CT641" s="58"/>
      <c r="CU641" s="58"/>
      <c r="CV641" s="58"/>
      <c r="CW641" s="58"/>
      <c r="CX641" s="58"/>
      <c r="CY641" s="58"/>
      <c r="CZ641" s="58"/>
      <c r="DA641" s="58"/>
      <c r="DB641" s="58"/>
      <c r="DC641" s="58"/>
      <c r="DD641" s="58"/>
      <c r="DE641" s="58"/>
      <c r="DF641" s="58"/>
      <c r="DX641" s="2095" t="e">
        <f t="shared" si="22"/>
        <v>#VALUE!</v>
      </c>
      <c r="DY641" s="2095"/>
      <c r="DZ641" s="2095"/>
      <c r="EA641" s="2095"/>
      <c r="EB641" s="2095"/>
      <c r="EC641" s="2095">
        <f t="shared" si="23"/>
        <v>71.888888888888886</v>
      </c>
      <c r="ED641" s="2095"/>
      <c r="EE641" s="2095"/>
      <c r="EF641" s="2095"/>
      <c r="EG641" s="2095"/>
      <c r="EH641" s="2095" t="e">
        <f t="shared" si="24"/>
        <v>#VALUE!</v>
      </c>
      <c r="EI641" s="2095"/>
      <c r="EJ641" s="2095"/>
      <c r="EK641" s="2095"/>
      <c r="EL641" s="2095"/>
      <c r="EM641" s="2095" t="e">
        <f t="shared" si="25"/>
        <v>#VALUE!</v>
      </c>
      <c r="EN641" s="2095"/>
      <c r="EO641" s="2095"/>
      <c r="EP641" s="2095"/>
      <c r="EQ641" s="2095"/>
      <c r="ER641" s="2095" t="e">
        <f t="shared" si="26"/>
        <v>#VALUE!</v>
      </c>
      <c r="ES641" s="2095"/>
      <c r="ET641" s="2095"/>
      <c r="EU641" s="2095"/>
      <c r="EV641" s="2095"/>
      <c r="EW641" s="2095" t="e">
        <f t="shared" si="27"/>
        <v>#VALUE!</v>
      </c>
      <c r="EX641" s="2095"/>
      <c r="EY641" s="2095"/>
      <c r="EZ641" s="2095"/>
      <c r="FA641" s="2095"/>
    </row>
    <row r="642" spans="1:157" ht="12.75">
      <c r="B642" s="84" t="s">
        <v>610</v>
      </c>
      <c r="C642" s="2142" t="s">
        <v>2717</v>
      </c>
      <c r="D642" s="2142"/>
      <c r="E642" s="2142"/>
      <c r="F642" s="2142"/>
      <c r="G642" s="2142"/>
      <c r="H642" s="2142"/>
      <c r="I642" s="2142"/>
      <c r="J642" s="2142"/>
      <c r="K642" s="2142"/>
      <c r="L642" s="2142"/>
      <c r="M642" s="2142"/>
      <c r="N642" s="2143"/>
      <c r="O642" s="2112">
        <v>180</v>
      </c>
      <c r="P642" s="2113"/>
      <c r="Q642" s="2114"/>
      <c r="R642" s="2062">
        <v>180</v>
      </c>
      <c r="S642" s="2063"/>
      <c r="T642" s="2064"/>
      <c r="U642" s="2109" t="s">
        <v>2748</v>
      </c>
      <c r="V642" s="2110"/>
      <c r="W642" s="2111"/>
      <c r="X642" s="2105" t="s">
        <v>483</v>
      </c>
      <c r="Y642" s="2106"/>
      <c r="Z642" s="2106"/>
      <c r="AA642" s="2106"/>
      <c r="AB642" s="2107"/>
      <c r="AC642" s="2121"/>
      <c r="AD642" s="2122"/>
      <c r="AE642" s="2123"/>
      <c r="AF642" s="2218"/>
      <c r="AG642" s="2219"/>
      <c r="AH642" s="2219"/>
      <c r="AI642" s="2219"/>
      <c r="AJ642" s="2220"/>
      <c r="AK642" s="2124"/>
      <c r="AL642" s="2125"/>
      <c r="AM642" s="2125"/>
      <c r="AN642" s="2126"/>
      <c r="AO642" s="2108">
        <f>+'[10]S&amp;U Qtr'!$W$14</f>
        <v>1277601.2881440148</v>
      </c>
      <c r="AP642" s="2108"/>
      <c r="AQ642" s="2108"/>
      <c r="AR642" s="2108"/>
      <c r="AS642" s="210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92">
        <f>IF(J774="SRO/Studio",O774,0)</f>
        <v>0</v>
      </c>
      <c r="BO642" s="2093"/>
      <c r="BP642" s="2093"/>
      <c r="BQ642" s="2093"/>
      <c r="BR642" s="2094"/>
      <c r="BS642" s="2052">
        <f>IF(J774="1 Bedroom",O774,0)</f>
        <v>0</v>
      </c>
      <c r="BT642" s="2052"/>
      <c r="BU642" s="2052"/>
      <c r="BV642" s="2052"/>
      <c r="BW642" s="2052"/>
      <c r="BX642" s="2052">
        <f>IF(J774="2 Bedrooms",O774,0)</f>
        <v>0</v>
      </c>
      <c r="BY642" s="2052"/>
      <c r="BZ642" s="2052"/>
      <c r="CA642" s="2052"/>
      <c r="CB642" s="2052"/>
      <c r="CC642" s="2052">
        <f>IF(J774="3 Bedrooms",O774,0)</f>
        <v>0</v>
      </c>
      <c r="CD642" s="2052"/>
      <c r="CE642" s="2052"/>
      <c r="CF642" s="2052"/>
      <c r="CG642" s="2052"/>
      <c r="CH642" s="2052">
        <f>IF(J774="4 Bedrooms",O774,0)</f>
        <v>0</v>
      </c>
      <c r="CI642" s="2052"/>
      <c r="CJ642" s="2052"/>
      <c r="CK642" s="2052"/>
      <c r="CL642" s="2052"/>
      <c r="CM642" s="2052">
        <f>IF(J774="5 Bedrooms",O774,0)</f>
        <v>0</v>
      </c>
      <c r="CN642" s="2052"/>
      <c r="CO642" s="2052"/>
      <c r="CP642" s="2052"/>
      <c r="CQ642" s="2052"/>
      <c r="CR642" s="1649"/>
      <c r="CV642" s="58"/>
      <c r="CW642" s="58"/>
      <c r="CX642" s="58"/>
      <c r="CY642" s="58"/>
      <c r="CZ642" s="58"/>
      <c r="DA642" s="58"/>
      <c r="DB642" s="58"/>
      <c r="DC642" s="58"/>
      <c r="DD642" s="58"/>
      <c r="DE642" s="58"/>
      <c r="DF642" s="58"/>
      <c r="DX642" s="2095" t="e">
        <f t="shared" si="22"/>
        <v>#VALUE!</v>
      </c>
      <c r="DY642" s="2095"/>
      <c r="DZ642" s="2095"/>
      <c r="EA642" s="2095"/>
      <c r="EB642" s="2095"/>
      <c r="EC642" s="2095" t="e">
        <f t="shared" si="23"/>
        <v>#VALUE!</v>
      </c>
      <c r="ED642" s="2095"/>
      <c r="EE642" s="2095"/>
      <c r="EF642" s="2095"/>
      <c r="EG642" s="2095"/>
      <c r="EH642" s="2095">
        <f t="shared" si="24"/>
        <v>481.72972972972974</v>
      </c>
      <c r="EI642" s="2095"/>
      <c r="EJ642" s="2095"/>
      <c r="EK642" s="2095"/>
      <c r="EL642" s="2095"/>
      <c r="EM642" s="2095" t="e">
        <f t="shared" si="25"/>
        <v>#VALUE!</v>
      </c>
      <c r="EN642" s="2095"/>
      <c r="EO642" s="2095"/>
      <c r="EP642" s="2095"/>
      <c r="EQ642" s="2095"/>
      <c r="ER642" s="2095" t="e">
        <f t="shared" si="26"/>
        <v>#VALUE!</v>
      </c>
      <c r="ES642" s="2095"/>
      <c r="ET642" s="2095"/>
      <c r="EU642" s="2095"/>
      <c r="EV642" s="2095"/>
      <c r="EW642" s="2095" t="e">
        <f t="shared" si="27"/>
        <v>#VALUE!</v>
      </c>
      <c r="EX642" s="2095"/>
      <c r="EY642" s="2095"/>
      <c r="EZ642" s="2095"/>
      <c r="FA642" s="2095"/>
    </row>
    <row r="643" spans="1:157" ht="12.75">
      <c r="B643" s="84" t="s">
        <v>480</v>
      </c>
      <c r="C643" s="2088"/>
      <c r="D643" s="2088"/>
      <c r="E643" s="2088"/>
      <c r="F643" s="2088"/>
      <c r="G643" s="2088"/>
      <c r="H643" s="2088"/>
      <c r="I643" s="2088"/>
      <c r="J643" s="2088"/>
      <c r="K643" s="2088"/>
      <c r="L643" s="2088"/>
      <c r="M643" s="2088"/>
      <c r="N643" s="2366"/>
      <c r="O643" s="2112"/>
      <c r="P643" s="2113"/>
      <c r="Q643" s="2114"/>
      <c r="R643" s="2062"/>
      <c r="S643" s="2063"/>
      <c r="T643" s="2064"/>
      <c r="U643" s="2109"/>
      <c r="V643" s="2110"/>
      <c r="W643" s="2111"/>
      <c r="X643" s="2105" t="s">
        <v>1348</v>
      </c>
      <c r="Y643" s="2106"/>
      <c r="Z643" s="2106"/>
      <c r="AA643" s="2106"/>
      <c r="AB643" s="2107"/>
      <c r="AC643" s="2121"/>
      <c r="AD643" s="2122"/>
      <c r="AE643" s="2123"/>
      <c r="AF643" s="2218"/>
      <c r="AG643" s="2219"/>
      <c r="AH643" s="2219"/>
      <c r="AI643" s="2219"/>
      <c r="AJ643" s="2220"/>
      <c r="AK643" s="2124"/>
      <c r="AL643" s="2125"/>
      <c r="AM643" s="2125"/>
      <c r="AN643" s="2126"/>
      <c r="AO643" s="2108"/>
      <c r="AP643" s="2108"/>
      <c r="AQ643" s="2108"/>
      <c r="AR643" s="2108"/>
      <c r="AS643" s="210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92">
        <f>IF(J775="SRO/Studio",O775,0)</f>
        <v>0</v>
      </c>
      <c r="BO643" s="2093"/>
      <c r="BP643" s="2093"/>
      <c r="BQ643" s="2093"/>
      <c r="BR643" s="2094"/>
      <c r="BS643" s="2052">
        <f>IF(J775="1 Bedroom",O775,0)</f>
        <v>0</v>
      </c>
      <c r="BT643" s="2052"/>
      <c r="BU643" s="2052"/>
      <c r="BV643" s="2052"/>
      <c r="BW643" s="2052"/>
      <c r="BX643" s="2052">
        <f>IF(J775="2 Bedrooms",O775,0)</f>
        <v>0</v>
      </c>
      <c r="BY643" s="2052"/>
      <c r="BZ643" s="2052"/>
      <c r="CA643" s="2052"/>
      <c r="CB643" s="2052"/>
      <c r="CC643" s="2052">
        <f>IF(J775="3 Bedrooms",O775,0)</f>
        <v>0</v>
      </c>
      <c r="CD643" s="2052"/>
      <c r="CE643" s="2052"/>
      <c r="CF643" s="2052"/>
      <c r="CG643" s="2052"/>
      <c r="CH643" s="2052">
        <f>IF(J775="4 Bedrooms",O775,0)</f>
        <v>0</v>
      </c>
      <c r="CI643" s="2052"/>
      <c r="CJ643" s="2052"/>
      <c r="CK643" s="2052"/>
      <c r="CL643" s="2052"/>
      <c r="CM643" s="2052">
        <f>IF(J775="5 Bedrooms",O775,0)</f>
        <v>0</v>
      </c>
      <c r="CN643" s="2052"/>
      <c r="CO643" s="2052"/>
      <c r="CP643" s="2052"/>
      <c r="CQ643" s="2052"/>
      <c r="CV643" s="58"/>
      <c r="CW643" s="58"/>
      <c r="CX643" s="58"/>
      <c r="CY643" s="58"/>
      <c r="CZ643" s="58"/>
      <c r="DA643" s="58"/>
      <c r="DB643" s="58"/>
      <c r="DC643" s="58"/>
      <c r="DD643" s="58"/>
      <c r="DE643" s="58"/>
      <c r="DF643" s="58"/>
      <c r="DX643" s="2095" t="e">
        <f t="shared" si="22"/>
        <v>#VALUE!</v>
      </c>
      <c r="DY643" s="2095"/>
      <c r="DZ643" s="2095"/>
      <c r="EA643" s="2095"/>
      <c r="EB643" s="2095"/>
      <c r="EC643" s="2095" t="e">
        <f t="shared" si="23"/>
        <v>#VALUE!</v>
      </c>
      <c r="ED643" s="2095"/>
      <c r="EE643" s="2095"/>
      <c r="EF643" s="2095"/>
      <c r="EG643" s="2095"/>
      <c r="EH643" s="2095">
        <f t="shared" si="24"/>
        <v>931.94594594594594</v>
      </c>
      <c r="EI643" s="2095"/>
      <c r="EJ643" s="2095"/>
      <c r="EK643" s="2095"/>
      <c r="EL643" s="2095"/>
      <c r="EM643" s="2095" t="e">
        <f t="shared" si="25"/>
        <v>#VALUE!</v>
      </c>
      <c r="EN643" s="2095"/>
      <c r="EO643" s="2095"/>
      <c r="EP643" s="2095"/>
      <c r="EQ643" s="2095"/>
      <c r="ER643" s="2095" t="e">
        <f t="shared" si="26"/>
        <v>#VALUE!</v>
      </c>
      <c r="ES643" s="2095"/>
      <c r="ET643" s="2095"/>
      <c r="EU643" s="2095"/>
      <c r="EV643" s="2095"/>
      <c r="EW643" s="2095" t="e">
        <f t="shared" si="27"/>
        <v>#VALUE!</v>
      </c>
      <c r="EX643" s="2095"/>
      <c r="EY643" s="2095"/>
      <c r="EZ643" s="2095"/>
      <c r="FA643" s="2095"/>
    </row>
    <row r="644" spans="1:157" ht="12.75">
      <c r="B644" s="84" t="s">
        <v>481</v>
      </c>
      <c r="C644" s="2088"/>
      <c r="D644" s="2088"/>
      <c r="E644" s="2088"/>
      <c r="F644" s="2088"/>
      <c r="G644" s="2088"/>
      <c r="H644" s="2088"/>
      <c r="I644" s="2088"/>
      <c r="J644" s="2088"/>
      <c r="K644" s="2088"/>
      <c r="L644" s="2088"/>
      <c r="M644" s="2088"/>
      <c r="N644" s="2366"/>
      <c r="O644" s="2112"/>
      <c r="P644" s="2113"/>
      <c r="Q644" s="2114"/>
      <c r="R644" s="2062"/>
      <c r="S644" s="2063"/>
      <c r="T644" s="2064"/>
      <c r="U644" s="2109"/>
      <c r="V644" s="2110"/>
      <c r="W644" s="2111"/>
      <c r="X644" s="2105" t="s">
        <v>1348</v>
      </c>
      <c r="Y644" s="2106"/>
      <c r="Z644" s="2106"/>
      <c r="AA644" s="2106"/>
      <c r="AB644" s="2107"/>
      <c r="AC644" s="2121"/>
      <c r="AD644" s="2122"/>
      <c r="AE644" s="2123"/>
      <c r="AF644" s="2218"/>
      <c r="AG644" s="2219"/>
      <c r="AH644" s="2219"/>
      <c r="AI644" s="2219"/>
      <c r="AJ644" s="2220"/>
      <c r="AK644" s="2124"/>
      <c r="AL644" s="2125"/>
      <c r="AM644" s="2125"/>
      <c r="AN644" s="2126"/>
      <c r="AO644" s="2108"/>
      <c r="AP644" s="2108"/>
      <c r="AQ644" s="2108"/>
      <c r="AR644" s="2108"/>
      <c r="AS644" s="210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97">
        <f>SUM(BN640:BR643)</f>
        <v>0</v>
      </c>
      <c r="BO644" s="2098"/>
      <c r="BP644" s="2098"/>
      <c r="BQ644" s="2098"/>
      <c r="BR644" s="2099"/>
      <c r="BS644" s="2082">
        <f>SUM(BS640:BW643)</f>
        <v>0</v>
      </c>
      <c r="BT644" s="2083"/>
      <c r="BU644" s="2083"/>
      <c r="BV644" s="2083"/>
      <c r="BW644" s="2084"/>
      <c r="BX644" s="2082">
        <f>SUM(BX640:CB643)</f>
        <v>1</v>
      </c>
      <c r="BY644" s="2083"/>
      <c r="BZ644" s="2083"/>
      <c r="CA644" s="2083"/>
      <c r="CB644" s="2084"/>
      <c r="CC644" s="2082">
        <f>SUM(CC640:CG643)</f>
        <v>0</v>
      </c>
      <c r="CD644" s="2083"/>
      <c r="CE644" s="2083"/>
      <c r="CF644" s="2083"/>
      <c r="CG644" s="2084"/>
      <c r="CH644" s="2082">
        <f>SUM(CH640:CL643)</f>
        <v>0</v>
      </c>
      <c r="CI644" s="2083"/>
      <c r="CJ644" s="2083"/>
      <c r="CK644" s="2083"/>
      <c r="CL644" s="2084"/>
      <c r="CM644" s="2082">
        <f>SUM(CM640:CQ643)</f>
        <v>0</v>
      </c>
      <c r="CN644" s="2083"/>
      <c r="CO644" s="2083"/>
      <c r="CP644" s="2083"/>
      <c r="CQ644" s="2084"/>
      <c r="CS644" s="1369">
        <f>BN644+BS644+BX644+CC644+CH644+CM644</f>
        <v>1</v>
      </c>
      <c r="CT644" s="134" t="s">
        <v>2176</v>
      </c>
      <c r="CU644" s="58"/>
      <c r="CV644" s="58"/>
      <c r="CW644" s="58"/>
      <c r="CX644" s="58"/>
      <c r="CY644" s="58"/>
      <c r="CZ644" s="58"/>
      <c r="DA644" s="58"/>
      <c r="DB644" s="58"/>
      <c r="DC644" s="58"/>
      <c r="DD644" s="58"/>
      <c r="DE644" s="58"/>
      <c r="DF644" s="58"/>
      <c r="DX644" s="2095" t="e">
        <f t="shared" si="22"/>
        <v>#VALUE!</v>
      </c>
      <c r="DY644" s="2095"/>
      <c r="DZ644" s="2095"/>
      <c r="EA644" s="2095"/>
      <c r="EB644" s="2095"/>
      <c r="EC644" s="2095" t="e">
        <f t="shared" si="23"/>
        <v>#VALUE!</v>
      </c>
      <c r="ED644" s="2095"/>
      <c r="EE644" s="2095"/>
      <c r="EF644" s="2095"/>
      <c r="EG644" s="2095"/>
      <c r="EH644" s="2095">
        <f t="shared" si="24"/>
        <v>145.83783783783784</v>
      </c>
      <c r="EI644" s="2095"/>
      <c r="EJ644" s="2095"/>
      <c r="EK644" s="2095"/>
      <c r="EL644" s="2095"/>
      <c r="EM644" s="2095" t="e">
        <f t="shared" si="25"/>
        <v>#VALUE!</v>
      </c>
      <c r="EN644" s="2095"/>
      <c r="EO644" s="2095"/>
      <c r="EP644" s="2095"/>
      <c r="EQ644" s="2095"/>
      <c r="ER644" s="2095" t="e">
        <f t="shared" si="26"/>
        <v>#VALUE!</v>
      </c>
      <c r="ES644" s="2095"/>
      <c r="ET644" s="2095"/>
      <c r="EU644" s="2095"/>
      <c r="EV644" s="2095"/>
      <c r="EW644" s="2095" t="e">
        <f t="shared" si="27"/>
        <v>#VALUE!</v>
      </c>
      <c r="EX644" s="2095"/>
      <c r="EY644" s="2095"/>
      <c r="EZ644" s="2095"/>
      <c r="FA644" s="2095"/>
    </row>
    <row r="645" spans="1:157" ht="12.75">
      <c r="B645" s="84" t="s">
        <v>486</v>
      </c>
      <c r="C645" s="2088"/>
      <c r="D645" s="2088"/>
      <c r="E645" s="2088"/>
      <c r="F645" s="2088"/>
      <c r="G645" s="2088"/>
      <c r="H645" s="2088"/>
      <c r="I645" s="2088"/>
      <c r="J645" s="2088"/>
      <c r="K645" s="2088"/>
      <c r="L645" s="2088"/>
      <c r="M645" s="2088"/>
      <c r="N645" s="2366"/>
      <c r="O645" s="2112"/>
      <c r="P645" s="2113"/>
      <c r="Q645" s="2114"/>
      <c r="R645" s="2062"/>
      <c r="S645" s="2063"/>
      <c r="T645" s="2064"/>
      <c r="U645" s="2109"/>
      <c r="V645" s="2110"/>
      <c r="W645" s="2111"/>
      <c r="X645" s="2105" t="s">
        <v>1348</v>
      </c>
      <c r="Y645" s="2106"/>
      <c r="Z645" s="2106"/>
      <c r="AA645" s="2106"/>
      <c r="AB645" s="2107"/>
      <c r="AC645" s="2121"/>
      <c r="AD645" s="2122"/>
      <c r="AE645" s="2123"/>
      <c r="AF645" s="2218"/>
      <c r="AG645" s="2219"/>
      <c r="AH645" s="2219"/>
      <c r="AI645" s="2219"/>
      <c r="AJ645" s="2220"/>
      <c r="AK645" s="2124"/>
      <c r="AL645" s="2125"/>
      <c r="AM645" s="2125"/>
      <c r="AN645" s="2126"/>
      <c r="AO645" s="2108"/>
      <c r="AP645" s="2108"/>
      <c r="AQ645" s="2108"/>
      <c r="AR645" s="2108"/>
      <c r="AS645" s="210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2178</v>
      </c>
      <c r="CU645" s="58"/>
      <c r="CV645" s="58"/>
      <c r="CW645" s="58"/>
      <c r="CX645" s="58"/>
      <c r="CY645" s="58"/>
      <c r="CZ645" s="58"/>
      <c r="DA645" s="58"/>
      <c r="DB645" s="58"/>
      <c r="DC645" s="58"/>
      <c r="DD645" s="58"/>
      <c r="DE645" s="58"/>
      <c r="DF645" s="58"/>
      <c r="DX645" s="2095" t="e">
        <f t="shared" si="22"/>
        <v>#VALUE!</v>
      </c>
      <c r="DY645" s="2095"/>
      <c r="DZ645" s="2095"/>
      <c r="EA645" s="2095"/>
      <c r="EB645" s="2095"/>
      <c r="EC645" s="2095" t="e">
        <f t="shared" si="23"/>
        <v>#VALUE!</v>
      </c>
      <c r="ED645" s="2095"/>
      <c r="EE645" s="2095"/>
      <c r="EF645" s="2095"/>
      <c r="EG645" s="2095"/>
      <c r="EH645" s="2095">
        <f t="shared" si="24"/>
        <v>82.594594594594597</v>
      </c>
      <c r="EI645" s="2095"/>
      <c r="EJ645" s="2095"/>
      <c r="EK645" s="2095"/>
      <c r="EL645" s="2095"/>
      <c r="EM645" s="2095" t="e">
        <f t="shared" si="25"/>
        <v>#VALUE!</v>
      </c>
      <c r="EN645" s="2095"/>
      <c r="EO645" s="2095"/>
      <c r="EP645" s="2095"/>
      <c r="EQ645" s="2095"/>
      <c r="ER645" s="2095" t="e">
        <f t="shared" si="26"/>
        <v>#VALUE!</v>
      </c>
      <c r="ES645" s="2095"/>
      <c r="ET645" s="2095"/>
      <c r="EU645" s="2095"/>
      <c r="EV645" s="2095"/>
      <c r="EW645" s="2095" t="e">
        <f t="shared" si="27"/>
        <v>#VALUE!</v>
      </c>
      <c r="EX645" s="2095"/>
      <c r="EY645" s="2095"/>
      <c r="EZ645" s="2095"/>
      <c r="FA645" s="2095"/>
    </row>
    <row r="646" spans="1:157" ht="12.75">
      <c r="B646" s="84" t="s">
        <v>672</v>
      </c>
      <c r="C646" s="2088"/>
      <c r="D646" s="2088"/>
      <c r="E646" s="2088"/>
      <c r="F646" s="2088"/>
      <c r="G646" s="2088"/>
      <c r="H646" s="2088"/>
      <c r="I646" s="2088"/>
      <c r="J646" s="2088"/>
      <c r="K646" s="2088"/>
      <c r="L646" s="2088"/>
      <c r="M646" s="2088"/>
      <c r="N646" s="2366"/>
      <c r="O646" s="2112"/>
      <c r="P646" s="2113"/>
      <c r="Q646" s="2114"/>
      <c r="R646" s="2062"/>
      <c r="S646" s="2063"/>
      <c r="T646" s="2064"/>
      <c r="U646" s="2109"/>
      <c r="V646" s="2110"/>
      <c r="W646" s="2111"/>
      <c r="X646" s="2105" t="s">
        <v>1348</v>
      </c>
      <c r="Y646" s="2106"/>
      <c r="Z646" s="2106"/>
      <c r="AA646" s="2106"/>
      <c r="AB646" s="2107"/>
      <c r="AC646" s="2121"/>
      <c r="AD646" s="2122"/>
      <c r="AE646" s="2123"/>
      <c r="AF646" s="2218"/>
      <c r="AG646" s="2219"/>
      <c r="AH646" s="2219"/>
      <c r="AI646" s="2219"/>
      <c r="AJ646" s="2220"/>
      <c r="AK646" s="2124"/>
      <c r="AL646" s="2125"/>
      <c r="AM646" s="2125"/>
      <c r="AN646" s="2126"/>
      <c r="AO646" s="2108"/>
      <c r="AP646" s="2108"/>
      <c r="AQ646" s="2108"/>
      <c r="AR646" s="2108"/>
      <c r="AS646" s="210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95" t="e">
        <f t="shared" si="22"/>
        <v>#VALUE!</v>
      </c>
      <c r="DY646" s="2095"/>
      <c r="DZ646" s="2095"/>
      <c r="EA646" s="2095"/>
      <c r="EB646" s="2095"/>
      <c r="EC646" s="2095" t="e">
        <f t="shared" si="23"/>
        <v>#VALUE!</v>
      </c>
      <c r="ED646" s="2095"/>
      <c r="EE646" s="2095"/>
      <c r="EF646" s="2095"/>
      <c r="EG646" s="2095"/>
      <c r="EH646" s="2095" t="e">
        <f t="shared" si="24"/>
        <v>#VALUE!</v>
      </c>
      <c r="EI646" s="2095"/>
      <c r="EJ646" s="2095"/>
      <c r="EK646" s="2095"/>
      <c r="EL646" s="2095"/>
      <c r="EM646" s="2095">
        <f t="shared" si="25"/>
        <v>585.6</v>
      </c>
      <c r="EN646" s="2095"/>
      <c r="EO646" s="2095"/>
      <c r="EP646" s="2095"/>
      <c r="EQ646" s="2095"/>
      <c r="ER646" s="2095" t="e">
        <f t="shared" si="26"/>
        <v>#VALUE!</v>
      </c>
      <c r="ES646" s="2095"/>
      <c r="ET646" s="2095"/>
      <c r="EU646" s="2095"/>
      <c r="EV646" s="2095"/>
      <c r="EW646" s="2095" t="e">
        <f t="shared" si="27"/>
        <v>#VALUE!</v>
      </c>
      <c r="EX646" s="2095"/>
      <c r="EY646" s="2095"/>
      <c r="EZ646" s="2095"/>
      <c r="FA646" s="2095"/>
    </row>
    <row r="647" spans="1:157" ht="12.75">
      <c r="B647" s="84" t="s">
        <v>369</v>
      </c>
      <c r="C647" s="2088"/>
      <c r="D647" s="2088"/>
      <c r="E647" s="2088"/>
      <c r="F647" s="2088"/>
      <c r="G647" s="2088"/>
      <c r="H647" s="2088"/>
      <c r="I647" s="2088"/>
      <c r="J647" s="2088"/>
      <c r="K647" s="2088"/>
      <c r="L647" s="2088"/>
      <c r="M647" s="2088"/>
      <c r="N647" s="2366"/>
      <c r="O647" s="2112"/>
      <c r="P647" s="2113"/>
      <c r="Q647" s="2114"/>
      <c r="R647" s="2062"/>
      <c r="S647" s="2063"/>
      <c r="T647" s="2064"/>
      <c r="U647" s="2109"/>
      <c r="V647" s="2110"/>
      <c r="W647" s="2111"/>
      <c r="X647" s="2105" t="s">
        <v>1348</v>
      </c>
      <c r="Y647" s="2106"/>
      <c r="Z647" s="2106"/>
      <c r="AA647" s="2106"/>
      <c r="AB647" s="2107"/>
      <c r="AC647" s="2121"/>
      <c r="AD647" s="2122"/>
      <c r="AE647" s="2123"/>
      <c r="AF647" s="2218"/>
      <c r="AG647" s="2219"/>
      <c r="AH647" s="2219"/>
      <c r="AI647" s="2219"/>
      <c r="AJ647" s="2220"/>
      <c r="AK647" s="2124"/>
      <c r="AL647" s="2125"/>
      <c r="AM647" s="2125"/>
      <c r="AN647" s="2126"/>
      <c r="AO647" s="2108"/>
      <c r="AP647" s="2108"/>
      <c r="AQ647" s="2108"/>
      <c r="AR647" s="2108"/>
      <c r="AS647" s="210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95" t="e">
        <f t="shared" si="22"/>
        <v>#VALUE!</v>
      </c>
      <c r="DY647" s="2095"/>
      <c r="DZ647" s="2095"/>
      <c r="EA647" s="2095"/>
      <c r="EB647" s="2095"/>
      <c r="EC647" s="2095" t="e">
        <f t="shared" si="23"/>
        <v>#VALUE!</v>
      </c>
      <c r="ED647" s="2095"/>
      <c r="EE647" s="2095"/>
      <c r="EF647" s="2095"/>
      <c r="EG647" s="2095"/>
      <c r="EH647" s="2095" t="e">
        <f t="shared" si="24"/>
        <v>#VALUE!</v>
      </c>
      <c r="EI647" s="2095"/>
      <c r="EJ647" s="2095"/>
      <c r="EK647" s="2095"/>
      <c r="EL647" s="2095"/>
      <c r="EM647" s="2095">
        <f t="shared" si="25"/>
        <v>1023.2857142857142</v>
      </c>
      <c r="EN647" s="2095"/>
      <c r="EO647" s="2095"/>
      <c r="EP647" s="2095"/>
      <c r="EQ647" s="2095"/>
      <c r="ER647" s="2095" t="e">
        <f t="shared" si="26"/>
        <v>#VALUE!</v>
      </c>
      <c r="ES647" s="2095"/>
      <c r="ET647" s="2095"/>
      <c r="EU647" s="2095"/>
      <c r="EV647" s="2095"/>
      <c r="EW647" s="2095" t="e">
        <f t="shared" si="27"/>
        <v>#VALUE!</v>
      </c>
      <c r="EX647" s="2095"/>
      <c r="EY647" s="2095"/>
      <c r="EZ647" s="2095"/>
      <c r="FA647" s="2095"/>
    </row>
    <row r="648" spans="1:157" ht="12.75">
      <c r="B648" s="84" t="s">
        <v>370</v>
      </c>
      <c r="C648" s="2088"/>
      <c r="D648" s="2088"/>
      <c r="E648" s="2088"/>
      <c r="F648" s="2088"/>
      <c r="G648" s="2088"/>
      <c r="H648" s="2088"/>
      <c r="I648" s="2088"/>
      <c r="J648" s="2088"/>
      <c r="K648" s="2088"/>
      <c r="L648" s="2088"/>
      <c r="M648" s="2088"/>
      <c r="N648" s="2366"/>
      <c r="O648" s="2112"/>
      <c r="P648" s="2113"/>
      <c r="Q648" s="2114"/>
      <c r="R648" s="2062"/>
      <c r="S648" s="2063"/>
      <c r="T648" s="2064"/>
      <c r="U648" s="2109"/>
      <c r="V648" s="2110"/>
      <c r="W648" s="2111"/>
      <c r="X648" s="2105" t="s">
        <v>1348</v>
      </c>
      <c r="Y648" s="2106"/>
      <c r="Z648" s="2106"/>
      <c r="AA648" s="2106"/>
      <c r="AB648" s="2107"/>
      <c r="AC648" s="2121"/>
      <c r="AD648" s="2122"/>
      <c r="AE648" s="2123"/>
      <c r="AF648" s="2218"/>
      <c r="AG648" s="2219"/>
      <c r="AH648" s="2219"/>
      <c r="AI648" s="2219"/>
      <c r="AJ648" s="2220"/>
      <c r="AK648" s="2124"/>
      <c r="AL648" s="2125"/>
      <c r="AM648" s="2125"/>
      <c r="AN648" s="2126"/>
      <c r="AO648" s="2108"/>
      <c r="AP648" s="2108"/>
      <c r="AQ648" s="2108"/>
      <c r="AR648" s="2108"/>
      <c r="AS648" s="210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92">
        <f t="shared" ref="BN648:BN657" si="28">IF(J786="SRO/Studio",O786,0)</f>
        <v>0</v>
      </c>
      <c r="BO648" s="2093"/>
      <c r="BP648" s="2093"/>
      <c r="BQ648" s="2093"/>
      <c r="BR648" s="2094"/>
      <c r="BS648" s="2052">
        <f t="shared" ref="BS648:BS657" si="29">IF(J786="1 Bedroom",O786,0)</f>
        <v>0</v>
      </c>
      <c r="BT648" s="2052"/>
      <c r="BU648" s="2052"/>
      <c r="BV648" s="2052"/>
      <c r="BW648" s="2052"/>
      <c r="BX648" s="2052">
        <f t="shared" ref="BX648:BX657" si="30">IF(J786="2 Bedrooms",O786,0)</f>
        <v>0</v>
      </c>
      <c r="BY648" s="2052"/>
      <c r="BZ648" s="2052"/>
      <c r="CA648" s="2052"/>
      <c r="CB648" s="2052"/>
      <c r="CC648" s="2052">
        <f t="shared" ref="CC648:CC657" si="31">IF(J786="3 Bedrooms",O786,0)</f>
        <v>0</v>
      </c>
      <c r="CD648" s="2052"/>
      <c r="CE648" s="2052"/>
      <c r="CF648" s="2052"/>
      <c r="CG648" s="2052"/>
      <c r="CH648" s="2052">
        <f t="shared" ref="CH648:CH657" si="32">IF(J786="4 Bedrooms",O786,0)</f>
        <v>0</v>
      </c>
      <c r="CI648" s="2052"/>
      <c r="CJ648" s="2052"/>
      <c r="CK648" s="2052"/>
      <c r="CL648" s="2052"/>
      <c r="CM648" s="2052">
        <f t="shared" ref="CM648:CM657" si="33">IF(J786="5 Bedrooms",O786,0)</f>
        <v>0</v>
      </c>
      <c r="CN648" s="2052"/>
      <c r="CO648" s="2052"/>
      <c r="CP648" s="2052"/>
      <c r="CQ648" s="2052"/>
      <c r="CR648" s="265"/>
      <c r="CS648" s="2092">
        <f>IF(AND(BN648&gt;=1,AH786&gt;=0.1,AH786&lt;=1),O786,0)</f>
        <v>0</v>
      </c>
      <c r="CT648" s="2093"/>
      <c r="CU648" s="2093"/>
      <c r="CV648" s="2093"/>
      <c r="CW648" s="2094"/>
      <c r="CX648" s="2092">
        <f>IF(AND(BS648&gt;=1,AH786&gt;=0.1,AH786&lt;=1),O786,0)</f>
        <v>0</v>
      </c>
      <c r="CY648" s="2093"/>
      <c r="CZ648" s="2093"/>
      <c r="DA648" s="2093"/>
      <c r="DB648" s="2094"/>
      <c r="DC648" s="2092">
        <f>IF(AND(BX648&gt;=1,AH786&gt;=0.1,AH786&lt;=1),O786,0)</f>
        <v>0</v>
      </c>
      <c r="DD648" s="2093"/>
      <c r="DE648" s="2093"/>
      <c r="DF648" s="2093"/>
      <c r="DG648" s="2094"/>
      <c r="DH648" s="2092">
        <f>IF(AND(CC648&gt;=1,AH786&gt;=0.1,AH786&lt;=1),O786,0)</f>
        <v>0</v>
      </c>
      <c r="DI648" s="2093"/>
      <c r="DJ648" s="2093"/>
      <c r="DK648" s="2093"/>
      <c r="DL648" s="2094"/>
      <c r="DM648" s="2092">
        <f>IF(AND(CH648&gt;=1,AH786&gt;=0.1,AH786&lt;=1),O786,0)</f>
        <v>0</v>
      </c>
      <c r="DN648" s="2093"/>
      <c r="DO648" s="2093"/>
      <c r="DP648" s="2093"/>
      <c r="DQ648" s="2094"/>
      <c r="DR648" s="2092">
        <f>IF(AND(CM648&gt;=1,AH786&gt;=0.1,AH786&lt;=1),O786,0)</f>
        <v>0</v>
      </c>
      <c r="DS648" s="2093"/>
      <c r="DT648" s="2093"/>
      <c r="DU648" s="2093"/>
      <c r="DV648" s="2094"/>
      <c r="DX648" s="2095" t="e">
        <f t="shared" si="22"/>
        <v>#VALUE!</v>
      </c>
      <c r="DY648" s="2095"/>
      <c r="DZ648" s="2095"/>
      <c r="EA648" s="2095"/>
      <c r="EB648" s="2095"/>
      <c r="EC648" s="2095" t="e">
        <f t="shared" si="23"/>
        <v>#VALUE!</v>
      </c>
      <c r="ED648" s="2095"/>
      <c r="EE648" s="2095"/>
      <c r="EF648" s="2095"/>
      <c r="EG648" s="2095"/>
      <c r="EH648" s="2095" t="e">
        <f t="shared" si="24"/>
        <v>#VALUE!</v>
      </c>
      <c r="EI648" s="2095"/>
      <c r="EJ648" s="2095"/>
      <c r="EK648" s="2095"/>
      <c r="EL648" s="2095"/>
      <c r="EM648" s="2095">
        <f t="shared" si="25"/>
        <v>176.68571428571428</v>
      </c>
      <c r="EN648" s="2095"/>
      <c r="EO648" s="2095"/>
      <c r="EP648" s="2095"/>
      <c r="EQ648" s="2095"/>
      <c r="ER648" s="2095" t="e">
        <f t="shared" si="26"/>
        <v>#VALUE!</v>
      </c>
      <c r="ES648" s="2095"/>
      <c r="ET648" s="2095"/>
      <c r="EU648" s="2095"/>
      <c r="EV648" s="2095"/>
      <c r="EW648" s="2095" t="e">
        <f t="shared" si="27"/>
        <v>#VALUE!</v>
      </c>
      <c r="EX648" s="2095"/>
      <c r="EY648" s="2095"/>
      <c r="EZ648" s="2095"/>
      <c r="FA648" s="2095"/>
    </row>
    <row r="649" spans="1:157" ht="12.75">
      <c r="B649" s="2385" t="s">
        <v>133</v>
      </c>
      <c r="C649" s="2386"/>
      <c r="D649" s="2386"/>
      <c r="E649" s="2386"/>
      <c r="F649" s="2386"/>
      <c r="G649" s="2386"/>
      <c r="H649" s="2386"/>
      <c r="I649" s="2386"/>
      <c r="J649" s="2386"/>
      <c r="K649" s="2386"/>
      <c r="L649" s="2386"/>
      <c r="M649" s="2386"/>
      <c r="N649" s="2386"/>
      <c r="O649" s="2386"/>
      <c r="P649" s="2386"/>
      <c r="Q649" s="2386"/>
      <c r="R649" s="2386"/>
      <c r="S649" s="2386"/>
      <c r="T649" s="2386"/>
      <c r="U649" s="2386"/>
      <c r="V649" s="2386"/>
      <c r="W649" s="2386"/>
      <c r="X649" s="2386"/>
      <c r="Y649" s="2386"/>
      <c r="Z649" s="2386"/>
      <c r="AA649" s="2386"/>
      <c r="AB649" s="2386"/>
      <c r="AC649" s="2386"/>
      <c r="AD649" s="2386"/>
      <c r="AE649" s="2386"/>
      <c r="AF649" s="2386"/>
      <c r="AG649" s="2386"/>
      <c r="AH649" s="2386"/>
      <c r="AI649" s="2386"/>
      <c r="AJ649" s="2386"/>
      <c r="AK649" s="2386"/>
      <c r="AL649" s="2386"/>
      <c r="AM649" s="2386"/>
      <c r="AN649" s="2387"/>
      <c r="AO649" s="2277">
        <f>SUM(AO637:AR648)</f>
        <v>50927601.288144015</v>
      </c>
      <c r="AP649" s="2278"/>
      <c r="AQ649" s="2278"/>
      <c r="AR649" s="2278"/>
      <c r="AS649" s="2279"/>
      <c r="AZ649" s="58"/>
      <c r="BA649" s="58"/>
      <c r="BB649" s="58"/>
      <c r="BC649" s="58"/>
      <c r="BD649" s="58"/>
      <c r="BE649" s="58"/>
      <c r="BF649" s="58"/>
      <c r="BG649" s="58"/>
      <c r="BH649" s="58"/>
      <c r="BI649" s="58"/>
      <c r="BJ649" s="58"/>
      <c r="BK649" s="58"/>
      <c r="BL649" s="58"/>
      <c r="BM649" s="58"/>
      <c r="BN649" s="2092">
        <f t="shared" si="28"/>
        <v>0</v>
      </c>
      <c r="BO649" s="2093"/>
      <c r="BP649" s="2093"/>
      <c r="BQ649" s="2093"/>
      <c r="BR649" s="2094"/>
      <c r="BS649" s="2052">
        <f t="shared" si="29"/>
        <v>0</v>
      </c>
      <c r="BT649" s="2052"/>
      <c r="BU649" s="2052"/>
      <c r="BV649" s="2052"/>
      <c r="BW649" s="2052"/>
      <c r="BX649" s="2052">
        <f t="shared" si="30"/>
        <v>0</v>
      </c>
      <c r="BY649" s="2052"/>
      <c r="BZ649" s="2052"/>
      <c r="CA649" s="2052"/>
      <c r="CB649" s="2052"/>
      <c r="CC649" s="2052">
        <f t="shared" si="31"/>
        <v>0</v>
      </c>
      <c r="CD649" s="2052"/>
      <c r="CE649" s="2052"/>
      <c r="CF649" s="2052"/>
      <c r="CG649" s="2052"/>
      <c r="CH649" s="2052">
        <f t="shared" si="32"/>
        <v>0</v>
      </c>
      <c r="CI649" s="2052"/>
      <c r="CJ649" s="2052"/>
      <c r="CK649" s="2052"/>
      <c r="CL649" s="2052"/>
      <c r="CM649" s="2052">
        <f t="shared" si="33"/>
        <v>0</v>
      </c>
      <c r="CN649" s="2052"/>
      <c r="CO649" s="2052"/>
      <c r="CP649" s="2052"/>
      <c r="CQ649" s="2052"/>
      <c r="CR649" s="265"/>
      <c r="CS649" s="2092">
        <f t="shared" ref="CS649:CS657" si="34">IF(AND(BN649&gt;=1,AH787&gt;=0.1,AH787&lt;=1),O787,0)</f>
        <v>0</v>
      </c>
      <c r="CT649" s="2093"/>
      <c r="CU649" s="2093"/>
      <c r="CV649" s="2093"/>
      <c r="CW649" s="2094"/>
      <c r="CX649" s="2092">
        <f t="shared" ref="CX649:CX657" si="35">IF(AND(BS649&gt;=1,AH787&gt;=0.1,AH787&lt;=1),O787,0)</f>
        <v>0</v>
      </c>
      <c r="CY649" s="2093"/>
      <c r="CZ649" s="2093"/>
      <c r="DA649" s="2093"/>
      <c r="DB649" s="2094"/>
      <c r="DC649" s="2092">
        <f t="shared" ref="DC649:DC657" si="36">IF(AND(BX649&gt;=1,AH787&gt;=0.1,AH787&lt;=1),O787,0)</f>
        <v>0</v>
      </c>
      <c r="DD649" s="2093"/>
      <c r="DE649" s="2093"/>
      <c r="DF649" s="2093"/>
      <c r="DG649" s="2094"/>
      <c r="DH649" s="2092">
        <f t="shared" ref="DH649:DH657" si="37">IF(AND(CC649&gt;=1,AH787&gt;=0.1,AH787&lt;=1),O787,0)</f>
        <v>0</v>
      </c>
      <c r="DI649" s="2093"/>
      <c r="DJ649" s="2093"/>
      <c r="DK649" s="2093"/>
      <c r="DL649" s="2094"/>
      <c r="DM649" s="2092">
        <f t="shared" ref="DM649:DM657" si="38">IF(AND(CH649&gt;=1,AH787&gt;=0.1,AH787&lt;=1),O787,0)</f>
        <v>0</v>
      </c>
      <c r="DN649" s="2093"/>
      <c r="DO649" s="2093"/>
      <c r="DP649" s="2093"/>
      <c r="DQ649" s="2094"/>
      <c r="DR649" s="2092">
        <f t="shared" ref="DR649:DR657" si="39">IF(AND(CM649&gt;=1,AH787&gt;=0.1,AH787&lt;=1),O787,0)</f>
        <v>0</v>
      </c>
      <c r="DS649" s="2093"/>
      <c r="DT649" s="2093"/>
      <c r="DU649" s="2093"/>
      <c r="DV649" s="2094"/>
      <c r="DX649" s="2095" t="e">
        <f t="shared" si="22"/>
        <v>#VALUE!</v>
      </c>
      <c r="DY649" s="2095"/>
      <c r="DZ649" s="2095"/>
      <c r="EA649" s="2095"/>
      <c r="EB649" s="2095"/>
      <c r="EC649" s="2095" t="e">
        <f t="shared" si="23"/>
        <v>#VALUE!</v>
      </c>
      <c r="ED649" s="2095"/>
      <c r="EE649" s="2095"/>
      <c r="EF649" s="2095"/>
      <c r="EG649" s="2095"/>
      <c r="EH649" s="2095" t="e">
        <f t="shared" si="24"/>
        <v>#VALUE!</v>
      </c>
      <c r="EI649" s="2095"/>
      <c r="EJ649" s="2095"/>
      <c r="EK649" s="2095"/>
      <c r="EL649" s="2095"/>
      <c r="EM649" s="2095">
        <f t="shared" si="25"/>
        <v>99.428571428571431</v>
      </c>
      <c r="EN649" s="2095"/>
      <c r="EO649" s="2095"/>
      <c r="EP649" s="2095"/>
      <c r="EQ649" s="2095"/>
      <c r="ER649" s="2095" t="e">
        <f t="shared" si="26"/>
        <v>#VALUE!</v>
      </c>
      <c r="ES649" s="2095"/>
      <c r="ET649" s="2095"/>
      <c r="EU649" s="2095"/>
      <c r="EV649" s="2095"/>
      <c r="EW649" s="2095" t="e">
        <f t="shared" si="27"/>
        <v>#VALUE!</v>
      </c>
      <c r="EX649" s="2095"/>
      <c r="EY649" s="2095"/>
      <c r="EZ649" s="2095"/>
      <c r="FA649" s="2095"/>
    </row>
    <row r="650" spans="1:157" ht="12.75" customHeight="1">
      <c r="B650" s="2385" t="s">
        <v>273</v>
      </c>
      <c r="C650" s="2386"/>
      <c r="D650" s="2386"/>
      <c r="E650" s="2386"/>
      <c r="F650" s="2386"/>
      <c r="G650" s="2386"/>
      <c r="H650" s="2386"/>
      <c r="I650" s="2386"/>
      <c r="J650" s="2386"/>
      <c r="K650" s="2386"/>
      <c r="L650" s="2386"/>
      <c r="M650" s="2386"/>
      <c r="N650" s="2386"/>
      <c r="O650" s="2386"/>
      <c r="P650" s="2386"/>
      <c r="Q650" s="2386"/>
      <c r="R650" s="2386"/>
      <c r="S650" s="2386"/>
      <c r="T650" s="2386"/>
      <c r="U650" s="2386"/>
      <c r="V650" s="2386"/>
      <c r="W650" s="2386"/>
      <c r="X650" s="2386"/>
      <c r="Y650" s="2386"/>
      <c r="Z650" s="2386"/>
      <c r="AA650" s="2386"/>
      <c r="AB650" s="2386"/>
      <c r="AC650" s="2386"/>
      <c r="AD650" s="2386"/>
      <c r="AE650" s="2386"/>
      <c r="AF650" s="2386"/>
      <c r="AG650" s="2386"/>
      <c r="AH650" s="2386"/>
      <c r="AI650" s="2386"/>
      <c r="AJ650" s="2386"/>
      <c r="AK650" s="2386"/>
      <c r="AL650" s="2386"/>
      <c r="AM650" s="2386"/>
      <c r="AN650" s="2387"/>
      <c r="AO650" s="2309">
        <f>+'[10]S&amp;U Qtr'!$W$7-2</f>
        <v>30762619.236173399</v>
      </c>
      <c r="AP650" s="2310"/>
      <c r="AQ650" s="2310"/>
      <c r="AR650" s="2310"/>
      <c r="AS650" s="2267"/>
      <c r="AZ650" s="61"/>
      <c r="BA650" s="61"/>
      <c r="BB650" s="61"/>
      <c r="BC650" s="61"/>
      <c r="BD650" s="61"/>
      <c r="BE650" s="61"/>
      <c r="BF650" s="61"/>
      <c r="BG650" s="61"/>
      <c r="BH650" s="61"/>
      <c r="BI650" s="61"/>
      <c r="BJ650" s="61"/>
      <c r="BK650" s="61"/>
      <c r="BL650" s="61"/>
      <c r="BM650" s="61"/>
      <c r="BN650" s="2092">
        <f t="shared" si="28"/>
        <v>0</v>
      </c>
      <c r="BO650" s="2093"/>
      <c r="BP650" s="2093"/>
      <c r="BQ650" s="2093"/>
      <c r="BR650" s="2094"/>
      <c r="BS650" s="2052">
        <f t="shared" si="29"/>
        <v>0</v>
      </c>
      <c r="BT650" s="2052"/>
      <c r="BU650" s="2052"/>
      <c r="BV650" s="2052"/>
      <c r="BW650" s="2052"/>
      <c r="BX650" s="2052">
        <f t="shared" si="30"/>
        <v>0</v>
      </c>
      <c r="BY650" s="2052"/>
      <c r="BZ650" s="2052"/>
      <c r="CA650" s="2052"/>
      <c r="CB650" s="2052"/>
      <c r="CC650" s="2052">
        <f t="shared" si="31"/>
        <v>0</v>
      </c>
      <c r="CD650" s="2052"/>
      <c r="CE650" s="2052"/>
      <c r="CF650" s="2052"/>
      <c r="CG650" s="2052"/>
      <c r="CH650" s="2052">
        <f t="shared" si="32"/>
        <v>0</v>
      </c>
      <c r="CI650" s="2052"/>
      <c r="CJ650" s="2052"/>
      <c r="CK650" s="2052"/>
      <c r="CL650" s="2052"/>
      <c r="CM650" s="2052">
        <f t="shared" si="33"/>
        <v>0</v>
      </c>
      <c r="CN650" s="2052"/>
      <c r="CO650" s="2052"/>
      <c r="CP650" s="2052"/>
      <c r="CQ650" s="2052"/>
      <c r="CR650" s="265"/>
      <c r="CS650" s="2092">
        <f t="shared" si="34"/>
        <v>0</v>
      </c>
      <c r="CT650" s="2093"/>
      <c r="CU650" s="2093"/>
      <c r="CV650" s="2093"/>
      <c r="CW650" s="2094"/>
      <c r="CX650" s="2092">
        <f t="shared" si="35"/>
        <v>0</v>
      </c>
      <c r="CY650" s="2093"/>
      <c r="CZ650" s="2093"/>
      <c r="DA650" s="2093"/>
      <c r="DB650" s="2094"/>
      <c r="DC650" s="2092">
        <f t="shared" si="36"/>
        <v>0</v>
      </c>
      <c r="DD650" s="2093"/>
      <c r="DE650" s="2093"/>
      <c r="DF650" s="2093"/>
      <c r="DG650" s="2094"/>
      <c r="DH650" s="2092">
        <f t="shared" si="37"/>
        <v>0</v>
      </c>
      <c r="DI650" s="2093"/>
      <c r="DJ650" s="2093"/>
      <c r="DK650" s="2093"/>
      <c r="DL650" s="2094"/>
      <c r="DM650" s="2092">
        <f t="shared" si="38"/>
        <v>0</v>
      </c>
      <c r="DN650" s="2093"/>
      <c r="DO650" s="2093"/>
      <c r="DP650" s="2093"/>
      <c r="DQ650" s="2094"/>
      <c r="DR650" s="2092">
        <f t="shared" si="39"/>
        <v>0</v>
      </c>
      <c r="DS650" s="2093"/>
      <c r="DT650" s="2093"/>
      <c r="DU650" s="2093"/>
      <c r="DV650" s="2094"/>
      <c r="DX650" s="2095" t="e">
        <f t="shared" si="22"/>
        <v>#VALUE!</v>
      </c>
      <c r="DY650" s="2095"/>
      <c r="DZ650" s="2095"/>
      <c r="EA650" s="2095"/>
      <c r="EB650" s="2095"/>
      <c r="EC650" s="2095" t="e">
        <f t="shared" si="23"/>
        <v>#VALUE!</v>
      </c>
      <c r="ED650" s="2095"/>
      <c r="EE650" s="2095"/>
      <c r="EF650" s="2095"/>
      <c r="EG650" s="2095"/>
      <c r="EH650" s="2095" t="e">
        <f t="shared" si="24"/>
        <v>#VALUE!</v>
      </c>
      <c r="EI650" s="2095"/>
      <c r="EJ650" s="2095"/>
      <c r="EK650" s="2095"/>
      <c r="EL650" s="2095"/>
      <c r="EM650" s="2095" t="e">
        <f t="shared" si="25"/>
        <v>#VALUE!</v>
      </c>
      <c r="EN650" s="2095"/>
      <c r="EO650" s="2095"/>
      <c r="EP650" s="2095"/>
      <c r="EQ650" s="2095"/>
      <c r="ER650" s="2095" t="e">
        <f t="shared" si="26"/>
        <v>#VALUE!</v>
      </c>
      <c r="ES650" s="2095"/>
      <c r="ET650" s="2095"/>
      <c r="EU650" s="2095"/>
      <c r="EV650" s="2095"/>
      <c r="EW650" s="2095" t="e">
        <f t="shared" si="27"/>
        <v>#VALUE!</v>
      </c>
      <c r="EX650" s="2095"/>
      <c r="EY650" s="2095"/>
      <c r="EZ650" s="2095"/>
      <c r="FA650" s="2095"/>
    </row>
    <row r="651" spans="1:157" ht="12.75" customHeight="1">
      <c r="B651" s="2474" t="s">
        <v>274</v>
      </c>
      <c r="C651" s="2475"/>
      <c r="D651" s="2475"/>
      <c r="E651" s="2475"/>
      <c r="F651" s="2475"/>
      <c r="G651" s="2475"/>
      <c r="H651" s="2475"/>
      <c r="I651" s="2475"/>
      <c r="J651" s="2475"/>
      <c r="K651" s="2475"/>
      <c r="L651" s="2475"/>
      <c r="M651" s="2475"/>
      <c r="N651" s="2475"/>
      <c r="O651" s="2475"/>
      <c r="P651" s="2475"/>
      <c r="Q651" s="2475"/>
      <c r="R651" s="2475"/>
      <c r="S651" s="2475"/>
      <c r="T651" s="2475"/>
      <c r="U651" s="2475"/>
      <c r="V651" s="2475"/>
      <c r="W651" s="2475"/>
      <c r="X651" s="2475"/>
      <c r="Y651" s="2475"/>
      <c r="Z651" s="2475"/>
      <c r="AA651" s="2475"/>
      <c r="AB651" s="2475"/>
      <c r="AC651" s="2475"/>
      <c r="AD651" s="2475"/>
      <c r="AE651" s="2475"/>
      <c r="AF651" s="2475"/>
      <c r="AG651" s="2475"/>
      <c r="AH651" s="2475"/>
      <c r="AI651" s="2475"/>
      <c r="AJ651" s="2475"/>
      <c r="AK651" s="2475"/>
      <c r="AL651" s="2475"/>
      <c r="AM651" s="2475"/>
      <c r="AN651" s="2476"/>
      <c r="AO651" s="2277">
        <f>AO649+AO650</f>
        <v>81690220.524317414</v>
      </c>
      <c r="AP651" s="2278"/>
      <c r="AQ651" s="2278"/>
      <c r="AR651" s="2278"/>
      <c r="AS651" s="2279"/>
      <c r="AZ651" s="61"/>
      <c r="BA651" s="61"/>
      <c r="BB651" s="61"/>
      <c r="BC651" s="61"/>
      <c r="BD651" s="61"/>
      <c r="BE651" s="61"/>
      <c r="BF651" s="61"/>
      <c r="BG651" s="61"/>
      <c r="BH651" s="61"/>
      <c r="BI651" s="61"/>
      <c r="BJ651" s="61"/>
      <c r="BK651" s="61"/>
      <c r="BL651" s="61"/>
      <c r="BM651" s="61"/>
      <c r="BN651" s="2092">
        <f t="shared" si="28"/>
        <v>0</v>
      </c>
      <c r="BO651" s="2093"/>
      <c r="BP651" s="2093"/>
      <c r="BQ651" s="2093"/>
      <c r="BR651" s="2094"/>
      <c r="BS651" s="2052">
        <f t="shared" si="29"/>
        <v>0</v>
      </c>
      <c r="BT651" s="2052"/>
      <c r="BU651" s="2052"/>
      <c r="BV651" s="2052"/>
      <c r="BW651" s="2052"/>
      <c r="BX651" s="2052">
        <f t="shared" si="30"/>
        <v>0</v>
      </c>
      <c r="BY651" s="2052"/>
      <c r="BZ651" s="2052"/>
      <c r="CA651" s="2052"/>
      <c r="CB651" s="2052"/>
      <c r="CC651" s="2052">
        <f t="shared" si="31"/>
        <v>0</v>
      </c>
      <c r="CD651" s="2052"/>
      <c r="CE651" s="2052"/>
      <c r="CF651" s="2052"/>
      <c r="CG651" s="2052"/>
      <c r="CH651" s="2052">
        <f t="shared" si="32"/>
        <v>0</v>
      </c>
      <c r="CI651" s="2052"/>
      <c r="CJ651" s="2052"/>
      <c r="CK651" s="2052"/>
      <c r="CL651" s="2052"/>
      <c r="CM651" s="2052">
        <f t="shared" si="33"/>
        <v>0</v>
      </c>
      <c r="CN651" s="2052"/>
      <c r="CO651" s="2052"/>
      <c r="CP651" s="2052"/>
      <c r="CQ651" s="2052"/>
      <c r="CR651" s="265"/>
      <c r="CS651" s="2092">
        <f t="shared" si="34"/>
        <v>0</v>
      </c>
      <c r="CT651" s="2093"/>
      <c r="CU651" s="2093"/>
      <c r="CV651" s="2093"/>
      <c r="CW651" s="2094"/>
      <c r="CX651" s="2092">
        <f t="shared" si="35"/>
        <v>0</v>
      </c>
      <c r="CY651" s="2093"/>
      <c r="CZ651" s="2093"/>
      <c r="DA651" s="2093"/>
      <c r="DB651" s="2094"/>
      <c r="DC651" s="2092">
        <f t="shared" si="36"/>
        <v>0</v>
      </c>
      <c r="DD651" s="2093"/>
      <c r="DE651" s="2093"/>
      <c r="DF651" s="2093"/>
      <c r="DG651" s="2094"/>
      <c r="DH651" s="2092">
        <f t="shared" si="37"/>
        <v>0</v>
      </c>
      <c r="DI651" s="2093"/>
      <c r="DJ651" s="2093"/>
      <c r="DK651" s="2093"/>
      <c r="DL651" s="2094"/>
      <c r="DM651" s="2092">
        <f t="shared" si="38"/>
        <v>0</v>
      </c>
      <c r="DN651" s="2093"/>
      <c r="DO651" s="2093"/>
      <c r="DP651" s="2093"/>
      <c r="DQ651" s="2094"/>
      <c r="DR651" s="2092">
        <f t="shared" si="39"/>
        <v>0</v>
      </c>
      <c r="DS651" s="2093"/>
      <c r="DT651" s="2093"/>
      <c r="DU651" s="2093"/>
      <c r="DV651" s="2094"/>
      <c r="DX651" s="2095" t="e">
        <f t="shared" si="22"/>
        <v>#VALUE!</v>
      </c>
      <c r="DY651" s="2095"/>
      <c r="DZ651" s="2095"/>
      <c r="EA651" s="2095"/>
      <c r="EB651" s="2095"/>
      <c r="EC651" s="2095" t="e">
        <f t="shared" si="23"/>
        <v>#VALUE!</v>
      </c>
      <c r="ED651" s="2095"/>
      <c r="EE651" s="2095"/>
      <c r="EF651" s="2095"/>
      <c r="EG651" s="2095"/>
      <c r="EH651" s="2095" t="e">
        <f t="shared" si="24"/>
        <v>#VALUE!</v>
      </c>
      <c r="EI651" s="2095"/>
      <c r="EJ651" s="2095"/>
      <c r="EK651" s="2095"/>
      <c r="EL651" s="2095"/>
      <c r="EM651" s="2095" t="e">
        <f t="shared" si="25"/>
        <v>#VALUE!</v>
      </c>
      <c r="EN651" s="2095"/>
      <c r="EO651" s="2095"/>
      <c r="EP651" s="2095"/>
      <c r="EQ651" s="2095"/>
      <c r="ER651" s="2095" t="e">
        <f t="shared" si="26"/>
        <v>#VALUE!</v>
      </c>
      <c r="ES651" s="2095"/>
      <c r="ET651" s="2095"/>
      <c r="EU651" s="2095"/>
      <c r="EV651" s="2095"/>
      <c r="EW651" s="2095" t="e">
        <f t="shared" si="27"/>
        <v>#VALUE!</v>
      </c>
      <c r="EX651" s="2095"/>
      <c r="EY651" s="2095"/>
      <c r="EZ651" s="2095"/>
      <c r="FA651" s="2095"/>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92">
        <f t="shared" si="28"/>
        <v>0</v>
      </c>
      <c r="BO652" s="2093"/>
      <c r="BP652" s="2093"/>
      <c r="BQ652" s="2093"/>
      <c r="BR652" s="2094"/>
      <c r="BS652" s="2052">
        <f t="shared" si="29"/>
        <v>0</v>
      </c>
      <c r="BT652" s="2052"/>
      <c r="BU652" s="2052"/>
      <c r="BV652" s="2052"/>
      <c r="BW652" s="2052"/>
      <c r="BX652" s="2052">
        <f t="shared" si="30"/>
        <v>0</v>
      </c>
      <c r="BY652" s="2052"/>
      <c r="BZ652" s="2052"/>
      <c r="CA652" s="2052"/>
      <c r="CB652" s="2052"/>
      <c r="CC652" s="2052">
        <f t="shared" si="31"/>
        <v>0</v>
      </c>
      <c r="CD652" s="2052"/>
      <c r="CE652" s="2052"/>
      <c r="CF652" s="2052"/>
      <c r="CG652" s="2052"/>
      <c r="CH652" s="2052">
        <f t="shared" si="32"/>
        <v>0</v>
      </c>
      <c r="CI652" s="2052"/>
      <c r="CJ652" s="2052"/>
      <c r="CK652" s="2052"/>
      <c r="CL652" s="2052"/>
      <c r="CM652" s="2052">
        <f t="shared" si="33"/>
        <v>0</v>
      </c>
      <c r="CN652" s="2052"/>
      <c r="CO652" s="2052"/>
      <c r="CP652" s="2052"/>
      <c r="CQ652" s="2052"/>
      <c r="CR652" s="265"/>
      <c r="CS652" s="2092">
        <f t="shared" si="34"/>
        <v>0</v>
      </c>
      <c r="CT652" s="2093"/>
      <c r="CU652" s="2093"/>
      <c r="CV652" s="2093"/>
      <c r="CW652" s="2094"/>
      <c r="CX652" s="2092">
        <f t="shared" si="35"/>
        <v>0</v>
      </c>
      <c r="CY652" s="2093"/>
      <c r="CZ652" s="2093"/>
      <c r="DA652" s="2093"/>
      <c r="DB652" s="2094"/>
      <c r="DC652" s="2092">
        <f t="shared" si="36"/>
        <v>0</v>
      </c>
      <c r="DD652" s="2093"/>
      <c r="DE652" s="2093"/>
      <c r="DF652" s="2093"/>
      <c r="DG652" s="2094"/>
      <c r="DH652" s="2092">
        <f t="shared" si="37"/>
        <v>0</v>
      </c>
      <c r="DI652" s="2093"/>
      <c r="DJ652" s="2093"/>
      <c r="DK652" s="2093"/>
      <c r="DL652" s="2094"/>
      <c r="DM652" s="2092">
        <f t="shared" si="38"/>
        <v>0</v>
      </c>
      <c r="DN652" s="2093"/>
      <c r="DO652" s="2093"/>
      <c r="DP652" s="2093"/>
      <c r="DQ652" s="2094"/>
      <c r="DR652" s="2092">
        <f t="shared" si="39"/>
        <v>0</v>
      </c>
      <c r="DS652" s="2093"/>
      <c r="DT652" s="2093"/>
      <c r="DU652" s="2093"/>
      <c r="DV652" s="2094"/>
      <c r="DX652" s="2095" t="e">
        <f t="shared" si="22"/>
        <v>#VALUE!</v>
      </c>
      <c r="DY652" s="2095"/>
      <c r="DZ652" s="2095"/>
      <c r="EA652" s="2095"/>
      <c r="EB652" s="2095"/>
      <c r="EC652" s="2095" t="e">
        <f t="shared" si="23"/>
        <v>#VALUE!</v>
      </c>
      <c r="ED652" s="2095"/>
      <c r="EE652" s="2095"/>
      <c r="EF652" s="2095"/>
      <c r="EG652" s="2095"/>
      <c r="EH652" s="2095" t="e">
        <f t="shared" si="24"/>
        <v>#VALUE!</v>
      </c>
      <c r="EI652" s="2095"/>
      <c r="EJ652" s="2095"/>
      <c r="EK652" s="2095"/>
      <c r="EL652" s="2095"/>
      <c r="EM652" s="2095" t="e">
        <f t="shared" si="25"/>
        <v>#VALUE!</v>
      </c>
      <c r="EN652" s="2095"/>
      <c r="EO652" s="2095"/>
      <c r="EP652" s="2095"/>
      <c r="EQ652" s="2095"/>
      <c r="ER652" s="2095" t="e">
        <f t="shared" si="26"/>
        <v>#VALUE!</v>
      </c>
      <c r="ES652" s="2095"/>
      <c r="ET652" s="2095"/>
      <c r="EU652" s="2095"/>
      <c r="EV652" s="2095"/>
      <c r="EW652" s="2095" t="e">
        <f t="shared" si="27"/>
        <v>#VALUE!</v>
      </c>
      <c r="EX652" s="2095"/>
      <c r="EY652" s="2095"/>
      <c r="EZ652" s="2095"/>
      <c r="FA652" s="2095"/>
    </row>
    <row r="653" spans="1:157" ht="12.75">
      <c r="A653" s="87" t="s">
        <v>117</v>
      </c>
      <c r="B653" s="12" t="s">
        <v>488</v>
      </c>
      <c r="G653" s="2072" t="str">
        <f>C637</f>
        <v>Citi/Permanent Loan</v>
      </c>
      <c r="H653" s="2072"/>
      <c r="I653" s="2072"/>
      <c r="J653" s="2072"/>
      <c r="K653" s="2072"/>
      <c r="L653" s="2072"/>
      <c r="M653" s="2072"/>
      <c r="N653" s="2072"/>
      <c r="O653" s="2072"/>
      <c r="P653" s="2072"/>
      <c r="Q653" s="2072"/>
      <c r="R653" s="2072"/>
      <c r="S653" s="14"/>
      <c r="T653" s="87" t="s">
        <v>118</v>
      </c>
      <c r="U653" s="12" t="s">
        <v>488</v>
      </c>
      <c r="Z653" s="2072" t="str">
        <f>C638</f>
        <v>CIC Opportunties Fund/Jr Bond</v>
      </c>
      <c r="AA653" s="2072"/>
      <c r="AB653" s="2072"/>
      <c r="AC653" s="2072"/>
      <c r="AD653" s="2072"/>
      <c r="AE653" s="2072"/>
      <c r="AF653" s="2072"/>
      <c r="AG653" s="2072"/>
      <c r="AH653" s="2072"/>
      <c r="AI653" s="2072"/>
      <c r="AJ653" s="2072"/>
      <c r="AK653" s="2072"/>
      <c r="AZ653" s="61"/>
      <c r="BA653" s="61"/>
      <c r="BB653" s="61"/>
      <c r="BC653" s="61"/>
      <c r="BD653" s="61"/>
      <c r="BE653" s="61"/>
      <c r="BF653" s="61"/>
      <c r="BG653" s="61"/>
      <c r="BH653" s="61"/>
      <c r="BI653" s="61"/>
      <c r="BJ653" s="61"/>
      <c r="BK653" s="61"/>
      <c r="BL653" s="61"/>
      <c r="BM653" s="61"/>
      <c r="BN653" s="2092">
        <f t="shared" si="28"/>
        <v>0</v>
      </c>
      <c r="BO653" s="2093"/>
      <c r="BP653" s="2093"/>
      <c r="BQ653" s="2093"/>
      <c r="BR653" s="2094"/>
      <c r="BS653" s="2052">
        <f t="shared" si="29"/>
        <v>0</v>
      </c>
      <c r="BT653" s="2052"/>
      <c r="BU653" s="2052"/>
      <c r="BV653" s="2052"/>
      <c r="BW653" s="2052"/>
      <c r="BX653" s="2052">
        <f t="shared" si="30"/>
        <v>0</v>
      </c>
      <c r="BY653" s="2052"/>
      <c r="BZ653" s="2052"/>
      <c r="CA653" s="2052"/>
      <c r="CB653" s="2052"/>
      <c r="CC653" s="2052">
        <f t="shared" si="31"/>
        <v>0</v>
      </c>
      <c r="CD653" s="2052"/>
      <c r="CE653" s="2052"/>
      <c r="CF653" s="2052"/>
      <c r="CG653" s="2052"/>
      <c r="CH653" s="2052">
        <f t="shared" si="32"/>
        <v>0</v>
      </c>
      <c r="CI653" s="2052"/>
      <c r="CJ653" s="2052"/>
      <c r="CK653" s="2052"/>
      <c r="CL653" s="2052"/>
      <c r="CM653" s="2052">
        <f t="shared" si="33"/>
        <v>0</v>
      </c>
      <c r="CN653" s="2052"/>
      <c r="CO653" s="2052"/>
      <c r="CP653" s="2052"/>
      <c r="CQ653" s="2052"/>
      <c r="CR653" s="265"/>
      <c r="CS653" s="2092">
        <f t="shared" si="34"/>
        <v>0</v>
      </c>
      <c r="CT653" s="2093"/>
      <c r="CU653" s="2093"/>
      <c r="CV653" s="2093"/>
      <c r="CW653" s="2094"/>
      <c r="CX653" s="2092">
        <f t="shared" si="35"/>
        <v>0</v>
      </c>
      <c r="CY653" s="2093"/>
      <c r="CZ653" s="2093"/>
      <c r="DA653" s="2093"/>
      <c r="DB653" s="2094"/>
      <c r="DC653" s="2092">
        <f t="shared" si="36"/>
        <v>0</v>
      </c>
      <c r="DD653" s="2093"/>
      <c r="DE653" s="2093"/>
      <c r="DF653" s="2093"/>
      <c r="DG653" s="2094"/>
      <c r="DH653" s="2092">
        <f t="shared" si="37"/>
        <v>0</v>
      </c>
      <c r="DI653" s="2093"/>
      <c r="DJ653" s="2093"/>
      <c r="DK653" s="2093"/>
      <c r="DL653" s="2094"/>
      <c r="DM653" s="2092">
        <f t="shared" si="38"/>
        <v>0</v>
      </c>
      <c r="DN653" s="2093"/>
      <c r="DO653" s="2093"/>
      <c r="DP653" s="2093"/>
      <c r="DQ653" s="2094"/>
      <c r="DR653" s="2092">
        <f t="shared" si="39"/>
        <v>0</v>
      </c>
      <c r="DS653" s="2093"/>
      <c r="DT653" s="2093"/>
      <c r="DU653" s="2093"/>
      <c r="DV653" s="2094"/>
      <c r="DX653" s="2095" t="e">
        <f t="shared" si="22"/>
        <v>#VALUE!</v>
      </c>
      <c r="DY653" s="2095"/>
      <c r="DZ653" s="2095"/>
      <c r="EA653" s="2095"/>
      <c r="EB653" s="2095"/>
      <c r="EC653" s="2095" t="e">
        <f t="shared" si="23"/>
        <v>#VALUE!</v>
      </c>
      <c r="ED653" s="2095"/>
      <c r="EE653" s="2095"/>
      <c r="EF653" s="2095"/>
      <c r="EG653" s="2095"/>
      <c r="EH653" s="2095" t="e">
        <f t="shared" si="24"/>
        <v>#VALUE!</v>
      </c>
      <c r="EI653" s="2095"/>
      <c r="EJ653" s="2095"/>
      <c r="EK653" s="2095"/>
      <c r="EL653" s="2095"/>
      <c r="EM653" s="2095" t="e">
        <f t="shared" si="25"/>
        <v>#VALUE!</v>
      </c>
      <c r="EN653" s="2095"/>
      <c r="EO653" s="2095"/>
      <c r="EP653" s="2095"/>
      <c r="EQ653" s="2095"/>
      <c r="ER653" s="2095" t="e">
        <f t="shared" si="26"/>
        <v>#VALUE!</v>
      </c>
      <c r="ES653" s="2095"/>
      <c r="ET653" s="2095"/>
      <c r="EU653" s="2095"/>
      <c r="EV653" s="2095"/>
      <c r="EW653" s="2095" t="e">
        <f t="shared" si="27"/>
        <v>#VALUE!</v>
      </c>
      <c r="EX653" s="2095"/>
      <c r="EY653" s="2095"/>
      <c r="EZ653" s="2095"/>
      <c r="FA653" s="2095"/>
    </row>
    <row r="654" spans="1:157" ht="12.75">
      <c r="A654" s="35"/>
      <c r="B654" s="12" t="s">
        <v>90</v>
      </c>
      <c r="G654" s="2091" t="s">
        <v>2733</v>
      </c>
      <c r="H654" s="2091"/>
      <c r="I654" s="2091"/>
      <c r="J654" s="2091"/>
      <c r="K654" s="2091"/>
      <c r="L654" s="2091"/>
      <c r="M654" s="2091"/>
      <c r="N654" s="2091"/>
      <c r="O654" s="2091"/>
      <c r="P654" s="2091"/>
      <c r="Q654" s="2091"/>
      <c r="R654" s="2091"/>
      <c r="S654" s="14"/>
      <c r="T654" s="35"/>
      <c r="U654" s="12" t="s">
        <v>90</v>
      </c>
      <c r="Z654" s="2091" t="s">
        <v>2607</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92">
        <f t="shared" si="28"/>
        <v>0</v>
      </c>
      <c r="BO654" s="2093"/>
      <c r="BP654" s="2093"/>
      <c r="BQ654" s="2093"/>
      <c r="BR654" s="2094"/>
      <c r="BS654" s="2052">
        <f t="shared" si="29"/>
        <v>0</v>
      </c>
      <c r="BT654" s="2052"/>
      <c r="BU654" s="2052"/>
      <c r="BV654" s="2052"/>
      <c r="BW654" s="2052"/>
      <c r="BX654" s="2052">
        <f t="shared" si="30"/>
        <v>0</v>
      </c>
      <c r="BY654" s="2052"/>
      <c r="BZ654" s="2052"/>
      <c r="CA654" s="2052"/>
      <c r="CB654" s="2052"/>
      <c r="CC654" s="2052">
        <f t="shared" si="31"/>
        <v>0</v>
      </c>
      <c r="CD654" s="2052"/>
      <c r="CE654" s="2052"/>
      <c r="CF654" s="2052"/>
      <c r="CG654" s="2052"/>
      <c r="CH654" s="2052">
        <f t="shared" si="32"/>
        <v>0</v>
      </c>
      <c r="CI654" s="2052"/>
      <c r="CJ654" s="2052"/>
      <c r="CK654" s="2052"/>
      <c r="CL654" s="2052"/>
      <c r="CM654" s="2052">
        <f t="shared" si="33"/>
        <v>0</v>
      </c>
      <c r="CN654" s="2052"/>
      <c r="CO654" s="2052"/>
      <c r="CP654" s="2052"/>
      <c r="CQ654" s="2052"/>
      <c r="CR654" s="265"/>
      <c r="CS654" s="2092">
        <f t="shared" si="34"/>
        <v>0</v>
      </c>
      <c r="CT654" s="2093"/>
      <c r="CU654" s="2093"/>
      <c r="CV654" s="2093"/>
      <c r="CW654" s="2094"/>
      <c r="CX654" s="2092">
        <f t="shared" si="35"/>
        <v>0</v>
      </c>
      <c r="CY654" s="2093"/>
      <c r="CZ654" s="2093"/>
      <c r="DA654" s="2093"/>
      <c r="DB654" s="2094"/>
      <c r="DC654" s="2092">
        <f t="shared" si="36"/>
        <v>0</v>
      </c>
      <c r="DD654" s="2093"/>
      <c r="DE654" s="2093"/>
      <c r="DF654" s="2093"/>
      <c r="DG654" s="2094"/>
      <c r="DH654" s="2092">
        <f t="shared" si="37"/>
        <v>0</v>
      </c>
      <c r="DI654" s="2093"/>
      <c r="DJ654" s="2093"/>
      <c r="DK654" s="2093"/>
      <c r="DL654" s="2094"/>
      <c r="DM654" s="2092">
        <f t="shared" si="38"/>
        <v>0</v>
      </c>
      <c r="DN654" s="2093"/>
      <c r="DO654" s="2093"/>
      <c r="DP654" s="2093"/>
      <c r="DQ654" s="2094"/>
      <c r="DR654" s="2092">
        <f t="shared" si="39"/>
        <v>0</v>
      </c>
      <c r="DS654" s="2093"/>
      <c r="DT654" s="2093"/>
      <c r="DU654" s="2093"/>
      <c r="DV654" s="2094"/>
      <c r="DX654" s="2095" t="e">
        <f t="shared" si="22"/>
        <v>#VALUE!</v>
      </c>
      <c r="DY654" s="2095"/>
      <c r="DZ654" s="2095"/>
      <c r="EA654" s="2095"/>
      <c r="EB654" s="2095"/>
      <c r="EC654" s="2095" t="e">
        <f t="shared" si="23"/>
        <v>#VALUE!</v>
      </c>
      <c r="ED654" s="2095"/>
      <c r="EE654" s="2095"/>
      <c r="EF654" s="2095"/>
      <c r="EG654" s="2095"/>
      <c r="EH654" s="2095" t="e">
        <f t="shared" si="24"/>
        <v>#VALUE!</v>
      </c>
      <c r="EI654" s="2095"/>
      <c r="EJ654" s="2095"/>
      <c r="EK654" s="2095"/>
      <c r="EL654" s="2095"/>
      <c r="EM654" s="2095" t="e">
        <f t="shared" si="25"/>
        <v>#VALUE!</v>
      </c>
      <c r="EN654" s="2095"/>
      <c r="EO654" s="2095"/>
      <c r="EP654" s="2095"/>
      <c r="EQ654" s="2095"/>
      <c r="ER654" s="2095" t="e">
        <f t="shared" si="26"/>
        <v>#VALUE!</v>
      </c>
      <c r="ES654" s="2095"/>
      <c r="ET654" s="2095"/>
      <c r="EU654" s="2095"/>
      <c r="EV654" s="2095"/>
      <c r="EW654" s="2095" t="e">
        <f t="shared" si="27"/>
        <v>#VALUE!</v>
      </c>
      <c r="EX654" s="2095"/>
      <c r="EY654" s="2095"/>
      <c r="EZ654" s="2095"/>
      <c r="FA654" s="2095"/>
    </row>
    <row r="655" spans="1:157" ht="12.75">
      <c r="A655" s="35"/>
      <c r="B655" s="12" t="s">
        <v>606</v>
      </c>
      <c r="G655" s="2091" t="s">
        <v>519</v>
      </c>
      <c r="H655" s="2091"/>
      <c r="I655" s="2091"/>
      <c r="J655" s="2091"/>
      <c r="K655" s="2091"/>
      <c r="L655" s="2091"/>
      <c r="M655" s="2091"/>
      <c r="N655" s="2091"/>
      <c r="O655" s="2091"/>
      <c r="P655" s="2091"/>
      <c r="Q655" s="2091"/>
      <c r="R655" s="2091"/>
      <c r="S655" s="88"/>
      <c r="T655" s="35"/>
      <c r="U655" s="12" t="s">
        <v>606</v>
      </c>
      <c r="Z655" s="2091" t="s">
        <v>2608</v>
      </c>
      <c r="AA655" s="2091"/>
      <c r="AB655" s="2091"/>
      <c r="AC655" s="2091"/>
      <c r="AD655" s="2091"/>
      <c r="AE655" s="2091"/>
      <c r="AF655" s="2091"/>
      <c r="AG655" s="2091"/>
      <c r="AH655" s="2091"/>
      <c r="AI655" s="2091"/>
      <c r="AJ655" s="2091"/>
      <c r="AK655" s="2091"/>
      <c r="AZ655" s="61"/>
      <c r="BA655" s="61"/>
      <c r="BB655" s="61"/>
      <c r="BC655" s="61"/>
      <c r="BD655" s="61"/>
      <c r="BE655" s="61"/>
      <c r="BF655" s="61"/>
      <c r="BG655" s="61"/>
      <c r="BH655" s="61"/>
      <c r="BI655" s="61"/>
      <c r="BJ655" s="61"/>
      <c r="BK655" s="61"/>
      <c r="BL655" s="61"/>
      <c r="BM655" s="61"/>
      <c r="BN655" s="2092">
        <f t="shared" si="28"/>
        <v>0</v>
      </c>
      <c r="BO655" s="2093"/>
      <c r="BP655" s="2093"/>
      <c r="BQ655" s="2093"/>
      <c r="BR655" s="2094"/>
      <c r="BS655" s="2052">
        <f t="shared" si="29"/>
        <v>0</v>
      </c>
      <c r="BT655" s="2052"/>
      <c r="BU655" s="2052"/>
      <c r="BV655" s="2052"/>
      <c r="BW655" s="2052"/>
      <c r="BX655" s="2052">
        <f t="shared" si="30"/>
        <v>0</v>
      </c>
      <c r="BY655" s="2052"/>
      <c r="BZ655" s="2052"/>
      <c r="CA655" s="2052"/>
      <c r="CB655" s="2052"/>
      <c r="CC655" s="2052">
        <f t="shared" si="31"/>
        <v>0</v>
      </c>
      <c r="CD655" s="2052"/>
      <c r="CE655" s="2052"/>
      <c r="CF655" s="2052"/>
      <c r="CG655" s="2052"/>
      <c r="CH655" s="2052">
        <f t="shared" si="32"/>
        <v>0</v>
      </c>
      <c r="CI655" s="2052"/>
      <c r="CJ655" s="2052"/>
      <c r="CK655" s="2052"/>
      <c r="CL655" s="2052"/>
      <c r="CM655" s="2052">
        <f t="shared" si="33"/>
        <v>0</v>
      </c>
      <c r="CN655" s="2052"/>
      <c r="CO655" s="2052"/>
      <c r="CP655" s="2052"/>
      <c r="CQ655" s="2052"/>
      <c r="CR655" s="265"/>
      <c r="CS655" s="2092">
        <f t="shared" si="34"/>
        <v>0</v>
      </c>
      <c r="CT655" s="2093"/>
      <c r="CU655" s="2093"/>
      <c r="CV655" s="2093"/>
      <c r="CW655" s="2094"/>
      <c r="CX655" s="2092">
        <f t="shared" si="35"/>
        <v>0</v>
      </c>
      <c r="CY655" s="2093"/>
      <c r="CZ655" s="2093"/>
      <c r="DA655" s="2093"/>
      <c r="DB655" s="2094"/>
      <c r="DC655" s="2092">
        <f t="shared" si="36"/>
        <v>0</v>
      </c>
      <c r="DD655" s="2093"/>
      <c r="DE655" s="2093"/>
      <c r="DF655" s="2093"/>
      <c r="DG655" s="2094"/>
      <c r="DH655" s="2092">
        <f t="shared" si="37"/>
        <v>0</v>
      </c>
      <c r="DI655" s="2093"/>
      <c r="DJ655" s="2093"/>
      <c r="DK655" s="2093"/>
      <c r="DL655" s="2094"/>
      <c r="DM655" s="2092">
        <f t="shared" si="38"/>
        <v>0</v>
      </c>
      <c r="DN655" s="2093"/>
      <c r="DO655" s="2093"/>
      <c r="DP655" s="2093"/>
      <c r="DQ655" s="2094"/>
      <c r="DR655" s="2092">
        <f t="shared" si="39"/>
        <v>0</v>
      </c>
      <c r="DS655" s="2093"/>
      <c r="DT655" s="2093"/>
      <c r="DU655" s="2093"/>
      <c r="DV655" s="2094"/>
      <c r="DX655" s="2095" t="e">
        <f t="shared" si="22"/>
        <v>#VALUE!</v>
      </c>
      <c r="DY655" s="2095"/>
      <c r="DZ655" s="2095"/>
      <c r="EA655" s="2095"/>
      <c r="EB655" s="2095"/>
      <c r="EC655" s="2095" t="e">
        <f t="shared" si="23"/>
        <v>#VALUE!</v>
      </c>
      <c r="ED655" s="2095"/>
      <c r="EE655" s="2095"/>
      <c r="EF655" s="2095"/>
      <c r="EG655" s="2095"/>
      <c r="EH655" s="2095" t="e">
        <f t="shared" si="24"/>
        <v>#VALUE!</v>
      </c>
      <c r="EI655" s="2095"/>
      <c r="EJ655" s="2095"/>
      <c r="EK655" s="2095"/>
      <c r="EL655" s="2095"/>
      <c r="EM655" s="2095" t="e">
        <f t="shared" si="25"/>
        <v>#VALUE!</v>
      </c>
      <c r="EN655" s="2095"/>
      <c r="EO655" s="2095"/>
      <c r="EP655" s="2095"/>
      <c r="EQ655" s="2095"/>
      <c r="ER655" s="2095" t="e">
        <f t="shared" si="26"/>
        <v>#VALUE!</v>
      </c>
      <c r="ES655" s="2095"/>
      <c r="ET655" s="2095"/>
      <c r="EU655" s="2095"/>
      <c r="EV655" s="2095"/>
      <c r="EW655" s="2095" t="e">
        <f t="shared" si="27"/>
        <v>#VALUE!</v>
      </c>
      <c r="EX655" s="2095"/>
      <c r="EY655" s="2095"/>
      <c r="EZ655" s="2095"/>
      <c r="FA655" s="2095"/>
    </row>
    <row r="656" spans="1:157" ht="12.75">
      <c r="A656" s="35"/>
      <c r="B656" s="12" t="s">
        <v>17</v>
      </c>
      <c r="G656" s="2091" t="str">
        <f>G581</f>
        <v>Li Hao</v>
      </c>
      <c r="H656" s="2091"/>
      <c r="I656" s="2091"/>
      <c r="J656" s="2091"/>
      <c r="K656" s="2091"/>
      <c r="L656" s="2091"/>
      <c r="M656" s="2091"/>
      <c r="N656" s="2091"/>
      <c r="O656" s="2091"/>
      <c r="P656" s="2091"/>
      <c r="Q656" s="2091"/>
      <c r="R656" s="2091"/>
      <c r="S656" s="14"/>
      <c r="T656" s="35"/>
      <c r="U656" s="12" t="s">
        <v>17</v>
      </c>
      <c r="Z656" s="2091" t="s">
        <v>2740</v>
      </c>
      <c r="AA656" s="2091"/>
      <c r="AB656" s="2091"/>
      <c r="AC656" s="2091"/>
      <c r="AD656" s="2091"/>
      <c r="AE656" s="2091"/>
      <c r="AF656" s="2091"/>
      <c r="AG656" s="2091"/>
      <c r="AH656" s="2091"/>
      <c r="AI656" s="2091"/>
      <c r="AJ656" s="2091"/>
      <c r="AK656" s="2091"/>
      <c r="AZ656" s="61"/>
      <c r="BA656" s="61"/>
      <c r="BB656" s="61"/>
      <c r="BC656" s="61"/>
      <c r="BD656" s="61"/>
      <c r="BE656" s="61"/>
      <c r="BF656" s="61"/>
      <c r="BG656" s="61"/>
      <c r="BH656" s="61"/>
      <c r="BI656" s="61"/>
      <c r="BJ656" s="61"/>
      <c r="BK656" s="61"/>
      <c r="BL656" s="61"/>
      <c r="BM656" s="61"/>
      <c r="BN656" s="2092">
        <f t="shared" si="28"/>
        <v>0</v>
      </c>
      <c r="BO656" s="2093"/>
      <c r="BP656" s="2093"/>
      <c r="BQ656" s="2093"/>
      <c r="BR656" s="2094"/>
      <c r="BS656" s="2052">
        <f t="shared" si="29"/>
        <v>0</v>
      </c>
      <c r="BT656" s="2052"/>
      <c r="BU656" s="2052"/>
      <c r="BV656" s="2052"/>
      <c r="BW656" s="2052"/>
      <c r="BX656" s="2052">
        <f t="shared" si="30"/>
        <v>0</v>
      </c>
      <c r="BY656" s="2052"/>
      <c r="BZ656" s="2052"/>
      <c r="CA656" s="2052"/>
      <c r="CB656" s="2052"/>
      <c r="CC656" s="2052">
        <f t="shared" si="31"/>
        <v>0</v>
      </c>
      <c r="CD656" s="2052"/>
      <c r="CE656" s="2052"/>
      <c r="CF656" s="2052"/>
      <c r="CG656" s="2052"/>
      <c r="CH656" s="2052">
        <f t="shared" si="32"/>
        <v>0</v>
      </c>
      <c r="CI656" s="2052"/>
      <c r="CJ656" s="2052"/>
      <c r="CK656" s="2052"/>
      <c r="CL656" s="2052"/>
      <c r="CM656" s="2052">
        <f t="shared" si="33"/>
        <v>0</v>
      </c>
      <c r="CN656" s="2052"/>
      <c r="CO656" s="2052"/>
      <c r="CP656" s="2052"/>
      <c r="CQ656" s="2052"/>
      <c r="CR656" s="265"/>
      <c r="CS656" s="2092">
        <f t="shared" si="34"/>
        <v>0</v>
      </c>
      <c r="CT656" s="2093"/>
      <c r="CU656" s="2093"/>
      <c r="CV656" s="2093"/>
      <c r="CW656" s="2094"/>
      <c r="CX656" s="2092">
        <f t="shared" si="35"/>
        <v>0</v>
      </c>
      <c r="CY656" s="2093"/>
      <c r="CZ656" s="2093"/>
      <c r="DA656" s="2093"/>
      <c r="DB656" s="2094"/>
      <c r="DC656" s="2092">
        <f t="shared" si="36"/>
        <v>0</v>
      </c>
      <c r="DD656" s="2093"/>
      <c r="DE656" s="2093"/>
      <c r="DF656" s="2093"/>
      <c r="DG656" s="2094"/>
      <c r="DH656" s="2092">
        <f t="shared" si="37"/>
        <v>0</v>
      </c>
      <c r="DI656" s="2093"/>
      <c r="DJ656" s="2093"/>
      <c r="DK656" s="2093"/>
      <c r="DL656" s="2094"/>
      <c r="DM656" s="2092">
        <f t="shared" si="38"/>
        <v>0</v>
      </c>
      <c r="DN656" s="2093"/>
      <c r="DO656" s="2093"/>
      <c r="DP656" s="2093"/>
      <c r="DQ656" s="2094"/>
      <c r="DR656" s="2092">
        <f t="shared" si="39"/>
        <v>0</v>
      </c>
      <c r="DS656" s="2093"/>
      <c r="DT656" s="2093"/>
      <c r="DU656" s="2093"/>
      <c r="DV656" s="2094"/>
      <c r="DX656" s="2095" t="e">
        <f t="shared" si="22"/>
        <v>#VALUE!</v>
      </c>
      <c r="DY656" s="2095"/>
      <c r="DZ656" s="2095"/>
      <c r="EA656" s="2095"/>
      <c r="EB656" s="2095"/>
      <c r="EC656" s="2095" t="e">
        <f t="shared" si="23"/>
        <v>#VALUE!</v>
      </c>
      <c r="ED656" s="2095"/>
      <c r="EE656" s="2095"/>
      <c r="EF656" s="2095"/>
      <c r="EG656" s="2095"/>
      <c r="EH656" s="2095" t="e">
        <f t="shared" si="24"/>
        <v>#VALUE!</v>
      </c>
      <c r="EI656" s="2095"/>
      <c r="EJ656" s="2095"/>
      <c r="EK656" s="2095"/>
      <c r="EL656" s="2095"/>
      <c r="EM656" s="2095" t="e">
        <f t="shared" si="25"/>
        <v>#VALUE!</v>
      </c>
      <c r="EN656" s="2095"/>
      <c r="EO656" s="2095"/>
      <c r="EP656" s="2095"/>
      <c r="EQ656" s="2095"/>
      <c r="ER656" s="2095" t="e">
        <f t="shared" si="26"/>
        <v>#VALUE!</v>
      </c>
      <c r="ES656" s="2095"/>
      <c r="ET656" s="2095"/>
      <c r="EU656" s="2095"/>
      <c r="EV656" s="2095"/>
      <c r="EW656" s="2095" t="e">
        <f t="shared" si="27"/>
        <v>#VALUE!</v>
      </c>
      <c r="EX656" s="2095"/>
      <c r="EY656" s="2095"/>
      <c r="EZ656" s="2095"/>
      <c r="FA656" s="2095"/>
    </row>
    <row r="657" spans="1:157" ht="12.75">
      <c r="A657" s="35"/>
      <c r="B657" s="12" t="s">
        <v>322</v>
      </c>
      <c r="G657" s="2090" t="str">
        <f>G582</f>
        <v>213-239-1914</v>
      </c>
      <c r="H657" s="2090"/>
      <c r="I657" s="2090"/>
      <c r="J657" s="2090"/>
      <c r="K657" s="2090"/>
      <c r="L657" s="2090"/>
      <c r="O657" s="137" t="s">
        <v>212</v>
      </c>
      <c r="P657" s="2088"/>
      <c r="Q657" s="2088"/>
      <c r="R657" s="2088"/>
      <c r="S657" s="16"/>
      <c r="T657" s="35"/>
      <c r="U657" s="12" t="s">
        <v>322</v>
      </c>
      <c r="Z657" s="2090" t="s">
        <v>2611</v>
      </c>
      <c r="AA657" s="2090"/>
      <c r="AB657" s="2090"/>
      <c r="AC657" s="2090"/>
      <c r="AD657" s="2090"/>
      <c r="AE657" s="2090"/>
      <c r="AH657" s="137" t="s">
        <v>212</v>
      </c>
      <c r="AI657" s="2088"/>
      <c r="AJ657" s="2088"/>
      <c r="AK657" s="2088"/>
      <c r="AZ657" s="61"/>
      <c r="BA657" s="61"/>
      <c r="BB657" s="61"/>
      <c r="BC657" s="61"/>
      <c r="BD657" s="61"/>
      <c r="BE657" s="61"/>
      <c r="BF657" s="61"/>
      <c r="BG657" s="61"/>
      <c r="BH657" s="61"/>
      <c r="BI657" s="61"/>
      <c r="BJ657" s="61"/>
      <c r="BK657" s="61"/>
      <c r="BL657" s="61"/>
      <c r="BM657" s="61"/>
      <c r="BN657" s="2092">
        <f t="shared" si="28"/>
        <v>0</v>
      </c>
      <c r="BO657" s="2093"/>
      <c r="BP657" s="2093"/>
      <c r="BQ657" s="2093"/>
      <c r="BR657" s="2094"/>
      <c r="BS657" s="2052">
        <f t="shared" si="29"/>
        <v>0</v>
      </c>
      <c r="BT657" s="2052"/>
      <c r="BU657" s="2052"/>
      <c r="BV657" s="2052"/>
      <c r="BW657" s="2052"/>
      <c r="BX657" s="2052">
        <f t="shared" si="30"/>
        <v>0</v>
      </c>
      <c r="BY657" s="2052"/>
      <c r="BZ657" s="2052"/>
      <c r="CA657" s="2052"/>
      <c r="CB657" s="2052"/>
      <c r="CC657" s="2052">
        <f t="shared" si="31"/>
        <v>0</v>
      </c>
      <c r="CD657" s="2052"/>
      <c r="CE657" s="2052"/>
      <c r="CF657" s="2052"/>
      <c r="CG657" s="2052"/>
      <c r="CH657" s="2052">
        <f t="shared" si="32"/>
        <v>0</v>
      </c>
      <c r="CI657" s="2052"/>
      <c r="CJ657" s="2052"/>
      <c r="CK657" s="2052"/>
      <c r="CL657" s="2052"/>
      <c r="CM657" s="2052">
        <f t="shared" si="33"/>
        <v>0</v>
      </c>
      <c r="CN657" s="2052"/>
      <c r="CO657" s="2052"/>
      <c r="CP657" s="2052"/>
      <c r="CQ657" s="2052"/>
      <c r="CR657" s="265"/>
      <c r="CS657" s="2092">
        <f t="shared" si="34"/>
        <v>0</v>
      </c>
      <c r="CT657" s="2093"/>
      <c r="CU657" s="2093"/>
      <c r="CV657" s="2093"/>
      <c r="CW657" s="2094"/>
      <c r="CX657" s="2092">
        <f t="shared" si="35"/>
        <v>0</v>
      </c>
      <c r="CY657" s="2093"/>
      <c r="CZ657" s="2093"/>
      <c r="DA657" s="2093"/>
      <c r="DB657" s="2094"/>
      <c r="DC657" s="2092">
        <f t="shared" si="36"/>
        <v>0</v>
      </c>
      <c r="DD657" s="2093"/>
      <c r="DE657" s="2093"/>
      <c r="DF657" s="2093"/>
      <c r="DG657" s="2094"/>
      <c r="DH657" s="2092">
        <f t="shared" si="37"/>
        <v>0</v>
      </c>
      <c r="DI657" s="2093"/>
      <c r="DJ657" s="2093"/>
      <c r="DK657" s="2093"/>
      <c r="DL657" s="2094"/>
      <c r="DM657" s="2092">
        <f t="shared" si="38"/>
        <v>0</v>
      </c>
      <c r="DN657" s="2093"/>
      <c r="DO657" s="2093"/>
      <c r="DP657" s="2093"/>
      <c r="DQ657" s="2094"/>
      <c r="DR657" s="2092">
        <f t="shared" si="39"/>
        <v>0</v>
      </c>
      <c r="DS657" s="2093"/>
      <c r="DT657" s="2093"/>
      <c r="DU657" s="2093"/>
      <c r="DV657" s="2094"/>
      <c r="DX657" s="2095" t="e">
        <f t="shared" si="22"/>
        <v>#VALUE!</v>
      </c>
      <c r="DY657" s="2095"/>
      <c r="DZ657" s="2095"/>
      <c r="EA657" s="2095"/>
      <c r="EB657" s="2095"/>
      <c r="EC657" s="2095" t="e">
        <f t="shared" si="23"/>
        <v>#VALUE!</v>
      </c>
      <c r="ED657" s="2095"/>
      <c r="EE657" s="2095"/>
      <c r="EF657" s="2095"/>
      <c r="EG657" s="2095"/>
      <c r="EH657" s="2095" t="e">
        <f t="shared" si="24"/>
        <v>#VALUE!</v>
      </c>
      <c r="EI657" s="2095"/>
      <c r="EJ657" s="2095"/>
      <c r="EK657" s="2095"/>
      <c r="EL657" s="2095"/>
      <c r="EM657" s="2095" t="e">
        <f t="shared" si="25"/>
        <v>#VALUE!</v>
      </c>
      <c r="EN657" s="2095"/>
      <c r="EO657" s="2095"/>
      <c r="EP657" s="2095"/>
      <c r="EQ657" s="2095"/>
      <c r="ER657" s="2095" t="e">
        <f t="shared" si="26"/>
        <v>#VALUE!</v>
      </c>
      <c r="ES657" s="2095"/>
      <c r="ET657" s="2095"/>
      <c r="EU657" s="2095"/>
      <c r="EV657" s="2095"/>
      <c r="EW657" s="2095" t="e">
        <f t="shared" si="27"/>
        <v>#VALUE!</v>
      </c>
      <c r="EX657" s="2095"/>
      <c r="EY657" s="2095"/>
      <c r="EZ657" s="2095"/>
      <c r="FA657" s="2095"/>
    </row>
    <row r="658" spans="1:157" ht="12.75">
      <c r="A658" s="35"/>
      <c r="B658" s="12" t="s">
        <v>18</v>
      </c>
      <c r="H658" s="2091" t="s">
        <v>2746</v>
      </c>
      <c r="I658" s="2091"/>
      <c r="J658" s="2091"/>
      <c r="K658" s="2091"/>
      <c r="L658" s="2091"/>
      <c r="M658" s="2091"/>
      <c r="N658" s="2091"/>
      <c r="O658" s="2091"/>
      <c r="P658" s="2091"/>
      <c r="Q658" s="2091"/>
      <c r="R658" s="2091"/>
      <c r="S658" s="14"/>
      <c r="T658" s="35"/>
      <c r="U658" s="12" t="s">
        <v>18</v>
      </c>
      <c r="AA658" s="2091" t="s">
        <v>2739</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97">
        <f>SUM(BN648:BR657)</f>
        <v>0</v>
      </c>
      <c r="BO658" s="2098"/>
      <c r="BP658" s="2098"/>
      <c r="BQ658" s="2098"/>
      <c r="BR658" s="2099"/>
      <c r="BS658" s="2082">
        <f>SUM(BS648:BW657)</f>
        <v>0</v>
      </c>
      <c r="BT658" s="2083"/>
      <c r="BU658" s="2083"/>
      <c r="BV658" s="2083"/>
      <c r="BW658" s="2084"/>
      <c r="BX658" s="2082">
        <f>SUM(BX648:CB657)</f>
        <v>0</v>
      </c>
      <c r="BY658" s="2083"/>
      <c r="BZ658" s="2083"/>
      <c r="CA658" s="2083"/>
      <c r="CB658" s="2084"/>
      <c r="CC658" s="2082">
        <f>SUM(CC648:CG657)</f>
        <v>0</v>
      </c>
      <c r="CD658" s="2083"/>
      <c r="CE658" s="2083"/>
      <c r="CF658" s="2083"/>
      <c r="CG658" s="2084"/>
      <c r="CH658" s="2082">
        <f>SUM(CH648:CL657)</f>
        <v>0</v>
      </c>
      <c r="CI658" s="2083"/>
      <c r="CJ658" s="2083"/>
      <c r="CK658" s="2083"/>
      <c r="CL658" s="2084"/>
      <c r="CM658" s="2082">
        <f>SUM(CM648:CQ657)</f>
        <v>0</v>
      </c>
      <c r="CN658" s="2083"/>
      <c r="CO658" s="2083"/>
      <c r="CP658" s="2083"/>
      <c r="CQ658" s="2084"/>
      <c r="CR658" s="1649"/>
      <c r="CS658" s="2096">
        <f>SUM(CS648:CW657)</f>
        <v>0</v>
      </c>
      <c r="CT658" s="2096"/>
      <c r="CU658" s="2096"/>
      <c r="CV658" s="2096"/>
      <c r="CW658" s="2096"/>
      <c r="CX658" s="2096">
        <f>SUM(CX648:DB657)</f>
        <v>0</v>
      </c>
      <c r="CY658" s="2096"/>
      <c r="CZ658" s="2096"/>
      <c r="DA658" s="2096"/>
      <c r="DB658" s="2096"/>
      <c r="DC658" s="2096">
        <f>SUM(DC648:DG657)</f>
        <v>0</v>
      </c>
      <c r="DD658" s="2096"/>
      <c r="DE658" s="2096"/>
      <c r="DF658" s="2096"/>
      <c r="DG658" s="2096"/>
      <c r="DH658" s="2096">
        <f>SUM(DH648:DL657)</f>
        <v>0</v>
      </c>
      <c r="DI658" s="2096"/>
      <c r="DJ658" s="2096"/>
      <c r="DK658" s="2096"/>
      <c r="DL658" s="2096"/>
      <c r="DM658" s="2096">
        <f>SUM(DM648:DQ657)</f>
        <v>0</v>
      </c>
      <c r="DN658" s="2096"/>
      <c r="DO658" s="2096"/>
      <c r="DP658" s="2096"/>
      <c r="DQ658" s="2096"/>
      <c r="DR658" s="2096">
        <f>SUM(DR648:DV657)</f>
        <v>0</v>
      </c>
      <c r="DS658" s="2096"/>
      <c r="DT658" s="2096"/>
      <c r="DU658" s="2096"/>
      <c r="DV658" s="2096"/>
      <c r="DX658" s="2095" t="e">
        <f t="shared" si="22"/>
        <v>#VALUE!</v>
      </c>
      <c r="DY658" s="2095"/>
      <c r="DZ658" s="2095"/>
      <c r="EA658" s="2095"/>
      <c r="EB658" s="2095"/>
      <c r="EC658" s="2095" t="e">
        <f t="shared" si="23"/>
        <v>#VALUE!</v>
      </c>
      <c r="ED658" s="2095"/>
      <c r="EE658" s="2095"/>
      <c r="EF658" s="2095"/>
      <c r="EG658" s="2095"/>
      <c r="EH658" s="2095" t="e">
        <f t="shared" si="24"/>
        <v>#VALUE!</v>
      </c>
      <c r="EI658" s="2095"/>
      <c r="EJ658" s="2095"/>
      <c r="EK658" s="2095"/>
      <c r="EL658" s="2095"/>
      <c r="EM658" s="2095" t="e">
        <f t="shared" si="25"/>
        <v>#VALUE!</v>
      </c>
      <c r="EN658" s="2095"/>
      <c r="EO658" s="2095"/>
      <c r="EP658" s="2095"/>
      <c r="EQ658" s="2095"/>
      <c r="ER658" s="2095" t="e">
        <f t="shared" si="26"/>
        <v>#VALUE!</v>
      </c>
      <c r="ES658" s="2095"/>
      <c r="ET658" s="2095"/>
      <c r="EU658" s="2095"/>
      <c r="EV658" s="2095"/>
      <c r="EW658" s="2095" t="e">
        <f t="shared" si="27"/>
        <v>#VALUE!</v>
      </c>
      <c r="EX658" s="2095"/>
      <c r="EY658" s="2095"/>
      <c r="EZ658" s="2095"/>
      <c r="FA658" s="2095"/>
    </row>
    <row r="659" spans="1:157" ht="12.75">
      <c r="A659" s="35"/>
      <c r="B659" s="12" t="s">
        <v>20</v>
      </c>
      <c r="N659" s="2089" t="s">
        <v>570</v>
      </c>
      <c r="O659" s="2089"/>
      <c r="T659" s="35"/>
      <c r="U659" s="12" t="s">
        <v>20</v>
      </c>
      <c r="AG659" s="2089" t="s">
        <v>570</v>
      </c>
      <c r="AH659" s="2089"/>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95" t="e">
        <f t="shared" si="22"/>
        <v>#VALUE!</v>
      </c>
      <c r="DY659" s="2095"/>
      <c r="DZ659" s="2095"/>
      <c r="EA659" s="2095"/>
      <c r="EB659" s="2095"/>
      <c r="EC659" s="2095" t="e">
        <f t="shared" si="23"/>
        <v>#VALUE!</v>
      </c>
      <c r="ED659" s="2095"/>
      <c r="EE659" s="2095"/>
      <c r="EF659" s="2095"/>
      <c r="EG659" s="2095"/>
      <c r="EH659" s="2095" t="e">
        <f t="shared" si="24"/>
        <v>#VALUE!</v>
      </c>
      <c r="EI659" s="2095"/>
      <c r="EJ659" s="2095"/>
      <c r="EK659" s="2095"/>
      <c r="EL659" s="2095"/>
      <c r="EM659" s="2095" t="e">
        <f t="shared" si="25"/>
        <v>#VALUE!</v>
      </c>
      <c r="EN659" s="2095"/>
      <c r="EO659" s="2095"/>
      <c r="EP659" s="2095"/>
      <c r="EQ659" s="2095"/>
      <c r="ER659" s="2095" t="e">
        <f t="shared" si="26"/>
        <v>#VALUE!</v>
      </c>
      <c r="ES659" s="2095"/>
      <c r="ET659" s="2095"/>
      <c r="EU659" s="2095"/>
      <c r="EV659" s="2095"/>
      <c r="EW659" s="2095" t="e">
        <f t="shared" si="27"/>
        <v>#VALUE!</v>
      </c>
      <c r="EX659" s="2095"/>
      <c r="EY659" s="2095"/>
      <c r="EZ659" s="2095"/>
      <c r="FA659" s="2095"/>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095">
        <f>SUM(CS658:DV658)</f>
        <v>0</v>
      </c>
      <c r="DS660" s="2095"/>
      <c r="DT660" s="2095"/>
      <c r="DU660" s="2095"/>
      <c r="DV660" s="2095"/>
      <c r="DX660" s="2095" t="e">
        <f t="shared" si="22"/>
        <v>#VALUE!</v>
      </c>
      <c r="DY660" s="2095"/>
      <c r="DZ660" s="2095"/>
      <c r="EA660" s="2095"/>
      <c r="EB660" s="2095"/>
      <c r="EC660" s="2095" t="e">
        <f t="shared" si="23"/>
        <v>#VALUE!</v>
      </c>
      <c r="ED660" s="2095"/>
      <c r="EE660" s="2095"/>
      <c r="EF660" s="2095"/>
      <c r="EG660" s="2095"/>
      <c r="EH660" s="2095" t="e">
        <f t="shared" si="24"/>
        <v>#VALUE!</v>
      </c>
      <c r="EI660" s="2095"/>
      <c r="EJ660" s="2095"/>
      <c r="EK660" s="2095"/>
      <c r="EL660" s="2095"/>
      <c r="EM660" s="2095" t="e">
        <f t="shared" si="25"/>
        <v>#VALUE!</v>
      </c>
      <c r="EN660" s="2095"/>
      <c r="EO660" s="2095"/>
      <c r="EP660" s="2095"/>
      <c r="EQ660" s="2095"/>
      <c r="ER660" s="2095" t="e">
        <f t="shared" si="26"/>
        <v>#VALUE!</v>
      </c>
      <c r="ES660" s="2095"/>
      <c r="ET660" s="2095"/>
      <c r="EU660" s="2095"/>
      <c r="EV660" s="2095"/>
      <c r="EW660" s="2095" t="e">
        <f t="shared" si="27"/>
        <v>#VALUE!</v>
      </c>
      <c r="EX660" s="2095"/>
      <c r="EY660" s="2095"/>
      <c r="EZ660" s="2095"/>
      <c r="FA660" s="2095"/>
    </row>
    <row r="661" spans="1:157" ht="12.75">
      <c r="A661" s="87" t="s">
        <v>124</v>
      </c>
      <c r="B661" s="12" t="s">
        <v>488</v>
      </c>
      <c r="G661" s="2072" t="str">
        <f>C639</f>
        <v>IHTF County of San Diego/sub loan</v>
      </c>
      <c r="H661" s="2072"/>
      <c r="I661" s="2072"/>
      <c r="J661" s="2072"/>
      <c r="K661" s="2072"/>
      <c r="L661" s="2072"/>
      <c r="M661" s="2072"/>
      <c r="N661" s="2072"/>
      <c r="O661" s="2072"/>
      <c r="P661" s="2072"/>
      <c r="Q661" s="2072"/>
      <c r="R661" s="2072"/>
      <c r="T661" s="87" t="s">
        <v>607</v>
      </c>
      <c r="U661" s="12" t="s">
        <v>488</v>
      </c>
      <c r="Z661" s="2072" t="str">
        <f>C640</f>
        <v>County of San Diego/land value note</v>
      </c>
      <c r="AA661" s="2072"/>
      <c r="AB661" s="2072"/>
      <c r="AC661" s="2072"/>
      <c r="AD661" s="2072"/>
      <c r="AE661" s="2072"/>
      <c r="AF661" s="2072"/>
      <c r="AG661" s="2072"/>
      <c r="AH661" s="2072"/>
      <c r="AI661" s="2072"/>
      <c r="AJ661" s="2072"/>
      <c r="AK661" s="2072"/>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95" t="e">
        <f t="shared" si="22"/>
        <v>#VALUE!</v>
      </c>
      <c r="DY661" s="2095"/>
      <c r="DZ661" s="2095"/>
      <c r="EA661" s="2095"/>
      <c r="EB661" s="2095"/>
      <c r="EC661" s="2095" t="e">
        <f t="shared" si="23"/>
        <v>#VALUE!</v>
      </c>
      <c r="ED661" s="2095"/>
      <c r="EE661" s="2095"/>
      <c r="EF661" s="2095"/>
      <c r="EG661" s="2095"/>
      <c r="EH661" s="2095" t="e">
        <f t="shared" si="24"/>
        <v>#VALUE!</v>
      </c>
      <c r="EI661" s="2095"/>
      <c r="EJ661" s="2095"/>
      <c r="EK661" s="2095"/>
      <c r="EL661" s="2095"/>
      <c r="EM661" s="2095" t="e">
        <f t="shared" si="25"/>
        <v>#VALUE!</v>
      </c>
      <c r="EN661" s="2095"/>
      <c r="EO661" s="2095"/>
      <c r="EP661" s="2095"/>
      <c r="EQ661" s="2095"/>
      <c r="ER661" s="2095" t="e">
        <f t="shared" si="26"/>
        <v>#VALUE!</v>
      </c>
      <c r="ES661" s="2095"/>
      <c r="ET661" s="2095"/>
      <c r="EU661" s="2095"/>
      <c r="EV661" s="2095"/>
      <c r="EW661" s="2095" t="e">
        <f t="shared" si="27"/>
        <v>#VALUE!</v>
      </c>
      <c r="EX661" s="2095"/>
      <c r="EY661" s="2095"/>
      <c r="EZ661" s="2095"/>
      <c r="FA661" s="2095"/>
    </row>
    <row r="662" spans="1:157" ht="12.75">
      <c r="A662" s="35"/>
      <c r="B662" s="12" t="s">
        <v>90</v>
      </c>
      <c r="G662" s="2091" t="s">
        <v>2736</v>
      </c>
      <c r="H662" s="2091"/>
      <c r="I662" s="2091"/>
      <c r="J662" s="2091"/>
      <c r="K662" s="2091"/>
      <c r="L662" s="2091"/>
      <c r="M662" s="2091"/>
      <c r="N662" s="2091"/>
      <c r="O662" s="2091"/>
      <c r="P662" s="2091"/>
      <c r="Q662" s="2091"/>
      <c r="R662" s="2091"/>
      <c r="T662" s="35"/>
      <c r="U662" s="12" t="s">
        <v>90</v>
      </c>
      <c r="Z662" s="2091" t="s">
        <v>2736</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95" t="e">
        <f t="shared" si="22"/>
        <v>#VALUE!</v>
      </c>
      <c r="DY662" s="2095"/>
      <c r="DZ662" s="2095"/>
      <c r="EA662" s="2095"/>
      <c r="EB662" s="2095"/>
      <c r="EC662" s="2095" t="e">
        <f t="shared" si="23"/>
        <v>#VALUE!</v>
      </c>
      <c r="ED662" s="2095"/>
      <c r="EE662" s="2095"/>
      <c r="EF662" s="2095"/>
      <c r="EG662" s="2095"/>
      <c r="EH662" s="2095" t="e">
        <f t="shared" si="24"/>
        <v>#VALUE!</v>
      </c>
      <c r="EI662" s="2095"/>
      <c r="EJ662" s="2095"/>
      <c r="EK662" s="2095"/>
      <c r="EL662" s="2095"/>
      <c r="EM662" s="2095" t="e">
        <f t="shared" si="25"/>
        <v>#VALUE!</v>
      </c>
      <c r="EN662" s="2095"/>
      <c r="EO662" s="2095"/>
      <c r="EP662" s="2095"/>
      <c r="EQ662" s="2095"/>
      <c r="ER662" s="2095" t="e">
        <f t="shared" si="26"/>
        <v>#VALUE!</v>
      </c>
      <c r="ES662" s="2095"/>
      <c r="ET662" s="2095"/>
      <c r="EU662" s="2095"/>
      <c r="EV662" s="2095"/>
      <c r="EW662" s="2095" t="e">
        <f t="shared" si="27"/>
        <v>#VALUE!</v>
      </c>
      <c r="EX662" s="2095"/>
      <c r="EY662" s="2095"/>
      <c r="EZ662" s="2095"/>
      <c r="FA662" s="2095"/>
    </row>
    <row r="663" spans="1:157" ht="12.75">
      <c r="A663" s="35"/>
      <c r="B663" s="12" t="s">
        <v>606</v>
      </c>
      <c r="G663" s="2071" t="s">
        <v>759</v>
      </c>
      <c r="H663" s="2071"/>
      <c r="I663" s="2071"/>
      <c r="J663" s="2071"/>
      <c r="K663" s="2071"/>
      <c r="L663" s="2071"/>
      <c r="M663" s="2071"/>
      <c r="N663" s="2071"/>
      <c r="O663" s="2071"/>
      <c r="P663" s="2071"/>
      <c r="Q663" s="2071"/>
      <c r="R663" s="2071"/>
      <c r="T663" s="35"/>
      <c r="U663" s="12" t="s">
        <v>606</v>
      </c>
      <c r="Z663" s="2071" t="s">
        <v>759</v>
      </c>
      <c r="AA663" s="2071"/>
      <c r="AB663" s="2071"/>
      <c r="AC663" s="2071"/>
      <c r="AD663" s="2071"/>
      <c r="AE663" s="2071"/>
      <c r="AF663" s="2071"/>
      <c r="AG663" s="2071"/>
      <c r="AH663" s="2071"/>
      <c r="AI663" s="2071"/>
      <c r="AJ663" s="2071"/>
      <c r="AK663" s="2071"/>
      <c r="AZ663" s="61"/>
      <c r="BA663" s="61"/>
      <c r="BB663" s="61"/>
      <c r="BC663" s="61"/>
      <c r="BD663" s="61"/>
      <c r="BE663" s="61"/>
      <c r="BF663" s="61"/>
      <c r="BG663" s="61"/>
      <c r="BH663" s="61"/>
      <c r="BI663" s="61"/>
      <c r="BJ663" s="61"/>
      <c r="BK663" s="61"/>
      <c r="BL663" s="61"/>
      <c r="BM663" s="61"/>
      <c r="BN663" s="2082">
        <f>BN635+BN644+BN658</f>
        <v>0</v>
      </c>
      <c r="BO663" s="2083"/>
      <c r="BP663" s="2083"/>
      <c r="BQ663" s="2083"/>
      <c r="BR663" s="2084"/>
      <c r="BS663" s="2082">
        <f>BS635+BS644+BS658</f>
        <v>63</v>
      </c>
      <c r="BT663" s="2083"/>
      <c r="BU663" s="2083"/>
      <c r="BV663" s="2083"/>
      <c r="BW663" s="2084"/>
      <c r="BX663" s="2082">
        <f>BX635+BX644+BX658</f>
        <v>38</v>
      </c>
      <c r="BY663" s="2083"/>
      <c r="BZ663" s="2083"/>
      <c r="CA663" s="2083"/>
      <c r="CB663" s="2084"/>
      <c r="CC663" s="2082">
        <f>CC635+CC644+CC658</f>
        <v>35</v>
      </c>
      <c r="CD663" s="2083"/>
      <c r="CE663" s="2083"/>
      <c r="CF663" s="2083"/>
      <c r="CG663" s="2084"/>
      <c r="CH663" s="2082">
        <f>CH635+CH644+CH658</f>
        <v>0</v>
      </c>
      <c r="CI663" s="2083"/>
      <c r="CJ663" s="2083"/>
      <c r="CK663" s="2083"/>
      <c r="CL663" s="2084"/>
      <c r="CM663" s="2102">
        <f>CM658+CM644+CM635</f>
        <v>0</v>
      </c>
      <c r="CN663" s="2103"/>
      <c r="CO663" s="2103"/>
      <c r="CP663" s="2103"/>
      <c r="CQ663" s="2104"/>
      <c r="CR663" s="177"/>
      <c r="CS663" s="1369">
        <f>CS637+CS661</f>
        <v>242</v>
      </c>
      <c r="CT663" s="134" t="s">
        <v>2180</v>
      </c>
      <c r="CU663" s="58"/>
      <c r="CV663" s="58"/>
      <c r="CW663" s="58"/>
      <c r="CX663" s="58"/>
      <c r="CY663" s="58"/>
      <c r="CZ663" s="58"/>
      <c r="DA663" s="58"/>
      <c r="DB663" s="58"/>
      <c r="DC663" s="58"/>
      <c r="DD663" s="58"/>
      <c r="DE663" s="58"/>
      <c r="DF663" s="58"/>
      <c r="DX663" s="2095">
        <f>SUMIF(DX638:EB662,"&gt;0")</f>
        <v>0</v>
      </c>
      <c r="DY663" s="2095"/>
      <c r="DZ663" s="2095"/>
      <c r="EA663" s="2095"/>
      <c r="EB663" s="2095"/>
      <c r="EC663" s="2095">
        <f>SUMIF(EC638:EG662,"&gt;0")</f>
        <v>1341.031746031746</v>
      </c>
      <c r="ED663" s="2095"/>
      <c r="EE663" s="2095"/>
      <c r="EF663" s="2095"/>
      <c r="EG663" s="2095"/>
      <c r="EH663" s="2095">
        <f>SUMIF(EH638:EL662,"&gt;0")</f>
        <v>1642.1081081081081</v>
      </c>
      <c r="EI663" s="2095"/>
      <c r="EJ663" s="2095"/>
      <c r="EK663" s="2095"/>
      <c r="EL663" s="2095"/>
      <c r="EM663" s="2095">
        <f>SUMIF(EM638:EQ662,"&gt;0")</f>
        <v>1884.9999999999998</v>
      </c>
      <c r="EN663" s="2095"/>
      <c r="EO663" s="2095"/>
      <c r="EP663" s="2095"/>
      <c r="EQ663" s="2095"/>
      <c r="ER663" s="2095">
        <f>SUMIF(ER638:EV662,"&gt;0")</f>
        <v>0</v>
      </c>
      <c r="ES663" s="2095"/>
      <c r="ET663" s="2095"/>
      <c r="EU663" s="2095"/>
      <c r="EV663" s="2095"/>
      <c r="EW663" s="2095">
        <f>SUMIF(EW638:FA662,"&gt;0")</f>
        <v>0</v>
      </c>
      <c r="EX663" s="2095"/>
      <c r="EY663" s="2095"/>
      <c r="EZ663" s="2095"/>
      <c r="FA663" s="2095"/>
    </row>
    <row r="664" spans="1:157" ht="12.75">
      <c r="A664" s="35"/>
      <c r="B664" s="12" t="s">
        <v>17</v>
      </c>
      <c r="G664" s="2071" t="s">
        <v>2737</v>
      </c>
      <c r="H664" s="2071"/>
      <c r="I664" s="2071"/>
      <c r="J664" s="2071"/>
      <c r="K664" s="2071"/>
      <c r="L664" s="2071"/>
      <c r="M664" s="2071"/>
      <c r="N664" s="2071"/>
      <c r="O664" s="2071"/>
      <c r="P664" s="2071"/>
      <c r="Q664" s="2071"/>
      <c r="R664" s="2071"/>
      <c r="T664" s="35"/>
      <c r="U664" s="12" t="s">
        <v>17</v>
      </c>
      <c r="Z664" s="2071" t="s">
        <v>2737</v>
      </c>
      <c r="AA664" s="2071"/>
      <c r="AB664" s="2071"/>
      <c r="AC664" s="2071"/>
      <c r="AD664" s="2071"/>
      <c r="AE664" s="2071"/>
      <c r="AF664" s="2071"/>
      <c r="AG664" s="2071"/>
      <c r="AH664" s="2071"/>
      <c r="AI664" s="2071"/>
      <c r="AJ664" s="2071"/>
      <c r="AK664" s="207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0" t="s">
        <v>2738</v>
      </c>
      <c r="H665" s="2090"/>
      <c r="I665" s="2090"/>
      <c r="J665" s="2090"/>
      <c r="K665" s="2090"/>
      <c r="L665" s="2090"/>
      <c r="O665" s="137" t="s">
        <v>212</v>
      </c>
      <c r="P665" s="2088"/>
      <c r="Q665" s="2088"/>
      <c r="R665" s="2088"/>
      <c r="T665" s="35"/>
      <c r="U665" s="12" t="s">
        <v>322</v>
      </c>
      <c r="Z665" s="2090" t="s">
        <v>2738</v>
      </c>
      <c r="AA665" s="2090"/>
      <c r="AB665" s="2090"/>
      <c r="AC665" s="2090"/>
      <c r="AD665" s="2090"/>
      <c r="AE665" s="2090"/>
      <c r="AH665" s="137" t="s">
        <v>212</v>
      </c>
      <c r="AI665" s="2088"/>
      <c r="AJ665" s="2088"/>
      <c r="AK665" s="208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
        <v>2739</v>
      </c>
      <c r="I666" s="2091"/>
      <c r="J666" s="2091"/>
      <c r="K666" s="2091"/>
      <c r="L666" s="2091"/>
      <c r="M666" s="2091"/>
      <c r="N666" s="2091"/>
      <c r="O666" s="2091"/>
      <c r="P666" s="2091"/>
      <c r="Q666" s="2091"/>
      <c r="R666" s="2091"/>
      <c r="T666" s="35"/>
      <c r="U666" s="12" t="s">
        <v>18</v>
      </c>
      <c r="AA666" s="2091" t="s">
        <v>2739</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89" t="s">
        <v>570</v>
      </c>
      <c r="O667" s="2089"/>
      <c r="T667" s="35"/>
      <c r="U667" s="12" t="s">
        <v>20</v>
      </c>
      <c r="AG667" s="2089" t="s">
        <v>570</v>
      </c>
      <c r="AH667" s="2089"/>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2" t="str">
        <f>C641</f>
        <v>Subordinate Developer fee</v>
      </c>
      <c r="H669" s="2072"/>
      <c r="I669" s="2072"/>
      <c r="J669" s="2072"/>
      <c r="K669" s="2072"/>
      <c r="L669" s="2072"/>
      <c r="M669" s="2072"/>
      <c r="N669" s="2072"/>
      <c r="O669" s="2072"/>
      <c r="P669" s="2072"/>
      <c r="Q669" s="2072"/>
      <c r="R669" s="2072"/>
      <c r="T669" s="87" t="s">
        <v>610</v>
      </c>
      <c r="U669" s="12" t="s">
        <v>488</v>
      </c>
      <c r="Z669" s="2072" t="str">
        <f>C642</f>
        <v>Deferred Developer fee</v>
      </c>
      <c r="AA669" s="2072"/>
      <c r="AB669" s="2072"/>
      <c r="AC669" s="2072"/>
      <c r="AD669" s="2072"/>
      <c r="AE669" s="2072"/>
      <c r="AF669" s="2072"/>
      <c r="AG669" s="2072"/>
      <c r="AH669" s="2072"/>
      <c r="AI669" s="2072"/>
      <c r="AJ669" s="2072"/>
      <c r="AK669" s="2072"/>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1" t="s">
        <v>2607</v>
      </c>
      <c r="H670" s="2091"/>
      <c r="I670" s="2091"/>
      <c r="J670" s="2091"/>
      <c r="K670" s="2091"/>
      <c r="L670" s="2091"/>
      <c r="M670" s="2091"/>
      <c r="N670" s="2091"/>
      <c r="O670" s="2091"/>
      <c r="P670" s="2091"/>
      <c r="Q670" s="2091"/>
      <c r="R670" s="2091"/>
      <c r="T670" s="35"/>
      <c r="U670" s="12" t="s">
        <v>90</v>
      </c>
      <c r="Z670" s="2091" t="s">
        <v>2607</v>
      </c>
      <c r="AA670" s="2091"/>
      <c r="AB670" s="2091"/>
      <c r="AC670" s="2091"/>
      <c r="AD670" s="2091"/>
      <c r="AE670" s="2091"/>
      <c r="AF670" s="2091"/>
      <c r="AG670" s="2091"/>
      <c r="AH670" s="2091"/>
      <c r="AI670" s="2091"/>
      <c r="AJ670" s="2091"/>
      <c r="AK670" s="2091"/>
      <c r="AZ670" s="58"/>
      <c r="BA670" s="443">
        <f t="shared" ref="BA670:BA694" si="40">IF($G728=0,"N/A",VLOOKUP($T$189,TC_Rent,(MATCH($B728,bedrooms,FALSE))))</f>
        <v>2440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91" t="s">
        <v>2608</v>
      </c>
      <c r="H671" s="2091"/>
      <c r="I671" s="2091"/>
      <c r="J671" s="2091"/>
      <c r="K671" s="2091"/>
      <c r="L671" s="2091"/>
      <c r="M671" s="2091"/>
      <c r="N671" s="2091"/>
      <c r="O671" s="2091"/>
      <c r="P671" s="2091"/>
      <c r="Q671" s="2091"/>
      <c r="R671" s="2091"/>
      <c r="T671" s="35"/>
      <c r="U671" s="12" t="s">
        <v>606</v>
      </c>
      <c r="Z671" s="2091" t="s">
        <v>2608</v>
      </c>
      <c r="AA671" s="2091"/>
      <c r="AB671" s="2091"/>
      <c r="AC671" s="2091"/>
      <c r="AD671" s="2091"/>
      <c r="AE671" s="2091"/>
      <c r="AF671" s="2091"/>
      <c r="AG671" s="2091"/>
      <c r="AH671" s="2091"/>
      <c r="AI671" s="2091"/>
      <c r="AJ671" s="2091"/>
      <c r="AK671" s="2091"/>
      <c r="AZ671" s="58"/>
      <c r="BA671" s="443">
        <f t="shared" si="40"/>
        <v>2440</v>
      </c>
      <c r="BB671" s="58"/>
      <c r="BC671" s="58"/>
      <c r="BD671" s="58"/>
      <c r="BE671" s="58"/>
      <c r="BF671" s="379"/>
      <c r="BG671" s="453">
        <f t="shared" ref="BG671:BG695" si="41">G728</f>
        <v>12</v>
      </c>
      <c r="BH671" s="457">
        <f>BG671/$BG$696</f>
        <v>8.8888888888888892E-2</v>
      </c>
      <c r="BI671" s="458">
        <f t="shared" ref="BI671:BI695" si="42">IF(BH671=0," ",BH671*AC728)</f>
        <v>7.1111111111111111E-2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1" t="s">
        <v>2740</v>
      </c>
      <c r="H672" s="2091"/>
      <c r="I672" s="2091"/>
      <c r="J672" s="2091"/>
      <c r="K672" s="2091"/>
      <c r="L672" s="2091"/>
      <c r="M672" s="2091"/>
      <c r="N672" s="2091"/>
      <c r="O672" s="2091"/>
      <c r="P672" s="2091"/>
      <c r="Q672" s="2091"/>
      <c r="R672" s="2091"/>
      <c r="T672" s="35"/>
      <c r="U672" s="12" t="s">
        <v>17</v>
      </c>
      <c r="Z672" s="2091" t="s">
        <v>2740</v>
      </c>
      <c r="AA672" s="2091"/>
      <c r="AB672" s="2091"/>
      <c r="AC672" s="2091"/>
      <c r="AD672" s="2091"/>
      <c r="AE672" s="2091"/>
      <c r="AF672" s="2091"/>
      <c r="AG672" s="2091"/>
      <c r="AH672" s="2091"/>
      <c r="AI672" s="2091"/>
      <c r="AJ672" s="2091"/>
      <c r="AK672" s="2091"/>
      <c r="AZ672" s="58"/>
      <c r="BA672" s="443">
        <f t="shared" si="40"/>
        <v>2440</v>
      </c>
      <c r="BB672" s="58"/>
      <c r="BC672" s="58"/>
      <c r="BD672" s="58"/>
      <c r="BE672" s="58"/>
      <c r="BF672" s="379"/>
      <c r="BG672" s="454">
        <f t="shared" si="41"/>
        <v>37</v>
      </c>
      <c r="BH672" s="457">
        <f t="shared" ref="BH672:BH695" si="43">BG672/$BG$696</f>
        <v>0.27407407407407408</v>
      </c>
      <c r="BI672" s="458">
        <f t="shared" si="42"/>
        <v>0.16444444444444445</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090" t="s">
        <v>2611</v>
      </c>
      <c r="H673" s="2090"/>
      <c r="I673" s="2090"/>
      <c r="J673" s="2090"/>
      <c r="K673" s="2090"/>
      <c r="L673" s="2090"/>
      <c r="O673" s="137" t="s">
        <v>212</v>
      </c>
      <c r="P673" s="2088"/>
      <c r="Q673" s="2088"/>
      <c r="R673" s="2088"/>
      <c r="T673" s="35"/>
      <c r="U673" s="12" t="s">
        <v>322</v>
      </c>
      <c r="Z673" s="2090" t="s">
        <v>2611</v>
      </c>
      <c r="AA673" s="2090"/>
      <c r="AB673" s="2090"/>
      <c r="AC673" s="2090"/>
      <c r="AD673" s="2090"/>
      <c r="AE673" s="2090"/>
      <c r="AH673" s="137" t="s">
        <v>212</v>
      </c>
      <c r="AI673" s="2088"/>
      <c r="AJ673" s="2088"/>
      <c r="AK673" s="2088"/>
      <c r="AZ673" s="58"/>
      <c r="BA673" s="443">
        <f t="shared" si="40"/>
        <v>2440</v>
      </c>
      <c r="BB673" s="58"/>
      <c r="BC673" s="58"/>
      <c r="BD673" s="58"/>
      <c r="BE673" s="58"/>
      <c r="BF673" s="379"/>
      <c r="BG673" s="454">
        <f t="shared" si="41"/>
        <v>7</v>
      </c>
      <c r="BH673" s="457">
        <f t="shared" si="43"/>
        <v>5.185185185185185E-2</v>
      </c>
      <c r="BI673" s="458">
        <f t="shared" si="42"/>
        <v>2.5925925925925925E-2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1" t="s">
        <v>2739</v>
      </c>
      <c r="I674" s="2091"/>
      <c r="J674" s="2091"/>
      <c r="K674" s="2091"/>
      <c r="L674" s="2091"/>
      <c r="M674" s="2091"/>
      <c r="N674" s="2091"/>
      <c r="O674" s="2091"/>
      <c r="P674" s="2091"/>
      <c r="Q674" s="2091"/>
      <c r="R674" s="2091"/>
      <c r="T674" s="35"/>
      <c r="U674" s="12" t="s">
        <v>18</v>
      </c>
      <c r="AA674" s="2091" t="s">
        <v>1963</v>
      </c>
      <c r="AB674" s="2091"/>
      <c r="AC674" s="2091"/>
      <c r="AD674" s="2091"/>
      <c r="AE674" s="2091"/>
      <c r="AF674" s="2091"/>
      <c r="AG674" s="2091"/>
      <c r="AH674" s="2091"/>
      <c r="AI674" s="2091"/>
      <c r="AJ674" s="2091"/>
      <c r="AK674" s="2091"/>
      <c r="AZ674" s="58"/>
      <c r="BA674" s="443">
        <f t="shared" si="40"/>
        <v>2926</v>
      </c>
      <c r="BB674" s="58"/>
      <c r="BC674" s="58"/>
      <c r="BD674" s="58"/>
      <c r="BE674" s="58"/>
      <c r="BF674" s="379"/>
      <c r="BG674" s="454">
        <f t="shared" si="41"/>
        <v>7</v>
      </c>
      <c r="BH674" s="457">
        <f t="shared" si="43"/>
        <v>5.185185185185185E-2</v>
      </c>
      <c r="BI674" s="458">
        <f t="shared" si="42"/>
        <v>1.5555555555555555E-2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89" t="s">
        <v>570</v>
      </c>
      <c r="O675" s="2089"/>
      <c r="T675" s="35"/>
      <c r="U675" s="12" t="s">
        <v>20</v>
      </c>
      <c r="AG675" s="2089" t="s">
        <v>570</v>
      </c>
      <c r="AH675" s="2089"/>
      <c r="AZ675" s="58"/>
      <c r="BA675" s="443">
        <f t="shared" si="40"/>
        <v>2926</v>
      </c>
      <c r="BB675" s="58"/>
      <c r="BC675" s="58"/>
      <c r="BD675" s="58"/>
      <c r="BE675" s="58"/>
      <c r="BF675" s="379"/>
      <c r="BG675" s="454">
        <f t="shared" si="41"/>
        <v>8</v>
      </c>
      <c r="BH675" s="457">
        <f t="shared" si="43"/>
        <v>5.9259259259259262E-2</v>
      </c>
      <c r="BI675" s="458">
        <f t="shared" si="42"/>
        <v>4.7407407407407412E-2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2926</v>
      </c>
      <c r="BB676" s="58"/>
      <c r="BC676" s="58"/>
      <c r="BD676" s="58"/>
      <c r="BE676" s="58"/>
      <c r="BF676" s="379"/>
      <c r="BG676" s="454">
        <f t="shared" si="41"/>
        <v>21</v>
      </c>
      <c r="BH676" s="457">
        <f t="shared" si="43"/>
        <v>0.15555555555555556</v>
      </c>
      <c r="BI676" s="458">
        <f t="shared" si="42"/>
        <v>9.3333333333333338E-2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2">
        <f>C643</f>
        <v>0</v>
      </c>
      <c r="H677" s="2072"/>
      <c r="I677" s="2072"/>
      <c r="J677" s="2072"/>
      <c r="K677" s="2072"/>
      <c r="L677" s="2072"/>
      <c r="M677" s="2072"/>
      <c r="N677" s="2072"/>
      <c r="O677" s="2072"/>
      <c r="P677" s="2072"/>
      <c r="Q677" s="2072"/>
      <c r="R677" s="2072"/>
      <c r="T677" s="87" t="s">
        <v>481</v>
      </c>
      <c r="U677" s="12" t="s">
        <v>488</v>
      </c>
      <c r="Z677" s="2072">
        <f>C644</f>
        <v>0</v>
      </c>
      <c r="AA677" s="2072"/>
      <c r="AB677" s="2072"/>
      <c r="AC677" s="2072"/>
      <c r="AD677" s="2072"/>
      <c r="AE677" s="2072"/>
      <c r="AF677" s="2072"/>
      <c r="AG677" s="2072"/>
      <c r="AH677" s="2072"/>
      <c r="AI677" s="2072"/>
      <c r="AJ677" s="2072"/>
      <c r="AK677" s="2072"/>
      <c r="AZ677" s="58"/>
      <c r="BA677" s="443">
        <f t="shared" si="40"/>
        <v>2926</v>
      </c>
      <c r="BB677" s="58"/>
      <c r="BC677" s="58"/>
      <c r="BD677" s="58"/>
      <c r="BE677" s="58"/>
      <c r="BF677" s="379"/>
      <c r="BG677" s="454">
        <f t="shared" si="41"/>
        <v>4</v>
      </c>
      <c r="BH677" s="457">
        <f t="shared" si="43"/>
        <v>2.9629629629629631E-2</v>
      </c>
      <c r="BI677" s="458">
        <f t="shared" si="42"/>
        <v>1.4814814814814815E-2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0"/>
        <v>3382</v>
      </c>
      <c r="BB678" s="58"/>
      <c r="BC678" s="58"/>
      <c r="BD678" s="58"/>
      <c r="BE678" s="58"/>
      <c r="BF678" s="379"/>
      <c r="BG678" s="454">
        <f t="shared" si="41"/>
        <v>4</v>
      </c>
      <c r="BH678" s="457">
        <f t="shared" si="43"/>
        <v>2.9629629629629631E-2</v>
      </c>
      <c r="BI678" s="458">
        <f t="shared" si="42"/>
        <v>8.8888888888888889E-3</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91"/>
      <c r="H679" s="2091"/>
      <c r="I679" s="2091"/>
      <c r="J679" s="2091"/>
      <c r="K679" s="2091"/>
      <c r="L679" s="2091"/>
      <c r="M679" s="2091"/>
      <c r="N679" s="2091"/>
      <c r="O679" s="2091"/>
      <c r="P679" s="2091"/>
      <c r="Q679" s="2091"/>
      <c r="R679" s="2091"/>
      <c r="T679" s="35"/>
      <c r="U679" s="12" t="s">
        <v>606</v>
      </c>
      <c r="Z679" s="2071"/>
      <c r="AA679" s="2071"/>
      <c r="AB679" s="2071"/>
      <c r="AC679" s="2071"/>
      <c r="AD679" s="2071"/>
      <c r="AE679" s="2071"/>
      <c r="AF679" s="2071"/>
      <c r="AG679" s="2071"/>
      <c r="AH679" s="2071"/>
      <c r="AI679" s="2071"/>
      <c r="AJ679" s="2071"/>
      <c r="AK679" s="2071"/>
      <c r="AZ679" s="58"/>
      <c r="BA679" s="443">
        <f t="shared" si="40"/>
        <v>3382</v>
      </c>
      <c r="BB679" s="58"/>
      <c r="BC679" s="58"/>
      <c r="BD679" s="58"/>
      <c r="BE679" s="58"/>
      <c r="BF679" s="379"/>
      <c r="BG679" s="454">
        <f t="shared" si="41"/>
        <v>8</v>
      </c>
      <c r="BH679" s="457">
        <f t="shared" si="43"/>
        <v>5.9259259259259262E-2</v>
      </c>
      <c r="BI679" s="458">
        <f t="shared" si="42"/>
        <v>4.7407407407407412E-2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1"/>
      <c r="H680" s="2091"/>
      <c r="I680" s="2091"/>
      <c r="J680" s="2091"/>
      <c r="K680" s="2091"/>
      <c r="L680" s="2091"/>
      <c r="M680" s="2091"/>
      <c r="N680" s="2091"/>
      <c r="O680" s="2091"/>
      <c r="P680" s="2091"/>
      <c r="Q680" s="2091"/>
      <c r="R680" s="2091"/>
      <c r="T680" s="35"/>
      <c r="U680" s="12" t="s">
        <v>17</v>
      </c>
      <c r="Z680" s="2071"/>
      <c r="AA680" s="2071"/>
      <c r="AB680" s="2071"/>
      <c r="AC680" s="2071"/>
      <c r="AD680" s="2071"/>
      <c r="AE680" s="2071"/>
      <c r="AF680" s="2071"/>
      <c r="AG680" s="2071"/>
      <c r="AH680" s="2071"/>
      <c r="AI680" s="2071"/>
      <c r="AJ680" s="2071"/>
      <c r="AK680" s="2071"/>
      <c r="AZ680" s="58"/>
      <c r="BA680" s="443">
        <f t="shared" si="40"/>
        <v>3382</v>
      </c>
      <c r="BB680" s="58"/>
      <c r="BC680" s="58"/>
      <c r="BD680" s="58"/>
      <c r="BE680" s="58"/>
      <c r="BF680" s="379"/>
      <c r="BG680" s="454">
        <f t="shared" si="41"/>
        <v>19</v>
      </c>
      <c r="BH680" s="457">
        <f t="shared" si="43"/>
        <v>0.14074074074074075</v>
      </c>
      <c r="BI680" s="458">
        <f t="shared" si="42"/>
        <v>8.4444444444444447E-2</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55"/>
      <c r="H681" s="2355"/>
      <c r="I681" s="2355"/>
      <c r="J681" s="2355"/>
      <c r="K681" s="2355"/>
      <c r="L681" s="2355"/>
      <c r="O681" s="137" t="s">
        <v>212</v>
      </c>
      <c r="P681" s="2088"/>
      <c r="Q681" s="2088"/>
      <c r="R681" s="2088"/>
      <c r="T681" s="35"/>
      <c r="U681" s="12" t="s">
        <v>322</v>
      </c>
      <c r="Z681" s="2355"/>
      <c r="AA681" s="2355"/>
      <c r="AB681" s="2355"/>
      <c r="AC681" s="2355"/>
      <c r="AD681" s="2355"/>
      <c r="AE681" s="2355"/>
      <c r="AH681" s="137" t="s">
        <v>212</v>
      </c>
      <c r="AI681" s="2088"/>
      <c r="AJ681" s="2088"/>
      <c r="AK681" s="2088"/>
      <c r="AZ681" s="58"/>
      <c r="BA681" s="443">
        <f t="shared" si="40"/>
        <v>3382</v>
      </c>
      <c r="BB681" s="58"/>
      <c r="BC681" s="58"/>
      <c r="BD681" s="58"/>
      <c r="BE681" s="58"/>
      <c r="BF681" s="379"/>
      <c r="BG681" s="454">
        <f t="shared" si="41"/>
        <v>4</v>
      </c>
      <c r="BH681" s="457">
        <f t="shared" si="43"/>
        <v>2.9629629629629631E-2</v>
      </c>
      <c r="BI681" s="458">
        <f t="shared" si="42"/>
        <v>1.4814814814814815E-2</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t="str">
        <f t="shared" si="40"/>
        <v>N/A</v>
      </c>
      <c r="BB682" s="58"/>
      <c r="BC682" s="58"/>
      <c r="BD682" s="58"/>
      <c r="BE682" s="58"/>
      <c r="BF682" s="379"/>
      <c r="BG682" s="454">
        <f t="shared" si="41"/>
        <v>4</v>
      </c>
      <c r="BH682" s="457">
        <f t="shared" si="43"/>
        <v>2.9629629629629631E-2</v>
      </c>
      <c r="BI682" s="458">
        <f t="shared" si="42"/>
        <v>8.8888888888888889E-3</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89" t="s">
        <v>695</v>
      </c>
      <c r="O683" s="2089"/>
      <c r="T683" s="35"/>
      <c r="U683" s="12" t="s">
        <v>20</v>
      </c>
      <c r="AG683" s="2089" t="s">
        <v>695</v>
      </c>
      <c r="AH683" s="2089"/>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2">
        <f>C645</f>
        <v>0</v>
      </c>
      <c r="H685" s="2072"/>
      <c r="I685" s="2072"/>
      <c r="J685" s="2072"/>
      <c r="K685" s="2072"/>
      <c r="L685" s="2072"/>
      <c r="M685" s="2072"/>
      <c r="N685" s="2072"/>
      <c r="O685" s="2072"/>
      <c r="P685" s="2072"/>
      <c r="Q685" s="2072"/>
      <c r="R685" s="2072"/>
      <c r="T685" s="87" t="s">
        <v>672</v>
      </c>
      <c r="U685" s="12" t="s">
        <v>488</v>
      </c>
      <c r="Z685" s="2072">
        <f>C646</f>
        <v>0</v>
      </c>
      <c r="AA685" s="2072"/>
      <c r="AB685" s="2072"/>
      <c r="AC685" s="2072"/>
      <c r="AD685" s="2072"/>
      <c r="AE685" s="2072"/>
      <c r="AF685" s="2072"/>
      <c r="AG685" s="2072"/>
      <c r="AH685" s="2072"/>
      <c r="AI685" s="2072"/>
      <c r="AJ685" s="2072"/>
      <c r="AK685" s="2072"/>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91"/>
      <c r="H687" s="2091"/>
      <c r="I687" s="2091"/>
      <c r="J687" s="2091"/>
      <c r="K687" s="2091"/>
      <c r="L687" s="2091"/>
      <c r="M687" s="2091"/>
      <c r="N687" s="2091"/>
      <c r="O687" s="2091"/>
      <c r="P687" s="2091"/>
      <c r="Q687" s="2091"/>
      <c r="R687" s="2091"/>
      <c r="T687" s="35"/>
      <c r="U687" s="12" t="s">
        <v>606</v>
      </c>
      <c r="Z687" s="2071"/>
      <c r="AA687" s="2071"/>
      <c r="AB687" s="2071"/>
      <c r="AC687" s="2071"/>
      <c r="AD687" s="2071"/>
      <c r="AE687" s="2071"/>
      <c r="AF687" s="2071"/>
      <c r="AG687" s="2071"/>
      <c r="AH687" s="2071"/>
      <c r="AI687" s="2071"/>
      <c r="AJ687" s="2071"/>
      <c r="AK687" s="2071"/>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1"/>
      <c r="H688" s="2091"/>
      <c r="I688" s="2091"/>
      <c r="J688" s="2091"/>
      <c r="K688" s="2091"/>
      <c r="L688" s="2091"/>
      <c r="M688" s="2091"/>
      <c r="N688" s="2091"/>
      <c r="O688" s="2091"/>
      <c r="P688" s="2091"/>
      <c r="Q688" s="2091"/>
      <c r="R688" s="2091"/>
      <c r="T688" s="35"/>
      <c r="U688" s="12" t="s">
        <v>17</v>
      </c>
      <c r="Z688" s="2071"/>
      <c r="AA688" s="2071"/>
      <c r="AB688" s="2071"/>
      <c r="AC688" s="2071"/>
      <c r="AD688" s="2071"/>
      <c r="AE688" s="2071"/>
      <c r="AF688" s="2071"/>
      <c r="AG688" s="2071"/>
      <c r="AH688" s="2071"/>
      <c r="AI688" s="2071"/>
      <c r="AJ688" s="2071"/>
      <c r="AK688" s="2071"/>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55"/>
      <c r="H689" s="2355"/>
      <c r="I689" s="2355"/>
      <c r="J689" s="2355"/>
      <c r="K689" s="2355"/>
      <c r="L689" s="2355"/>
      <c r="O689" s="137" t="s">
        <v>212</v>
      </c>
      <c r="P689" s="2088"/>
      <c r="Q689" s="2088"/>
      <c r="R689" s="2088"/>
      <c r="T689" s="35"/>
      <c r="U689" s="12" t="s">
        <v>322</v>
      </c>
      <c r="Z689" s="2355"/>
      <c r="AA689" s="2355"/>
      <c r="AB689" s="2355"/>
      <c r="AC689" s="2355"/>
      <c r="AD689" s="2355"/>
      <c r="AE689" s="2355"/>
      <c r="AH689" s="137" t="s">
        <v>212</v>
      </c>
      <c r="AI689" s="2088"/>
      <c r="AJ689" s="2088"/>
      <c r="AK689" s="2088"/>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89" t="s">
        <v>695</v>
      </c>
      <c r="O691" s="2089"/>
      <c r="T691" s="35"/>
      <c r="U691" s="12" t="s">
        <v>20</v>
      </c>
      <c r="AG691" s="2089" t="s">
        <v>695</v>
      </c>
      <c r="AH691" s="2089"/>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72">
        <f>C647</f>
        <v>0</v>
      </c>
      <c r="H693" s="2072"/>
      <c r="I693" s="2072"/>
      <c r="J693" s="2072"/>
      <c r="K693" s="2072"/>
      <c r="L693" s="2072"/>
      <c r="M693" s="2072"/>
      <c r="N693" s="2072"/>
      <c r="O693" s="2072"/>
      <c r="P693" s="2072"/>
      <c r="Q693" s="2072"/>
      <c r="R693" s="2072"/>
      <c r="T693" s="87" t="s">
        <v>370</v>
      </c>
      <c r="U693" s="12" t="s">
        <v>488</v>
      </c>
      <c r="Z693" s="2072">
        <f>C648</f>
        <v>0</v>
      </c>
      <c r="AA693" s="2072"/>
      <c r="AB693" s="2072"/>
      <c r="AC693" s="2072"/>
      <c r="AD693" s="2072"/>
      <c r="AE693" s="2072"/>
      <c r="AF693" s="2072"/>
      <c r="AG693" s="2072"/>
      <c r="AH693" s="2072"/>
      <c r="AI693" s="2072"/>
      <c r="AJ693" s="2072"/>
      <c r="AK693" s="2072"/>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91"/>
      <c r="H695" s="2091"/>
      <c r="I695" s="2091"/>
      <c r="J695" s="2091"/>
      <c r="K695" s="2091"/>
      <c r="L695" s="2091"/>
      <c r="M695" s="2091"/>
      <c r="N695" s="2091"/>
      <c r="O695" s="2091"/>
      <c r="P695" s="2091"/>
      <c r="Q695" s="2091"/>
      <c r="R695" s="2091"/>
      <c r="U695" s="12" t="s">
        <v>606</v>
      </c>
      <c r="Z695" s="2071"/>
      <c r="AA695" s="2071"/>
      <c r="AB695" s="2071"/>
      <c r="AC695" s="2071"/>
      <c r="AD695" s="2071"/>
      <c r="AE695" s="2071"/>
      <c r="AF695" s="2071"/>
      <c r="AG695" s="2071"/>
      <c r="AH695" s="2071"/>
      <c r="AI695" s="2071"/>
      <c r="AJ695" s="2071"/>
      <c r="AK695" s="2071"/>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1"/>
      <c r="H696" s="2091"/>
      <c r="I696" s="2091"/>
      <c r="J696" s="2091"/>
      <c r="K696" s="2091"/>
      <c r="L696" s="2091"/>
      <c r="M696" s="2091"/>
      <c r="N696" s="2091"/>
      <c r="O696" s="2091"/>
      <c r="P696" s="2091"/>
      <c r="Q696" s="2091"/>
      <c r="R696" s="2091"/>
      <c r="U696" s="12" t="s">
        <v>17</v>
      </c>
      <c r="Z696" s="2071"/>
      <c r="AA696" s="2071"/>
      <c r="AB696" s="2071"/>
      <c r="AC696" s="2071"/>
      <c r="AD696" s="2071"/>
      <c r="AE696" s="2071"/>
      <c r="AF696" s="2071"/>
      <c r="AG696" s="2071"/>
      <c r="AH696" s="2071"/>
      <c r="AI696" s="2071"/>
      <c r="AJ696" s="2071"/>
      <c r="AK696" s="2071"/>
      <c r="AZ696" s="58"/>
      <c r="BA696" s="58"/>
      <c r="BB696" s="58"/>
      <c r="BC696" s="58"/>
      <c r="BD696" s="58"/>
      <c r="BF696" s="450" t="s">
        <v>951</v>
      </c>
      <c r="BG696" s="459">
        <f>SUM(BG671:BG695)</f>
        <v>135</v>
      </c>
      <c r="BH696" s="460">
        <f>SUM(BH671:BH695)</f>
        <v>1.0000000000000002</v>
      </c>
      <c r="BI696" s="460">
        <f>SUM(BI671:BI695)</f>
        <v>0.59703703703703703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55"/>
      <c r="H697" s="2355"/>
      <c r="I697" s="2355"/>
      <c r="J697" s="2355"/>
      <c r="K697" s="2355"/>
      <c r="L697" s="2355"/>
      <c r="O697" s="137" t="s">
        <v>212</v>
      </c>
      <c r="P697" s="2088"/>
      <c r="Q697" s="2088"/>
      <c r="R697" s="2088"/>
      <c r="U697" s="12" t="s">
        <v>322</v>
      </c>
      <c r="Z697" s="2355"/>
      <c r="AA697" s="2355"/>
      <c r="AB697" s="2355"/>
      <c r="AC697" s="2355"/>
      <c r="AD697" s="2355"/>
      <c r="AE697" s="2355"/>
      <c r="AH697" s="137" t="s">
        <v>212</v>
      </c>
      <c r="AI697" s="2088"/>
      <c r="AJ697" s="2088"/>
      <c r="AK697" s="2088"/>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89" t="s">
        <v>695</v>
      </c>
      <c r="O699" s="2089"/>
      <c r="U699" s="12" t="s">
        <v>20</v>
      </c>
      <c r="AG699" s="2089" t="s">
        <v>695</v>
      </c>
      <c r="AH699" s="2089"/>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9" t="s">
        <v>570</v>
      </c>
      <c r="AF703" s="208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12</v>
      </c>
      <c r="BH703" s="457">
        <f>BG703/$BG$728</f>
        <v>8.8888888888888892E-2</v>
      </c>
      <c r="BI703" s="458">
        <f t="shared" ref="BI703:BI727" si="45">IF(BH703=0," ",BH703*AH728)</f>
        <v>6.6812386156648446E-2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9" t="s">
        <v>570</v>
      </c>
      <c r="AF704" s="208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37</v>
      </c>
      <c r="BH704" s="457">
        <f t="shared" ref="BH704:BH727" si="46">BG704/$BG$728</f>
        <v>0.27407407407407408</v>
      </c>
      <c r="BI704" s="458">
        <f t="shared" si="45"/>
        <v>0.16444444444444445</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76">
        <v>44782</v>
      </c>
      <c r="AF705" s="2376"/>
      <c r="AG705" s="2376"/>
      <c r="AH705" s="2376"/>
      <c r="AI705" s="23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7</v>
      </c>
      <c r="BH705" s="457">
        <f t="shared" si="46"/>
        <v>5.185185185185185E-2</v>
      </c>
      <c r="BI705" s="458">
        <f t="shared" si="45"/>
        <v>2.5925925925925925E-2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7">
        <v>44895</v>
      </c>
      <c r="AF706" s="2377"/>
      <c r="AG706" s="2377"/>
      <c r="AH706" s="2377"/>
      <c r="AI706" s="23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7</v>
      </c>
      <c r="BH706" s="457">
        <f t="shared" si="46"/>
        <v>5.185185185185185E-2</v>
      </c>
      <c r="BI706" s="458">
        <f t="shared" si="45"/>
        <v>1.5555555555555555E-2</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8</v>
      </c>
      <c r="BH707" s="457">
        <f t="shared" si="46"/>
        <v>5.9259259259259262E-2</v>
      </c>
      <c r="BI707" s="458">
        <f t="shared" si="45"/>
        <v>4.7431710589605332E-2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76">
        <v>45047</v>
      </c>
      <c r="AF708" s="2376"/>
      <c r="AG708" s="2376"/>
      <c r="AH708" s="2376"/>
      <c r="AI708" s="23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21</v>
      </c>
      <c r="BH708" s="457">
        <f t="shared" si="46"/>
        <v>0.15555555555555556</v>
      </c>
      <c r="BI708" s="458">
        <f t="shared" si="45"/>
        <v>9.335459861775651E-2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0">
        <v>0.54010000000000002</v>
      </c>
      <c r="AF709" s="2410"/>
      <c r="AG709" s="2410"/>
      <c r="AH709" s="2410"/>
      <c r="AI709" s="24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4</v>
      </c>
      <c r="BH709" s="457">
        <f t="shared" si="46"/>
        <v>2.9629629629629631E-2</v>
      </c>
      <c r="BI709" s="458">
        <f t="shared" si="45"/>
        <v>1.4814814814814815E-2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2" t="str">
        <f>H334</f>
        <v>California Housing Finance Agency</v>
      </c>
      <c r="X710" s="2072"/>
      <c r="Y710" s="2072"/>
      <c r="Z710" s="2072"/>
      <c r="AA710" s="2072"/>
      <c r="AB710" s="2072"/>
      <c r="AC710" s="2072"/>
      <c r="AD710" s="2072"/>
      <c r="AE710" s="2072"/>
      <c r="AF710" s="2072"/>
      <c r="AG710" s="2072"/>
      <c r="AH710" s="2072"/>
      <c r="AI710" s="2072"/>
      <c r="AJ710" s="2072"/>
      <c r="AK710" s="207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4</v>
      </c>
      <c r="BH710" s="457">
        <f t="shared" si="46"/>
        <v>2.9629629629629631E-2</v>
      </c>
      <c r="BI710" s="458">
        <f t="shared" si="45"/>
        <v>8.89091415407205E-3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8</v>
      </c>
      <c r="BH711" s="457">
        <f t="shared" si="46"/>
        <v>5.9259259259259262E-2</v>
      </c>
      <c r="BI711" s="458">
        <f t="shared" si="45"/>
        <v>4.7431938147491075E-2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9" t="s">
        <v>695</v>
      </c>
      <c r="AF712" s="208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19</v>
      </c>
      <c r="BH712" s="457">
        <f t="shared" si="46"/>
        <v>0.14074074074074075</v>
      </c>
      <c r="BI712" s="458">
        <f t="shared" si="45"/>
        <v>8.4477736163129424E-2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4</v>
      </c>
      <c r="BH713" s="457">
        <f t="shared" si="46"/>
        <v>2.9629629629629631E-2</v>
      </c>
      <c r="BI713" s="458">
        <f t="shared" si="45"/>
        <v>1.4814814814814815E-2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4</v>
      </c>
      <c r="BH714" s="457">
        <f t="shared" si="46"/>
        <v>2.9629629629629631E-2</v>
      </c>
      <c r="BI714" s="458">
        <f t="shared" si="45"/>
        <v>8.8923932803294126E-3</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55"/>
      <c r="K715" s="2355"/>
      <c r="L715" s="2355"/>
      <c r="M715" s="2355"/>
      <c r="N715" s="2355"/>
      <c r="O715" s="2355"/>
      <c r="P715" s="7" t="s">
        <v>212</v>
      </c>
      <c r="Q715" s="7"/>
      <c r="R715" s="2088"/>
      <c r="S715" s="2088"/>
      <c r="T715" s="208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91" t="s">
        <v>313</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1" t="s">
        <v>340</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20" t="s">
        <v>404</v>
      </c>
      <c r="C724" s="2074"/>
      <c r="D724" s="2074"/>
      <c r="E724" s="2074"/>
      <c r="F724" s="2075"/>
      <c r="G724" s="2320" t="s">
        <v>291</v>
      </c>
      <c r="H724" s="2074"/>
      <c r="I724" s="2074"/>
      <c r="J724" s="2075"/>
      <c r="K724" s="2321" t="s">
        <v>1990</v>
      </c>
      <c r="L724" s="2322"/>
      <c r="M724" s="2322"/>
      <c r="N724" s="2323"/>
      <c r="O724" s="2320" t="s">
        <v>471</v>
      </c>
      <c r="P724" s="2074"/>
      <c r="Q724" s="2074"/>
      <c r="R724" s="2074"/>
      <c r="S724" s="2075"/>
      <c r="T724" s="2073" t="s">
        <v>2400</v>
      </c>
      <c r="U724" s="2074"/>
      <c r="V724" s="2074"/>
      <c r="W724" s="2075"/>
      <c r="X724" s="2073" t="s">
        <v>2402</v>
      </c>
      <c r="Y724" s="2074"/>
      <c r="Z724" s="2074"/>
      <c r="AA724" s="2074"/>
      <c r="AB724" s="2075"/>
      <c r="AC724" s="2073" t="s">
        <v>2401</v>
      </c>
      <c r="AD724" s="2074"/>
      <c r="AE724" s="2074"/>
      <c r="AF724" s="2074"/>
      <c r="AG724" s="2075"/>
      <c r="AH724" s="2073" t="s">
        <v>2403</v>
      </c>
      <c r="AI724" s="2074"/>
      <c r="AJ724" s="2075"/>
      <c r="AK724" s="2073" t="s">
        <v>2439</v>
      </c>
      <c r="AL724" s="2074"/>
      <c r="AM724" s="2074"/>
      <c r="AN724" s="2074"/>
      <c r="AO724" s="2075"/>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6"/>
      <c r="C725" s="2077"/>
      <c r="D725" s="2077"/>
      <c r="E725" s="2077"/>
      <c r="F725" s="2078"/>
      <c r="G725" s="2076"/>
      <c r="H725" s="2077"/>
      <c r="I725" s="2077"/>
      <c r="J725" s="2078"/>
      <c r="K725" s="2324"/>
      <c r="L725" s="2325"/>
      <c r="M725" s="2325"/>
      <c r="N725" s="2326"/>
      <c r="O725" s="2076"/>
      <c r="P725" s="2077"/>
      <c r="Q725" s="2077"/>
      <c r="R725" s="2077"/>
      <c r="S725" s="2078"/>
      <c r="T725" s="2076"/>
      <c r="U725" s="2077"/>
      <c r="V725" s="2077"/>
      <c r="W725" s="2078"/>
      <c r="X725" s="2076"/>
      <c r="Y725" s="2077"/>
      <c r="Z725" s="2077"/>
      <c r="AA725" s="2077"/>
      <c r="AB725" s="2078"/>
      <c r="AC725" s="2076"/>
      <c r="AD725" s="2077"/>
      <c r="AE725" s="2077"/>
      <c r="AF725" s="2077"/>
      <c r="AG725" s="2078"/>
      <c r="AH725" s="2076"/>
      <c r="AI725" s="2077"/>
      <c r="AJ725" s="2078"/>
      <c r="AK725" s="2076"/>
      <c r="AL725" s="2077"/>
      <c r="AM725" s="2077"/>
      <c r="AN725" s="2077"/>
      <c r="AO725" s="2078"/>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6"/>
      <c r="C726" s="2077"/>
      <c r="D726" s="2077"/>
      <c r="E726" s="2077"/>
      <c r="F726" s="2078"/>
      <c r="G726" s="2076"/>
      <c r="H726" s="2077"/>
      <c r="I726" s="2077"/>
      <c r="J726" s="2078"/>
      <c r="K726" s="2324"/>
      <c r="L726" s="2325"/>
      <c r="M726" s="2325"/>
      <c r="N726" s="2326"/>
      <c r="O726" s="2076"/>
      <c r="P726" s="2077"/>
      <c r="Q726" s="2077"/>
      <c r="R726" s="2077"/>
      <c r="S726" s="2078"/>
      <c r="T726" s="2076"/>
      <c r="U726" s="2077"/>
      <c r="V726" s="2077"/>
      <c r="W726" s="2078"/>
      <c r="X726" s="2076"/>
      <c r="Y726" s="2077"/>
      <c r="Z726" s="2077"/>
      <c r="AA726" s="2077"/>
      <c r="AB726" s="2078"/>
      <c r="AC726" s="2076"/>
      <c r="AD726" s="2077"/>
      <c r="AE726" s="2077"/>
      <c r="AF726" s="2077"/>
      <c r="AG726" s="2078"/>
      <c r="AH726" s="2076"/>
      <c r="AI726" s="2077"/>
      <c r="AJ726" s="2078"/>
      <c r="AK726" s="2076"/>
      <c r="AL726" s="2077"/>
      <c r="AM726" s="2077"/>
      <c r="AN726" s="2077"/>
      <c r="AO726" s="2078"/>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079"/>
      <c r="C727" s="2080"/>
      <c r="D727" s="2080"/>
      <c r="E727" s="2080"/>
      <c r="F727" s="2081"/>
      <c r="G727" s="2079"/>
      <c r="H727" s="2080"/>
      <c r="I727" s="2080"/>
      <c r="J727" s="2081"/>
      <c r="K727" s="2324"/>
      <c r="L727" s="2325"/>
      <c r="M727" s="2325"/>
      <c r="N727" s="2326"/>
      <c r="O727" s="2079"/>
      <c r="P727" s="2080"/>
      <c r="Q727" s="2080"/>
      <c r="R727" s="2080"/>
      <c r="S727" s="2081"/>
      <c r="T727" s="2079"/>
      <c r="U727" s="2080"/>
      <c r="V727" s="2080"/>
      <c r="W727" s="2081"/>
      <c r="X727" s="2079"/>
      <c r="Y727" s="2080"/>
      <c r="Z727" s="2080"/>
      <c r="AA727" s="2080"/>
      <c r="AB727" s="2081"/>
      <c r="AC727" s="2079"/>
      <c r="AD727" s="2080"/>
      <c r="AE727" s="2080"/>
      <c r="AF727" s="2080"/>
      <c r="AG727" s="2081"/>
      <c r="AH727" s="2079"/>
      <c r="AI727" s="2080"/>
      <c r="AJ727" s="2081"/>
      <c r="AK727" s="2079"/>
      <c r="AL727" s="2080"/>
      <c r="AM727" s="2080"/>
      <c r="AN727" s="2080"/>
      <c r="AO727" s="2081"/>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6" t="s">
        <v>331</v>
      </c>
      <c r="C728" s="2047"/>
      <c r="D728" s="2047"/>
      <c r="E728" s="2047"/>
      <c r="F728" s="2048"/>
      <c r="G728" s="2306">
        <f>+'[10]Operating Budget'!$D$18</f>
        <v>12</v>
      </c>
      <c r="H728" s="2307"/>
      <c r="I728" s="2307"/>
      <c r="J728" s="2308"/>
      <c r="K728" s="2303">
        <v>550</v>
      </c>
      <c r="L728" s="2304"/>
      <c r="M728" s="2304"/>
      <c r="N728" s="2305"/>
      <c r="O728" s="2085">
        <f>+'[10]Operating Budget'!$J$18</f>
        <v>1749</v>
      </c>
      <c r="P728" s="2086"/>
      <c r="Q728" s="2086"/>
      <c r="R728" s="2086"/>
      <c r="S728" s="2087"/>
      <c r="T728" s="2085">
        <f>+'[10]Operating Budget'!$I$17</f>
        <v>85</v>
      </c>
      <c r="U728" s="2086"/>
      <c r="V728" s="2086"/>
      <c r="W728" s="2087"/>
      <c r="X728" s="2049">
        <f t="shared" ref="X728:X752" si="47">O728+T728</f>
        <v>1834</v>
      </c>
      <c r="Y728" s="2050"/>
      <c r="Z728" s="2050"/>
      <c r="AA728" s="2050"/>
      <c r="AB728" s="2051"/>
      <c r="AC728" s="2053">
        <v>0.8</v>
      </c>
      <c r="AD728" s="2054"/>
      <c r="AE728" s="2054"/>
      <c r="AF728" s="2054"/>
      <c r="AG728" s="2055"/>
      <c r="AH728" s="2068">
        <f t="shared" ref="AH728:AH752" si="48">IF($AC728&gt;0,($X728/$BA670), " ")</f>
        <v>0.75163934426229506</v>
      </c>
      <c r="AI728" s="2069"/>
      <c r="AJ728" s="2070"/>
      <c r="AK728" s="2046" t="s">
        <v>617</v>
      </c>
      <c r="AL728" s="2047"/>
      <c r="AM728" s="2047"/>
      <c r="AN728" s="2047"/>
      <c r="AO728" s="2048"/>
      <c r="AP728" s="239"/>
      <c r="AQ728" s="239"/>
      <c r="AR728" s="239"/>
      <c r="AS728" s="239"/>
      <c r="AY728" s="1820"/>
      <c r="AZ728" s="1820"/>
      <c r="BA728" s="1820"/>
      <c r="BB728" s="1820"/>
      <c r="BC728" s="1820"/>
      <c r="BD728" s="58"/>
      <c r="BE728" s="58"/>
      <c r="BF728" s="58"/>
      <c r="BG728" s="1367">
        <f>SUM(BG703:BG727)</f>
        <v>135</v>
      </c>
      <c r="BH728" s="460">
        <f>SUM(BH703:BH727)</f>
        <v>1.0000000000000002</v>
      </c>
      <c r="BI728" s="460">
        <f>SUM(BI703:BI727)</f>
        <v>0.59284723266458783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6" t="s">
        <v>331</v>
      </c>
      <c r="C729" s="2047"/>
      <c r="D729" s="2047"/>
      <c r="E729" s="2047"/>
      <c r="F729" s="2048"/>
      <c r="G729" s="2306">
        <f>+'[10]Operating Budget'!$D$19</f>
        <v>37</v>
      </c>
      <c r="H729" s="2307"/>
      <c r="I729" s="2307"/>
      <c r="J729" s="2308"/>
      <c r="K729" s="2303">
        <v>550</v>
      </c>
      <c r="L729" s="2304"/>
      <c r="M729" s="2304"/>
      <c r="N729" s="2305"/>
      <c r="O729" s="2085">
        <f>+'[10]Operating Budget'!$J$19</f>
        <v>1379</v>
      </c>
      <c r="P729" s="2086"/>
      <c r="Q729" s="2086"/>
      <c r="R729" s="2086"/>
      <c r="S729" s="2087"/>
      <c r="T729" s="2085">
        <f>+T728</f>
        <v>85</v>
      </c>
      <c r="U729" s="2086"/>
      <c r="V729" s="2086"/>
      <c r="W729" s="2087"/>
      <c r="X729" s="2049">
        <f t="shared" si="47"/>
        <v>1464</v>
      </c>
      <c r="Y729" s="2050"/>
      <c r="Z729" s="2050"/>
      <c r="AA729" s="2050"/>
      <c r="AB729" s="2051"/>
      <c r="AC729" s="2053">
        <v>0.6</v>
      </c>
      <c r="AD729" s="2054"/>
      <c r="AE729" s="2054"/>
      <c r="AF729" s="2054"/>
      <c r="AG729" s="2055"/>
      <c r="AH729" s="2068">
        <f t="shared" si="48"/>
        <v>0.6</v>
      </c>
      <c r="AI729" s="2069"/>
      <c r="AJ729" s="2070"/>
      <c r="AK729" s="2046" t="s">
        <v>617</v>
      </c>
      <c r="AL729" s="2047"/>
      <c r="AM729" s="2047"/>
      <c r="AN729" s="2047"/>
      <c r="AO729" s="204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6" t="s">
        <v>331</v>
      </c>
      <c r="C730" s="2047"/>
      <c r="D730" s="2047"/>
      <c r="E730" s="2047"/>
      <c r="F730" s="2048"/>
      <c r="G730" s="2306">
        <f>+'[10]Operating Budget'!$D$20</f>
        <v>7</v>
      </c>
      <c r="H730" s="2307"/>
      <c r="I730" s="2307"/>
      <c r="J730" s="2308"/>
      <c r="K730" s="2303">
        <v>550</v>
      </c>
      <c r="L730" s="2304"/>
      <c r="M730" s="2304"/>
      <c r="N730" s="2305"/>
      <c r="O730" s="2085">
        <f>+'[10]Operating Budget'!$J$20</f>
        <v>1135</v>
      </c>
      <c r="P730" s="2086"/>
      <c r="Q730" s="2086"/>
      <c r="R730" s="2086"/>
      <c r="S730" s="2087"/>
      <c r="T730" s="2085">
        <f t="shared" ref="T730:T731" si="49">+T729</f>
        <v>85</v>
      </c>
      <c r="U730" s="2086"/>
      <c r="V730" s="2086"/>
      <c r="W730" s="2087"/>
      <c r="X730" s="2049">
        <f t="shared" si="47"/>
        <v>1220</v>
      </c>
      <c r="Y730" s="2050"/>
      <c r="Z730" s="2050"/>
      <c r="AA730" s="2050"/>
      <c r="AB730" s="2051"/>
      <c r="AC730" s="2053">
        <v>0.5</v>
      </c>
      <c r="AD730" s="2054"/>
      <c r="AE730" s="2054"/>
      <c r="AF730" s="2054"/>
      <c r="AG730" s="2055"/>
      <c r="AH730" s="2068">
        <f t="shared" si="48"/>
        <v>0.5</v>
      </c>
      <c r="AI730" s="2069"/>
      <c r="AJ730" s="2070"/>
      <c r="AK730" s="2046" t="s">
        <v>617</v>
      </c>
      <c r="AL730" s="2047"/>
      <c r="AM730" s="2047"/>
      <c r="AN730" s="2047"/>
      <c r="AO730" s="204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6" t="s">
        <v>331</v>
      </c>
      <c r="C731" s="2047"/>
      <c r="D731" s="2047"/>
      <c r="E731" s="2047"/>
      <c r="F731" s="2048"/>
      <c r="G731" s="2306">
        <f>+'[10]Operating Budget'!$D$22</f>
        <v>7</v>
      </c>
      <c r="H731" s="2307"/>
      <c r="I731" s="2307"/>
      <c r="J731" s="2308"/>
      <c r="K731" s="2303">
        <f t="shared" ref="K731" si="50">+K730</f>
        <v>550</v>
      </c>
      <c r="L731" s="2304"/>
      <c r="M731" s="2304"/>
      <c r="N731" s="2305"/>
      <c r="O731" s="2085">
        <f>+'[10]Operating Budget'!$J$22</f>
        <v>647</v>
      </c>
      <c r="P731" s="2086"/>
      <c r="Q731" s="2086"/>
      <c r="R731" s="2086"/>
      <c r="S731" s="2087"/>
      <c r="T731" s="2085">
        <f t="shared" si="49"/>
        <v>85</v>
      </c>
      <c r="U731" s="2086"/>
      <c r="V731" s="2086"/>
      <c r="W731" s="2087"/>
      <c r="X731" s="2049">
        <f t="shared" si="47"/>
        <v>732</v>
      </c>
      <c r="Y731" s="2050"/>
      <c r="Z731" s="2050"/>
      <c r="AA731" s="2050"/>
      <c r="AB731" s="2051"/>
      <c r="AC731" s="2053">
        <v>0.3</v>
      </c>
      <c r="AD731" s="2054"/>
      <c r="AE731" s="2054"/>
      <c r="AF731" s="2054"/>
      <c r="AG731" s="2055"/>
      <c r="AH731" s="2068">
        <f t="shared" si="48"/>
        <v>0.3</v>
      </c>
      <c r="AI731" s="2069"/>
      <c r="AJ731" s="2070"/>
      <c r="AK731" s="2046" t="s">
        <v>617</v>
      </c>
      <c r="AL731" s="2047"/>
      <c r="AM731" s="2047"/>
      <c r="AN731" s="2047"/>
      <c r="AO731" s="204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6" t="s">
        <v>168</v>
      </c>
      <c r="C732" s="2047"/>
      <c r="D732" s="2047"/>
      <c r="E732" s="2047"/>
      <c r="F732" s="2048"/>
      <c r="G732" s="2306">
        <f>+'[10]Operating Budget'!$D$25</f>
        <v>8</v>
      </c>
      <c r="H732" s="2307"/>
      <c r="I732" s="2307"/>
      <c r="J732" s="2308"/>
      <c r="K732" s="2303">
        <v>710</v>
      </c>
      <c r="L732" s="2304"/>
      <c r="M732" s="2304"/>
      <c r="N732" s="2305"/>
      <c r="O732" s="2085">
        <f>+'[10]Operating Budget'!$J$25</f>
        <v>2228</v>
      </c>
      <c r="P732" s="2086"/>
      <c r="Q732" s="2086"/>
      <c r="R732" s="2086"/>
      <c r="S732" s="2087"/>
      <c r="T732" s="2085">
        <f>+'[10]Operating Budget'!$I$24</f>
        <v>114</v>
      </c>
      <c r="U732" s="2086"/>
      <c r="V732" s="2086"/>
      <c r="W732" s="2087"/>
      <c r="X732" s="2049">
        <f t="shared" si="47"/>
        <v>2342</v>
      </c>
      <c r="Y732" s="2050"/>
      <c r="Z732" s="2050"/>
      <c r="AA732" s="2050"/>
      <c r="AB732" s="2051"/>
      <c r="AC732" s="2053">
        <v>0.8</v>
      </c>
      <c r="AD732" s="2054"/>
      <c r="AE732" s="2054"/>
      <c r="AF732" s="2054"/>
      <c r="AG732" s="2055"/>
      <c r="AH732" s="2068">
        <f t="shared" si="48"/>
        <v>0.8004101161995899</v>
      </c>
      <c r="AI732" s="2069"/>
      <c r="AJ732" s="2070"/>
      <c r="AK732" s="2046" t="s">
        <v>617</v>
      </c>
      <c r="AL732" s="2047"/>
      <c r="AM732" s="2047"/>
      <c r="AN732" s="2047"/>
      <c r="AO732" s="204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6" t="s">
        <v>168</v>
      </c>
      <c r="C733" s="2047"/>
      <c r="D733" s="2047"/>
      <c r="E733" s="2047"/>
      <c r="F733" s="2048"/>
      <c r="G733" s="2306">
        <f>+'[10]Operating Budget'!$D$26</f>
        <v>21</v>
      </c>
      <c r="H733" s="2307"/>
      <c r="I733" s="2307"/>
      <c r="J733" s="2308"/>
      <c r="K733" s="2303">
        <f t="shared" ref="K733:K735" si="51">+K732</f>
        <v>710</v>
      </c>
      <c r="L733" s="2304"/>
      <c r="M733" s="2304"/>
      <c r="N733" s="2305"/>
      <c r="O733" s="2085">
        <f>+'[10]Operating Budget'!$J$26</f>
        <v>1642</v>
      </c>
      <c r="P733" s="2086"/>
      <c r="Q733" s="2086"/>
      <c r="R733" s="2086"/>
      <c r="S733" s="2087"/>
      <c r="T733" s="2085">
        <f>+T732</f>
        <v>114</v>
      </c>
      <c r="U733" s="2086"/>
      <c r="V733" s="2086"/>
      <c r="W733" s="2087"/>
      <c r="X733" s="2049">
        <f>O733+T733</f>
        <v>1756</v>
      </c>
      <c r="Y733" s="2050"/>
      <c r="Z733" s="2050"/>
      <c r="AA733" s="2050"/>
      <c r="AB733" s="2051"/>
      <c r="AC733" s="2053">
        <v>0.6</v>
      </c>
      <c r="AD733" s="2054"/>
      <c r="AE733" s="2054"/>
      <c r="AF733" s="2054"/>
      <c r="AG733" s="2055"/>
      <c r="AH733" s="2068">
        <f t="shared" si="48"/>
        <v>0.6001367053998633</v>
      </c>
      <c r="AI733" s="2069"/>
      <c r="AJ733" s="2070"/>
      <c r="AK733" s="2046" t="s">
        <v>617</v>
      </c>
      <c r="AL733" s="2047"/>
      <c r="AM733" s="2047"/>
      <c r="AN733" s="2047"/>
      <c r="AO733" s="204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6" t="s">
        <v>168</v>
      </c>
      <c r="C734" s="2047"/>
      <c r="D734" s="2047"/>
      <c r="E734" s="2047"/>
      <c r="F734" s="2048"/>
      <c r="G734" s="2306">
        <f>+'[10]Operating Budget'!$D$27</f>
        <v>4</v>
      </c>
      <c r="H734" s="2307"/>
      <c r="I734" s="2307"/>
      <c r="J734" s="2308"/>
      <c r="K734" s="2303">
        <f t="shared" si="51"/>
        <v>710</v>
      </c>
      <c r="L734" s="2304"/>
      <c r="M734" s="2304"/>
      <c r="N734" s="2305"/>
      <c r="O734" s="2085">
        <f>+'[10]Operating Budget'!$J$27</f>
        <v>1349</v>
      </c>
      <c r="P734" s="2086"/>
      <c r="Q734" s="2086"/>
      <c r="R734" s="2086"/>
      <c r="S734" s="2087"/>
      <c r="T734" s="2085">
        <f t="shared" ref="T734:T735" si="52">+T733</f>
        <v>114</v>
      </c>
      <c r="U734" s="2086"/>
      <c r="V734" s="2086"/>
      <c r="W734" s="2087"/>
      <c r="X734" s="2049">
        <f>O734+T734</f>
        <v>1463</v>
      </c>
      <c r="Y734" s="2050"/>
      <c r="Z734" s="2050"/>
      <c r="AA734" s="2050"/>
      <c r="AB734" s="2051"/>
      <c r="AC734" s="2053">
        <v>0.5</v>
      </c>
      <c r="AD734" s="2054"/>
      <c r="AE734" s="2054"/>
      <c r="AF734" s="2054"/>
      <c r="AG734" s="2055"/>
      <c r="AH734" s="2068">
        <f t="shared" si="48"/>
        <v>0.5</v>
      </c>
      <c r="AI734" s="2069"/>
      <c r="AJ734" s="2070"/>
      <c r="AK734" s="2046" t="s">
        <v>617</v>
      </c>
      <c r="AL734" s="2047"/>
      <c r="AM734" s="2047"/>
      <c r="AN734" s="2047"/>
      <c r="AO734" s="204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6" t="s">
        <v>168</v>
      </c>
      <c r="C735" s="2047"/>
      <c r="D735" s="2047"/>
      <c r="E735" s="2047"/>
      <c r="F735" s="2048"/>
      <c r="G735" s="2306">
        <f>+'[10]Operating Budget'!$D$29</f>
        <v>4</v>
      </c>
      <c r="H735" s="2307"/>
      <c r="I735" s="2307"/>
      <c r="J735" s="2308"/>
      <c r="K735" s="2303">
        <f t="shared" si="51"/>
        <v>710</v>
      </c>
      <c r="L735" s="2304"/>
      <c r="M735" s="2304"/>
      <c r="N735" s="2305"/>
      <c r="O735" s="2085">
        <f>+'[10]Operating Budget'!$J$29</f>
        <v>764</v>
      </c>
      <c r="P735" s="2086"/>
      <c r="Q735" s="2086"/>
      <c r="R735" s="2086"/>
      <c r="S735" s="2087"/>
      <c r="T735" s="2085">
        <f t="shared" si="52"/>
        <v>114</v>
      </c>
      <c r="U735" s="2086"/>
      <c r="V735" s="2086"/>
      <c r="W735" s="2087"/>
      <c r="X735" s="2049">
        <f t="shared" si="47"/>
        <v>878</v>
      </c>
      <c r="Y735" s="2050"/>
      <c r="Z735" s="2050"/>
      <c r="AA735" s="2050"/>
      <c r="AB735" s="2051"/>
      <c r="AC735" s="2053">
        <v>0.3</v>
      </c>
      <c r="AD735" s="2054"/>
      <c r="AE735" s="2054"/>
      <c r="AF735" s="2054"/>
      <c r="AG735" s="2055"/>
      <c r="AH735" s="2068">
        <f t="shared" si="48"/>
        <v>0.30006835269993165</v>
      </c>
      <c r="AI735" s="2069"/>
      <c r="AJ735" s="2070"/>
      <c r="AK735" s="2046" t="s">
        <v>617</v>
      </c>
      <c r="AL735" s="2047"/>
      <c r="AM735" s="2047"/>
      <c r="AN735" s="2047"/>
      <c r="AO735" s="204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6" t="s">
        <v>169</v>
      </c>
      <c r="C736" s="2047"/>
      <c r="D736" s="2047"/>
      <c r="E736" s="2047"/>
      <c r="F736" s="2048"/>
      <c r="G736" s="2306">
        <f>+'[10]Operating Budget'!$D$32</f>
        <v>8</v>
      </c>
      <c r="H736" s="2307"/>
      <c r="I736" s="2307"/>
      <c r="J736" s="2308"/>
      <c r="K736" s="2303">
        <v>925</v>
      </c>
      <c r="L736" s="2304"/>
      <c r="M736" s="2304"/>
      <c r="N736" s="2305"/>
      <c r="O736" s="2085">
        <f>+'[10]Operating Budget'!$J$32</f>
        <v>2562</v>
      </c>
      <c r="P736" s="2086"/>
      <c r="Q736" s="2086"/>
      <c r="R736" s="2086"/>
      <c r="S736" s="2087"/>
      <c r="T736" s="2085">
        <f>+'[10]Operating Budget'!$I$31</f>
        <v>145</v>
      </c>
      <c r="U736" s="2086"/>
      <c r="V736" s="2086"/>
      <c r="W736" s="2087"/>
      <c r="X736" s="2049">
        <f t="shared" si="47"/>
        <v>2707</v>
      </c>
      <c r="Y736" s="2050"/>
      <c r="Z736" s="2050"/>
      <c r="AA736" s="2050"/>
      <c r="AB736" s="2051"/>
      <c r="AC736" s="2053">
        <v>0.8</v>
      </c>
      <c r="AD736" s="2054"/>
      <c r="AE736" s="2054"/>
      <c r="AF736" s="2054"/>
      <c r="AG736" s="2055"/>
      <c r="AH736" s="2068">
        <f t="shared" si="48"/>
        <v>0.80041395623891187</v>
      </c>
      <c r="AI736" s="2069"/>
      <c r="AJ736" s="2070"/>
      <c r="AK736" s="2046" t="s">
        <v>617</v>
      </c>
      <c r="AL736" s="2047"/>
      <c r="AM736" s="2047"/>
      <c r="AN736" s="2047"/>
      <c r="AO736" s="204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6" t="s">
        <v>169</v>
      </c>
      <c r="C737" s="2047"/>
      <c r="D737" s="2047"/>
      <c r="E737" s="2047"/>
      <c r="F737" s="2048"/>
      <c r="G737" s="2306">
        <f>+'[10]Operating Budget'!$D$33</f>
        <v>19</v>
      </c>
      <c r="H737" s="2307"/>
      <c r="I737" s="2307"/>
      <c r="J737" s="2308"/>
      <c r="K737" s="2303">
        <f t="shared" ref="K737:K739" si="53">+K736</f>
        <v>925</v>
      </c>
      <c r="L737" s="2304"/>
      <c r="M737" s="2304"/>
      <c r="N737" s="2305"/>
      <c r="O737" s="2085">
        <f>+'[10]Operating Budget'!$J$33</f>
        <v>1885</v>
      </c>
      <c r="P737" s="2086"/>
      <c r="Q737" s="2086"/>
      <c r="R737" s="2086"/>
      <c r="S737" s="2087"/>
      <c r="T737" s="2085">
        <f t="shared" ref="T737:T738" si="54">+T736</f>
        <v>145</v>
      </c>
      <c r="U737" s="2086"/>
      <c r="V737" s="2086"/>
      <c r="W737" s="2087"/>
      <c r="X737" s="2049">
        <f t="shared" si="47"/>
        <v>2030</v>
      </c>
      <c r="Y737" s="2050"/>
      <c r="Z737" s="2050"/>
      <c r="AA737" s="2050"/>
      <c r="AB737" s="2051"/>
      <c r="AC737" s="2053">
        <v>0.6</v>
      </c>
      <c r="AD737" s="2054"/>
      <c r="AE737" s="2054"/>
      <c r="AF737" s="2054"/>
      <c r="AG737" s="2055"/>
      <c r="AH737" s="2068">
        <f t="shared" si="48"/>
        <v>0.60023654642223534</v>
      </c>
      <c r="AI737" s="2069"/>
      <c r="AJ737" s="2070"/>
      <c r="AK737" s="2046" t="s">
        <v>617</v>
      </c>
      <c r="AL737" s="2047"/>
      <c r="AM737" s="2047"/>
      <c r="AN737" s="2047"/>
      <c r="AO737" s="204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6" t="s">
        <v>169</v>
      </c>
      <c r="C738" s="2047"/>
      <c r="D738" s="2047"/>
      <c r="E738" s="2047"/>
      <c r="F738" s="2048"/>
      <c r="G738" s="2306">
        <f>+'[10]Operating Budget'!$D$34</f>
        <v>4</v>
      </c>
      <c r="H738" s="2307"/>
      <c r="I738" s="2307"/>
      <c r="J738" s="2308"/>
      <c r="K738" s="2303">
        <f t="shared" si="53"/>
        <v>925</v>
      </c>
      <c r="L738" s="2304"/>
      <c r="M738" s="2304"/>
      <c r="N738" s="2305"/>
      <c r="O738" s="2085">
        <f>+'[10]Operating Budget'!$J$34</f>
        <v>1546</v>
      </c>
      <c r="P738" s="2086"/>
      <c r="Q738" s="2086"/>
      <c r="R738" s="2086"/>
      <c r="S738" s="2087"/>
      <c r="T738" s="2085">
        <f t="shared" si="54"/>
        <v>145</v>
      </c>
      <c r="U738" s="2086"/>
      <c r="V738" s="2086"/>
      <c r="W738" s="2087"/>
      <c r="X738" s="2049">
        <f t="shared" si="47"/>
        <v>1691</v>
      </c>
      <c r="Y738" s="2050"/>
      <c r="Z738" s="2050"/>
      <c r="AA738" s="2050"/>
      <c r="AB738" s="2051"/>
      <c r="AC738" s="2053">
        <v>0.5</v>
      </c>
      <c r="AD738" s="2054"/>
      <c r="AE738" s="2054"/>
      <c r="AF738" s="2054"/>
      <c r="AG738" s="2055"/>
      <c r="AH738" s="2068">
        <f t="shared" si="48"/>
        <v>0.5</v>
      </c>
      <c r="AI738" s="2069"/>
      <c r="AJ738" s="2070"/>
      <c r="AK738" s="2046" t="s">
        <v>617</v>
      </c>
      <c r="AL738" s="2047"/>
      <c r="AM738" s="2047"/>
      <c r="AN738" s="2047"/>
      <c r="AO738" s="204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6" t="s">
        <v>169</v>
      </c>
      <c r="C739" s="2047"/>
      <c r="D739" s="2047"/>
      <c r="E739" s="2047"/>
      <c r="F739" s="2048"/>
      <c r="G739" s="2306">
        <f>+'[10]Operating Budget'!$D$36</f>
        <v>4</v>
      </c>
      <c r="H739" s="2307"/>
      <c r="I739" s="2307"/>
      <c r="J739" s="2308"/>
      <c r="K739" s="2303">
        <f t="shared" si="53"/>
        <v>925</v>
      </c>
      <c r="L739" s="2304"/>
      <c r="M739" s="2304"/>
      <c r="N739" s="2305"/>
      <c r="O739" s="2085">
        <f>+'[10]Operating Budget'!$J$36</f>
        <v>870</v>
      </c>
      <c r="P739" s="2086"/>
      <c r="Q739" s="2086"/>
      <c r="R739" s="2086"/>
      <c r="S739" s="2087"/>
      <c r="T739" s="2085">
        <f>+T738</f>
        <v>145</v>
      </c>
      <c r="U739" s="2086"/>
      <c r="V739" s="2086"/>
      <c r="W739" s="2087"/>
      <c r="X739" s="2049">
        <f t="shared" si="47"/>
        <v>1015</v>
      </c>
      <c r="Y739" s="2050"/>
      <c r="Z739" s="2050"/>
      <c r="AA739" s="2050"/>
      <c r="AB739" s="2051"/>
      <c r="AC739" s="2053">
        <v>0.3</v>
      </c>
      <c r="AD739" s="2054"/>
      <c r="AE739" s="2054"/>
      <c r="AF739" s="2054"/>
      <c r="AG739" s="2055"/>
      <c r="AH739" s="2068">
        <f t="shared" si="48"/>
        <v>0.30011827321111767</v>
      </c>
      <c r="AI739" s="2069"/>
      <c r="AJ739" s="2070"/>
      <c r="AK739" s="2046" t="s">
        <v>617</v>
      </c>
      <c r="AL739" s="2047"/>
      <c r="AM739" s="2047"/>
      <c r="AN739" s="2047"/>
      <c r="AO739" s="204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6"/>
      <c r="C740" s="2047"/>
      <c r="D740" s="2047"/>
      <c r="E740" s="2047"/>
      <c r="F740" s="2048"/>
      <c r="G740" s="2306"/>
      <c r="H740" s="2307"/>
      <c r="I740" s="2307"/>
      <c r="J740" s="2308"/>
      <c r="K740" s="2303"/>
      <c r="L740" s="2304"/>
      <c r="M740" s="2304"/>
      <c r="N740" s="2305"/>
      <c r="O740" s="2085"/>
      <c r="P740" s="2086"/>
      <c r="Q740" s="2086"/>
      <c r="R740" s="2086"/>
      <c r="S740" s="2087"/>
      <c r="T740" s="2085"/>
      <c r="U740" s="2086"/>
      <c r="V740" s="2086"/>
      <c r="W740" s="2087"/>
      <c r="X740" s="2049">
        <f t="shared" si="47"/>
        <v>0</v>
      </c>
      <c r="Y740" s="2050"/>
      <c r="Z740" s="2050"/>
      <c r="AA740" s="2050"/>
      <c r="AB740" s="2051"/>
      <c r="AC740" s="2053"/>
      <c r="AD740" s="2054"/>
      <c r="AE740" s="2054"/>
      <c r="AF740" s="2054"/>
      <c r="AG740" s="2055"/>
      <c r="AH740" s="2068" t="str">
        <f t="shared" si="48"/>
        <v xml:space="preserve"> </v>
      </c>
      <c r="AI740" s="2069"/>
      <c r="AJ740" s="2070"/>
      <c r="AK740" s="2046" t="s">
        <v>617</v>
      </c>
      <c r="AL740" s="2047"/>
      <c r="AM740" s="2047"/>
      <c r="AN740" s="2047"/>
      <c r="AO740" s="204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6"/>
      <c r="C741" s="2047"/>
      <c r="D741" s="2047"/>
      <c r="E741" s="2047"/>
      <c r="F741" s="2048"/>
      <c r="G741" s="2306"/>
      <c r="H741" s="2307"/>
      <c r="I741" s="2307"/>
      <c r="J741" s="2308"/>
      <c r="K741" s="2303"/>
      <c r="L741" s="2304"/>
      <c r="M741" s="2304"/>
      <c r="N741" s="2305"/>
      <c r="O741" s="2085"/>
      <c r="P741" s="2086"/>
      <c r="Q741" s="2086"/>
      <c r="R741" s="2086"/>
      <c r="S741" s="2087"/>
      <c r="T741" s="2085"/>
      <c r="U741" s="2086"/>
      <c r="V741" s="2086"/>
      <c r="W741" s="2087"/>
      <c r="X741" s="2049">
        <f t="shared" si="47"/>
        <v>0</v>
      </c>
      <c r="Y741" s="2050"/>
      <c r="Z741" s="2050"/>
      <c r="AA741" s="2050"/>
      <c r="AB741" s="2051"/>
      <c r="AC741" s="2053">
        <v>0</v>
      </c>
      <c r="AD741" s="2054"/>
      <c r="AE741" s="2054"/>
      <c r="AF741" s="2054"/>
      <c r="AG741" s="2055"/>
      <c r="AH741" s="2068" t="str">
        <f t="shared" si="48"/>
        <v xml:space="preserve"> </v>
      </c>
      <c r="AI741" s="2069"/>
      <c r="AJ741" s="2070"/>
      <c r="AK741" s="2046" t="s">
        <v>617</v>
      </c>
      <c r="AL741" s="2047"/>
      <c r="AM741" s="2047"/>
      <c r="AN741" s="2047"/>
      <c r="AO741" s="204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6"/>
      <c r="C742" s="2047"/>
      <c r="D742" s="2047"/>
      <c r="E742" s="2047"/>
      <c r="F742" s="2048"/>
      <c r="G742" s="2306"/>
      <c r="H742" s="2307"/>
      <c r="I742" s="2307"/>
      <c r="J742" s="2308"/>
      <c r="K742" s="2303"/>
      <c r="L742" s="2304"/>
      <c r="M742" s="2304"/>
      <c r="N742" s="2305"/>
      <c r="O742" s="2085"/>
      <c r="P742" s="2086"/>
      <c r="Q742" s="2086"/>
      <c r="R742" s="2086"/>
      <c r="S742" s="2087"/>
      <c r="T742" s="2085"/>
      <c r="U742" s="2086"/>
      <c r="V742" s="2086"/>
      <c r="W742" s="2087"/>
      <c r="X742" s="2049">
        <f t="shared" si="47"/>
        <v>0</v>
      </c>
      <c r="Y742" s="2050"/>
      <c r="Z742" s="2050"/>
      <c r="AA742" s="2050"/>
      <c r="AB742" s="2051"/>
      <c r="AC742" s="2053">
        <v>0</v>
      </c>
      <c r="AD742" s="2054"/>
      <c r="AE742" s="2054"/>
      <c r="AF742" s="2054"/>
      <c r="AG742" s="2055"/>
      <c r="AH742" s="2068" t="str">
        <f t="shared" si="48"/>
        <v xml:space="preserve"> </v>
      </c>
      <c r="AI742" s="2069"/>
      <c r="AJ742" s="2070"/>
      <c r="AK742" s="2046" t="s">
        <v>617</v>
      </c>
      <c r="AL742" s="2047"/>
      <c r="AM742" s="2047"/>
      <c r="AN742" s="2047"/>
      <c r="AO742" s="204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306"/>
      <c r="H743" s="2307"/>
      <c r="I743" s="2307"/>
      <c r="J743" s="2308"/>
      <c r="K743" s="2303"/>
      <c r="L743" s="2304"/>
      <c r="M743" s="2304"/>
      <c r="N743" s="2305"/>
      <c r="O743" s="2085"/>
      <c r="P743" s="2086"/>
      <c r="Q743" s="2086"/>
      <c r="R743" s="2086"/>
      <c r="S743" s="2087"/>
      <c r="T743" s="2085"/>
      <c r="U743" s="2086"/>
      <c r="V743" s="2086"/>
      <c r="W743" s="2087"/>
      <c r="X743" s="2049">
        <f t="shared" si="47"/>
        <v>0</v>
      </c>
      <c r="Y743" s="2050"/>
      <c r="Z743" s="2050"/>
      <c r="AA743" s="2050"/>
      <c r="AB743" s="2051"/>
      <c r="AC743" s="2053">
        <v>0</v>
      </c>
      <c r="AD743" s="2054"/>
      <c r="AE743" s="2054"/>
      <c r="AF743" s="2054"/>
      <c r="AG743" s="2055"/>
      <c r="AH743" s="2068" t="str">
        <f t="shared" si="48"/>
        <v xml:space="preserve"> </v>
      </c>
      <c r="AI743" s="2069"/>
      <c r="AJ743" s="2070"/>
      <c r="AK743" s="2046" t="s">
        <v>617</v>
      </c>
      <c r="AL743" s="2047"/>
      <c r="AM743" s="2047"/>
      <c r="AN743" s="2047"/>
      <c r="AO743" s="204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306"/>
      <c r="H744" s="2307"/>
      <c r="I744" s="2307"/>
      <c r="J744" s="2308"/>
      <c r="K744" s="2303"/>
      <c r="L744" s="2304"/>
      <c r="M744" s="2304"/>
      <c r="N744" s="2305"/>
      <c r="O744" s="2085"/>
      <c r="P744" s="2086"/>
      <c r="Q744" s="2086"/>
      <c r="R744" s="2086"/>
      <c r="S744" s="2087"/>
      <c r="T744" s="2085"/>
      <c r="U744" s="2086"/>
      <c r="V744" s="2086"/>
      <c r="W744" s="2087"/>
      <c r="X744" s="2049">
        <f t="shared" si="47"/>
        <v>0</v>
      </c>
      <c r="Y744" s="2050"/>
      <c r="Z744" s="2050"/>
      <c r="AA744" s="2050"/>
      <c r="AB744" s="2051"/>
      <c r="AC744" s="2053">
        <v>0</v>
      </c>
      <c r="AD744" s="2054"/>
      <c r="AE744" s="2054"/>
      <c r="AF744" s="2054"/>
      <c r="AG744" s="2055"/>
      <c r="AH744" s="2068" t="str">
        <f t="shared" si="48"/>
        <v xml:space="preserve"> </v>
      </c>
      <c r="AI744" s="2069"/>
      <c r="AJ744" s="2070"/>
      <c r="AK744" s="2046" t="s">
        <v>617</v>
      </c>
      <c r="AL744" s="2047"/>
      <c r="AM744" s="2047"/>
      <c r="AN744" s="2047"/>
      <c r="AO744" s="204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306"/>
      <c r="H745" s="2307"/>
      <c r="I745" s="2307"/>
      <c r="J745" s="2308"/>
      <c r="K745" s="2303"/>
      <c r="L745" s="2304"/>
      <c r="M745" s="2304"/>
      <c r="N745" s="2305"/>
      <c r="O745" s="2085"/>
      <c r="P745" s="2086"/>
      <c r="Q745" s="2086"/>
      <c r="R745" s="2086"/>
      <c r="S745" s="2087"/>
      <c r="T745" s="2085"/>
      <c r="U745" s="2086"/>
      <c r="V745" s="2086"/>
      <c r="W745" s="2087"/>
      <c r="X745" s="2049">
        <f t="shared" si="47"/>
        <v>0</v>
      </c>
      <c r="Y745" s="2050"/>
      <c r="Z745" s="2050"/>
      <c r="AA745" s="2050"/>
      <c r="AB745" s="2051"/>
      <c r="AC745" s="2053">
        <v>0</v>
      </c>
      <c r="AD745" s="2054"/>
      <c r="AE745" s="2054"/>
      <c r="AF745" s="2054"/>
      <c r="AG745" s="2055"/>
      <c r="AH745" s="2068" t="str">
        <f t="shared" si="48"/>
        <v xml:space="preserve"> </v>
      </c>
      <c r="AI745" s="2069"/>
      <c r="AJ745" s="2070"/>
      <c r="AK745" s="2046" t="s">
        <v>617</v>
      </c>
      <c r="AL745" s="2047"/>
      <c r="AM745" s="2047"/>
      <c r="AN745" s="2047"/>
      <c r="AO745" s="204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306"/>
      <c r="H746" s="2307"/>
      <c r="I746" s="2307"/>
      <c r="J746" s="2308"/>
      <c r="K746" s="2303"/>
      <c r="L746" s="2304"/>
      <c r="M746" s="2304"/>
      <c r="N746" s="2305"/>
      <c r="O746" s="2085"/>
      <c r="P746" s="2086"/>
      <c r="Q746" s="2086"/>
      <c r="R746" s="2086"/>
      <c r="S746" s="2087"/>
      <c r="T746" s="2085"/>
      <c r="U746" s="2086"/>
      <c r="V746" s="2086"/>
      <c r="W746" s="2087"/>
      <c r="X746" s="2049">
        <f t="shared" si="47"/>
        <v>0</v>
      </c>
      <c r="Y746" s="2050"/>
      <c r="Z746" s="2050"/>
      <c r="AA746" s="2050"/>
      <c r="AB746" s="2051"/>
      <c r="AC746" s="2053">
        <v>0</v>
      </c>
      <c r="AD746" s="2054"/>
      <c r="AE746" s="2054"/>
      <c r="AF746" s="2054"/>
      <c r="AG746" s="2055"/>
      <c r="AH746" s="2068" t="str">
        <f t="shared" si="48"/>
        <v xml:space="preserve"> </v>
      </c>
      <c r="AI746" s="2069"/>
      <c r="AJ746" s="2070"/>
      <c r="AK746" s="2046" t="s">
        <v>617</v>
      </c>
      <c r="AL746" s="2047"/>
      <c r="AM746" s="2047"/>
      <c r="AN746" s="2047"/>
      <c r="AO746" s="204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306"/>
      <c r="H747" s="2307"/>
      <c r="I747" s="2307"/>
      <c r="J747" s="2308"/>
      <c r="K747" s="2303"/>
      <c r="L747" s="2304"/>
      <c r="M747" s="2304"/>
      <c r="N747" s="2305"/>
      <c r="O747" s="2085"/>
      <c r="P747" s="2086"/>
      <c r="Q747" s="2086"/>
      <c r="R747" s="2086"/>
      <c r="S747" s="2087"/>
      <c r="T747" s="2085"/>
      <c r="U747" s="2086"/>
      <c r="V747" s="2086"/>
      <c r="W747" s="2087"/>
      <c r="X747" s="2049">
        <f t="shared" si="47"/>
        <v>0</v>
      </c>
      <c r="Y747" s="2050"/>
      <c r="Z747" s="2050"/>
      <c r="AA747" s="2050"/>
      <c r="AB747" s="2051"/>
      <c r="AC747" s="2053">
        <v>0</v>
      </c>
      <c r="AD747" s="2054"/>
      <c r="AE747" s="2054"/>
      <c r="AF747" s="2054"/>
      <c r="AG747" s="2055"/>
      <c r="AH747" s="2068" t="str">
        <f t="shared" si="48"/>
        <v xml:space="preserve"> </v>
      </c>
      <c r="AI747" s="2069"/>
      <c r="AJ747" s="2070"/>
      <c r="AK747" s="2046" t="s">
        <v>617</v>
      </c>
      <c r="AL747" s="2047"/>
      <c r="AM747" s="2047"/>
      <c r="AN747" s="2047"/>
      <c r="AO747" s="204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306"/>
      <c r="H748" s="2307"/>
      <c r="I748" s="2307"/>
      <c r="J748" s="2308"/>
      <c r="K748" s="2303"/>
      <c r="L748" s="2304"/>
      <c r="M748" s="2304"/>
      <c r="N748" s="2305"/>
      <c r="O748" s="2085"/>
      <c r="P748" s="2086"/>
      <c r="Q748" s="2086"/>
      <c r="R748" s="2086"/>
      <c r="S748" s="2087"/>
      <c r="T748" s="2085"/>
      <c r="U748" s="2086"/>
      <c r="V748" s="2086"/>
      <c r="W748" s="2087"/>
      <c r="X748" s="2049">
        <f t="shared" si="47"/>
        <v>0</v>
      </c>
      <c r="Y748" s="2050"/>
      <c r="Z748" s="2050"/>
      <c r="AA748" s="2050"/>
      <c r="AB748" s="2051"/>
      <c r="AC748" s="2053">
        <v>0</v>
      </c>
      <c r="AD748" s="2054"/>
      <c r="AE748" s="2054"/>
      <c r="AF748" s="2054"/>
      <c r="AG748" s="2055"/>
      <c r="AH748" s="2068" t="str">
        <f t="shared" si="48"/>
        <v xml:space="preserve"> </v>
      </c>
      <c r="AI748" s="2069"/>
      <c r="AJ748" s="2070"/>
      <c r="AK748" s="2046" t="s">
        <v>617</v>
      </c>
      <c r="AL748" s="2047"/>
      <c r="AM748" s="2047"/>
      <c r="AN748" s="2047"/>
      <c r="AO748" s="204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306"/>
      <c r="H749" s="2307"/>
      <c r="I749" s="2307"/>
      <c r="J749" s="2308"/>
      <c r="K749" s="2303"/>
      <c r="L749" s="2304"/>
      <c r="M749" s="2304"/>
      <c r="N749" s="2305"/>
      <c r="O749" s="2085"/>
      <c r="P749" s="2086"/>
      <c r="Q749" s="2086"/>
      <c r="R749" s="2086"/>
      <c r="S749" s="2087"/>
      <c r="T749" s="2085"/>
      <c r="U749" s="2086"/>
      <c r="V749" s="2086"/>
      <c r="W749" s="2087"/>
      <c r="X749" s="2049">
        <f t="shared" si="47"/>
        <v>0</v>
      </c>
      <c r="Y749" s="2050"/>
      <c r="Z749" s="2050"/>
      <c r="AA749" s="2050"/>
      <c r="AB749" s="2051"/>
      <c r="AC749" s="2053">
        <v>0</v>
      </c>
      <c r="AD749" s="2054"/>
      <c r="AE749" s="2054"/>
      <c r="AF749" s="2054"/>
      <c r="AG749" s="2055"/>
      <c r="AH749" s="2068" t="str">
        <f t="shared" si="48"/>
        <v xml:space="preserve"> </v>
      </c>
      <c r="AI749" s="2069"/>
      <c r="AJ749" s="2070"/>
      <c r="AK749" s="2046" t="s">
        <v>617</v>
      </c>
      <c r="AL749" s="2047"/>
      <c r="AM749" s="2047"/>
      <c r="AN749" s="2047"/>
      <c r="AO749" s="204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306"/>
      <c r="H750" s="2307"/>
      <c r="I750" s="2307"/>
      <c r="J750" s="2308"/>
      <c r="K750" s="2303"/>
      <c r="L750" s="2304"/>
      <c r="M750" s="2304"/>
      <c r="N750" s="2305"/>
      <c r="O750" s="2085"/>
      <c r="P750" s="2086"/>
      <c r="Q750" s="2086"/>
      <c r="R750" s="2086"/>
      <c r="S750" s="2087"/>
      <c r="T750" s="2085"/>
      <c r="U750" s="2086"/>
      <c r="V750" s="2086"/>
      <c r="W750" s="2087"/>
      <c r="X750" s="2049">
        <f t="shared" si="47"/>
        <v>0</v>
      </c>
      <c r="Y750" s="2050"/>
      <c r="Z750" s="2050"/>
      <c r="AA750" s="2050"/>
      <c r="AB750" s="2051"/>
      <c r="AC750" s="2053">
        <v>0</v>
      </c>
      <c r="AD750" s="2054"/>
      <c r="AE750" s="2054"/>
      <c r="AF750" s="2054"/>
      <c r="AG750" s="2055"/>
      <c r="AH750" s="2068" t="str">
        <f t="shared" si="48"/>
        <v xml:space="preserve"> </v>
      </c>
      <c r="AI750" s="2069"/>
      <c r="AJ750" s="2070"/>
      <c r="AK750" s="2046" t="s">
        <v>617</v>
      </c>
      <c r="AL750" s="2047"/>
      <c r="AM750" s="2047"/>
      <c r="AN750" s="2047"/>
      <c r="AO750" s="204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306"/>
      <c r="H751" s="2307"/>
      <c r="I751" s="2307"/>
      <c r="J751" s="2308"/>
      <c r="K751" s="2303"/>
      <c r="L751" s="2304"/>
      <c r="M751" s="2304"/>
      <c r="N751" s="2305"/>
      <c r="O751" s="2085"/>
      <c r="P751" s="2086"/>
      <c r="Q751" s="2086"/>
      <c r="R751" s="2086"/>
      <c r="S751" s="2087"/>
      <c r="T751" s="2085"/>
      <c r="U751" s="2086"/>
      <c r="V751" s="2086"/>
      <c r="W751" s="2087"/>
      <c r="X751" s="2049">
        <f t="shared" si="47"/>
        <v>0</v>
      </c>
      <c r="Y751" s="2050"/>
      <c r="Z751" s="2050"/>
      <c r="AA751" s="2050"/>
      <c r="AB751" s="2051"/>
      <c r="AC751" s="2053">
        <v>0</v>
      </c>
      <c r="AD751" s="2054"/>
      <c r="AE751" s="2054"/>
      <c r="AF751" s="2054"/>
      <c r="AG751" s="2055"/>
      <c r="AH751" s="2068" t="str">
        <f t="shared" si="48"/>
        <v xml:space="preserve"> </v>
      </c>
      <c r="AI751" s="2069"/>
      <c r="AJ751" s="2070"/>
      <c r="AK751" s="2046" t="s">
        <v>617</v>
      </c>
      <c r="AL751" s="2047"/>
      <c r="AM751" s="2047"/>
      <c r="AN751" s="2047"/>
      <c r="AO751" s="204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306"/>
      <c r="H752" s="2307"/>
      <c r="I752" s="2307"/>
      <c r="J752" s="2308"/>
      <c r="K752" s="2303"/>
      <c r="L752" s="2304"/>
      <c r="M752" s="2304"/>
      <c r="N752" s="2305"/>
      <c r="O752" s="2085"/>
      <c r="P752" s="2086"/>
      <c r="Q752" s="2086"/>
      <c r="R752" s="2086"/>
      <c r="S752" s="2087"/>
      <c r="T752" s="2085"/>
      <c r="U752" s="2086"/>
      <c r="V752" s="2086"/>
      <c r="W752" s="2087"/>
      <c r="X752" s="2049">
        <f t="shared" si="47"/>
        <v>0</v>
      </c>
      <c r="Y752" s="2050"/>
      <c r="Z752" s="2050"/>
      <c r="AA752" s="2050"/>
      <c r="AB752" s="2051"/>
      <c r="AC752" s="2053">
        <v>0</v>
      </c>
      <c r="AD752" s="2054"/>
      <c r="AE752" s="2054"/>
      <c r="AF752" s="2054"/>
      <c r="AG752" s="2055"/>
      <c r="AH752" s="2068" t="str">
        <f t="shared" si="48"/>
        <v xml:space="preserve"> </v>
      </c>
      <c r="AI752" s="2069"/>
      <c r="AJ752" s="2070"/>
      <c r="AK752" s="2046" t="s">
        <v>617</v>
      </c>
      <c r="AL752" s="2047"/>
      <c r="AM752" s="2047"/>
      <c r="AN752" s="2047"/>
      <c r="AO752" s="204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5" t="s">
        <v>130</v>
      </c>
      <c r="C753" s="2386"/>
      <c r="D753" s="2386"/>
      <c r="E753" s="2386"/>
      <c r="F753" s="2387"/>
      <c r="G753" s="2471">
        <f>SUM(G728:J752)</f>
        <v>135</v>
      </c>
      <c r="H753" s="2472"/>
      <c r="I753" s="2472"/>
      <c r="J753" s="2473"/>
      <c r="K753" s="1438" t="s">
        <v>129</v>
      </c>
      <c r="L753" s="77"/>
      <c r="M753" s="77"/>
      <c r="N753" s="78"/>
      <c r="O753" s="2049">
        <f>SUMPRODUCT(G728:G752,O728:O752)</f>
        <v>211218</v>
      </c>
      <c r="P753" s="2050"/>
      <c r="Q753" s="2050"/>
      <c r="R753" s="2050"/>
      <c r="S753" s="2051"/>
      <c r="X753" s="1440" t="s">
        <v>952</v>
      </c>
      <c r="Y753" s="1439"/>
      <c r="Z753" s="1439"/>
      <c r="AA753" s="1439"/>
      <c r="AB753" s="1441"/>
      <c r="AC753" s="2343">
        <f>BI696</f>
        <v>0.59703703703703703</v>
      </c>
      <c r="AD753" s="2344"/>
      <c r="AE753" s="2344"/>
      <c r="AF753" s="2344"/>
      <c r="AG753" s="2345"/>
      <c r="AH753" s="2343">
        <f>BI728</f>
        <v>0.59284723266458783</v>
      </c>
      <c r="AI753" s="2344"/>
      <c r="AJ753" s="234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70" t="s">
        <v>2317</v>
      </c>
      <c r="C754" s="2470"/>
      <c r="D754" s="2470"/>
      <c r="E754" s="2470"/>
      <c r="F754" s="2470"/>
      <c r="G754" s="2470"/>
      <c r="H754" s="2470"/>
      <c r="I754" s="2470"/>
      <c r="J754" s="2470"/>
      <c r="K754" s="2470"/>
      <c r="L754" s="2470"/>
      <c r="M754" s="2470"/>
      <c r="N754" s="2470"/>
      <c r="O754" s="2470"/>
      <c r="P754" s="2470"/>
      <c r="Q754" s="2470"/>
      <c r="R754" s="2470"/>
      <c r="S754" s="2470"/>
      <c r="T754" s="2470"/>
      <c r="U754" s="2470"/>
      <c r="V754" s="2470"/>
      <c r="W754" s="2470"/>
      <c r="X754" s="2470"/>
      <c r="Y754" s="2470"/>
      <c r="Z754" s="2470"/>
      <c r="AA754" s="2470"/>
      <c r="AB754" s="2470"/>
      <c r="AC754" s="2470"/>
      <c r="AD754" s="2470"/>
      <c r="AE754" s="2470"/>
      <c r="AF754" s="2470"/>
      <c r="AG754" s="2470"/>
      <c r="AH754" s="2470"/>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70"/>
      <c r="C755" s="2470"/>
      <c r="D755" s="2470"/>
      <c r="E755" s="2470"/>
      <c r="F755" s="2470"/>
      <c r="G755" s="2470"/>
      <c r="H755" s="2470"/>
      <c r="I755" s="2470"/>
      <c r="J755" s="2470"/>
      <c r="K755" s="2470"/>
      <c r="L755" s="2470"/>
      <c r="M755" s="2470"/>
      <c r="N755" s="2470"/>
      <c r="O755" s="2470"/>
      <c r="P755" s="2470"/>
      <c r="Q755" s="2470"/>
      <c r="R755" s="2470"/>
      <c r="S755" s="2470"/>
      <c r="T755" s="2470"/>
      <c r="U755" s="2470"/>
      <c r="V755" s="2470"/>
      <c r="W755" s="2470"/>
      <c r="X755" s="2470"/>
      <c r="Y755" s="2470"/>
      <c r="Z755" s="2470"/>
      <c r="AA755" s="2470"/>
      <c r="AB755" s="2470"/>
      <c r="AC755" s="2470"/>
      <c r="AD755" s="2470"/>
      <c r="AE755" s="2470"/>
      <c r="AF755" s="2470"/>
      <c r="AG755" s="2470"/>
      <c r="AH755" s="2470"/>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7"/>
      <c r="E756" s="1697"/>
      <c r="F756" s="1697"/>
      <c r="G756" s="1698"/>
      <c r="H756" s="1698"/>
      <c r="I756" s="1698"/>
      <c r="J756" s="1698"/>
      <c r="K756" s="1697"/>
      <c r="L756" s="1697"/>
      <c r="M756" s="1697"/>
      <c r="N756" s="1697"/>
      <c r="O756" s="2101">
        <f>CS637</f>
        <v>242</v>
      </c>
      <c r="P756" s="2101"/>
      <c r="Q756" s="2101"/>
      <c r="R756" s="2101"/>
      <c r="S756" s="1699"/>
      <c r="T756" s="1699"/>
      <c r="U756" s="179" t="s">
        <v>2316</v>
      </c>
      <c r="V756" s="1697"/>
      <c r="W756" s="1697"/>
      <c r="X756" s="1697"/>
      <c r="Y756" s="1698"/>
      <c r="Z756" s="1698"/>
      <c r="AA756" s="1698"/>
      <c r="AB756" s="1698"/>
      <c r="AC756" s="1697"/>
      <c r="AD756" s="1697"/>
      <c r="AE756" s="1697"/>
      <c r="AF756" s="1697"/>
      <c r="AG756" s="2382"/>
      <c r="AH756" s="2383"/>
      <c r="AI756" s="2383"/>
      <c r="AJ756" s="2383"/>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302" t="s">
        <v>617</v>
      </c>
      <c r="AE758" s="2302"/>
      <c r="AF758" s="2302"/>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2583</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69" t="s">
        <v>2584</v>
      </c>
      <c r="D762" s="2469"/>
      <c r="E762" s="2469"/>
      <c r="F762" s="2469"/>
      <c r="G762" s="2469"/>
      <c r="H762" s="2469"/>
      <c r="I762" s="2469"/>
      <c r="J762" s="2469"/>
      <c r="K762" s="2469"/>
      <c r="L762" s="2469"/>
      <c r="M762" s="2469"/>
      <c r="N762" s="2469"/>
      <c r="O762" s="2469"/>
      <c r="P762" s="2469"/>
      <c r="Q762" s="2469"/>
      <c r="R762" s="2469"/>
      <c r="S762" s="2469"/>
      <c r="T762" s="2469"/>
      <c r="U762" s="2469"/>
      <c r="V762" s="2469"/>
      <c r="W762" s="2469"/>
      <c r="X762" s="2469"/>
      <c r="Y762" s="2469"/>
      <c r="Z762" s="2469"/>
      <c r="AA762" s="2469"/>
      <c r="AB762" s="2469"/>
      <c r="AC762" s="2469"/>
      <c r="AD762" s="2469"/>
      <c r="AE762" s="2469"/>
      <c r="AF762" s="2469"/>
      <c r="AG762" s="2469"/>
      <c r="AH762" s="2469"/>
      <c r="AI762" s="2469"/>
      <c r="AJ762" s="2469"/>
      <c r="AK762" s="2469"/>
      <c r="AL762" s="2469"/>
      <c r="AM762" s="2469"/>
      <c r="AN762" s="2469"/>
      <c r="AO762" s="2469"/>
      <c r="AP762" s="2469"/>
      <c r="AQ762" s="2469"/>
      <c r="AR762" s="2469"/>
      <c r="AS762" s="239"/>
      <c r="AT762" s="88"/>
      <c r="AU762" s="88"/>
      <c r="AV762" s="88"/>
      <c r="AW762" s="88"/>
      <c r="AX762" s="88"/>
      <c r="AY762" s="88"/>
      <c r="CR762" s="177"/>
    </row>
    <row r="763" spans="1:16383" s="58" customFormat="1" ht="12.75" customHeight="1">
      <c r="A763" s="239"/>
      <c r="B763" s="1700"/>
      <c r="C763" s="2469"/>
      <c r="D763" s="2469"/>
      <c r="E763" s="2469"/>
      <c r="F763" s="2469"/>
      <c r="G763" s="2469"/>
      <c r="H763" s="2469"/>
      <c r="I763" s="2469"/>
      <c r="J763" s="2469"/>
      <c r="K763" s="2469"/>
      <c r="L763" s="2469"/>
      <c r="M763" s="2469"/>
      <c r="N763" s="2469"/>
      <c r="O763" s="2469"/>
      <c r="P763" s="2469"/>
      <c r="Q763" s="2469"/>
      <c r="R763" s="2469"/>
      <c r="S763" s="2469"/>
      <c r="T763" s="2469"/>
      <c r="U763" s="2469"/>
      <c r="V763" s="2469"/>
      <c r="W763" s="2469"/>
      <c r="X763" s="2469"/>
      <c r="Y763" s="2469"/>
      <c r="Z763" s="2469"/>
      <c r="AA763" s="2469"/>
      <c r="AB763" s="2469"/>
      <c r="AC763" s="2469"/>
      <c r="AD763" s="2469"/>
      <c r="AE763" s="2469"/>
      <c r="AF763" s="2469"/>
      <c r="AG763" s="2469"/>
      <c r="AH763" s="2469"/>
      <c r="AI763" s="2469"/>
      <c r="AJ763" s="2469"/>
      <c r="AK763" s="2469"/>
      <c r="AL763" s="2469"/>
      <c r="AM763" s="2469"/>
      <c r="AN763" s="2469"/>
      <c r="AO763" s="2469"/>
      <c r="AP763" s="2469"/>
      <c r="AQ763" s="2469"/>
      <c r="AR763" s="2469"/>
      <c r="AS763" s="239"/>
      <c r="AT763" s="88"/>
      <c r="AU763" s="88"/>
      <c r="AV763" s="88"/>
      <c r="AW763" s="88"/>
      <c r="AX763" s="88"/>
      <c r="AY763" s="88"/>
      <c r="CR763" s="177"/>
    </row>
    <row r="764" spans="1:16383" s="58" customFormat="1" ht="12.75" customHeight="1">
      <c r="B764" s="1700"/>
      <c r="C764" s="2469"/>
      <c r="D764" s="2469"/>
      <c r="E764" s="2469"/>
      <c r="F764" s="2469"/>
      <c r="G764" s="2469"/>
      <c r="H764" s="2469"/>
      <c r="I764" s="2469"/>
      <c r="J764" s="2469"/>
      <c r="K764" s="2469"/>
      <c r="L764" s="2469"/>
      <c r="M764" s="2469"/>
      <c r="N764" s="2469"/>
      <c r="O764" s="2469"/>
      <c r="P764" s="2469"/>
      <c r="Q764" s="2469"/>
      <c r="R764" s="2469"/>
      <c r="S764" s="2469"/>
      <c r="T764" s="2469"/>
      <c r="U764" s="2469"/>
      <c r="V764" s="2469"/>
      <c r="W764" s="2469"/>
      <c r="X764" s="2469"/>
      <c r="Y764" s="2469"/>
      <c r="Z764" s="2469"/>
      <c r="AA764" s="2469"/>
      <c r="AB764" s="2469"/>
      <c r="AC764" s="2469"/>
      <c r="AD764" s="2469"/>
      <c r="AE764" s="2469"/>
      <c r="AF764" s="2469"/>
      <c r="AG764" s="2469"/>
      <c r="AH764" s="2469"/>
      <c r="AI764" s="2469"/>
      <c r="AJ764" s="2469"/>
      <c r="AK764" s="2469"/>
      <c r="AL764" s="2469"/>
      <c r="AM764" s="2469"/>
      <c r="AN764" s="2469"/>
      <c r="AO764" s="2469"/>
      <c r="AP764" s="2469"/>
      <c r="AQ764" s="2469"/>
      <c r="AR764" s="2469"/>
      <c r="AS764" s="239"/>
      <c r="AT764" s="88"/>
      <c r="AU764" s="88"/>
      <c r="AV764" s="88"/>
      <c r="AW764" s="88"/>
      <c r="AX764" s="88"/>
      <c r="AY764" s="88"/>
      <c r="CR764" s="177"/>
    </row>
    <row r="765" spans="1:16383" s="58" customFormat="1" ht="12.75" customHeight="1">
      <c r="B765" s="1700"/>
      <c r="C765" s="2469" t="s">
        <v>2585</v>
      </c>
      <c r="D765" s="2469"/>
      <c r="E765" s="2469"/>
      <c r="F765" s="2469"/>
      <c r="G765" s="2469"/>
      <c r="H765" s="2469"/>
      <c r="I765" s="2469"/>
      <c r="J765" s="2469"/>
      <c r="K765" s="2469"/>
      <c r="L765" s="2469"/>
      <c r="M765" s="2469"/>
      <c r="N765" s="2469"/>
      <c r="O765" s="2469"/>
      <c r="P765" s="2469"/>
      <c r="Q765" s="2469"/>
      <c r="R765" s="2469"/>
      <c r="S765" s="2469"/>
      <c r="T765" s="2469"/>
      <c r="U765" s="2469"/>
      <c r="V765" s="2469"/>
      <c r="W765" s="2469"/>
      <c r="X765" s="2469"/>
      <c r="Y765" s="2469"/>
      <c r="Z765" s="2469"/>
      <c r="AA765" s="2469"/>
      <c r="AB765" s="2469"/>
      <c r="AC765" s="2469"/>
      <c r="AD765" s="2469"/>
      <c r="AE765" s="2469"/>
      <c r="AF765" s="2469"/>
      <c r="AG765" s="2469"/>
      <c r="AH765" s="2469"/>
      <c r="AI765" s="2469"/>
      <c r="AJ765" s="2469"/>
      <c r="AK765" s="2469"/>
      <c r="AL765" s="2469"/>
      <c r="AM765" s="2469"/>
      <c r="AN765" s="2469"/>
      <c r="AO765" s="2469"/>
      <c r="AP765" s="2469"/>
      <c r="AQ765" s="2469"/>
      <c r="AR765" s="2469"/>
      <c r="AS765" s="239"/>
      <c r="AT765" s="88"/>
      <c r="AU765" s="88"/>
      <c r="AV765" s="88"/>
      <c r="AW765" s="88"/>
      <c r="AX765" s="88"/>
      <c r="AY765" s="88"/>
      <c r="CR765" s="177"/>
    </row>
    <row r="766" spans="1:16383" s="58" customFormat="1" ht="12.75" customHeight="1">
      <c r="B766" s="1700"/>
      <c r="C766" s="2469"/>
      <c r="D766" s="2469"/>
      <c r="E766" s="2469"/>
      <c r="F766" s="2469"/>
      <c r="G766" s="2469"/>
      <c r="H766" s="2469"/>
      <c r="I766" s="2469"/>
      <c r="J766" s="2469"/>
      <c r="K766" s="2469"/>
      <c r="L766" s="2469"/>
      <c r="M766" s="2469"/>
      <c r="N766" s="2469"/>
      <c r="O766" s="2469"/>
      <c r="P766" s="2469"/>
      <c r="Q766" s="2469"/>
      <c r="R766" s="2469"/>
      <c r="S766" s="2469"/>
      <c r="T766" s="2469"/>
      <c r="U766" s="2469"/>
      <c r="V766" s="2469"/>
      <c r="W766" s="2469"/>
      <c r="X766" s="2469"/>
      <c r="Y766" s="2469"/>
      <c r="Z766" s="2469"/>
      <c r="AA766" s="2469"/>
      <c r="AB766" s="2469"/>
      <c r="AC766" s="2469"/>
      <c r="AD766" s="2469"/>
      <c r="AE766" s="2469"/>
      <c r="AF766" s="2469"/>
      <c r="AG766" s="2469"/>
      <c r="AH766" s="2469"/>
      <c r="AI766" s="2469"/>
      <c r="AJ766" s="2469"/>
      <c r="AK766" s="2469"/>
      <c r="AL766" s="2469"/>
      <c r="AM766" s="2469"/>
      <c r="AN766" s="2469"/>
      <c r="AO766" s="2469"/>
      <c r="AP766" s="2469"/>
      <c r="AQ766" s="2469"/>
      <c r="AR766" s="2469"/>
      <c r="AS766" s="239"/>
      <c r="AT766" s="88"/>
      <c r="AU766" s="88"/>
      <c r="AV766" s="88"/>
      <c r="AW766" s="88"/>
      <c r="AX766" s="88"/>
      <c r="AY766" s="88"/>
      <c r="CR766" s="177"/>
    </row>
    <row r="767" spans="1:16383" s="58" customFormat="1" ht="12.75" customHeight="1">
      <c r="B767" s="1700"/>
      <c r="C767" s="2469"/>
      <c r="D767" s="2469"/>
      <c r="E767" s="2469"/>
      <c r="F767" s="2469"/>
      <c r="G767" s="2469"/>
      <c r="H767" s="2469"/>
      <c r="I767" s="2469"/>
      <c r="J767" s="2469"/>
      <c r="K767" s="2469"/>
      <c r="L767" s="2469"/>
      <c r="M767" s="2469"/>
      <c r="N767" s="2469"/>
      <c r="O767" s="2469"/>
      <c r="P767" s="2469"/>
      <c r="Q767" s="2469"/>
      <c r="R767" s="2469"/>
      <c r="S767" s="2469"/>
      <c r="T767" s="2469"/>
      <c r="U767" s="2469"/>
      <c r="V767" s="2469"/>
      <c r="W767" s="2469"/>
      <c r="X767" s="2469"/>
      <c r="Y767" s="2469"/>
      <c r="Z767" s="2469"/>
      <c r="AA767" s="2469"/>
      <c r="AB767" s="2469"/>
      <c r="AC767" s="2469"/>
      <c r="AD767" s="2469"/>
      <c r="AE767" s="2469"/>
      <c r="AF767" s="2469"/>
      <c r="AG767" s="2469"/>
      <c r="AH767" s="2469"/>
      <c r="AI767" s="2469"/>
      <c r="AJ767" s="2469"/>
      <c r="AK767" s="2469"/>
      <c r="AL767" s="2469"/>
      <c r="AM767" s="2469"/>
      <c r="AN767" s="2469"/>
      <c r="AO767" s="2469"/>
      <c r="AP767" s="2469"/>
      <c r="AQ767" s="2469"/>
      <c r="AR767" s="2469"/>
      <c r="AS767" s="239"/>
      <c r="AT767" s="88"/>
      <c r="AU767" s="88"/>
      <c r="AV767" s="88"/>
      <c r="AW767" s="88"/>
      <c r="AX767" s="88"/>
      <c r="AY767" s="88"/>
      <c r="CR767" s="177"/>
    </row>
    <row r="768" spans="1:16383" ht="12.75" customHeight="1">
      <c r="J768" s="2320" t="s">
        <v>404</v>
      </c>
      <c r="K768" s="2074"/>
      <c r="L768" s="2074"/>
      <c r="M768" s="2074"/>
      <c r="N768" s="2075"/>
      <c r="O768" s="2420" t="s">
        <v>291</v>
      </c>
      <c r="P768" s="2420"/>
      <c r="Q768" s="2420"/>
      <c r="R768" s="2420"/>
      <c r="S768" s="2420"/>
      <c r="T768" s="2321" t="s">
        <v>1990</v>
      </c>
      <c r="U768" s="2322"/>
      <c r="V768" s="2322"/>
      <c r="W768" s="2323"/>
      <c r="X768" s="2320" t="s">
        <v>471</v>
      </c>
      <c r="Y768" s="2074"/>
      <c r="Z768" s="2074"/>
      <c r="AA768" s="2074"/>
      <c r="AB768" s="2075"/>
      <c r="AC768" s="2320" t="s">
        <v>292</v>
      </c>
      <c r="AD768" s="2074"/>
      <c r="AE768" s="2074"/>
      <c r="AF768" s="2074"/>
      <c r="AG768" s="2075"/>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6"/>
      <c r="K769" s="2077"/>
      <c r="L769" s="2077"/>
      <c r="M769" s="2077"/>
      <c r="N769" s="2078"/>
      <c r="O769" s="2420"/>
      <c r="P769" s="2420"/>
      <c r="Q769" s="2420"/>
      <c r="R769" s="2420"/>
      <c r="S769" s="2420"/>
      <c r="T769" s="2324"/>
      <c r="U769" s="2325"/>
      <c r="V769" s="2325"/>
      <c r="W769" s="2326"/>
      <c r="X769" s="2076"/>
      <c r="Y769" s="2077"/>
      <c r="Z769" s="2077"/>
      <c r="AA769" s="2077"/>
      <c r="AB769" s="2078"/>
      <c r="AC769" s="2076"/>
      <c r="AD769" s="2077"/>
      <c r="AE769" s="2077"/>
      <c r="AF769" s="2077"/>
      <c r="AG769" s="2078"/>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6"/>
      <c r="K770" s="2077"/>
      <c r="L770" s="2077"/>
      <c r="M770" s="2077"/>
      <c r="N770" s="2078"/>
      <c r="O770" s="2420"/>
      <c r="P770" s="2420"/>
      <c r="Q770" s="2420"/>
      <c r="R770" s="2420"/>
      <c r="S770" s="2420"/>
      <c r="T770" s="2324"/>
      <c r="U770" s="2325"/>
      <c r="V770" s="2325"/>
      <c r="W770" s="2326"/>
      <c r="X770" s="2076"/>
      <c r="Y770" s="2077"/>
      <c r="Z770" s="2077"/>
      <c r="AA770" s="2077"/>
      <c r="AB770" s="2078"/>
      <c r="AC770" s="2076"/>
      <c r="AD770" s="2077"/>
      <c r="AE770" s="2077"/>
      <c r="AF770" s="2077"/>
      <c r="AG770" s="2078"/>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9"/>
      <c r="K771" s="2080"/>
      <c r="L771" s="2080"/>
      <c r="M771" s="2080"/>
      <c r="N771" s="2081"/>
      <c r="O771" s="2420"/>
      <c r="P771" s="2420"/>
      <c r="Q771" s="2420"/>
      <c r="R771" s="2420"/>
      <c r="S771" s="2420"/>
      <c r="T771" s="2327"/>
      <c r="U771" s="2328"/>
      <c r="V771" s="2328"/>
      <c r="W771" s="2329"/>
      <c r="X771" s="2079"/>
      <c r="Y771" s="2080"/>
      <c r="Z771" s="2080"/>
      <c r="AA771" s="2080"/>
      <c r="AB771" s="2081"/>
      <c r="AC771" s="2079"/>
      <c r="AD771" s="2080"/>
      <c r="AE771" s="2080"/>
      <c r="AF771" s="2080"/>
      <c r="AG771" s="2081"/>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16" t="s">
        <v>168</v>
      </c>
      <c r="K772" s="2417"/>
      <c r="L772" s="2417"/>
      <c r="M772" s="2417"/>
      <c r="N772" s="2418"/>
      <c r="O772" s="2419">
        <v>1</v>
      </c>
      <c r="P772" s="2419"/>
      <c r="Q772" s="2419"/>
      <c r="R772" s="2419"/>
      <c r="S772" s="2419"/>
      <c r="T772" s="2303">
        <v>733</v>
      </c>
      <c r="U772" s="2304"/>
      <c r="V772" s="2304"/>
      <c r="W772" s="2305"/>
      <c r="X772" s="2085"/>
      <c r="Y772" s="2086"/>
      <c r="Z772" s="2086"/>
      <c r="AA772" s="2086"/>
      <c r="AB772" s="2087"/>
      <c r="AC772" s="2049">
        <f>X772*O772</f>
        <v>0</v>
      </c>
      <c r="AD772" s="2050"/>
      <c r="AE772" s="2050"/>
      <c r="AF772" s="2050"/>
      <c r="AG772" s="205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31"/>
      <c r="P773" s="2331"/>
      <c r="Q773" s="2331"/>
      <c r="R773" s="2331"/>
      <c r="S773" s="2331"/>
      <c r="T773" s="2303"/>
      <c r="U773" s="2304"/>
      <c r="V773" s="2304"/>
      <c r="W773" s="2305"/>
      <c r="X773" s="2085"/>
      <c r="Y773" s="2086"/>
      <c r="Z773" s="2086"/>
      <c r="AA773" s="2086"/>
      <c r="AB773" s="2087"/>
      <c r="AC773" s="2049">
        <f>X773*O773</f>
        <v>0</v>
      </c>
      <c r="AD773" s="2050"/>
      <c r="AE773" s="2050"/>
      <c r="AF773" s="2050"/>
      <c r="AG773" s="205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31"/>
      <c r="P774" s="2331"/>
      <c r="Q774" s="2331"/>
      <c r="R774" s="2331"/>
      <c r="S774" s="2331"/>
      <c r="T774" s="2303"/>
      <c r="U774" s="2304"/>
      <c r="V774" s="2304"/>
      <c r="W774" s="2305"/>
      <c r="X774" s="2085"/>
      <c r="Y774" s="2086"/>
      <c r="Z774" s="2086"/>
      <c r="AA774" s="2086"/>
      <c r="AB774" s="2087"/>
      <c r="AC774" s="2049">
        <f>X774*O774</f>
        <v>0</v>
      </c>
      <c r="AD774" s="2050"/>
      <c r="AE774" s="2050"/>
      <c r="AF774" s="2050"/>
      <c r="AG774" s="205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31"/>
      <c r="P775" s="2331"/>
      <c r="Q775" s="2331"/>
      <c r="R775" s="2331"/>
      <c r="S775" s="2331"/>
      <c r="T775" s="2303"/>
      <c r="U775" s="2304"/>
      <c r="V775" s="2304"/>
      <c r="W775" s="2305"/>
      <c r="X775" s="2085"/>
      <c r="Y775" s="2086"/>
      <c r="Z775" s="2086"/>
      <c r="AA775" s="2086"/>
      <c r="AB775" s="2087"/>
      <c r="AC775" s="2049">
        <f>X775*O775</f>
        <v>0</v>
      </c>
      <c r="AD775" s="2050"/>
      <c r="AE775" s="2050"/>
      <c r="AF775" s="2050"/>
      <c r="AG775" s="205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5" t="s">
        <v>130</v>
      </c>
      <c r="K776" s="2386"/>
      <c r="L776" s="2386"/>
      <c r="M776" s="2386"/>
      <c r="N776" s="2387"/>
      <c r="O776" s="2378">
        <f>SUM(O772:S775)</f>
        <v>1</v>
      </c>
      <c r="P776" s="2379"/>
      <c r="Q776" s="2379"/>
      <c r="R776" s="2379"/>
      <c r="S776" s="2380"/>
      <c r="X776" s="2317" t="s">
        <v>129</v>
      </c>
      <c r="Y776" s="2318"/>
      <c r="Z776" s="2318"/>
      <c r="AA776" s="2318"/>
      <c r="AB776" s="2319"/>
      <c r="AC776" s="2049">
        <f>SUM(AC772:AG775)</f>
        <v>0</v>
      </c>
      <c r="AD776" s="2050"/>
      <c r="AE776" s="2050"/>
      <c r="AF776" s="2050"/>
      <c r="AG776" s="205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1" t="s">
        <v>695</v>
      </c>
      <c r="K778" s="2401"/>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20" t="s">
        <v>404</v>
      </c>
      <c r="K782" s="2074"/>
      <c r="L782" s="2074"/>
      <c r="M782" s="2074"/>
      <c r="N782" s="2075"/>
      <c r="O782" s="2420" t="s">
        <v>291</v>
      </c>
      <c r="P782" s="2420"/>
      <c r="Q782" s="2420"/>
      <c r="R782" s="2420"/>
      <c r="S782" s="2420"/>
      <c r="T782" s="2321" t="s">
        <v>1990</v>
      </c>
      <c r="U782" s="2322"/>
      <c r="V782" s="2322"/>
      <c r="W782" s="2323"/>
      <c r="X782" s="2320" t="s">
        <v>471</v>
      </c>
      <c r="Y782" s="2074"/>
      <c r="Z782" s="2074"/>
      <c r="AA782" s="2074"/>
      <c r="AB782" s="2075"/>
      <c r="AC782" s="2320" t="s">
        <v>292</v>
      </c>
      <c r="AD782" s="2074"/>
      <c r="AE782" s="2074"/>
      <c r="AF782" s="2074"/>
      <c r="AG782" s="2075"/>
      <c r="AH782" s="2432" t="s">
        <v>2185</v>
      </c>
      <c r="AI782" s="2433"/>
      <c r="AJ782" s="2433"/>
      <c r="AK782" s="2433"/>
      <c r="AL782" s="24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6"/>
      <c r="K783" s="2077"/>
      <c r="L783" s="2077"/>
      <c r="M783" s="2077"/>
      <c r="N783" s="2078"/>
      <c r="O783" s="2420"/>
      <c r="P783" s="2420"/>
      <c r="Q783" s="2420"/>
      <c r="R783" s="2420"/>
      <c r="S783" s="2420"/>
      <c r="T783" s="2324"/>
      <c r="U783" s="2325"/>
      <c r="V783" s="2325"/>
      <c r="W783" s="2326"/>
      <c r="X783" s="2076"/>
      <c r="Y783" s="2077"/>
      <c r="Z783" s="2077"/>
      <c r="AA783" s="2077"/>
      <c r="AB783" s="2078"/>
      <c r="AC783" s="2076"/>
      <c r="AD783" s="2077"/>
      <c r="AE783" s="2077"/>
      <c r="AF783" s="2077"/>
      <c r="AG783" s="2078"/>
      <c r="AH783" s="2432"/>
      <c r="AI783" s="2433"/>
      <c r="AJ783" s="2433"/>
      <c r="AK783" s="2433"/>
      <c r="AL783" s="243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6"/>
      <c r="K784" s="2077"/>
      <c r="L784" s="2077"/>
      <c r="M784" s="2077"/>
      <c r="N784" s="2078"/>
      <c r="O784" s="2420"/>
      <c r="P784" s="2420"/>
      <c r="Q784" s="2420"/>
      <c r="R784" s="2420"/>
      <c r="S784" s="2420"/>
      <c r="T784" s="2324"/>
      <c r="U784" s="2325"/>
      <c r="V784" s="2325"/>
      <c r="W784" s="2326"/>
      <c r="X784" s="2076"/>
      <c r="Y784" s="2077"/>
      <c r="Z784" s="2077"/>
      <c r="AA784" s="2077"/>
      <c r="AB784" s="2078"/>
      <c r="AC784" s="2076"/>
      <c r="AD784" s="2077"/>
      <c r="AE784" s="2077"/>
      <c r="AF784" s="2077"/>
      <c r="AG784" s="2078"/>
      <c r="AH784" s="2432"/>
      <c r="AI784" s="2433"/>
      <c r="AJ784" s="2433"/>
      <c r="AK784" s="2433"/>
      <c r="AL784" s="243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9"/>
      <c r="K785" s="2080"/>
      <c r="L785" s="2080"/>
      <c r="M785" s="2080"/>
      <c r="N785" s="2081"/>
      <c r="O785" s="2420"/>
      <c r="P785" s="2420"/>
      <c r="Q785" s="2420"/>
      <c r="R785" s="2420"/>
      <c r="S785" s="2420"/>
      <c r="T785" s="2327"/>
      <c r="U785" s="2328"/>
      <c r="V785" s="2328"/>
      <c r="W785" s="2329"/>
      <c r="X785" s="2079"/>
      <c r="Y785" s="2080"/>
      <c r="Z785" s="2080"/>
      <c r="AA785" s="2080"/>
      <c r="AB785" s="2081"/>
      <c r="AC785" s="2079"/>
      <c r="AD785" s="2080"/>
      <c r="AE785" s="2080"/>
      <c r="AF785" s="2080"/>
      <c r="AG785" s="2081"/>
      <c r="AH785" s="2432"/>
      <c r="AI785" s="2433"/>
      <c r="AJ785" s="2433"/>
      <c r="AK785" s="2433"/>
      <c r="AL785" s="24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331"/>
      <c r="P786" s="2331"/>
      <c r="Q786" s="2331"/>
      <c r="R786" s="2331"/>
      <c r="S786" s="2331"/>
      <c r="T786" s="2303"/>
      <c r="U786" s="2304"/>
      <c r="V786" s="2304"/>
      <c r="W786" s="2305"/>
      <c r="X786" s="2085"/>
      <c r="Y786" s="2086"/>
      <c r="Z786" s="2086"/>
      <c r="AA786" s="2086"/>
      <c r="AB786" s="2087"/>
      <c r="AC786" s="2049">
        <f t="shared" ref="AC786:AC795" si="55">X786*O786</f>
        <v>0</v>
      </c>
      <c r="AD786" s="2050"/>
      <c r="AE786" s="2050"/>
      <c r="AF786" s="2050"/>
      <c r="AG786" s="2051"/>
      <c r="AH786" s="2332"/>
      <c r="AI786" s="2333"/>
      <c r="AJ786" s="2333"/>
      <c r="AK786" s="2333"/>
      <c r="AL786" s="23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331"/>
      <c r="P787" s="2331"/>
      <c r="Q787" s="2331"/>
      <c r="R787" s="2331"/>
      <c r="S787" s="2331"/>
      <c r="T787" s="2303"/>
      <c r="U787" s="2304"/>
      <c r="V787" s="2304"/>
      <c r="W787" s="2305"/>
      <c r="X787" s="2085"/>
      <c r="Y787" s="2086"/>
      <c r="Z787" s="2086"/>
      <c r="AA787" s="2086"/>
      <c r="AB787" s="2087"/>
      <c r="AC787" s="2049">
        <f t="shared" si="55"/>
        <v>0</v>
      </c>
      <c r="AD787" s="2050"/>
      <c r="AE787" s="2050"/>
      <c r="AF787" s="2050"/>
      <c r="AG787" s="2051"/>
      <c r="AH787" s="2332"/>
      <c r="AI787" s="2333"/>
      <c r="AJ787" s="2333"/>
      <c r="AK787" s="2333"/>
      <c r="AL787" s="23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331"/>
      <c r="P788" s="2331"/>
      <c r="Q788" s="2331"/>
      <c r="R788" s="2331"/>
      <c r="S788" s="2331"/>
      <c r="T788" s="2303"/>
      <c r="U788" s="2304"/>
      <c r="V788" s="2304"/>
      <c r="W788" s="2305"/>
      <c r="X788" s="2085"/>
      <c r="Y788" s="2086"/>
      <c r="Z788" s="2086"/>
      <c r="AA788" s="2086"/>
      <c r="AB788" s="2087"/>
      <c r="AC788" s="2049">
        <f t="shared" si="55"/>
        <v>0</v>
      </c>
      <c r="AD788" s="2050"/>
      <c r="AE788" s="2050"/>
      <c r="AF788" s="2050"/>
      <c r="AG788" s="2051"/>
      <c r="AH788" s="2332"/>
      <c r="AI788" s="2333"/>
      <c r="AJ788" s="2333"/>
      <c r="AK788" s="2333"/>
      <c r="AL788" s="23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31"/>
      <c r="P789" s="2331"/>
      <c r="Q789" s="2331"/>
      <c r="R789" s="2331"/>
      <c r="S789" s="2331"/>
      <c r="T789" s="2303"/>
      <c r="U789" s="2304"/>
      <c r="V789" s="2304"/>
      <c r="W789" s="2305"/>
      <c r="X789" s="2085"/>
      <c r="Y789" s="2086"/>
      <c r="Z789" s="2086"/>
      <c r="AA789" s="2086"/>
      <c r="AB789" s="2087"/>
      <c r="AC789" s="2049">
        <f t="shared" si="55"/>
        <v>0</v>
      </c>
      <c r="AD789" s="2050"/>
      <c r="AE789" s="2050"/>
      <c r="AF789" s="2050"/>
      <c r="AG789" s="2051"/>
      <c r="AH789" s="2332"/>
      <c r="AI789" s="2333"/>
      <c r="AJ789" s="2333"/>
      <c r="AK789" s="2333"/>
      <c r="AL789" s="23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31"/>
      <c r="P790" s="2331"/>
      <c r="Q790" s="2331"/>
      <c r="R790" s="2331"/>
      <c r="S790" s="2331"/>
      <c r="T790" s="2303"/>
      <c r="U790" s="2304"/>
      <c r="V790" s="2304"/>
      <c r="W790" s="2305"/>
      <c r="X790" s="2085"/>
      <c r="Y790" s="2086"/>
      <c r="Z790" s="2086"/>
      <c r="AA790" s="2086"/>
      <c r="AB790" s="2087"/>
      <c r="AC790" s="2049">
        <f t="shared" si="55"/>
        <v>0</v>
      </c>
      <c r="AD790" s="2050"/>
      <c r="AE790" s="2050"/>
      <c r="AF790" s="2050"/>
      <c r="AG790" s="2051"/>
      <c r="AH790" s="2332"/>
      <c r="AI790" s="2333"/>
      <c r="AJ790" s="2333"/>
      <c r="AK790" s="2333"/>
      <c r="AL790" s="23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31"/>
      <c r="P791" s="2331"/>
      <c r="Q791" s="2331"/>
      <c r="R791" s="2331"/>
      <c r="S791" s="2331"/>
      <c r="T791" s="2303"/>
      <c r="U791" s="2304"/>
      <c r="V791" s="2304"/>
      <c r="W791" s="2305"/>
      <c r="X791" s="2085"/>
      <c r="Y791" s="2086"/>
      <c r="Z791" s="2086"/>
      <c r="AA791" s="2086"/>
      <c r="AB791" s="2087"/>
      <c r="AC791" s="2049">
        <f t="shared" si="55"/>
        <v>0</v>
      </c>
      <c r="AD791" s="2050"/>
      <c r="AE791" s="2050"/>
      <c r="AF791" s="2050"/>
      <c r="AG791" s="2051"/>
      <c r="AH791" s="2332"/>
      <c r="AI791" s="2333"/>
      <c r="AJ791" s="2333"/>
      <c r="AK791" s="2333"/>
      <c r="AL791" s="23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31"/>
      <c r="P792" s="2331"/>
      <c r="Q792" s="2331"/>
      <c r="R792" s="2331"/>
      <c r="S792" s="2331"/>
      <c r="T792" s="2303"/>
      <c r="U792" s="2304"/>
      <c r="V792" s="2304"/>
      <c r="W792" s="2305"/>
      <c r="X792" s="2085"/>
      <c r="Y792" s="2086"/>
      <c r="Z792" s="2086"/>
      <c r="AA792" s="2086"/>
      <c r="AB792" s="2087"/>
      <c r="AC792" s="2049">
        <f t="shared" si="55"/>
        <v>0</v>
      </c>
      <c r="AD792" s="2050"/>
      <c r="AE792" s="2050"/>
      <c r="AF792" s="2050"/>
      <c r="AG792" s="2051"/>
      <c r="AH792" s="2332"/>
      <c r="AI792" s="2333"/>
      <c r="AJ792" s="2333"/>
      <c r="AK792" s="2333"/>
      <c r="AL792" s="23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31"/>
      <c r="P793" s="2331"/>
      <c r="Q793" s="2331"/>
      <c r="R793" s="2331"/>
      <c r="S793" s="2331"/>
      <c r="T793" s="2303"/>
      <c r="U793" s="2304"/>
      <c r="V793" s="2304"/>
      <c r="W793" s="2305"/>
      <c r="X793" s="2085"/>
      <c r="Y793" s="2086"/>
      <c r="Z793" s="2086"/>
      <c r="AA793" s="2086"/>
      <c r="AB793" s="2087"/>
      <c r="AC793" s="2049">
        <f t="shared" si="55"/>
        <v>0</v>
      </c>
      <c r="AD793" s="2050"/>
      <c r="AE793" s="2050"/>
      <c r="AF793" s="2050"/>
      <c r="AG793" s="2051"/>
      <c r="AH793" s="2332"/>
      <c r="AI793" s="2333"/>
      <c r="AJ793" s="2333"/>
      <c r="AK793" s="2333"/>
      <c r="AL793" s="23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31"/>
      <c r="P794" s="2331"/>
      <c r="Q794" s="2331"/>
      <c r="R794" s="2331"/>
      <c r="S794" s="2331"/>
      <c r="T794" s="2303"/>
      <c r="U794" s="2304"/>
      <c r="V794" s="2304"/>
      <c r="W794" s="2305"/>
      <c r="X794" s="2085"/>
      <c r="Y794" s="2086"/>
      <c r="Z794" s="2086"/>
      <c r="AA794" s="2086"/>
      <c r="AB794" s="2087"/>
      <c r="AC794" s="2049">
        <f t="shared" si="55"/>
        <v>0</v>
      </c>
      <c r="AD794" s="2050"/>
      <c r="AE794" s="2050"/>
      <c r="AF794" s="2050"/>
      <c r="AG794" s="2051"/>
      <c r="AH794" s="2332"/>
      <c r="AI794" s="2333"/>
      <c r="AJ794" s="2333"/>
      <c r="AK794" s="2333"/>
      <c r="AL794" s="23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31"/>
      <c r="P795" s="2331"/>
      <c r="Q795" s="2331"/>
      <c r="R795" s="2331"/>
      <c r="S795" s="2331"/>
      <c r="T795" s="2303"/>
      <c r="U795" s="2304"/>
      <c r="V795" s="2304"/>
      <c r="W795" s="2305"/>
      <c r="X795" s="2085"/>
      <c r="Y795" s="2086"/>
      <c r="Z795" s="2086"/>
      <c r="AA795" s="2086"/>
      <c r="AB795" s="2087"/>
      <c r="AC795" s="2049">
        <f t="shared" si="55"/>
        <v>0</v>
      </c>
      <c r="AD795" s="2050"/>
      <c r="AE795" s="2050"/>
      <c r="AF795" s="2050"/>
      <c r="AG795" s="2051"/>
      <c r="AH795" s="2332"/>
      <c r="AI795" s="2333"/>
      <c r="AJ795" s="2333"/>
      <c r="AK795" s="2333"/>
      <c r="AL795" s="23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5" t="s">
        <v>130</v>
      </c>
      <c r="K796" s="2386"/>
      <c r="L796" s="2386"/>
      <c r="M796" s="2386"/>
      <c r="N796" s="2387"/>
      <c r="O796" s="2468">
        <f>SUM(O786:S795)</f>
        <v>0</v>
      </c>
      <c r="P796" s="2468"/>
      <c r="Q796" s="2468"/>
      <c r="R796" s="2468"/>
      <c r="S796" s="2468"/>
      <c r="X796" s="1453" t="s">
        <v>129</v>
      </c>
      <c r="Y796" s="1454"/>
      <c r="Z796" s="1454"/>
      <c r="AA796" s="1454"/>
      <c r="AB796" s="1455"/>
      <c r="AC796" s="2049">
        <f>SUM(AC786:AG795)</f>
        <v>0</v>
      </c>
      <c r="AD796" s="2050"/>
      <c r="AE796" s="2050"/>
      <c r="AF796" s="2050"/>
      <c r="AG796" s="205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84">
        <f>O753+AC776+AC796</f>
        <v>211218</v>
      </c>
      <c r="Z798" s="2384"/>
      <c r="AA798" s="2384"/>
      <c r="AB798" s="2384"/>
      <c r="AC798" s="238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84">
        <f>(O753+AC776+AC796)*12</f>
        <v>2534616</v>
      </c>
      <c r="Z799" s="2384"/>
      <c r="AA799" s="2384"/>
      <c r="AB799" s="2384"/>
      <c r="AC799" s="2384"/>
      <c r="AZ799" s="58"/>
      <c r="BA799" s="51" t="s">
        <v>658</v>
      </c>
      <c r="BB799" s="51"/>
      <c r="BC799" s="51"/>
      <c r="BD799" s="51"/>
      <c r="BE799" s="51"/>
      <c r="BF799" s="51"/>
      <c r="BG799" s="51"/>
      <c r="BH799" s="51"/>
      <c r="BI799" s="51"/>
      <c r="BJ799" s="51"/>
      <c r="BK799" s="51"/>
      <c r="BL799" s="51"/>
      <c r="BM799" s="51"/>
      <c r="BN799" s="2414" t="s">
        <v>494</v>
      </c>
      <c r="BO799" s="2415"/>
      <c r="BP799" s="58"/>
      <c r="BQ799" s="58"/>
      <c r="BR799" s="58"/>
      <c r="BS799" s="51" t="s">
        <v>660</v>
      </c>
      <c r="BT799" s="51"/>
      <c r="BU799" s="51"/>
      <c r="BV799" s="51"/>
      <c r="BW799" s="51"/>
      <c r="BX799" s="51"/>
      <c r="BY799" s="51"/>
      <c r="BZ799" s="51"/>
      <c r="CA799" s="51"/>
      <c r="CB799" s="2411" t="str">
        <f>T189</f>
        <v>San Diego</v>
      </c>
      <c r="CC799" s="2412"/>
      <c r="CD799" s="2412"/>
      <c r="CE799" s="2412"/>
      <c r="CF799" s="2412"/>
      <c r="CG799" s="2412"/>
      <c r="CH799" s="24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68"/>
      <c r="AA804" s="2269"/>
      <c r="AB804" s="2269"/>
      <c r="AC804" s="2269"/>
      <c r="AD804" s="2269"/>
      <c r="AE804" s="22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67"/>
      <c r="AA805" s="2269"/>
      <c r="AB805" s="2269"/>
      <c r="AC805" s="2269"/>
      <c r="AD805" s="2269"/>
      <c r="AE805" s="22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6">
        <v>0</v>
      </c>
      <c r="AA806" s="2423"/>
      <c r="AB806" s="2423"/>
      <c r="AC806" s="2423"/>
      <c r="AD806" s="2423"/>
      <c r="AE806" s="24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7">
        <f>'Subsidy Contract Calculation'!J30</f>
        <v>0</v>
      </c>
      <c r="AA807" s="2278"/>
      <c r="AB807" s="2278"/>
      <c r="AC807" s="2278"/>
      <c r="AD807" s="2278"/>
      <c r="AE807" s="227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309">
        <f>+'[10]Operating Budget'!$K$57</f>
        <v>16320</v>
      </c>
      <c r="AA811" s="2310"/>
      <c r="AB811" s="2310"/>
      <c r="AC811" s="2310"/>
      <c r="AD811" s="2310"/>
      <c r="AE811" s="226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309"/>
      <c r="AA812" s="2310"/>
      <c r="AB812" s="2310"/>
      <c r="AC812" s="2310"/>
      <c r="AD812" s="2310"/>
      <c r="AE812" s="226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309"/>
      <c r="AA813" s="2310"/>
      <c r="AB813" s="2310"/>
      <c r="AC813" s="2310"/>
      <c r="AD813" s="2310"/>
      <c r="AE813" s="226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2" t="s">
        <v>2720</v>
      </c>
      <c r="Q814" s="2430"/>
      <c r="R814" s="2430"/>
      <c r="S814" s="2430"/>
      <c r="T814" s="2430"/>
      <c r="U814" s="2430"/>
      <c r="V814" s="2430"/>
      <c r="W814" s="2430"/>
      <c r="X814" s="2430"/>
      <c r="Y814" s="2431"/>
      <c r="Z814" s="2309">
        <f>+'[10]Operating Budget'!$K$58</f>
        <v>16320</v>
      </c>
      <c r="AA814" s="2310"/>
      <c r="AB814" s="2310"/>
      <c r="AC814" s="2310"/>
      <c r="AD814" s="2310"/>
      <c r="AE814" s="226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7">
        <f>SUM(Z811:AE814)</f>
        <v>32640</v>
      </c>
      <c r="AA815" s="2278"/>
      <c r="AB815" s="2278"/>
      <c r="AC815" s="2278"/>
      <c r="AD815" s="2278"/>
      <c r="AE815" s="227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77">
        <f>Z815+Y799+Z807</f>
        <v>2567256</v>
      </c>
      <c r="AA816" s="2278"/>
      <c r="AB816" s="2278"/>
      <c r="AC816" s="2278"/>
      <c r="AD816" s="2278"/>
      <c r="AE816" s="227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41" t="s">
        <v>131</v>
      </c>
      <c r="N821" s="2441"/>
      <c r="O821" s="2441"/>
      <c r="P821" s="2442"/>
      <c r="Q821" s="2381" t="s">
        <v>296</v>
      </c>
      <c r="R821" s="2381"/>
      <c r="S821" s="2381"/>
      <c r="T821" s="2381"/>
      <c r="U821" s="2381" t="s">
        <v>297</v>
      </c>
      <c r="V821" s="2381"/>
      <c r="W821" s="2381"/>
      <c r="X821" s="2381"/>
      <c r="Y821" s="2381" t="s">
        <v>298</v>
      </c>
      <c r="Z821" s="2381"/>
      <c r="AA821" s="2381"/>
      <c r="AB821" s="2381"/>
      <c r="AC821" s="2381" t="s">
        <v>368</v>
      </c>
      <c r="AD821" s="2381"/>
      <c r="AE821" s="2381"/>
      <c r="AF821" s="2381"/>
      <c r="AG821" s="2311" t="s">
        <v>341</v>
      </c>
      <c r="AH821" s="2311"/>
      <c r="AI821" s="2311"/>
      <c r="AJ821" s="23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3"/>
      <c r="N822" s="2443"/>
      <c r="O822" s="2443"/>
      <c r="P822" s="2444"/>
      <c r="Q822" s="2381"/>
      <c r="R822" s="2381"/>
      <c r="S822" s="2381"/>
      <c r="T822" s="2381"/>
      <c r="U822" s="2381"/>
      <c r="V822" s="2381"/>
      <c r="W822" s="2381"/>
      <c r="X822" s="2381"/>
      <c r="Y822" s="2381"/>
      <c r="Z822" s="2381"/>
      <c r="AA822" s="2381"/>
      <c r="AB822" s="2381"/>
      <c r="AC822" s="2381"/>
      <c r="AD822" s="2381"/>
      <c r="AE822" s="2381"/>
      <c r="AF822" s="2381"/>
      <c r="AG822" s="2311"/>
      <c r="AH822" s="2311"/>
      <c r="AI822" s="2311"/>
      <c r="AJ822" s="23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9" t="s">
        <v>43</v>
      </c>
      <c r="D823" s="2340"/>
      <c r="E823" s="2340"/>
      <c r="F823" s="2340"/>
      <c r="G823" s="2340"/>
      <c r="H823" s="2340"/>
      <c r="I823" s="80"/>
      <c r="J823" s="80"/>
      <c r="K823" s="80"/>
      <c r="L823" s="81"/>
      <c r="M823" s="2330"/>
      <c r="N823" s="2330"/>
      <c r="O823" s="2330"/>
      <c r="P823" s="2330"/>
      <c r="Q823" s="2330">
        <v>27</v>
      </c>
      <c r="R823" s="2330"/>
      <c r="S823" s="2330"/>
      <c r="T823" s="2330"/>
      <c r="U823" s="2330">
        <v>32</v>
      </c>
      <c r="V823" s="2330"/>
      <c r="W823" s="2330"/>
      <c r="X823" s="2330"/>
      <c r="Y823" s="2330">
        <v>35</v>
      </c>
      <c r="Z823" s="2330"/>
      <c r="AA823" s="2330"/>
      <c r="AB823" s="2330"/>
      <c r="AC823" s="2218"/>
      <c r="AD823" s="2219"/>
      <c r="AE823" s="2219"/>
      <c r="AF823" s="2220"/>
      <c r="AG823" s="2218"/>
      <c r="AH823" s="2219"/>
      <c r="AI823" s="2219"/>
      <c r="AJ823" s="222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341" t="s">
        <v>44</v>
      </c>
      <c r="D824" s="2342"/>
      <c r="E824" s="2342"/>
      <c r="F824" s="2342"/>
      <c r="G824" s="2342"/>
      <c r="H824" s="2342"/>
      <c r="I824" s="77"/>
      <c r="J824" s="77"/>
      <c r="K824" s="77"/>
      <c r="L824" s="78"/>
      <c r="M824" s="2330"/>
      <c r="N824" s="2330"/>
      <c r="O824" s="2330"/>
      <c r="P824" s="2330"/>
      <c r="Q824" s="2330"/>
      <c r="R824" s="2330"/>
      <c r="S824" s="2330"/>
      <c r="T824" s="2330"/>
      <c r="U824" s="2330"/>
      <c r="V824" s="2330"/>
      <c r="W824" s="2330"/>
      <c r="X824" s="2330"/>
      <c r="Y824" s="2330"/>
      <c r="Z824" s="2330"/>
      <c r="AA824" s="2330"/>
      <c r="AB824" s="2330"/>
      <c r="AC824" s="2218"/>
      <c r="AD824" s="2219"/>
      <c r="AE824" s="2219"/>
      <c r="AF824" s="2220"/>
      <c r="AG824" s="2218"/>
      <c r="AH824" s="2219"/>
      <c r="AI824" s="2219"/>
      <c r="AJ824" s="222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341" t="s">
        <v>45</v>
      </c>
      <c r="D825" s="2342"/>
      <c r="E825" s="2342"/>
      <c r="F825" s="2342"/>
      <c r="G825" s="2342"/>
      <c r="H825" s="2342"/>
      <c r="I825" s="96"/>
      <c r="J825" s="96"/>
      <c r="K825" s="96"/>
      <c r="L825" s="97"/>
      <c r="M825" s="2330"/>
      <c r="N825" s="2330"/>
      <c r="O825" s="2330"/>
      <c r="P825" s="2330"/>
      <c r="Q825" s="2330">
        <v>12</v>
      </c>
      <c r="R825" s="2330"/>
      <c r="S825" s="2330"/>
      <c r="T825" s="2330"/>
      <c r="U825" s="2330">
        <v>18</v>
      </c>
      <c r="V825" s="2330"/>
      <c r="W825" s="2330"/>
      <c r="X825" s="2330"/>
      <c r="Y825" s="2330">
        <v>28</v>
      </c>
      <c r="Z825" s="2330"/>
      <c r="AA825" s="2330"/>
      <c r="AB825" s="2330"/>
      <c r="AC825" s="2218"/>
      <c r="AD825" s="2219"/>
      <c r="AE825" s="2219"/>
      <c r="AF825" s="2220"/>
      <c r="AG825" s="2218"/>
      <c r="AH825" s="2219"/>
      <c r="AI825" s="2219"/>
      <c r="AJ825" s="222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341" t="s">
        <v>804</v>
      </c>
      <c r="D826" s="2342"/>
      <c r="E826" s="2342"/>
      <c r="F826" s="2342"/>
      <c r="G826" s="2342"/>
      <c r="H826" s="2342"/>
      <c r="I826" s="96"/>
      <c r="J826" s="96"/>
      <c r="K826" s="96"/>
      <c r="L826" s="97"/>
      <c r="M826" s="2330"/>
      <c r="N826" s="2330"/>
      <c r="O826" s="2330"/>
      <c r="P826" s="2330"/>
      <c r="Q826" s="2330"/>
      <c r="R826" s="2330"/>
      <c r="S826" s="2330"/>
      <c r="T826" s="2330"/>
      <c r="U826" s="2330"/>
      <c r="V826" s="2330"/>
      <c r="W826" s="2330"/>
      <c r="X826" s="2330"/>
      <c r="Y826" s="2330"/>
      <c r="Z826" s="2330"/>
      <c r="AA826" s="2330"/>
      <c r="AB826" s="2330"/>
      <c r="AC826" s="2218"/>
      <c r="AD826" s="2219"/>
      <c r="AE826" s="2219"/>
      <c r="AF826" s="2220"/>
      <c r="AG826" s="2218"/>
      <c r="AH826" s="2219"/>
      <c r="AI826" s="2219"/>
      <c r="AJ826" s="222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341" t="s">
        <v>484</v>
      </c>
      <c r="D827" s="2342"/>
      <c r="E827" s="2342"/>
      <c r="F827" s="2342"/>
      <c r="G827" s="2342"/>
      <c r="H827" s="2342"/>
      <c r="I827" s="96"/>
      <c r="J827" s="96"/>
      <c r="K827" s="96"/>
      <c r="L827" s="97"/>
      <c r="M827" s="2330"/>
      <c r="N827" s="2330"/>
      <c r="O827" s="2330"/>
      <c r="P827" s="2330"/>
      <c r="Q827" s="2330">
        <v>46</v>
      </c>
      <c r="R827" s="2330"/>
      <c r="S827" s="2330"/>
      <c r="T827" s="2330"/>
      <c r="U827" s="2330">
        <v>64</v>
      </c>
      <c r="V827" s="2330"/>
      <c r="W827" s="2330"/>
      <c r="X827" s="2330"/>
      <c r="Y827" s="2330">
        <v>82</v>
      </c>
      <c r="Z827" s="2330"/>
      <c r="AA827" s="2330"/>
      <c r="AB827" s="2330"/>
      <c r="AC827" s="2218"/>
      <c r="AD827" s="2219"/>
      <c r="AE827" s="2219"/>
      <c r="AF827" s="2220"/>
      <c r="AG827" s="2218"/>
      <c r="AH827" s="2219"/>
      <c r="AI827" s="2219"/>
      <c r="AJ827" s="222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4" t="s">
        <v>825</v>
      </c>
      <c r="D828" s="2342"/>
      <c r="E828" s="2342"/>
      <c r="F828" s="2342"/>
      <c r="G828" s="2342"/>
      <c r="H828" s="2342"/>
      <c r="I828" s="96"/>
      <c r="J828" s="96"/>
      <c r="K828" s="96"/>
      <c r="L828" s="97"/>
      <c r="M828" s="2330"/>
      <c r="N828" s="2330"/>
      <c r="O828" s="2330"/>
      <c r="P828" s="2330"/>
      <c r="Q828" s="2330"/>
      <c r="R828" s="2330"/>
      <c r="S828" s="2330"/>
      <c r="T828" s="2330"/>
      <c r="U828" s="2330"/>
      <c r="V828" s="2330"/>
      <c r="W828" s="2330"/>
      <c r="X828" s="2330"/>
      <c r="Y828" s="2330"/>
      <c r="Z828" s="2330"/>
      <c r="AA828" s="2330"/>
      <c r="AB828" s="2330"/>
      <c r="AC828" s="2218"/>
      <c r="AD828" s="2219"/>
      <c r="AE828" s="2219"/>
      <c r="AF828" s="2220"/>
      <c r="AG828" s="2218"/>
      <c r="AH828" s="2219"/>
      <c r="AI828" s="2219"/>
      <c r="AJ828" s="222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61" t="s">
        <v>340</v>
      </c>
      <c r="G829" s="2262"/>
      <c r="H829" s="2262"/>
      <c r="I829" s="2262"/>
      <c r="J829" s="2262"/>
      <c r="K829" s="2262"/>
      <c r="L829" s="2263"/>
      <c r="M829" s="2330"/>
      <c r="N829" s="2330"/>
      <c r="O829" s="2330"/>
      <c r="P829" s="2330"/>
      <c r="Q829" s="2330"/>
      <c r="R829" s="2330"/>
      <c r="S829" s="2330"/>
      <c r="T829" s="2330"/>
      <c r="U829" s="2330"/>
      <c r="V829" s="2330"/>
      <c r="W829" s="2330"/>
      <c r="X829" s="2330"/>
      <c r="Y829" s="2330"/>
      <c r="Z829" s="2330"/>
      <c r="AA829" s="2330"/>
      <c r="AB829" s="2330"/>
      <c r="AC829" s="2218"/>
      <c r="AD829" s="2219"/>
      <c r="AE829" s="2219"/>
      <c r="AF829" s="2220"/>
      <c r="AG829" s="2218"/>
      <c r="AH829" s="2219"/>
      <c r="AI829" s="2219"/>
      <c r="AJ829" s="222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5" t="s">
        <v>129</v>
      </c>
      <c r="D830" s="2386"/>
      <c r="E830" s="2386"/>
      <c r="F830" s="2386"/>
      <c r="G830" s="2386"/>
      <c r="H830" s="2386"/>
      <c r="I830" s="2386"/>
      <c r="J830" s="2386"/>
      <c r="K830" s="2386"/>
      <c r="L830" s="2387"/>
      <c r="M830" s="2434">
        <f>SUM(M823:P829)</f>
        <v>0</v>
      </c>
      <c r="N830" s="2434"/>
      <c r="O830" s="2434"/>
      <c r="P830" s="2434"/>
      <c r="Q830" s="2434">
        <f>SUM(Q823:T829)</f>
        <v>85</v>
      </c>
      <c r="R830" s="2434"/>
      <c r="S830" s="2434"/>
      <c r="T830" s="2434"/>
      <c r="U830" s="2434">
        <f>SUM(U823:X829)</f>
        <v>114</v>
      </c>
      <c r="V830" s="2434"/>
      <c r="W830" s="2434"/>
      <c r="X830" s="2434"/>
      <c r="Y830" s="2434">
        <f>SUM(Y823:AB829)</f>
        <v>145</v>
      </c>
      <c r="Z830" s="2434"/>
      <c r="AA830" s="2434"/>
      <c r="AB830" s="2434"/>
      <c r="AC830" s="2434">
        <f>SUM(AC823:AF829)</f>
        <v>0</v>
      </c>
      <c r="AD830" s="2434"/>
      <c r="AE830" s="2434"/>
      <c r="AF830" s="2434"/>
      <c r="AG830" s="2434">
        <f>SUM(AG823:AJ829)</f>
        <v>0</v>
      </c>
      <c r="AH830" s="2434"/>
      <c r="AI830" s="2434"/>
      <c r="AJ830" s="243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5" t="s">
        <v>2598</v>
      </c>
      <c r="D835" s="2446"/>
      <c r="E835" s="2446"/>
      <c r="F835" s="2446"/>
      <c r="G835" s="2446"/>
      <c r="H835" s="2446"/>
      <c r="I835" s="2446"/>
      <c r="J835" s="2446"/>
      <c r="K835" s="2446"/>
      <c r="L835" s="2446"/>
      <c r="M835" s="2446"/>
      <c r="N835" s="2446"/>
      <c r="O835" s="2446"/>
      <c r="P835" s="2446"/>
      <c r="Q835" s="2446"/>
      <c r="R835" s="2446"/>
      <c r="S835" s="2446"/>
      <c r="T835" s="2446"/>
      <c r="U835" s="2446"/>
      <c r="V835" s="2446"/>
      <c r="W835" s="2446"/>
      <c r="X835" s="2446"/>
      <c r="Y835" s="2446"/>
      <c r="Z835" s="2446"/>
      <c r="AA835" s="2446"/>
      <c r="AB835" s="2446"/>
      <c r="AC835" s="2446"/>
      <c r="AD835" s="2446"/>
      <c r="AE835" s="2446"/>
      <c r="AF835" s="2446"/>
      <c r="AG835" s="2446"/>
      <c r="AH835" s="2446"/>
      <c r="AI835" s="2446"/>
      <c r="AJ835" s="24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08">
        <v>3000</v>
      </c>
      <c r="X840" s="2108"/>
      <c r="Y840" s="2108"/>
      <c r="Z840" s="2108"/>
      <c r="AA840" s="2108"/>
      <c r="AB840" s="2108"/>
      <c r="AC840" s="210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08">
        <v>9500</v>
      </c>
      <c r="X841" s="2108"/>
      <c r="Y841" s="2108"/>
      <c r="Z841" s="2108"/>
      <c r="AA841" s="2108"/>
      <c r="AB841" s="2108"/>
      <c r="AC841" s="210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08">
        <v>9500</v>
      </c>
      <c r="X842" s="2108"/>
      <c r="Y842" s="2108"/>
      <c r="Z842" s="2108"/>
      <c r="AA842" s="2108"/>
      <c r="AB842" s="2108"/>
      <c r="AC842" s="210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08"/>
      <c r="X843" s="2108"/>
      <c r="Y843" s="2108"/>
      <c r="Z843" s="2108"/>
      <c r="AA843" s="2108"/>
      <c r="AB843" s="2108"/>
      <c r="AC843" s="210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05" t="s">
        <v>2718</v>
      </c>
      <c r="N844" s="2106"/>
      <c r="O844" s="2106"/>
      <c r="P844" s="2106"/>
      <c r="Q844" s="2106"/>
      <c r="R844" s="2106"/>
      <c r="S844" s="2106"/>
      <c r="T844" s="2106"/>
      <c r="U844" s="2106"/>
      <c r="V844" s="2107"/>
      <c r="W844" s="2108">
        <f>61200-W840-W841-W842</f>
        <v>39200</v>
      </c>
      <c r="X844" s="2108"/>
      <c r="Y844" s="2108"/>
      <c r="Z844" s="2108"/>
      <c r="AA844" s="2108"/>
      <c r="AB844" s="2108"/>
      <c r="AC844" s="210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8">
        <f>ROUNDDOWN(BC932*2,2)</f>
        <v>0</v>
      </c>
      <c r="BJ844" s="2458"/>
      <c r="BK844" s="2458"/>
      <c r="BL844" s="2458"/>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77">
        <f>SUM(W840:AC844)</f>
        <v>61200</v>
      </c>
      <c r="X845" s="2278"/>
      <c r="Y845" s="2278"/>
      <c r="Z845" s="2278"/>
      <c r="AA845" s="2278"/>
      <c r="AB845" s="2278"/>
      <c r="AC845" s="227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5" t="s">
        <v>352</v>
      </c>
      <c r="K847" s="2386"/>
      <c r="L847" s="2386"/>
      <c r="M847" s="2386"/>
      <c r="N847" s="2386"/>
      <c r="O847" s="2386"/>
      <c r="P847" s="2386"/>
      <c r="Q847" s="2386"/>
      <c r="R847" s="2386"/>
      <c r="S847" s="2386"/>
      <c r="T847" s="2386"/>
      <c r="U847" s="2386"/>
      <c r="V847" s="2387"/>
      <c r="W847" s="2309">
        <f>52*136*12</f>
        <v>84864</v>
      </c>
      <c r="X847" s="2310"/>
      <c r="Y847" s="2310"/>
      <c r="Z847" s="2310"/>
      <c r="AA847" s="2310"/>
      <c r="AB847" s="2310"/>
      <c r="AC847" s="2267"/>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12"/>
      <c r="X849" s="2312"/>
      <c r="Y849" s="2312"/>
      <c r="Z849" s="2312"/>
      <c r="AA849" s="2312"/>
      <c r="AB849" s="2312"/>
      <c r="AC849" s="231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2">
        <v>17500</v>
      </c>
      <c r="X850" s="2312"/>
      <c r="Y850" s="2312"/>
      <c r="Z850" s="2312"/>
      <c r="AA850" s="2312"/>
      <c r="AB850" s="2312"/>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12">
        <v>29000</v>
      </c>
      <c r="X851" s="2312"/>
      <c r="Y851" s="2312"/>
      <c r="Z851" s="2312"/>
      <c r="AA851" s="2312"/>
      <c r="AB851" s="2312"/>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90"/>
      <c r="BH851" s="2390"/>
      <c r="BI851" s="2390"/>
      <c r="BJ851" s="2390"/>
      <c r="BK851" s="2390"/>
      <c r="BL851" s="2390"/>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12">
        <f>+'[10]Operating Budget'!$K$72-W851-W850</f>
        <v>99700</v>
      </c>
      <c r="X852" s="2312"/>
      <c r="Y852" s="2312"/>
      <c r="Z852" s="2312"/>
      <c r="AA852" s="2312"/>
      <c r="AB852" s="2312"/>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5">
        <f>SUM(W849:AC852)</f>
        <v>146200</v>
      </c>
      <c r="X853" s="2455"/>
      <c r="Y853" s="2455"/>
      <c r="Z853" s="2455"/>
      <c r="AA853" s="2455"/>
      <c r="AB853" s="2455"/>
      <c r="AC853" s="245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5">
        <f>SUM(AZ821:AZ849)</f>
        <v>7.5000000000000011E-2</v>
      </c>
      <c r="BA854" s="2465"/>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435">
        <v>100000</v>
      </c>
      <c r="X855" s="2436"/>
      <c r="Y855" s="2436"/>
      <c r="Z855" s="2436"/>
      <c r="AA855" s="2436"/>
      <c r="AB855" s="2436"/>
      <c r="AC855" s="243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52">
        <v>2</v>
      </c>
      <c r="U856" s="2400"/>
      <c r="V856" s="2453"/>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35">
        <v>90000</v>
      </c>
      <c r="X857" s="2436"/>
      <c r="Y857" s="2436"/>
      <c r="Z857" s="2436"/>
      <c r="AA857" s="2436"/>
      <c r="AB857" s="2436"/>
      <c r="AC857" s="243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52">
        <v>1</v>
      </c>
      <c r="U858" s="2400"/>
      <c r="V858" s="2453"/>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05" t="s">
        <v>2719</v>
      </c>
      <c r="N859" s="2106"/>
      <c r="O859" s="2106"/>
      <c r="P859" s="2106"/>
      <c r="Q859" s="2106"/>
      <c r="R859" s="2106"/>
      <c r="S859" s="2106"/>
      <c r="T859" s="2106"/>
      <c r="U859" s="2106"/>
      <c r="V859" s="2107"/>
      <c r="W859" s="2435">
        <f>+'[10]Operating Budget'!$K$73-W855-W857</f>
        <v>35080</v>
      </c>
      <c r="X859" s="2436"/>
      <c r="Y859" s="2436"/>
      <c r="Z859" s="2436"/>
      <c r="AA859" s="2436"/>
      <c r="AB859" s="2436"/>
      <c r="AC859" s="243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13">
        <f>SUM(W855:AC859)</f>
        <v>225080</v>
      </c>
      <c r="X860" s="2314"/>
      <c r="Y860" s="2314"/>
      <c r="Z860" s="2314"/>
      <c r="AA860" s="2314"/>
      <c r="AB860" s="2314"/>
      <c r="AC860" s="2315"/>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35">
        <f>+'[10]Operating Budget'!$K$75</f>
        <v>40256</v>
      </c>
      <c r="X861" s="2436"/>
      <c r="Y861" s="2436"/>
      <c r="Z861" s="2436"/>
      <c r="AA861" s="2436"/>
      <c r="AB861" s="2436"/>
      <c r="AC861" s="243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108">
        <v>1000</v>
      </c>
      <c r="X863" s="2108"/>
      <c r="Y863" s="2108"/>
      <c r="Z863" s="2108"/>
      <c r="AA863" s="2108"/>
      <c r="AB863" s="2108"/>
      <c r="AC863" s="2108"/>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08">
        <f>+'[10]Operating Budget'!$K$74-W865-W866-W867-W868-W863</f>
        <v>145100</v>
      </c>
      <c r="X864" s="2108"/>
      <c r="Y864" s="2108"/>
      <c r="Z864" s="2108"/>
      <c r="AA864" s="2108"/>
      <c r="AB864" s="2108"/>
      <c r="AC864" s="2108"/>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08">
        <v>24000</v>
      </c>
      <c r="X865" s="2108"/>
      <c r="Y865" s="2108"/>
      <c r="Z865" s="2108"/>
      <c r="AA865" s="2108"/>
      <c r="AB865" s="2108"/>
      <c r="AC865" s="2108"/>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08">
        <v>7500</v>
      </c>
      <c r="X866" s="2108"/>
      <c r="Y866" s="2108"/>
      <c r="Z866" s="2108"/>
      <c r="AA866" s="2108"/>
      <c r="AB866" s="2108"/>
      <c r="AC866" s="2108"/>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08">
        <v>15000</v>
      </c>
      <c r="X867" s="2108"/>
      <c r="Y867" s="2108"/>
      <c r="Z867" s="2108"/>
      <c r="AA867" s="2108"/>
      <c r="AB867" s="2108"/>
      <c r="AC867" s="210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08">
        <v>25000</v>
      </c>
      <c r="X868" s="2108"/>
      <c r="Y868" s="2108"/>
      <c r="Z868" s="2108"/>
      <c r="AA868" s="2108"/>
      <c r="AB868" s="2108"/>
      <c r="AC868" s="210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1" t="s">
        <v>340</v>
      </c>
      <c r="N869" s="2262"/>
      <c r="O869" s="2262"/>
      <c r="P869" s="2262"/>
      <c r="Q869" s="2262"/>
      <c r="R869" s="2262"/>
      <c r="S869" s="2262"/>
      <c r="T869" s="2262"/>
      <c r="U869" s="2262"/>
      <c r="V869" s="2263"/>
      <c r="W869" s="2108"/>
      <c r="X869" s="2108"/>
      <c r="Y869" s="2108"/>
      <c r="Z869" s="2108"/>
      <c r="AA869" s="2108"/>
      <c r="AB869" s="2108"/>
      <c r="AC869" s="2108"/>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84">
        <f>SUM(W863:AC869)</f>
        <v>217600</v>
      </c>
      <c r="X870" s="2384"/>
      <c r="Y870" s="2384"/>
      <c r="Z870" s="2384"/>
      <c r="AA870" s="2384"/>
      <c r="AB870" s="2384"/>
      <c r="AC870" s="238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261" t="s">
        <v>340</v>
      </c>
      <c r="N872" s="2262"/>
      <c r="O872" s="2262"/>
      <c r="P872" s="2262"/>
      <c r="Q872" s="2262"/>
      <c r="R872" s="2262"/>
      <c r="S872" s="2262"/>
      <c r="T872" s="2262"/>
      <c r="U872" s="2262"/>
      <c r="V872" s="2263"/>
      <c r="W872" s="2309"/>
      <c r="X872" s="2310"/>
      <c r="Y872" s="2310"/>
      <c r="Z872" s="2310"/>
      <c r="AA872" s="2310"/>
      <c r="AB872" s="2310"/>
      <c r="AC872" s="2267"/>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261" t="s">
        <v>340</v>
      </c>
      <c r="N873" s="2262"/>
      <c r="O873" s="2262"/>
      <c r="P873" s="2262"/>
      <c r="Q873" s="2262"/>
      <c r="R873" s="2262"/>
      <c r="S873" s="2262"/>
      <c r="T873" s="2262"/>
      <c r="U873" s="2262"/>
      <c r="V873" s="2263"/>
      <c r="W873" s="2309"/>
      <c r="X873" s="2310"/>
      <c r="Y873" s="2310"/>
      <c r="Z873" s="2310"/>
      <c r="AA873" s="2310"/>
      <c r="AB873" s="2310"/>
      <c r="AC873" s="2267"/>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1" t="s">
        <v>340</v>
      </c>
      <c r="N874" s="2262"/>
      <c r="O874" s="2262"/>
      <c r="P874" s="2262"/>
      <c r="Q874" s="2262"/>
      <c r="R874" s="2262"/>
      <c r="S874" s="2262"/>
      <c r="T874" s="2262"/>
      <c r="U874" s="2262"/>
      <c r="V874" s="2263"/>
      <c r="W874" s="2309"/>
      <c r="X874" s="2310"/>
      <c r="Y874" s="2310"/>
      <c r="Z874" s="2310"/>
      <c r="AA874" s="2310"/>
      <c r="AB874" s="2310"/>
      <c r="AC874" s="226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1" t="s">
        <v>340</v>
      </c>
      <c r="N875" s="2262"/>
      <c r="O875" s="2262"/>
      <c r="P875" s="2262"/>
      <c r="Q875" s="2262"/>
      <c r="R875" s="2262"/>
      <c r="S875" s="2262"/>
      <c r="T875" s="2262"/>
      <c r="U875" s="2262"/>
      <c r="V875" s="2263"/>
      <c r="W875" s="2309"/>
      <c r="X875" s="2310"/>
      <c r="Y875" s="2310"/>
      <c r="Z875" s="2310"/>
      <c r="AA875" s="2310"/>
      <c r="AB875" s="2310"/>
      <c r="AC875" s="226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1" t="s">
        <v>340</v>
      </c>
      <c r="N876" s="2262"/>
      <c r="O876" s="2262"/>
      <c r="P876" s="2262"/>
      <c r="Q876" s="2262"/>
      <c r="R876" s="2262"/>
      <c r="S876" s="2262"/>
      <c r="T876" s="2262"/>
      <c r="U876" s="2262"/>
      <c r="V876" s="2263"/>
      <c r="W876" s="2309"/>
      <c r="X876" s="2310"/>
      <c r="Y876" s="2310"/>
      <c r="Z876" s="2310"/>
      <c r="AA876" s="2310"/>
      <c r="AB876" s="2310"/>
      <c r="AC876" s="226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77">
        <f>SUM(W872:AC876)</f>
        <v>0</v>
      </c>
      <c r="X877" s="2278"/>
      <c r="Y877" s="2278"/>
      <c r="Z877" s="2278"/>
      <c r="AA877" s="2278"/>
      <c r="AB877" s="2278"/>
      <c r="AC877" s="227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78">
        <f>W845+W853+W860+W861+W870+W877+W847</f>
        <v>775200</v>
      </c>
      <c r="AD881" s="2278"/>
      <c r="AE881" s="2278"/>
      <c r="AF881" s="2278"/>
      <c r="AG881" s="2278"/>
      <c r="AH881" s="227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450">
        <f>O796+O776+G753</f>
        <v>136</v>
      </c>
      <c r="AD882" s="2450"/>
      <c r="AE882" s="2450"/>
      <c r="AF882" s="2450"/>
      <c r="AG882" s="2450"/>
      <c r="AH882" s="24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8" t="s">
        <v>33</v>
      </c>
      <c r="F883" s="2448"/>
      <c r="G883" s="2448"/>
      <c r="H883" s="2448"/>
      <c r="I883" s="2448"/>
      <c r="J883" s="2448"/>
      <c r="K883" s="2448"/>
      <c r="L883" s="2448"/>
      <c r="M883" s="2448"/>
      <c r="N883" s="2448"/>
      <c r="O883" s="2448"/>
      <c r="P883" s="2448"/>
      <c r="Q883" s="2448"/>
      <c r="R883" s="2448"/>
      <c r="S883" s="2448"/>
      <c r="T883" s="2448"/>
      <c r="U883" s="2448"/>
      <c r="V883" s="2448"/>
      <c r="W883" s="2448"/>
      <c r="X883" s="2448"/>
      <c r="Y883" s="2448"/>
      <c r="Z883" s="2448"/>
      <c r="AA883" s="2448"/>
      <c r="AB883" s="2449"/>
      <c r="AC883" s="2384">
        <f>IF(ISERROR((ROUNDDOWN(AC881/AC882,0))),0,(ROUNDDOWN(AC881/AC882,0)))</f>
        <v>5700</v>
      </c>
      <c r="AD883" s="2384"/>
      <c r="AE883" s="2384"/>
      <c r="AF883" s="2384"/>
      <c r="AG883" s="2384"/>
      <c r="AH883" s="238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10">
        <f>+'[10]S&amp;U Qtr'!$W$138</f>
        <v>550720.01306964725</v>
      </c>
      <c r="AD884" s="2310"/>
      <c r="AE884" s="2310"/>
      <c r="AF884" s="2310"/>
      <c r="AG884" s="2310"/>
      <c r="AH884" s="22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267"/>
      <c r="AD885" s="2108"/>
      <c r="AE885" s="2108"/>
      <c r="AF885" s="2108"/>
      <c r="AG885" s="2108"/>
      <c r="AH885" s="210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310">
        <f>+'[10]Operating Budget'!$K$83</f>
        <v>35000</v>
      </c>
      <c r="AD886" s="2310"/>
      <c r="AE886" s="2310"/>
      <c r="AF886" s="2310"/>
      <c r="AG886" s="2310"/>
      <c r="AH886" s="226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310">
        <f>+'[10]Operating Budget'!$K$82</f>
        <v>51000</v>
      </c>
      <c r="AD887" s="2310"/>
      <c r="AE887" s="2310"/>
      <c r="AF887" s="2310"/>
      <c r="AG887" s="2310"/>
      <c r="AH887" s="226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310">
        <f>+'[10]Operating Budget'!$K$84</f>
        <v>32970</v>
      </c>
      <c r="AD888" s="2310"/>
      <c r="AE888" s="2310"/>
      <c r="AF888" s="2310"/>
      <c r="AG888" s="2310"/>
      <c r="AH888" s="22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310">
        <f>+'[10]Operating Budget'!$K$76</f>
        <v>6800</v>
      </c>
      <c r="AD889" s="2310"/>
      <c r="AE889" s="2310"/>
      <c r="AF889" s="2310"/>
      <c r="AG889" s="2310"/>
      <c r="AH889" s="2267"/>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310"/>
      <c r="AD890" s="2310"/>
      <c r="AE890" s="2310"/>
      <c r="AF890" s="2310"/>
      <c r="AG890" s="2310"/>
      <c r="AH890" s="226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38" t="s">
        <v>1015</v>
      </c>
      <c r="D891" s="2439"/>
      <c r="E891" s="2439"/>
      <c r="F891" s="2439"/>
      <c r="G891" s="2439"/>
      <c r="H891" s="2439"/>
      <c r="I891" s="2439"/>
      <c r="J891" s="2439"/>
      <c r="K891" s="2439"/>
      <c r="L891" s="2439"/>
      <c r="M891" s="2439"/>
      <c r="N891" s="2439"/>
      <c r="O891" s="2439"/>
      <c r="P891" s="2439"/>
      <c r="Q891" s="2439"/>
      <c r="R891" s="2439"/>
      <c r="S891" s="2439"/>
      <c r="T891" s="2439"/>
      <c r="U891" s="2439"/>
      <c r="V891" s="2439"/>
      <c r="W891" s="2439"/>
      <c r="X891" s="2439"/>
      <c r="Y891" s="2439"/>
      <c r="Z891" s="2439"/>
      <c r="AA891" s="2439"/>
      <c r="AB891" s="2440"/>
      <c r="AC891" s="2108"/>
      <c r="AD891" s="2108"/>
      <c r="AE891" s="2108"/>
      <c r="AF891" s="2108"/>
      <c r="AG891" s="2108"/>
      <c r="AH891" s="210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38" t="s">
        <v>1015</v>
      </c>
      <c r="D892" s="2439"/>
      <c r="E892" s="2439"/>
      <c r="F892" s="2439"/>
      <c r="G892" s="2439"/>
      <c r="H892" s="2439"/>
      <c r="I892" s="2439"/>
      <c r="J892" s="2439"/>
      <c r="K892" s="2439"/>
      <c r="L892" s="2439"/>
      <c r="M892" s="2439"/>
      <c r="N892" s="2439"/>
      <c r="O892" s="2439"/>
      <c r="P892" s="2439"/>
      <c r="Q892" s="2439"/>
      <c r="R892" s="2439"/>
      <c r="S892" s="2439"/>
      <c r="T892" s="2439"/>
      <c r="U892" s="2439"/>
      <c r="V892" s="2439"/>
      <c r="W892" s="2439"/>
      <c r="X892" s="2439"/>
      <c r="Y892" s="2439"/>
      <c r="Z892" s="2439"/>
      <c r="AA892" s="2439"/>
      <c r="AB892" s="2440"/>
      <c r="AC892" s="2108"/>
      <c r="AD892" s="2108"/>
      <c r="AE892" s="2108"/>
      <c r="AF892" s="2108"/>
      <c r="AG892" s="2108"/>
      <c r="AH892" s="210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309"/>
      <c r="AA896" s="2310"/>
      <c r="AB896" s="2310"/>
      <c r="AC896" s="2310"/>
      <c r="AD896" s="2310"/>
      <c r="AE896" s="2267"/>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309"/>
      <c r="AA897" s="2310"/>
      <c r="AB897" s="2310"/>
      <c r="AC897" s="2310"/>
      <c r="AD897" s="2310"/>
      <c r="AE897" s="226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309"/>
      <c r="AA898" s="2310"/>
      <c r="AB898" s="2310"/>
      <c r="AC898" s="2310"/>
      <c r="AD898" s="2310"/>
      <c r="AE898" s="226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7">
        <f>Z896-(Z897+Z898)</f>
        <v>0</v>
      </c>
      <c r="AA899" s="2278"/>
      <c r="AB899" s="2278"/>
      <c r="AC899" s="2278"/>
      <c r="AD899" s="2278"/>
      <c r="AE899" s="2279"/>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57"/>
      <c r="BE901" s="2457"/>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62"/>
      <c r="BE902" s="2462"/>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6"/>
      <c r="BE903" s="2456"/>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6"/>
      <c r="BE904" s="2456"/>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6"/>
      <c r="BE905" s="2456"/>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57"/>
      <c r="BE906" s="2456"/>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7" t="s">
        <v>101</v>
      </c>
      <c r="B907" s="2337"/>
      <c r="C907" s="2337"/>
      <c r="D907" s="2337"/>
      <c r="E907" s="2337"/>
      <c r="F907" s="2337"/>
      <c r="G907" s="2337"/>
      <c r="H907" s="2337"/>
      <c r="I907" s="2337"/>
      <c r="J907" s="2337"/>
      <c r="K907" s="2337"/>
      <c r="L907" s="2337"/>
      <c r="M907" s="2337"/>
      <c r="N907" s="2337"/>
      <c r="O907" s="2337"/>
      <c r="P907" s="2337"/>
      <c r="Q907" s="2337"/>
      <c r="R907" s="2337"/>
      <c r="S907" s="2337"/>
      <c r="T907" s="2337"/>
      <c r="U907" s="2337"/>
      <c r="V907" s="2337"/>
      <c r="W907" s="2337"/>
      <c r="X907" s="2337"/>
      <c r="Y907" s="2337"/>
      <c r="Z907" s="2337"/>
      <c r="AA907" s="2337"/>
      <c r="AB907" s="2337"/>
      <c r="AC907" s="2337"/>
      <c r="AD907" s="2337"/>
      <c r="AE907" s="2337"/>
      <c r="AF907" s="2337"/>
      <c r="AG907" s="2337"/>
      <c r="AH907" s="2337"/>
      <c r="AI907" s="2337"/>
      <c r="AJ907" s="2337"/>
      <c r="AK907" s="2337"/>
      <c r="AL907" s="2337"/>
      <c r="AM907" s="144"/>
      <c r="AN907" s="144"/>
      <c r="AO907" s="144"/>
      <c r="AP907" s="144"/>
      <c r="AQ907" s="144"/>
      <c r="AR907" s="144"/>
      <c r="AS907" s="144"/>
      <c r="AT907" s="144"/>
      <c r="AU907" s="144"/>
      <c r="AV907" s="144"/>
      <c r="AW907" s="144"/>
      <c r="AX907" s="144"/>
      <c r="AY907" s="144"/>
      <c r="AZ907" s="61"/>
      <c r="BA907" s="25"/>
      <c r="BB907" s="127"/>
      <c r="BC907" s="1458"/>
      <c r="BD907" s="2461"/>
      <c r="BE907" s="2461"/>
      <c r="BF907" s="246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8"/>
      <c r="B908" s="2338"/>
      <c r="C908" s="2338"/>
      <c r="D908" s="2338"/>
      <c r="E908" s="2338"/>
      <c r="F908" s="2338"/>
      <c r="G908" s="2338"/>
      <c r="H908" s="2338"/>
      <c r="I908" s="2338"/>
      <c r="J908" s="2338"/>
      <c r="K908" s="2338"/>
      <c r="L908" s="2338"/>
      <c r="M908" s="2338"/>
      <c r="N908" s="2338"/>
      <c r="O908" s="2338"/>
      <c r="P908" s="2338"/>
      <c r="Q908" s="2338"/>
      <c r="R908" s="2338"/>
      <c r="S908" s="2338"/>
      <c r="T908" s="2338"/>
      <c r="U908" s="2338"/>
      <c r="V908" s="2338"/>
      <c r="W908" s="2338"/>
      <c r="X908" s="2338"/>
      <c r="Y908" s="2338"/>
      <c r="Z908" s="2338"/>
      <c r="AA908" s="2338"/>
      <c r="AB908" s="2338"/>
      <c r="AC908" s="2338"/>
      <c r="AD908" s="2338"/>
      <c r="AE908" s="2338"/>
      <c r="AF908" s="2338"/>
      <c r="AG908" s="2338"/>
      <c r="AH908" s="2338"/>
      <c r="AI908" s="2338"/>
      <c r="AJ908" s="2338"/>
      <c r="AK908" s="2338"/>
      <c r="AL908" s="2338"/>
      <c r="AM908" s="144"/>
      <c r="AN908" s="144"/>
      <c r="AO908" s="144"/>
      <c r="AP908" s="144"/>
      <c r="AQ908" s="144"/>
      <c r="AR908" s="144"/>
      <c r="AS908" s="144"/>
      <c r="AT908" s="144"/>
      <c r="AU908" s="144"/>
      <c r="AV908" s="144"/>
      <c r="AW908" s="144"/>
      <c r="AX908" s="144"/>
      <c r="AY908" s="144"/>
      <c r="AZ908" s="61"/>
      <c r="BA908" s="25"/>
      <c r="BB908" s="127"/>
      <c r="BC908" s="1458"/>
      <c r="BD908" s="2464"/>
      <c r="BE908" s="2464"/>
      <c r="BF908" s="246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6"/>
      <c r="BE909" s="2456"/>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57"/>
      <c r="BE910" s="2456"/>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58" t="s">
        <v>834</v>
      </c>
      <c r="G912" s="2259"/>
      <c r="H912" s="2259"/>
      <c r="I912" s="2259"/>
      <c r="J912" s="2259"/>
      <c r="K912" s="2259"/>
      <c r="L912" s="2259"/>
      <c r="M912" s="2259"/>
      <c r="N912" s="2259"/>
      <c r="O912" s="2259"/>
      <c r="P912" s="2259"/>
      <c r="Q912" s="2259"/>
      <c r="R912" s="2259"/>
      <c r="S912" s="2259"/>
      <c r="T912" s="2260"/>
      <c r="U912" s="2127" t="s">
        <v>32</v>
      </c>
      <c r="V912" s="2128"/>
      <c r="W912" s="2128"/>
      <c r="X912" s="2128"/>
      <c r="Y912" s="2128"/>
      <c r="Z912" s="2128"/>
      <c r="AA912" s="73"/>
      <c r="AB912" s="161"/>
      <c r="AC912" s="161"/>
      <c r="AD912" s="161"/>
      <c r="AE912" s="161"/>
      <c r="AF912" s="162"/>
      <c r="AZ912" s="61"/>
      <c r="BA912" s="1457"/>
      <c r="BB912" s="127"/>
      <c r="BC912" s="127"/>
      <c r="BD912" s="2457"/>
      <c r="BE912" s="2456"/>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30" t="s">
        <v>863</v>
      </c>
      <c r="G913" s="2131"/>
      <c r="H913" s="2131"/>
      <c r="I913" s="2131"/>
      <c r="J913" s="2131"/>
      <c r="K913" s="2131"/>
      <c r="L913" s="2131"/>
      <c r="M913" s="2131"/>
      <c r="N913" s="2131"/>
      <c r="O913" s="2131"/>
      <c r="P913" s="2131"/>
      <c r="Q913" s="2131"/>
      <c r="R913" s="2131"/>
      <c r="S913" s="2131"/>
      <c r="T913" s="2132"/>
      <c r="U913" s="2130"/>
      <c r="V913" s="2131"/>
      <c r="W913" s="2131"/>
      <c r="X913" s="2131"/>
      <c r="Y913" s="2131"/>
      <c r="Z913" s="213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33"/>
      <c r="G914" s="2134"/>
      <c r="H914" s="2134"/>
      <c r="I914" s="2134"/>
      <c r="J914" s="2134"/>
      <c r="K914" s="2134"/>
      <c r="L914" s="2134"/>
      <c r="M914" s="2134"/>
      <c r="N914" s="2134"/>
      <c r="O914" s="2134"/>
      <c r="P914" s="2134"/>
      <c r="Q914" s="2134"/>
      <c r="R914" s="2134"/>
      <c r="S914" s="2134"/>
      <c r="T914" s="2135"/>
      <c r="U914" s="2133"/>
      <c r="V914" s="2134"/>
      <c r="W914" s="2134"/>
      <c r="X914" s="2134"/>
      <c r="Y914" s="2134"/>
      <c r="Z914" s="2134"/>
      <c r="AA914" s="164"/>
      <c r="AB914" s="2460" t="s">
        <v>406</v>
      </c>
      <c r="AC914" s="2460"/>
      <c r="AD914" s="2460"/>
      <c r="AE914" s="2460"/>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40" t="s">
        <v>570</v>
      </c>
      <c r="V915" s="2241"/>
      <c r="W915" s="2241"/>
      <c r="X915" s="2241"/>
      <c r="Y915" s="2241"/>
      <c r="Z915" s="2242"/>
      <c r="AA915" s="2246">
        <f>+AM564+AM565</f>
        <v>54346387.853336751</v>
      </c>
      <c r="AB915" s="2247"/>
      <c r="AC915" s="2247"/>
      <c r="AD915" s="2247"/>
      <c r="AE915" s="2247"/>
      <c r="AF915" s="22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40" t="s">
        <v>570</v>
      </c>
      <c r="V916" s="2241"/>
      <c r="W916" s="2241"/>
      <c r="X916" s="2241"/>
      <c r="Y916" s="2241"/>
      <c r="Z916" s="2242"/>
      <c r="AA916" s="2246"/>
      <c r="AB916" s="2247"/>
      <c r="AC916" s="2247"/>
      <c r="AD916" s="2247"/>
      <c r="AE916" s="2247"/>
      <c r="AF916" s="22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40" t="s">
        <v>617</v>
      </c>
      <c r="V917" s="2241"/>
      <c r="W917" s="2241"/>
      <c r="X917" s="2241"/>
      <c r="Y917" s="2241"/>
      <c r="Z917" s="2242"/>
      <c r="AA917" s="2246"/>
      <c r="AB917" s="2247"/>
      <c r="AC917" s="2247"/>
      <c r="AD917" s="2247"/>
      <c r="AE917" s="2247"/>
      <c r="AF917" s="22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40" t="s">
        <v>617</v>
      </c>
      <c r="V918" s="2241"/>
      <c r="W918" s="2241"/>
      <c r="X918" s="2241"/>
      <c r="Y918" s="2241"/>
      <c r="Z918" s="2242"/>
      <c r="AA918" s="2246"/>
      <c r="AB918" s="2247"/>
      <c r="AC918" s="2247"/>
      <c r="AD918" s="2247"/>
      <c r="AE918" s="2247"/>
      <c r="AF918" s="22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40" t="s">
        <v>617</v>
      </c>
      <c r="V919" s="2241"/>
      <c r="W919" s="2241"/>
      <c r="X919" s="2241"/>
      <c r="Y919" s="2241"/>
      <c r="Z919" s="2242"/>
      <c r="AA919" s="2246"/>
      <c r="AB919" s="2247"/>
      <c r="AC919" s="2247"/>
      <c r="AD919" s="2247"/>
      <c r="AE919" s="2247"/>
      <c r="AF919" s="22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40" t="s">
        <v>617</v>
      </c>
      <c r="V920" s="2241"/>
      <c r="W920" s="2241"/>
      <c r="X920" s="2241"/>
      <c r="Y920" s="2241"/>
      <c r="Z920" s="2242"/>
      <c r="AA920" s="2246"/>
      <c r="AB920" s="2247"/>
      <c r="AC920" s="2247"/>
      <c r="AD920" s="2247"/>
      <c r="AE920" s="2247"/>
      <c r="AF920" s="22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40" t="s">
        <v>617</v>
      </c>
      <c r="V921" s="2241"/>
      <c r="W921" s="2241"/>
      <c r="X921" s="2241"/>
      <c r="Y921" s="2241"/>
      <c r="Z921" s="2242"/>
      <c r="AA921" s="2246"/>
      <c r="AB921" s="2247"/>
      <c r="AC921" s="2247"/>
      <c r="AD921" s="2247"/>
      <c r="AE921" s="2247"/>
      <c r="AF921" s="22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40" t="s">
        <v>617</v>
      </c>
      <c r="V922" s="2241"/>
      <c r="W922" s="2241"/>
      <c r="X922" s="2241"/>
      <c r="Y922" s="2241"/>
      <c r="Z922" s="2242"/>
      <c r="AA922" s="2246"/>
      <c r="AB922" s="2247"/>
      <c r="AC922" s="2247"/>
      <c r="AD922" s="2247"/>
      <c r="AE922" s="2247"/>
      <c r="AF922" s="22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40" t="s">
        <v>617</v>
      </c>
      <c r="V923" s="2241"/>
      <c r="W923" s="2241"/>
      <c r="X923" s="2241"/>
      <c r="Y923" s="2241"/>
      <c r="Z923" s="2242"/>
      <c r="AA923" s="2246"/>
      <c r="AB923" s="2247"/>
      <c r="AC923" s="2247"/>
      <c r="AD923" s="2247"/>
      <c r="AE923" s="2247"/>
      <c r="AF923" s="22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40" t="s">
        <v>617</v>
      </c>
      <c r="V924" s="2241"/>
      <c r="W924" s="2241"/>
      <c r="X924" s="2241"/>
      <c r="Y924" s="2241"/>
      <c r="Z924" s="2242"/>
      <c r="AA924" s="2246"/>
      <c r="AB924" s="2247"/>
      <c r="AC924" s="2247"/>
      <c r="AD924" s="2247"/>
      <c r="AE924" s="2247"/>
      <c r="AF924" s="22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40" t="s">
        <v>617</v>
      </c>
      <c r="V925" s="2241"/>
      <c r="W925" s="2241"/>
      <c r="X925" s="2241"/>
      <c r="Y925" s="2241"/>
      <c r="Z925" s="2242"/>
      <c r="AA925" s="2246"/>
      <c r="AB925" s="2247"/>
      <c r="AC925" s="2247"/>
      <c r="AD925" s="2247"/>
      <c r="AE925" s="2247"/>
      <c r="AF925" s="22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40" t="s">
        <v>617</v>
      </c>
      <c r="V926" s="2241"/>
      <c r="W926" s="2241"/>
      <c r="X926" s="2241"/>
      <c r="Y926" s="2241"/>
      <c r="Z926" s="2242"/>
      <c r="AA926" s="2246"/>
      <c r="AB926" s="2247"/>
      <c r="AC926" s="2247"/>
      <c r="AD926" s="2247"/>
      <c r="AE926" s="2247"/>
      <c r="AF926" s="22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40" t="s">
        <v>617</v>
      </c>
      <c r="V927" s="2241"/>
      <c r="W927" s="2241"/>
      <c r="X927" s="2241"/>
      <c r="Y927" s="2241"/>
      <c r="Z927" s="2242"/>
      <c r="AA927" s="2246"/>
      <c r="AB927" s="2247"/>
      <c r="AC927" s="2247"/>
      <c r="AD927" s="2247"/>
      <c r="AE927" s="2247"/>
      <c r="AF927" s="22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240" t="s">
        <v>617</v>
      </c>
      <c r="V928" s="2241"/>
      <c r="W928" s="2241"/>
      <c r="X928" s="2241"/>
      <c r="Y928" s="2241"/>
      <c r="Z928" s="2242"/>
      <c r="AA928" s="2246"/>
      <c r="AB928" s="2247"/>
      <c r="AC928" s="2247"/>
      <c r="AD928" s="2247"/>
      <c r="AE928" s="2247"/>
      <c r="AF928" s="22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240" t="s">
        <v>617</v>
      </c>
      <c r="V929" s="2241"/>
      <c r="W929" s="2241"/>
      <c r="X929" s="2241"/>
      <c r="Y929" s="2241"/>
      <c r="Z929" s="2242"/>
      <c r="AA929" s="2246"/>
      <c r="AB929" s="2247"/>
      <c r="AC929" s="2247"/>
      <c r="AD929" s="2247"/>
      <c r="AE929" s="2247"/>
      <c r="AF929" s="22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40" t="s">
        <v>695</v>
      </c>
      <c r="Q930" s="2241"/>
      <c r="R930" s="2241"/>
      <c r="S930" s="2241"/>
      <c r="T930" s="2242"/>
      <c r="U930" s="2240" t="s">
        <v>617</v>
      </c>
      <c r="V930" s="2241"/>
      <c r="W930" s="2241"/>
      <c r="X930" s="2241"/>
      <c r="Y930" s="2241"/>
      <c r="Z930" s="2242"/>
      <c r="AA930" s="2246"/>
      <c r="AB930" s="2247"/>
      <c r="AC930" s="2247"/>
      <c r="AD930" s="2247"/>
      <c r="AE930" s="2247"/>
      <c r="AF930" s="22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2" t="s">
        <v>340</v>
      </c>
      <c r="J931" s="2253"/>
      <c r="K931" s="2253"/>
      <c r="L931" s="2253"/>
      <c r="M931" s="2253"/>
      <c r="N931" s="2253"/>
      <c r="O931" s="2253"/>
      <c r="P931" s="2253"/>
      <c r="Q931" s="2253"/>
      <c r="R931" s="2253"/>
      <c r="S931" s="2253"/>
      <c r="T931" s="2254"/>
      <c r="U931" s="2240" t="s">
        <v>617</v>
      </c>
      <c r="V931" s="2241"/>
      <c r="W931" s="2241"/>
      <c r="X931" s="2241"/>
      <c r="Y931" s="2241"/>
      <c r="Z931" s="2242"/>
      <c r="AA931" s="2246"/>
      <c r="AB931" s="2247"/>
      <c r="AC931" s="2247"/>
      <c r="AD931" s="2247"/>
      <c r="AE931" s="2247"/>
      <c r="AF931" s="22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2" t="s">
        <v>2721</v>
      </c>
      <c r="J932" s="2253"/>
      <c r="K932" s="2253"/>
      <c r="L932" s="2253"/>
      <c r="M932" s="2253"/>
      <c r="N932" s="2253"/>
      <c r="O932" s="2253"/>
      <c r="P932" s="2253"/>
      <c r="Q932" s="2253"/>
      <c r="R932" s="2253"/>
      <c r="S932" s="2253"/>
      <c r="T932" s="2254"/>
      <c r="U932" s="2240" t="s">
        <v>570</v>
      </c>
      <c r="V932" s="2241"/>
      <c r="W932" s="2241"/>
      <c r="X932" s="2241"/>
      <c r="Y932" s="2241"/>
      <c r="Z932" s="2242"/>
      <c r="AA932" s="2246">
        <f>+[11]Application!AO639</f>
        <v>4000000</v>
      </c>
      <c r="AB932" s="2247"/>
      <c r="AC932" s="2247"/>
      <c r="AD932" s="2247"/>
      <c r="AE932" s="2247"/>
      <c r="AF932" s="22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2" t="s">
        <v>674</v>
      </c>
      <c r="J933" s="2253"/>
      <c r="K933" s="2253"/>
      <c r="L933" s="2253"/>
      <c r="M933" s="2253"/>
      <c r="N933" s="2253"/>
      <c r="O933" s="2253"/>
      <c r="P933" s="2253"/>
      <c r="Q933" s="2253"/>
      <c r="R933" s="2253"/>
      <c r="S933" s="2253"/>
      <c r="T933" s="2254"/>
      <c r="U933" s="2240" t="s">
        <v>570</v>
      </c>
      <c r="V933" s="2241"/>
      <c r="W933" s="2241"/>
      <c r="X933" s="2241"/>
      <c r="Y933" s="2241"/>
      <c r="Z933" s="2242"/>
      <c r="AA933" s="2246">
        <f>+AO640</f>
        <v>12510000</v>
      </c>
      <c r="AB933" s="2247"/>
      <c r="AC933" s="2247"/>
      <c r="AD933" s="2247"/>
      <c r="AE933" s="2247"/>
      <c r="AF933" s="22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59" t="s">
        <v>340</v>
      </c>
      <c r="J934" s="2430"/>
      <c r="K934" s="2430"/>
      <c r="L934" s="2430"/>
      <c r="M934" s="2430"/>
      <c r="N934" s="2430"/>
      <c r="O934" s="2430"/>
      <c r="P934" s="2430"/>
      <c r="Q934" s="2430"/>
      <c r="R934" s="2430"/>
      <c r="S934" s="2430"/>
      <c r="T934" s="2431"/>
      <c r="U934" s="2240" t="s">
        <v>617</v>
      </c>
      <c r="V934" s="2241"/>
      <c r="W934" s="2241"/>
      <c r="X934" s="2241"/>
      <c r="Y934" s="2241"/>
      <c r="Z934" s="2242"/>
      <c r="AA934" s="2246"/>
      <c r="AB934" s="2247"/>
      <c r="AC934" s="2247"/>
      <c r="AD934" s="2247"/>
      <c r="AE934" s="2247"/>
      <c r="AF934" s="22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2"/>
      <c r="N939" s="2423"/>
      <c r="O939" s="2423"/>
      <c r="P939" s="2423"/>
      <c r="Q939" s="2423"/>
      <c r="R939" s="2423"/>
      <c r="S939" s="2424"/>
      <c r="U939" s="103" t="s">
        <v>11</v>
      </c>
      <c r="V939" s="77"/>
      <c r="W939" s="77"/>
      <c r="X939" s="77"/>
      <c r="Y939" s="77"/>
      <c r="Z939" s="77"/>
      <c r="AA939" s="77"/>
      <c r="AB939" s="77"/>
      <c r="AC939" s="77"/>
      <c r="AD939" s="78"/>
      <c r="AE939" s="2422"/>
      <c r="AF939" s="2423"/>
      <c r="AG939" s="2423"/>
      <c r="AH939" s="2423"/>
      <c r="AI939" s="2423"/>
      <c r="AJ939" s="2423"/>
      <c r="AK939" s="24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27" t="s">
        <v>313</v>
      </c>
      <c r="K941" s="2428"/>
      <c r="L941" s="2428"/>
      <c r="M941" s="2428"/>
      <c r="N941" s="2428"/>
      <c r="O941" s="2428"/>
      <c r="P941" s="2428"/>
      <c r="Q941" s="2428"/>
      <c r="R941" s="2428"/>
      <c r="S941" s="2429"/>
      <c r="U941" s="103" t="s">
        <v>928</v>
      </c>
      <c r="V941" s="77"/>
      <c r="W941" s="77"/>
      <c r="AB941" s="2427" t="s">
        <v>313</v>
      </c>
      <c r="AC941" s="2428"/>
      <c r="AD941" s="2428"/>
      <c r="AE941" s="2428"/>
      <c r="AF941" s="2428"/>
      <c r="AG941" s="2428"/>
      <c r="AH941" s="2428"/>
      <c r="AI941" s="2428"/>
      <c r="AJ941" s="2428"/>
      <c r="AK941" s="24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3"/>
      <c r="N942" s="2275"/>
      <c r="O942" s="2275"/>
      <c r="P942" s="2275"/>
      <c r="Q942" s="2275"/>
      <c r="R942" s="2275"/>
      <c r="S942" s="2276"/>
      <c r="U942" s="103" t="s">
        <v>13</v>
      </c>
      <c r="V942" s="77"/>
      <c r="W942" s="77"/>
      <c r="X942" s="77"/>
      <c r="Y942" s="77"/>
      <c r="Z942" s="77"/>
      <c r="AA942" s="77"/>
      <c r="AB942" s="77"/>
      <c r="AC942" s="77"/>
      <c r="AD942" s="78"/>
      <c r="AE942" s="2274"/>
      <c r="AF942" s="2275"/>
      <c r="AG942" s="2275"/>
      <c r="AH942" s="2275"/>
      <c r="AI942" s="2275"/>
      <c r="AJ942" s="2275"/>
      <c r="AK942" s="227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8"/>
      <c r="N943" s="2269"/>
      <c r="O943" s="2269"/>
      <c r="P943" s="2269"/>
      <c r="Q943" s="2269"/>
      <c r="R943" s="2269"/>
      <c r="S943" s="2270"/>
      <c r="U943" s="103" t="s">
        <v>14</v>
      </c>
      <c r="V943" s="77"/>
      <c r="W943" s="77"/>
      <c r="X943" s="77"/>
      <c r="Y943" s="77"/>
      <c r="Z943" s="77"/>
      <c r="AA943" s="77"/>
      <c r="AB943" s="77"/>
      <c r="AC943" s="77"/>
      <c r="AD943" s="78"/>
      <c r="AE943" s="2268"/>
      <c r="AF943" s="2269"/>
      <c r="AG943" s="2269"/>
      <c r="AH943" s="2269"/>
      <c r="AI943" s="2269"/>
      <c r="AJ943" s="2269"/>
      <c r="AK943" s="22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46"/>
      <c r="N944" s="2247"/>
      <c r="O944" s="2247"/>
      <c r="P944" s="2247"/>
      <c r="Q944" s="2247"/>
      <c r="R944" s="2247"/>
      <c r="S944" s="2248"/>
      <c r="U944" s="103" t="s">
        <v>15</v>
      </c>
      <c r="V944" s="77"/>
      <c r="W944" s="77"/>
      <c r="X944" s="77"/>
      <c r="Y944" s="77"/>
      <c r="Z944" s="77"/>
      <c r="AA944" s="77"/>
      <c r="AB944" s="77"/>
      <c r="AC944" s="77"/>
      <c r="AD944" s="78"/>
      <c r="AE944" s="2246"/>
      <c r="AF944" s="2247"/>
      <c r="AG944" s="2247"/>
      <c r="AH944" s="2247"/>
      <c r="AI944" s="2247"/>
      <c r="AJ944" s="2247"/>
      <c r="AK944" s="22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46"/>
      <c r="N945" s="2247"/>
      <c r="O945" s="2247"/>
      <c r="P945" s="2247"/>
      <c r="Q945" s="2247"/>
      <c r="R945" s="2247"/>
      <c r="S945" s="2248"/>
      <c r="U945" s="103" t="s">
        <v>16</v>
      </c>
      <c r="V945" s="77"/>
      <c r="W945" s="77"/>
      <c r="X945" s="77"/>
      <c r="Y945" s="77"/>
      <c r="Z945" s="77"/>
      <c r="AA945" s="77"/>
      <c r="AB945" s="77"/>
      <c r="AC945" s="77"/>
      <c r="AD945" s="78"/>
      <c r="AE945" s="2246"/>
      <c r="AF945" s="2247"/>
      <c r="AG945" s="2247"/>
      <c r="AH945" s="2247"/>
      <c r="AI945" s="2247"/>
      <c r="AJ945" s="2247"/>
      <c r="AK945" s="22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39"/>
      <c r="N946" s="2140"/>
      <c r="O946" s="2140"/>
      <c r="P946" s="2140"/>
      <c r="Q946" s="2140"/>
      <c r="R946" s="2140"/>
      <c r="S946" s="2141"/>
      <c r="U946" s="103" t="s">
        <v>596</v>
      </c>
      <c r="V946" s="77"/>
      <c r="W946" s="77"/>
      <c r="X946" s="77"/>
      <c r="Y946" s="77"/>
      <c r="Z946" s="77"/>
      <c r="AA946" s="77"/>
      <c r="AB946" s="77"/>
      <c r="AC946" s="77"/>
      <c r="AD946" s="78"/>
      <c r="AE946" s="2139"/>
      <c r="AF946" s="2140"/>
      <c r="AG946" s="2140"/>
      <c r="AH946" s="2140"/>
      <c r="AI946" s="2140"/>
      <c r="AJ946" s="2140"/>
      <c r="AK946" s="214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55"/>
      <c r="N951" s="2256"/>
      <c r="O951" s="2256"/>
      <c r="P951" s="2256"/>
      <c r="Q951" s="2256"/>
      <c r="R951" s="2256"/>
      <c r="S951" s="2257"/>
      <c r="T951" s="103" t="s">
        <v>832</v>
      </c>
      <c r="U951" s="77"/>
      <c r="V951" s="77"/>
      <c r="W951" s="77"/>
      <c r="X951" s="77"/>
      <c r="Y951" s="77"/>
      <c r="Z951" s="78"/>
      <c r="AA951" s="2255"/>
      <c r="AB951" s="2256"/>
      <c r="AC951" s="2256"/>
      <c r="AD951" s="2256"/>
      <c r="AE951" s="2256"/>
      <c r="AF951" s="2256"/>
      <c r="AG951" s="22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55"/>
      <c r="N952" s="2256"/>
      <c r="O952" s="2256"/>
      <c r="P952" s="2256"/>
      <c r="Q952" s="2256"/>
      <c r="R952" s="2256"/>
      <c r="S952" s="2257"/>
      <c r="T952" s="103" t="s">
        <v>831</v>
      </c>
      <c r="U952" s="77"/>
      <c r="V952" s="77"/>
      <c r="W952" s="77"/>
      <c r="X952" s="77"/>
      <c r="Y952" s="77"/>
      <c r="Z952" s="78"/>
      <c r="AA952" s="2255"/>
      <c r="AB952" s="2256"/>
      <c r="AC952" s="2256"/>
      <c r="AD952" s="2256"/>
      <c r="AE952" s="2256"/>
      <c r="AF952" s="2256"/>
      <c r="AG952" s="22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64" t="s">
        <v>617</v>
      </c>
      <c r="N953" s="2265"/>
      <c r="O953" s="2265"/>
      <c r="P953" s="2265"/>
      <c r="Q953" s="2265"/>
      <c r="R953" s="2265"/>
      <c r="S953" s="2266"/>
      <c r="T953" s="76" t="s">
        <v>343</v>
      </c>
      <c r="U953" s="77"/>
      <c r="V953" s="77"/>
      <c r="W953" s="77"/>
      <c r="X953" s="77"/>
      <c r="Y953" s="77"/>
      <c r="Z953" s="78"/>
      <c r="AA953" s="2255"/>
      <c r="AB953" s="2256"/>
      <c r="AC953" s="2256"/>
      <c r="AD953" s="2256"/>
      <c r="AE953" s="2256"/>
      <c r="AF953" s="2256"/>
      <c r="AG953" s="22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55"/>
      <c r="N954" s="2256"/>
      <c r="O954" s="2256"/>
      <c r="P954" s="2256"/>
      <c r="Q954" s="2256"/>
      <c r="R954" s="2256"/>
      <c r="S954" s="2257"/>
      <c r="T954" s="76" t="s">
        <v>344</v>
      </c>
      <c r="U954" s="77"/>
      <c r="V954" s="77"/>
      <c r="W954" s="77"/>
      <c r="X954" s="77"/>
      <c r="Y954" s="77"/>
      <c r="Z954" s="78"/>
      <c r="AA954" s="2255"/>
      <c r="AB954" s="2256"/>
      <c r="AC954" s="2256"/>
      <c r="AD954" s="2256"/>
      <c r="AE954" s="2256"/>
      <c r="AF954" s="2256"/>
      <c r="AG954" s="22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55"/>
      <c r="N955" s="2256"/>
      <c r="O955" s="2256"/>
      <c r="P955" s="2256"/>
      <c r="Q955" s="2256"/>
      <c r="R955" s="2256"/>
      <c r="S955" s="2257"/>
      <c r="T955" s="76" t="s">
        <v>391</v>
      </c>
      <c r="U955" s="77"/>
      <c r="V955" s="77"/>
      <c r="W955" s="77"/>
      <c r="X955" s="77"/>
      <c r="Y955" s="77"/>
      <c r="Z955" s="78"/>
      <c r="AA955" s="2255"/>
      <c r="AB955" s="2256"/>
      <c r="AC955" s="2256"/>
      <c r="AD955" s="2256"/>
      <c r="AE955" s="2256"/>
      <c r="AF955" s="2256"/>
      <c r="AG955" s="22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71" t="s">
        <v>313</v>
      </c>
      <c r="N956" s="2272"/>
      <c r="O956" s="2272"/>
      <c r="P956" s="2272"/>
      <c r="Q956" s="2272"/>
      <c r="R956" s="2272"/>
      <c r="S956" s="2273"/>
      <c r="T956" s="2249"/>
      <c r="U956" s="2250"/>
      <c r="V956" s="2250"/>
      <c r="W956" s="2250"/>
      <c r="X956" s="2250"/>
      <c r="Y956" s="2250"/>
      <c r="Z956" s="2251"/>
      <c r="AA956" s="2255"/>
      <c r="AB956" s="2256"/>
      <c r="AC956" s="2256"/>
      <c r="AD956" s="2256"/>
      <c r="AE956" s="2256"/>
      <c r="AF956" s="2256"/>
      <c r="AG956" s="22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55"/>
      <c r="N957" s="2256"/>
      <c r="O957" s="2256"/>
      <c r="P957" s="2256"/>
      <c r="Q957" s="2256"/>
      <c r="R957" s="2256"/>
      <c r="S957" s="2257"/>
      <c r="T957" s="2249"/>
      <c r="U957" s="2250"/>
      <c r="V957" s="2250"/>
      <c r="W957" s="2250"/>
      <c r="X957" s="2250"/>
      <c r="Y957" s="2250"/>
      <c r="Z957" s="2251"/>
      <c r="AA957" s="2255"/>
      <c r="AB957" s="2256"/>
      <c r="AC957" s="2256"/>
      <c r="AD957" s="2256"/>
      <c r="AE957" s="2256"/>
      <c r="AF957" s="2256"/>
      <c r="AG957" s="22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25" t="s">
        <v>695</v>
      </c>
      <c r="P958" s="2426"/>
      <c r="Q958" s="139"/>
      <c r="R958" s="139"/>
      <c r="S958" s="140"/>
      <c r="T958" s="71" t="s">
        <v>175</v>
      </c>
      <c r="U958" s="72"/>
      <c r="V958" s="72"/>
      <c r="W958" s="2261" t="s">
        <v>340</v>
      </c>
      <c r="X958" s="2262"/>
      <c r="Y958" s="2262"/>
      <c r="Z958" s="2262"/>
      <c r="AA958" s="2262"/>
      <c r="AB958" s="2262"/>
      <c r="AC958" s="2262"/>
      <c r="AD958" s="2262"/>
      <c r="AE958" s="2262"/>
      <c r="AF958" s="2262"/>
      <c r="AG958" s="226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39" t="s">
        <v>34</v>
      </c>
      <c r="G959" s="2340"/>
      <c r="H959" s="2340"/>
      <c r="I959" s="2340"/>
      <c r="J959" s="2340"/>
      <c r="K959" s="2340"/>
      <c r="L959" s="2340"/>
      <c r="M959" s="2255"/>
      <c r="N959" s="2256"/>
      <c r="O959" s="2256"/>
      <c r="P959" s="2256"/>
      <c r="Q959" s="2256"/>
      <c r="R959" s="2256"/>
      <c r="S959" s="2257"/>
      <c r="T959" s="79"/>
      <c r="U959" s="80"/>
      <c r="V959" s="80"/>
      <c r="W959" s="80"/>
      <c r="X959" s="80"/>
      <c r="Y959" s="80"/>
      <c r="Z959" s="188" t="s">
        <v>139</v>
      </c>
      <c r="AA959" s="2243"/>
      <c r="AB959" s="2244"/>
      <c r="AC959" s="2244"/>
      <c r="AD959" s="2244"/>
      <c r="AE959" s="2244"/>
      <c r="AF959" s="2244"/>
      <c r="AG959" s="224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16" t="s">
        <v>573</v>
      </c>
      <c r="B963" s="2316"/>
      <c r="C963" s="2316"/>
      <c r="D963" s="2316"/>
      <c r="E963" s="2316"/>
      <c r="F963" s="2316"/>
      <c r="G963" s="2316"/>
      <c r="H963" s="2316"/>
      <c r="I963" s="2316"/>
      <c r="J963" s="2316"/>
      <c r="K963" s="2316"/>
      <c r="L963" s="2316"/>
      <c r="M963" s="2316"/>
      <c r="N963" s="2316"/>
      <c r="O963" s="2316"/>
      <c r="P963" s="2316"/>
      <c r="Q963" s="2316"/>
      <c r="R963" s="2316"/>
      <c r="S963" s="2316"/>
      <c r="T963" s="2316"/>
      <c r="U963" s="2316"/>
      <c r="V963" s="2316"/>
      <c r="W963" s="2316"/>
      <c r="X963" s="2316"/>
      <c r="Y963" s="2316"/>
      <c r="Z963" s="2316"/>
      <c r="AA963" s="2316"/>
      <c r="AB963" s="2316"/>
      <c r="AC963" s="2316"/>
      <c r="AD963" s="2316"/>
      <c r="AE963" s="2316"/>
      <c r="AF963" s="2316"/>
      <c r="AG963" s="2316"/>
      <c r="AH963" s="2316"/>
      <c r="AI963" s="2316"/>
      <c r="AJ963" s="2316"/>
      <c r="AK963" s="2316"/>
      <c r="AL963" s="2316"/>
      <c r="AM963" s="2316"/>
      <c r="AN963" s="2316"/>
      <c r="AO963" s="2316"/>
      <c r="AP963" s="2316"/>
      <c r="AQ963" s="2316"/>
      <c r="AR963" s="2316"/>
      <c r="AS963" s="231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16"/>
      <c r="B964" s="2316"/>
      <c r="C964" s="2316"/>
      <c r="D964" s="2316"/>
      <c r="E964" s="2316"/>
      <c r="F964" s="2316"/>
      <c r="G964" s="2316"/>
      <c r="H964" s="2316"/>
      <c r="I964" s="2316"/>
      <c r="J964" s="2316"/>
      <c r="K964" s="2316"/>
      <c r="L964" s="2316"/>
      <c r="M964" s="2316"/>
      <c r="N964" s="2316"/>
      <c r="O964" s="2316"/>
      <c r="P964" s="2316"/>
      <c r="Q964" s="2316"/>
      <c r="R964" s="2316"/>
      <c r="S964" s="2316"/>
      <c r="T964" s="2316"/>
      <c r="U964" s="2316"/>
      <c r="V964" s="2316"/>
      <c r="W964" s="2316"/>
      <c r="X964" s="2316"/>
      <c r="Y964" s="2316"/>
      <c r="Z964" s="2316"/>
      <c r="AA964" s="2316"/>
      <c r="AB964" s="2316"/>
      <c r="AC964" s="2316"/>
      <c r="AD964" s="2316"/>
      <c r="AE964" s="2316"/>
      <c r="AF964" s="2316"/>
      <c r="AG964" s="2316"/>
      <c r="AH964" s="2316"/>
      <c r="AI964" s="2316"/>
      <c r="AJ964" s="2316"/>
      <c r="AK964" s="2316"/>
      <c r="AL964" s="2316"/>
      <c r="AM964" s="2316"/>
      <c r="AN964" s="2316"/>
      <c r="AO964" s="2316"/>
      <c r="AP964" s="2316"/>
      <c r="AQ964" s="2316"/>
      <c r="AR964" s="2316"/>
      <c r="AS964" s="231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90"/>
      <c r="BH965" s="2390"/>
      <c r="BI965" s="2390"/>
      <c r="BJ965" s="2390"/>
      <c r="BK965" s="2390"/>
      <c r="BL965" s="2390"/>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212" t="s">
        <v>664</v>
      </c>
      <c r="E968" s="2213"/>
      <c r="F968" s="2213"/>
      <c r="G968" s="2213"/>
      <c r="H968" s="2213"/>
      <c r="I968" s="2213"/>
      <c r="J968" s="2213"/>
      <c r="K968" s="2213"/>
      <c r="L968" s="2213"/>
      <c r="M968" s="2213"/>
      <c r="N968" s="2213"/>
      <c r="O968" s="2213"/>
      <c r="P968" s="2213"/>
      <c r="Q968" s="2214"/>
      <c r="R968" s="2212" t="s">
        <v>665</v>
      </c>
      <c r="S968" s="2213"/>
      <c r="T968" s="2213"/>
      <c r="U968" s="2213"/>
      <c r="V968" s="2213"/>
      <c r="W968" s="2213"/>
      <c r="X968" s="2213"/>
      <c r="Y968" s="2213"/>
      <c r="Z968" s="2213"/>
      <c r="AA968" s="2214"/>
      <c r="AB968" s="2212" t="s">
        <v>666</v>
      </c>
      <c r="AC968" s="2213"/>
      <c r="AD968" s="2213"/>
      <c r="AE968" s="2213"/>
      <c r="AF968" s="2213"/>
      <c r="AG968" s="2213"/>
      <c r="AH968" s="2213"/>
      <c r="AI968" s="2214"/>
      <c r="AJ968" s="2212" t="s">
        <v>667</v>
      </c>
      <c r="AK968" s="2213"/>
      <c r="AL968" s="2213"/>
      <c r="AM968" s="2213"/>
      <c r="AN968" s="2213"/>
      <c r="AO968" s="2213"/>
      <c r="AP968" s="2213"/>
      <c r="AQ968" s="221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215" t="s">
        <v>659</v>
      </c>
      <c r="E969" s="2216"/>
      <c r="F969" s="2216"/>
      <c r="G969" s="2216"/>
      <c r="H969" s="2216"/>
      <c r="I969" s="2216"/>
      <c r="J969" s="2216"/>
      <c r="K969" s="2216"/>
      <c r="L969" s="2216"/>
      <c r="M969" s="2216"/>
      <c r="N969" s="2216"/>
      <c r="O969" s="2216"/>
      <c r="P969" s="2216"/>
      <c r="Q969" s="2217"/>
      <c r="R969" s="2239">
        <f>IF(ISNA(IF($BN$799="4%",(INDEX($BP$809:$BT$866,MATCH($CB$799,$BO$809:$BO$866,0),MATCH(D969,$BP$808:$BT$808,0))),(INDEX($BW$809:$CA$866,MATCH($CB$799,$BV$809:$BV$866,0),MATCH(D969,$BW$808:$CA$808,0))))),0,IF($BN$799="4%",(INDEX($BP$809:$BT$866,MATCH($CB$799,$BO$809:$BO$866,0),MATCH(D969,$BP$808:$BT$808,0))),(INDEX($BW$809:$CA$866,MATCH($CB$799,$BV$809:$BV$866,0),MATCH(D969,$BW$808:$CA$808,0)))))</f>
        <v>268043</v>
      </c>
      <c r="S969" s="2239"/>
      <c r="T969" s="2239"/>
      <c r="U969" s="2239"/>
      <c r="V969" s="2239"/>
      <c r="W969" s="2239"/>
      <c r="X969" s="2239"/>
      <c r="Y969" s="2239"/>
      <c r="Z969" s="2239"/>
      <c r="AA969" s="2239"/>
      <c r="AB969" s="2136">
        <f>BN663</f>
        <v>0</v>
      </c>
      <c r="AC969" s="2137"/>
      <c r="AD969" s="2137"/>
      <c r="AE969" s="2137"/>
      <c r="AF969" s="2137"/>
      <c r="AG969" s="2137"/>
      <c r="AH969" s="2137"/>
      <c r="AI969" s="2138"/>
      <c r="AJ969" s="2193">
        <f>IF(ISERROR((R969*AB969)),0,(R969*AB969))</f>
        <v>0</v>
      </c>
      <c r="AK969" s="2194"/>
      <c r="AL969" s="2194"/>
      <c r="AM969" s="2194"/>
      <c r="AN969" s="2194"/>
      <c r="AO969" s="2194"/>
      <c r="AP969" s="2194"/>
      <c r="AQ969" s="219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215" t="s">
        <v>331</v>
      </c>
      <c r="E970" s="2216"/>
      <c r="F970" s="2216"/>
      <c r="G970" s="2216"/>
      <c r="H970" s="2216"/>
      <c r="I970" s="2216"/>
      <c r="J970" s="2216"/>
      <c r="K970" s="2216"/>
      <c r="L970" s="2216"/>
      <c r="M970" s="2216"/>
      <c r="N970" s="2216"/>
      <c r="O970" s="2216"/>
      <c r="P970" s="2216"/>
      <c r="Q970" s="2217"/>
      <c r="R970" s="2239">
        <f>IF(ISNA(IF($BN$799="4%",(INDEX($BP$809:$BT$866,MATCH($CB$799,$BO$809:$BO$866,0),MATCH(D970,$BP$808:$BT$808,0))),(INDEX($BW$809:$CA$866,MATCH($CB$799,$BV$809:$BV$866,0),MATCH(D970,$BW$808:$CA$808,0))))),0,IF($BN$799="4%",(INDEX($BP$809:$BT$866,MATCH($CB$799,$BO$809:$BO$866,0),MATCH(D970,$BP$808:$BT$808,0))),(INDEX($BW$809:$CA$866,MATCH($CB$799,$BV$809:$BV$866,0),MATCH(D970,$BW$808:$CA$808,0)))))</f>
        <v>309051</v>
      </c>
      <c r="S970" s="2239"/>
      <c r="T970" s="2239"/>
      <c r="U970" s="2239"/>
      <c r="V970" s="2239"/>
      <c r="W970" s="2239"/>
      <c r="X970" s="2239"/>
      <c r="Y970" s="2239"/>
      <c r="Z970" s="2239"/>
      <c r="AA970" s="2239"/>
      <c r="AB970" s="2136">
        <f>BS663</f>
        <v>63</v>
      </c>
      <c r="AC970" s="2137"/>
      <c r="AD970" s="2137"/>
      <c r="AE970" s="2137"/>
      <c r="AF970" s="2137"/>
      <c r="AG970" s="2137"/>
      <c r="AH970" s="2137"/>
      <c r="AI970" s="2138"/>
      <c r="AJ970" s="2193">
        <f>IF(ISERROR((R970*AB970)),0,(R970*AB970))</f>
        <v>19470213</v>
      </c>
      <c r="AK970" s="2194"/>
      <c r="AL970" s="2194"/>
      <c r="AM970" s="2194"/>
      <c r="AN970" s="2194"/>
      <c r="AO970" s="2194"/>
      <c r="AP970" s="2194"/>
      <c r="AQ970" s="219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215" t="s">
        <v>168</v>
      </c>
      <c r="E971" s="2216"/>
      <c r="F971" s="2216"/>
      <c r="G971" s="2216"/>
      <c r="H971" s="2216"/>
      <c r="I971" s="2216"/>
      <c r="J971" s="2216"/>
      <c r="K971" s="2216"/>
      <c r="L971" s="2216"/>
      <c r="M971" s="2216"/>
      <c r="N971" s="2216"/>
      <c r="O971" s="2216"/>
      <c r="P971" s="2216"/>
      <c r="Q971" s="2217"/>
      <c r="R971" s="2239">
        <f>IF(ISNA(IF($BN$799="4%",(INDEX($BP$809:$BT$866,MATCH($CB$799,$BO$809:$BO$866,0),MATCH(D971,$BP$808:$BT$808,0))),(INDEX($BW$809:$CA$866,MATCH($CB$799,$BV$809:$BV$866,0),MATCH(D971,$BW$808:$CA$808,0))))),0,IF($BN$799="4%",(INDEX($BP$809:$BT$866,MATCH($CB$799,$BO$809:$BO$866,0),MATCH(D971,$BP$808:$BT$808,0))),(INDEX($BW$809:$CA$866,MATCH($CB$799,$BV$809:$BV$866,0),MATCH(D971,$BW$808:$CA$808,0)))))</f>
        <v>372800</v>
      </c>
      <c r="S971" s="2239"/>
      <c r="T971" s="2239"/>
      <c r="U971" s="2239"/>
      <c r="V971" s="2239"/>
      <c r="W971" s="2239"/>
      <c r="X971" s="2239"/>
      <c r="Y971" s="2239"/>
      <c r="Z971" s="2239"/>
      <c r="AA971" s="2239"/>
      <c r="AB971" s="2136">
        <f>BX663</f>
        <v>38</v>
      </c>
      <c r="AC971" s="2137"/>
      <c r="AD971" s="2137"/>
      <c r="AE971" s="2137"/>
      <c r="AF971" s="2137"/>
      <c r="AG971" s="2137"/>
      <c r="AH971" s="2137"/>
      <c r="AI971" s="2138"/>
      <c r="AJ971" s="2193">
        <f>IF(ISERROR((R971*AB971)),0,(R971*AB971))</f>
        <v>14166400</v>
      </c>
      <c r="AK971" s="2194"/>
      <c r="AL971" s="2194"/>
      <c r="AM971" s="2194"/>
      <c r="AN971" s="2194"/>
      <c r="AO971" s="2194"/>
      <c r="AP971" s="2194"/>
      <c r="AQ971" s="219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215" t="s">
        <v>169</v>
      </c>
      <c r="E972" s="2216"/>
      <c r="F972" s="2216"/>
      <c r="G972" s="2216"/>
      <c r="H972" s="2216"/>
      <c r="I972" s="2216"/>
      <c r="J972" s="2216"/>
      <c r="K972" s="2216"/>
      <c r="L972" s="2216"/>
      <c r="M972" s="2216"/>
      <c r="N972" s="2216"/>
      <c r="O972" s="2216"/>
      <c r="P972" s="2216"/>
      <c r="Q972" s="2217"/>
      <c r="R972" s="2239">
        <f>IF(ISNA(IF($BN$799="4%",(INDEX($BP$809:$BT$866,MATCH($CB$799,$BO$809:$BO$866,0),MATCH(D972,$BP$808:$BT$808,0))),(INDEX($BW$809:$CA$866,MATCH($CB$799,$BV$809:$BV$866,0),MATCH(D972,$BW$808:$CA$808,0))))),0,IF($BN$799="4%",(INDEX($BP$809:$BT$866,MATCH($CB$799,$BO$809:$BO$866,0),MATCH(D972,$BP$808:$BT$808,0))),(INDEX($BW$809:$CA$866,MATCH($CB$799,$BV$809:$BV$866,0),MATCH(D972,$BW$808:$CA$808,0)))))</f>
        <v>477184</v>
      </c>
      <c r="S972" s="2239"/>
      <c r="T972" s="2239"/>
      <c r="U972" s="2239"/>
      <c r="V972" s="2239"/>
      <c r="W972" s="2239"/>
      <c r="X972" s="2239"/>
      <c r="Y972" s="2239"/>
      <c r="Z972" s="2239"/>
      <c r="AA972" s="2239"/>
      <c r="AB972" s="2136">
        <f>CC663</f>
        <v>35</v>
      </c>
      <c r="AC972" s="2137"/>
      <c r="AD972" s="2137"/>
      <c r="AE972" s="2137"/>
      <c r="AF972" s="2137"/>
      <c r="AG972" s="2137"/>
      <c r="AH972" s="2137"/>
      <c r="AI972" s="2138"/>
      <c r="AJ972" s="2193">
        <f>IF(ISERROR((R972*AB972)),0,(R972*AB972))</f>
        <v>16701440</v>
      </c>
      <c r="AK972" s="2194"/>
      <c r="AL972" s="2194"/>
      <c r="AM972" s="2194"/>
      <c r="AN972" s="2194"/>
      <c r="AO972" s="2194"/>
      <c r="AP972" s="2194"/>
      <c r="AQ972" s="219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215" t="s">
        <v>485</v>
      </c>
      <c r="E973" s="2216"/>
      <c r="F973" s="2216"/>
      <c r="G973" s="2216"/>
      <c r="H973" s="2216"/>
      <c r="I973" s="2216"/>
      <c r="J973" s="2216"/>
      <c r="K973" s="2216"/>
      <c r="L973" s="2216"/>
      <c r="M973" s="2216"/>
      <c r="N973" s="2216"/>
      <c r="O973" s="2216"/>
      <c r="P973" s="2216"/>
      <c r="Q973" s="2217"/>
      <c r="R973" s="2239">
        <f>IF(ISNA(IF($BN$799="4%",(INDEX($BP$809:$BT$866,MATCH($CB$799,$BO$809:$BO$866,0),MATCH(D973,$BP$808:$BT$808,0))),(INDEX($BW$809:$CA$866,MATCH($CB$799,$BV$809:$BV$866,0),MATCH(D973,$BW$808:$CA$808,0))))),0,IF($BN$799="4%",(INDEX($BP$809:$BT$866,MATCH($CB$799,$BO$809:$BO$866,0),MATCH(D973,$BP$808:$BT$808,0))),(INDEX($BW$809:$CA$866,MATCH($CB$799,$BV$809:$BV$866,0),MATCH(D973,$BW$808:$CA$808,0)))))</f>
        <v>531613</v>
      </c>
      <c r="S973" s="2239"/>
      <c r="T973" s="2239"/>
      <c r="U973" s="2239"/>
      <c r="V973" s="2239"/>
      <c r="W973" s="2239"/>
      <c r="X973" s="2239"/>
      <c r="Y973" s="2239"/>
      <c r="Z973" s="2239"/>
      <c r="AA973" s="2239"/>
      <c r="AB973" s="2136">
        <f>CM663+CH663</f>
        <v>0</v>
      </c>
      <c r="AC973" s="2137"/>
      <c r="AD973" s="2137"/>
      <c r="AE973" s="2137"/>
      <c r="AF973" s="2137"/>
      <c r="AG973" s="2137"/>
      <c r="AH973" s="2137"/>
      <c r="AI973" s="2138"/>
      <c r="AJ973" s="2193">
        <f>IF(ISERROR((R973*AB973)),0,(R973*AB973))</f>
        <v>0</v>
      </c>
      <c r="AK973" s="2194"/>
      <c r="AL973" s="2194"/>
      <c r="AM973" s="2194"/>
      <c r="AN973" s="2194"/>
      <c r="AO973" s="2194"/>
      <c r="AP973" s="2194"/>
      <c r="AQ973" s="219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27" t="s">
        <v>833</v>
      </c>
      <c r="C974" s="2228"/>
      <c r="D974" s="2228"/>
      <c r="E974" s="2228"/>
      <c r="F974" s="2228"/>
      <c r="G974" s="2228"/>
      <c r="H974" s="2228"/>
      <c r="I974" s="2228"/>
      <c r="J974" s="2228"/>
      <c r="K974" s="2228"/>
      <c r="L974" s="2228"/>
      <c r="M974" s="2228"/>
      <c r="N974" s="2228"/>
      <c r="O974" s="2228"/>
      <c r="P974" s="2228"/>
      <c r="Q974" s="2228"/>
      <c r="R974" s="2228"/>
      <c r="S974" s="2228"/>
      <c r="T974" s="2228"/>
      <c r="U974" s="2228"/>
      <c r="V974" s="2228"/>
      <c r="W974" s="2228"/>
      <c r="X974" s="2228"/>
      <c r="Y974" s="2228"/>
      <c r="Z974" s="2228"/>
      <c r="AA974" s="2229"/>
      <c r="AB974" s="2136">
        <f>SUM(AB969:AI973)</f>
        <v>136</v>
      </c>
      <c r="AC974" s="2137"/>
      <c r="AD974" s="2137"/>
      <c r="AE974" s="2137"/>
      <c r="AF974" s="2137"/>
      <c r="AG974" s="2137"/>
      <c r="AH974" s="2137"/>
      <c r="AI974" s="2138"/>
      <c r="AJ974" s="2193"/>
      <c r="AK974" s="2194"/>
      <c r="AL974" s="2194"/>
      <c r="AM974" s="2194"/>
      <c r="AN974" s="2194"/>
      <c r="AO974" s="2194"/>
      <c r="AP974" s="2194"/>
      <c r="AQ974" s="219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90" t="s">
        <v>537</v>
      </c>
      <c r="C975" s="2191"/>
      <c r="D975" s="2191"/>
      <c r="E975" s="2191"/>
      <c r="F975" s="2191"/>
      <c r="G975" s="2191"/>
      <c r="H975" s="2191"/>
      <c r="I975" s="2191"/>
      <c r="J975" s="2191"/>
      <c r="K975" s="2191"/>
      <c r="L975" s="2191"/>
      <c r="M975" s="2191"/>
      <c r="N975" s="2191"/>
      <c r="O975" s="2191"/>
      <c r="P975" s="2191"/>
      <c r="Q975" s="2191"/>
      <c r="R975" s="2191"/>
      <c r="S975" s="2191"/>
      <c r="T975" s="2191"/>
      <c r="U975" s="2191"/>
      <c r="V975" s="2191"/>
      <c r="W975" s="2191"/>
      <c r="X975" s="2191"/>
      <c r="Y975" s="2191"/>
      <c r="Z975" s="2191"/>
      <c r="AA975" s="2191"/>
      <c r="AB975" s="2191"/>
      <c r="AC975" s="2191"/>
      <c r="AD975" s="2191"/>
      <c r="AE975" s="2191"/>
      <c r="AF975" s="2191"/>
      <c r="AG975" s="2191"/>
      <c r="AH975" s="2191"/>
      <c r="AI975" s="2192"/>
      <c r="AJ975" s="2193">
        <f>SUM(AJ969:AQ973)</f>
        <v>50338053</v>
      </c>
      <c r="AK975" s="2194"/>
      <c r="AL975" s="2194"/>
      <c r="AM975" s="2194"/>
      <c r="AN975" s="2194"/>
      <c r="AO975" s="2194"/>
      <c r="AP975" s="2194"/>
      <c r="AQ975" s="219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96"/>
      <c r="C976" s="2197"/>
      <c r="D976" s="2197"/>
      <c r="E976" s="2197"/>
      <c r="F976" s="2197"/>
      <c r="G976" s="2197"/>
      <c r="H976" s="2197"/>
      <c r="I976" s="2197"/>
      <c r="J976" s="2197"/>
      <c r="K976" s="2197"/>
      <c r="L976" s="2197"/>
      <c r="M976" s="2197"/>
      <c r="N976" s="2197"/>
      <c r="O976" s="2197"/>
      <c r="P976" s="2197"/>
      <c r="Q976" s="2197"/>
      <c r="R976" s="2197"/>
      <c r="S976" s="2197"/>
      <c r="T976" s="2197"/>
      <c r="U976" s="2197"/>
      <c r="V976" s="2197"/>
      <c r="W976" s="2197"/>
      <c r="X976" s="2197"/>
      <c r="Y976" s="2197"/>
      <c r="Z976" s="2197"/>
      <c r="AA976" s="2197"/>
      <c r="AB976" s="2197"/>
      <c r="AC976" s="2197"/>
      <c r="AD976" s="2197"/>
      <c r="AE976" s="2198"/>
      <c r="AF976" s="2199" t="s">
        <v>692</v>
      </c>
      <c r="AG976" s="2200"/>
      <c r="AH976" s="2200"/>
      <c r="AI976" s="2201"/>
      <c r="AJ976" s="2196"/>
      <c r="AK976" s="2197"/>
      <c r="AL976" s="2197"/>
      <c r="AM976" s="2197"/>
      <c r="AN976" s="2197"/>
      <c r="AO976" s="2197"/>
      <c r="AP976" s="2197"/>
      <c r="AQ976" s="219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206" t="s">
        <v>1386</v>
      </c>
      <c r="E977" s="2207"/>
      <c r="F977" s="2207"/>
      <c r="G977" s="2207"/>
      <c r="H977" s="2207"/>
      <c r="I977" s="2207"/>
      <c r="J977" s="2207"/>
      <c r="K977" s="2207"/>
      <c r="L977" s="2207"/>
      <c r="M977" s="2207"/>
      <c r="N977" s="2207"/>
      <c r="O977" s="2207"/>
      <c r="P977" s="2207"/>
      <c r="Q977" s="2207"/>
      <c r="R977" s="2207"/>
      <c r="S977" s="2207"/>
      <c r="T977" s="2207"/>
      <c r="U977" s="2207"/>
      <c r="V977" s="2207"/>
      <c r="W977" s="2207"/>
      <c r="X977" s="2207"/>
      <c r="Y977" s="2207"/>
      <c r="Z977" s="2207"/>
      <c r="AA977" s="2207"/>
      <c r="AB977" s="2207"/>
      <c r="AC977" s="2207"/>
      <c r="AD977" s="2207"/>
      <c r="AE977" s="2208"/>
      <c r="AF977" s="117"/>
      <c r="AG977" s="2202" t="s">
        <v>695</v>
      </c>
      <c r="AH977" s="2203"/>
      <c r="AI977" s="125"/>
      <c r="AJ977" s="2145">
        <f>ROUND(IF(AND(AG977="yes",D979&gt;0),AJ975*0.2,0),0)</f>
        <v>0</v>
      </c>
      <c r="AK977" s="2146"/>
      <c r="AL977" s="2146"/>
      <c r="AM977" s="2146"/>
      <c r="AN977" s="2146"/>
      <c r="AO977" s="2146"/>
      <c r="AP977" s="2146"/>
      <c r="AQ977" s="2147"/>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30" t="s">
        <v>1387</v>
      </c>
      <c r="E978" s="2231"/>
      <c r="F978" s="2231"/>
      <c r="G978" s="2231"/>
      <c r="H978" s="2231"/>
      <c r="I978" s="2231"/>
      <c r="J978" s="2231"/>
      <c r="K978" s="2231"/>
      <c r="L978" s="2231"/>
      <c r="M978" s="2231"/>
      <c r="N978" s="2231"/>
      <c r="O978" s="2231"/>
      <c r="P978" s="2231"/>
      <c r="Q978" s="2231"/>
      <c r="R978" s="2231"/>
      <c r="S978" s="2231"/>
      <c r="T978" s="2231"/>
      <c r="U978" s="2231"/>
      <c r="V978" s="2231"/>
      <c r="W978" s="2231"/>
      <c r="X978" s="2231"/>
      <c r="Y978" s="2231"/>
      <c r="Z978" s="2231"/>
      <c r="AA978" s="2231"/>
      <c r="AB978" s="2231"/>
      <c r="AC978" s="2231"/>
      <c r="AD978" s="2231"/>
      <c r="AE978" s="2232"/>
      <c r="AF978" s="110"/>
      <c r="AG978" s="112"/>
      <c r="AH978" s="112"/>
      <c r="AI978" s="121"/>
      <c r="AJ978" s="2148"/>
      <c r="AK978" s="2149"/>
      <c r="AL978" s="2149"/>
      <c r="AM978" s="2149"/>
      <c r="AN978" s="2149"/>
      <c r="AO978" s="2149"/>
      <c r="AP978" s="2149"/>
      <c r="AQ978" s="2150"/>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33"/>
      <c r="E979" s="2234"/>
      <c r="F979" s="2234"/>
      <c r="G979" s="2234"/>
      <c r="H979" s="2234"/>
      <c r="I979" s="2234"/>
      <c r="J979" s="2234"/>
      <c r="K979" s="2234"/>
      <c r="L979" s="2234"/>
      <c r="M979" s="2234"/>
      <c r="N979" s="2234"/>
      <c r="O979" s="2234"/>
      <c r="P979" s="2234"/>
      <c r="Q979" s="2234"/>
      <c r="R979" s="2234"/>
      <c r="S979" s="2234"/>
      <c r="T979" s="2234"/>
      <c r="U979" s="2234"/>
      <c r="V979" s="2234"/>
      <c r="W979" s="2234"/>
      <c r="X979" s="2234"/>
      <c r="Y979" s="2234"/>
      <c r="Z979" s="2234"/>
      <c r="AA979" s="2234"/>
      <c r="AB979" s="2234"/>
      <c r="AC979" s="2234"/>
      <c r="AD979" s="2234"/>
      <c r="AE979" s="2235"/>
      <c r="AF979" s="115"/>
      <c r="AG979" s="11"/>
      <c r="AH979" s="11"/>
      <c r="AI979" s="116"/>
      <c r="AJ979" s="2151"/>
      <c r="AK979" s="2152"/>
      <c r="AL979" s="2152"/>
      <c r="AM979" s="2152"/>
      <c r="AN979" s="2152"/>
      <c r="AO979" s="2152"/>
      <c r="AP979" s="2152"/>
      <c r="AQ979" s="2153"/>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87" t="s">
        <v>1474</v>
      </c>
      <c r="E980" s="2188"/>
      <c r="F980" s="2188"/>
      <c r="G980" s="2188"/>
      <c r="H980" s="2188"/>
      <c r="I980" s="2188"/>
      <c r="J980" s="2188"/>
      <c r="K980" s="2188"/>
      <c r="L980" s="2188"/>
      <c r="M980" s="2188"/>
      <c r="N980" s="2188"/>
      <c r="O980" s="2188"/>
      <c r="P980" s="2188"/>
      <c r="Q980" s="2188"/>
      <c r="R980" s="2188"/>
      <c r="S980" s="2188"/>
      <c r="T980" s="2188"/>
      <c r="U980" s="2188"/>
      <c r="V980" s="2188"/>
      <c r="W980" s="2188"/>
      <c r="X980" s="2188"/>
      <c r="Y980" s="2188"/>
      <c r="Z980" s="2188"/>
      <c r="AA980" s="2188"/>
      <c r="AB980" s="2188"/>
      <c r="AC980" s="2188"/>
      <c r="AD980" s="2188"/>
      <c r="AE980" s="2189"/>
      <c r="AF980" s="117"/>
      <c r="AG980" s="2204" t="s">
        <v>695</v>
      </c>
      <c r="AH980" s="2205"/>
      <c r="AI980" s="125"/>
      <c r="AJ980" s="2145">
        <f>ROUND(IF(AG980="yes",AJ975*0.05,0),0)</f>
        <v>0</v>
      </c>
      <c r="AK980" s="2146"/>
      <c r="AL980" s="2146"/>
      <c r="AM980" s="2146"/>
      <c r="AN980" s="2146"/>
      <c r="AO980" s="2146"/>
      <c r="AP980" s="2146"/>
      <c r="AQ980" s="2147"/>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30" t="s">
        <v>1472</v>
      </c>
      <c r="E981" s="2231"/>
      <c r="F981" s="2231"/>
      <c r="G981" s="2231"/>
      <c r="H981" s="2231"/>
      <c r="I981" s="2231"/>
      <c r="J981" s="2231"/>
      <c r="K981" s="2231"/>
      <c r="L981" s="2231"/>
      <c r="M981" s="2231"/>
      <c r="N981" s="2231"/>
      <c r="O981" s="2231"/>
      <c r="P981" s="2231"/>
      <c r="Q981" s="2231"/>
      <c r="R981" s="2231"/>
      <c r="S981" s="2231"/>
      <c r="T981" s="2231"/>
      <c r="U981" s="2231"/>
      <c r="V981" s="2231"/>
      <c r="W981" s="2231"/>
      <c r="X981" s="2231"/>
      <c r="Y981" s="2231"/>
      <c r="Z981" s="2231"/>
      <c r="AA981" s="2231"/>
      <c r="AB981" s="2231"/>
      <c r="AC981" s="2231"/>
      <c r="AD981" s="2231"/>
      <c r="AE981" s="2232"/>
      <c r="AF981" s="110"/>
      <c r="AG981" s="112"/>
      <c r="AH981" s="112"/>
      <c r="AI981" s="121"/>
      <c r="AJ981" s="2148"/>
      <c r="AK981" s="2149"/>
      <c r="AL981" s="2149"/>
      <c r="AM981" s="2149"/>
      <c r="AN981" s="2149"/>
      <c r="AO981" s="2149"/>
      <c r="AP981" s="2149"/>
      <c r="AQ981" s="2150"/>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30"/>
      <c r="E982" s="2231"/>
      <c r="F982" s="2231"/>
      <c r="G982" s="2231"/>
      <c r="H982" s="2231"/>
      <c r="I982" s="2231"/>
      <c r="J982" s="2231"/>
      <c r="K982" s="2231"/>
      <c r="L982" s="2231"/>
      <c r="M982" s="2231"/>
      <c r="N982" s="2231"/>
      <c r="O982" s="2231"/>
      <c r="P982" s="2231"/>
      <c r="Q982" s="2231"/>
      <c r="R982" s="2231"/>
      <c r="S982" s="2231"/>
      <c r="T982" s="2231"/>
      <c r="U982" s="2231"/>
      <c r="V982" s="2231"/>
      <c r="W982" s="2231"/>
      <c r="X982" s="2231"/>
      <c r="Y982" s="2231"/>
      <c r="Z982" s="2231"/>
      <c r="AA982" s="2231"/>
      <c r="AB982" s="2231"/>
      <c r="AC982" s="2231"/>
      <c r="AD982" s="2231"/>
      <c r="AE982" s="2232"/>
      <c r="AF982" s="110"/>
      <c r="AG982" s="112"/>
      <c r="AH982" s="112"/>
      <c r="AI982" s="121"/>
      <c r="AJ982" s="2148"/>
      <c r="AK982" s="2149"/>
      <c r="AL982" s="2149"/>
      <c r="AM982" s="2149"/>
      <c r="AN982" s="2149"/>
      <c r="AO982" s="2149"/>
      <c r="AP982" s="2149"/>
      <c r="AQ982" s="2150"/>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30"/>
      <c r="E983" s="2231"/>
      <c r="F983" s="2231"/>
      <c r="G983" s="2231"/>
      <c r="H983" s="2231"/>
      <c r="I983" s="2231"/>
      <c r="J983" s="2231"/>
      <c r="K983" s="2231"/>
      <c r="L983" s="2231"/>
      <c r="M983" s="2231"/>
      <c r="N983" s="2231"/>
      <c r="O983" s="2231"/>
      <c r="P983" s="2231"/>
      <c r="Q983" s="2231"/>
      <c r="R983" s="2231"/>
      <c r="S983" s="2231"/>
      <c r="T983" s="2231"/>
      <c r="U983" s="2231"/>
      <c r="V983" s="2231"/>
      <c r="W983" s="2231"/>
      <c r="X983" s="2231"/>
      <c r="Y983" s="2231"/>
      <c r="Z983" s="2231"/>
      <c r="AA983" s="2231"/>
      <c r="AB983" s="2231"/>
      <c r="AC983" s="2231"/>
      <c r="AD983" s="2231"/>
      <c r="AE983" s="2232"/>
      <c r="AF983" s="110"/>
      <c r="AG983" s="112"/>
      <c r="AH983" s="112"/>
      <c r="AI983" s="121"/>
      <c r="AJ983" s="2148"/>
      <c r="AK983" s="2149"/>
      <c r="AL983" s="2149"/>
      <c r="AM983" s="2149"/>
      <c r="AN983" s="2149"/>
      <c r="AO983" s="2149"/>
      <c r="AP983" s="2149"/>
      <c r="AQ983" s="2150"/>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30"/>
      <c r="E984" s="2231"/>
      <c r="F984" s="2231"/>
      <c r="G984" s="2231"/>
      <c r="H984" s="2231"/>
      <c r="I984" s="2231"/>
      <c r="J984" s="2231"/>
      <c r="K984" s="2231"/>
      <c r="L984" s="2231"/>
      <c r="M984" s="2231"/>
      <c r="N984" s="2231"/>
      <c r="O984" s="2231"/>
      <c r="P984" s="2231"/>
      <c r="Q984" s="2231"/>
      <c r="R984" s="2231"/>
      <c r="S984" s="2231"/>
      <c r="T984" s="2231"/>
      <c r="U984" s="2231"/>
      <c r="V984" s="2231"/>
      <c r="W984" s="2231"/>
      <c r="X984" s="2231"/>
      <c r="Y984" s="2231"/>
      <c r="Z984" s="2231"/>
      <c r="AA984" s="2231"/>
      <c r="AB984" s="2231"/>
      <c r="AC984" s="2231"/>
      <c r="AD984" s="2231"/>
      <c r="AE984" s="2232"/>
      <c r="AF984" s="110"/>
      <c r="AG984" s="112"/>
      <c r="AH984" s="112"/>
      <c r="AI984" s="121"/>
      <c r="AJ984" s="2148"/>
      <c r="AK984" s="2149"/>
      <c r="AL984" s="2149"/>
      <c r="AM984" s="2149"/>
      <c r="AN984" s="2149"/>
      <c r="AO984" s="2149"/>
      <c r="AP984" s="2149"/>
      <c r="AQ984" s="2150"/>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36"/>
      <c r="E985" s="2237"/>
      <c r="F985" s="2237"/>
      <c r="G985" s="2237"/>
      <c r="H985" s="2237"/>
      <c r="I985" s="2237"/>
      <c r="J985" s="2237"/>
      <c r="K985" s="2237"/>
      <c r="L985" s="2237"/>
      <c r="M985" s="2237"/>
      <c r="N985" s="2237"/>
      <c r="O985" s="2237"/>
      <c r="P985" s="2237"/>
      <c r="Q985" s="2237"/>
      <c r="R985" s="2237"/>
      <c r="S985" s="2237"/>
      <c r="T985" s="2237"/>
      <c r="U985" s="2237"/>
      <c r="V985" s="2237"/>
      <c r="W985" s="2237"/>
      <c r="X985" s="2237"/>
      <c r="Y985" s="2237"/>
      <c r="Z985" s="2237"/>
      <c r="AA985" s="2237"/>
      <c r="AB985" s="2237"/>
      <c r="AC985" s="2237"/>
      <c r="AD985" s="2237"/>
      <c r="AE985" s="2238"/>
      <c r="AF985" s="115"/>
      <c r="AG985" s="11"/>
      <c r="AH985" s="11"/>
      <c r="AI985" s="116"/>
      <c r="AJ985" s="2151"/>
      <c r="AK985" s="2152"/>
      <c r="AL985" s="2152"/>
      <c r="AM985" s="2152"/>
      <c r="AN985" s="2152"/>
      <c r="AO985" s="2152"/>
      <c r="AP985" s="2152"/>
      <c r="AQ985" s="2153"/>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87" t="s">
        <v>1995</v>
      </c>
      <c r="E986" s="2188"/>
      <c r="F986" s="2188"/>
      <c r="G986" s="2188"/>
      <c r="H986" s="2188"/>
      <c r="I986" s="2188"/>
      <c r="J986" s="2188"/>
      <c r="K986" s="2188"/>
      <c r="L986" s="2188"/>
      <c r="M986" s="2188"/>
      <c r="N986" s="2188"/>
      <c r="O986" s="2188"/>
      <c r="P986" s="2188"/>
      <c r="Q986" s="2188"/>
      <c r="R986" s="2188"/>
      <c r="S986" s="2188"/>
      <c r="T986" s="2188"/>
      <c r="U986" s="2188"/>
      <c r="V986" s="2188"/>
      <c r="W986" s="2188"/>
      <c r="X986" s="2188"/>
      <c r="Y986" s="2188"/>
      <c r="Z986" s="2188"/>
      <c r="AA986" s="2188"/>
      <c r="AB986" s="2188"/>
      <c r="AC986" s="2188"/>
      <c r="AD986" s="2188"/>
      <c r="AE986" s="2189"/>
      <c r="AF986" s="124"/>
      <c r="AG986" s="2204" t="s">
        <v>695</v>
      </c>
      <c r="AH986" s="2205"/>
      <c r="AI986" s="125"/>
      <c r="AJ986" s="2145">
        <f>ROUND(IF(AG986="yes",AJ975*0.1,0),0)</f>
        <v>0</v>
      </c>
      <c r="AK986" s="2146"/>
      <c r="AL986" s="2146"/>
      <c r="AM986" s="2146"/>
      <c r="AN986" s="2146"/>
      <c r="AO986" s="2146"/>
      <c r="AP986" s="2146"/>
      <c r="AQ986" s="2147"/>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81" t="s">
        <v>1473</v>
      </c>
      <c r="E987" s="2182"/>
      <c r="F987" s="2182"/>
      <c r="G987" s="2182"/>
      <c r="H987" s="2182"/>
      <c r="I987" s="2182"/>
      <c r="J987" s="2182"/>
      <c r="K987" s="2182"/>
      <c r="L987" s="2182"/>
      <c r="M987" s="2182"/>
      <c r="N987" s="2182"/>
      <c r="O987" s="2182"/>
      <c r="P987" s="2182"/>
      <c r="Q987" s="2182"/>
      <c r="R987" s="2182"/>
      <c r="S987" s="2182"/>
      <c r="T987" s="2182"/>
      <c r="U987" s="2182"/>
      <c r="V987" s="2182"/>
      <c r="W987" s="2182"/>
      <c r="X987" s="2182"/>
      <c r="Y987" s="2182"/>
      <c r="Z987" s="2182"/>
      <c r="AA987" s="2182"/>
      <c r="AB987" s="2182"/>
      <c r="AC987" s="2182"/>
      <c r="AD987" s="2182"/>
      <c r="AE987" s="2183"/>
      <c r="AF987" s="110"/>
      <c r="AG987" s="25"/>
      <c r="AH987" s="25"/>
      <c r="AI987" s="121"/>
      <c r="AJ987" s="2148"/>
      <c r="AK987" s="2149"/>
      <c r="AL987" s="2149"/>
      <c r="AM987" s="2149"/>
      <c r="AN987" s="2149"/>
      <c r="AO987" s="2149"/>
      <c r="AP987" s="2149"/>
      <c r="AQ987" s="2150"/>
      <c r="AR987" s="1436"/>
      <c r="AS987" s="1436"/>
      <c r="AT987" s="1436"/>
      <c r="AU987" s="1436"/>
      <c r="AV987" s="1436"/>
      <c r="AW987" s="1436"/>
      <c r="AX987" s="1436"/>
      <c r="AY987" s="1436"/>
      <c r="AZ987" s="61"/>
      <c r="BA987" s="1463">
        <f>G753+O796</f>
        <v>135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81"/>
      <c r="E988" s="2182"/>
      <c r="F988" s="2182"/>
      <c r="G988" s="2182"/>
      <c r="H988" s="2182"/>
      <c r="I988" s="2182"/>
      <c r="J988" s="2182"/>
      <c r="K988" s="2182"/>
      <c r="L988" s="2182"/>
      <c r="M988" s="2182"/>
      <c r="N988" s="2182"/>
      <c r="O988" s="2182"/>
      <c r="P988" s="2182"/>
      <c r="Q988" s="2182"/>
      <c r="R988" s="2182"/>
      <c r="S988" s="2182"/>
      <c r="T988" s="2182"/>
      <c r="U988" s="2182"/>
      <c r="V988" s="2182"/>
      <c r="W988" s="2182"/>
      <c r="X988" s="2182"/>
      <c r="Y988" s="2182"/>
      <c r="Z988" s="2182"/>
      <c r="AA988" s="2182"/>
      <c r="AB988" s="2182"/>
      <c r="AC988" s="2182"/>
      <c r="AD988" s="2182"/>
      <c r="AE988" s="2183"/>
      <c r="AF988" s="110"/>
      <c r="AG988" s="112"/>
      <c r="AH988" s="112"/>
      <c r="AI988" s="121"/>
      <c r="AJ988" s="2148"/>
      <c r="AK988" s="2149"/>
      <c r="AL988" s="2149"/>
      <c r="AM988" s="2149"/>
      <c r="AN988" s="2149"/>
      <c r="AO988" s="2149"/>
      <c r="AP988" s="2149"/>
      <c r="AQ988" s="2150"/>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209"/>
      <c r="E989" s="2210"/>
      <c r="F989" s="2210"/>
      <c r="G989" s="2210"/>
      <c r="H989" s="2210"/>
      <c r="I989" s="2210"/>
      <c r="J989" s="2210"/>
      <c r="K989" s="2210"/>
      <c r="L989" s="2210"/>
      <c r="M989" s="2210"/>
      <c r="N989" s="2210"/>
      <c r="O989" s="2210"/>
      <c r="P989" s="2210"/>
      <c r="Q989" s="2210"/>
      <c r="R989" s="2210"/>
      <c r="S989" s="2210"/>
      <c r="T989" s="2210"/>
      <c r="U989" s="2210"/>
      <c r="V989" s="2210"/>
      <c r="W989" s="2210"/>
      <c r="X989" s="2210"/>
      <c r="Y989" s="2210"/>
      <c r="Z989" s="2210"/>
      <c r="AA989" s="2210"/>
      <c r="AB989" s="2210"/>
      <c r="AC989" s="2210"/>
      <c r="AD989" s="2210"/>
      <c r="AE989" s="2211"/>
      <c r="AF989" s="115"/>
      <c r="AG989" s="11"/>
      <c r="AH989" s="11"/>
      <c r="AI989" s="116"/>
      <c r="AJ989" s="2151"/>
      <c r="AK989" s="2152"/>
      <c r="AL989" s="2152"/>
      <c r="AM989" s="2152"/>
      <c r="AN989" s="2152"/>
      <c r="AO989" s="2152"/>
      <c r="AP989" s="2152"/>
      <c r="AQ989" s="2153"/>
      <c r="AR989" s="1436"/>
      <c r="AS989" s="1436"/>
      <c r="AT989" s="1436"/>
      <c r="AU989" s="1436"/>
      <c r="AV989" s="1436"/>
      <c r="AW989" s="1436"/>
      <c r="AX989" s="1436"/>
      <c r="AY989" s="1436"/>
      <c r="AZ989" s="61"/>
      <c r="BA989" s="1462">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87" t="s">
        <v>1475</v>
      </c>
      <c r="E990" s="2188"/>
      <c r="F990" s="2188"/>
      <c r="G990" s="2188"/>
      <c r="H990" s="2188"/>
      <c r="I990" s="2188"/>
      <c r="J990" s="2188"/>
      <c r="K990" s="2188"/>
      <c r="L990" s="2188"/>
      <c r="M990" s="2188"/>
      <c r="N990" s="2188"/>
      <c r="O990" s="2188"/>
      <c r="P990" s="2188"/>
      <c r="Q990" s="2188"/>
      <c r="R990" s="2188"/>
      <c r="S990" s="2188"/>
      <c r="T990" s="2188"/>
      <c r="U990" s="2188"/>
      <c r="V990" s="2188"/>
      <c r="W990" s="2188"/>
      <c r="X990" s="2188"/>
      <c r="Y990" s="2188"/>
      <c r="Z990" s="2188"/>
      <c r="AA990" s="2188"/>
      <c r="AB990" s="2188"/>
      <c r="AC990" s="2188"/>
      <c r="AD990" s="2188"/>
      <c r="AE990" s="2189"/>
      <c r="AF990" s="117"/>
      <c r="AG990" s="2204" t="s">
        <v>695</v>
      </c>
      <c r="AH990" s="2205"/>
      <c r="AI990" s="125"/>
      <c r="AJ990" s="2145">
        <f>ROUND(IF(AG990="yes",AJ975*0.02,0),0)</f>
        <v>0</v>
      </c>
      <c r="AK990" s="2146"/>
      <c r="AL990" s="2146"/>
      <c r="AM990" s="2146"/>
      <c r="AN990" s="2146"/>
      <c r="AO990" s="2146"/>
      <c r="AP990" s="2146"/>
      <c r="AQ990" s="2147"/>
      <c r="AR990" s="1436"/>
      <c r="AS990" s="1436"/>
      <c r="AT990" s="1436"/>
      <c r="AU990" s="1436"/>
      <c r="AV990" s="1436"/>
      <c r="AW990" s="1436"/>
      <c r="AX990" s="1436"/>
      <c r="AY990" s="1436"/>
      <c r="AZ990" s="61"/>
      <c r="BA990" s="1462">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209" t="s">
        <v>1476</v>
      </c>
      <c r="E991" s="2210"/>
      <c r="F991" s="2210"/>
      <c r="G991" s="2210"/>
      <c r="H991" s="2210"/>
      <c r="I991" s="2210"/>
      <c r="J991" s="2210"/>
      <c r="K991" s="2210"/>
      <c r="L991" s="2210"/>
      <c r="M991" s="2210"/>
      <c r="N991" s="2210"/>
      <c r="O991" s="2210"/>
      <c r="P991" s="2210"/>
      <c r="Q991" s="2210"/>
      <c r="R991" s="2210"/>
      <c r="S991" s="2210"/>
      <c r="T991" s="2210"/>
      <c r="U991" s="2210"/>
      <c r="V991" s="2210"/>
      <c r="W991" s="2210"/>
      <c r="X991" s="2210"/>
      <c r="Y991" s="2210"/>
      <c r="Z991" s="2210"/>
      <c r="AA991" s="2210"/>
      <c r="AB991" s="2210"/>
      <c r="AC991" s="2210"/>
      <c r="AD991" s="2210"/>
      <c r="AE991" s="2211"/>
      <c r="AF991" s="115"/>
      <c r="AG991" s="11"/>
      <c r="AH991" s="11"/>
      <c r="AI991" s="116"/>
      <c r="AJ991" s="2151"/>
      <c r="AK991" s="2152"/>
      <c r="AL991" s="2152"/>
      <c r="AM991" s="2152"/>
      <c r="AN991" s="2152"/>
      <c r="AO991" s="2152"/>
      <c r="AP991" s="2152"/>
      <c r="AQ991" s="2153"/>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87" t="s">
        <v>1477</v>
      </c>
      <c r="E992" s="2188"/>
      <c r="F992" s="2188"/>
      <c r="G992" s="2188"/>
      <c r="H992" s="2188"/>
      <c r="I992" s="2188"/>
      <c r="J992" s="2188"/>
      <c r="K992" s="2188"/>
      <c r="L992" s="2188"/>
      <c r="M992" s="2188"/>
      <c r="N992" s="2188"/>
      <c r="O992" s="2188"/>
      <c r="P992" s="2188"/>
      <c r="Q992" s="2188"/>
      <c r="R992" s="2188"/>
      <c r="S992" s="2188"/>
      <c r="T992" s="2188"/>
      <c r="U992" s="2188"/>
      <c r="V992" s="2188"/>
      <c r="W992" s="2188"/>
      <c r="X992" s="2188"/>
      <c r="Y992" s="2188"/>
      <c r="Z992" s="2188"/>
      <c r="AA992" s="2188"/>
      <c r="AB992" s="2188"/>
      <c r="AC992" s="2188"/>
      <c r="AD992" s="2188"/>
      <c r="AE992" s="2189"/>
      <c r="AF992" s="117"/>
      <c r="AG992" s="2204" t="s">
        <v>695</v>
      </c>
      <c r="AH992" s="2205"/>
      <c r="AI992" s="117"/>
      <c r="AJ992" s="2145">
        <f>ROUND(IF(AG992="yes",AJ975*0.02,0),0)</f>
        <v>0</v>
      </c>
      <c r="AK992" s="2146"/>
      <c r="AL992" s="2146"/>
      <c r="AM992" s="2146"/>
      <c r="AN992" s="2146"/>
      <c r="AO992" s="2146"/>
      <c r="AP992" s="2146"/>
      <c r="AQ992" s="2147"/>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81" t="s">
        <v>1478</v>
      </c>
      <c r="E993" s="2182"/>
      <c r="F993" s="2182"/>
      <c r="G993" s="2182"/>
      <c r="H993" s="2182"/>
      <c r="I993" s="2182"/>
      <c r="J993" s="2182"/>
      <c r="K993" s="2182"/>
      <c r="L993" s="2182"/>
      <c r="M993" s="2182"/>
      <c r="N993" s="2182"/>
      <c r="O993" s="2182"/>
      <c r="P993" s="2182"/>
      <c r="Q993" s="2182"/>
      <c r="R993" s="2182"/>
      <c r="S993" s="2182"/>
      <c r="T993" s="2182"/>
      <c r="U993" s="2182"/>
      <c r="V993" s="2182"/>
      <c r="W993" s="2182"/>
      <c r="X993" s="2182"/>
      <c r="Y993" s="2182"/>
      <c r="Z993" s="2182"/>
      <c r="AA993" s="2182"/>
      <c r="AB993" s="2182"/>
      <c r="AC993" s="2182"/>
      <c r="AD993" s="2182"/>
      <c r="AE993" s="2183"/>
      <c r="AF993" s="110"/>
      <c r="AG993" s="25"/>
      <c r="AH993" s="25"/>
      <c r="AI993" s="112"/>
      <c r="AJ993" s="2148"/>
      <c r="AK993" s="2149"/>
      <c r="AL993" s="2149"/>
      <c r="AM993" s="2149"/>
      <c r="AN993" s="2149"/>
      <c r="AO993" s="2149"/>
      <c r="AP993" s="2149"/>
      <c r="AQ993" s="2150"/>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209"/>
      <c r="E994" s="2210"/>
      <c r="F994" s="2210"/>
      <c r="G994" s="2210"/>
      <c r="H994" s="2210"/>
      <c r="I994" s="2210"/>
      <c r="J994" s="2210"/>
      <c r="K994" s="2210"/>
      <c r="L994" s="2210"/>
      <c r="M994" s="2210"/>
      <c r="N994" s="2210"/>
      <c r="O994" s="2210"/>
      <c r="P994" s="2210"/>
      <c r="Q994" s="2210"/>
      <c r="R994" s="2210"/>
      <c r="S994" s="2210"/>
      <c r="T994" s="2210"/>
      <c r="U994" s="2210"/>
      <c r="V994" s="2210"/>
      <c r="W994" s="2210"/>
      <c r="X994" s="2210"/>
      <c r="Y994" s="2210"/>
      <c r="Z994" s="2210"/>
      <c r="AA994" s="2210"/>
      <c r="AB994" s="2210"/>
      <c r="AC994" s="2210"/>
      <c r="AD994" s="2210"/>
      <c r="AE994" s="2211"/>
      <c r="AF994" s="115"/>
      <c r="AG994" s="11"/>
      <c r="AH994" s="11"/>
      <c r="AI994" s="116"/>
      <c r="AJ994" s="2151"/>
      <c r="AK994" s="2152"/>
      <c r="AL994" s="2152"/>
      <c r="AM994" s="2152"/>
      <c r="AN994" s="2152"/>
      <c r="AO994" s="2152"/>
      <c r="AP994" s="2152"/>
      <c r="AQ994" s="2153"/>
      <c r="AR994" s="1436"/>
      <c r="AS994" s="1436"/>
      <c r="AT994" s="1436"/>
      <c r="AU994" s="1436"/>
      <c r="AV994" s="1436"/>
      <c r="AW994" s="1436"/>
      <c r="AX994" s="1436"/>
      <c r="AY994" s="1436"/>
    </row>
    <row r="995" spans="1:96" s="711" customFormat="1" ht="12.75" customHeight="1">
      <c r="A995" s="51"/>
      <c r="B995" s="117"/>
      <c r="C995" s="118" t="s">
        <v>224</v>
      </c>
      <c r="D995" s="2206" t="s">
        <v>1479</v>
      </c>
      <c r="E995" s="2207"/>
      <c r="F995" s="2207"/>
      <c r="G995" s="2207"/>
      <c r="H995" s="2207"/>
      <c r="I995" s="2207"/>
      <c r="J995" s="2207"/>
      <c r="K995" s="2207"/>
      <c r="L995" s="2207"/>
      <c r="M995" s="2207"/>
      <c r="N995" s="2207"/>
      <c r="O995" s="2207"/>
      <c r="P995" s="2207"/>
      <c r="Q995" s="2207"/>
      <c r="R995" s="2207"/>
      <c r="S995" s="2207"/>
      <c r="T995" s="2207"/>
      <c r="U995" s="2207"/>
      <c r="V995" s="2207"/>
      <c r="W995" s="2207"/>
      <c r="X995" s="2207"/>
      <c r="Y995" s="2207"/>
      <c r="Z995" s="2207"/>
      <c r="AA995" s="2207"/>
      <c r="AB995" s="2207"/>
      <c r="AC995" s="2207"/>
      <c r="AD995" s="2207"/>
      <c r="AE995" s="2208"/>
      <c r="AF995" s="117"/>
      <c r="AG995" s="2204" t="s">
        <v>695</v>
      </c>
      <c r="AH995" s="2205"/>
      <c r="AI995" s="125"/>
      <c r="AJ995" s="2145">
        <f>IF(AG995="yes",AJ975*BA995,0)</f>
        <v>0</v>
      </c>
      <c r="AK995" s="2146"/>
      <c r="AL995" s="2146"/>
      <c r="AM995" s="2146"/>
      <c r="AN995" s="2146"/>
      <c r="AO995" s="2146"/>
      <c r="AP995" s="2146"/>
      <c r="AQ995" s="2147"/>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81" t="s">
        <v>1480</v>
      </c>
      <c r="E996" s="2182"/>
      <c r="F996" s="2182"/>
      <c r="G996" s="2182"/>
      <c r="H996" s="2182"/>
      <c r="I996" s="2182"/>
      <c r="J996" s="2182"/>
      <c r="K996" s="2182"/>
      <c r="L996" s="2182"/>
      <c r="M996" s="2182"/>
      <c r="N996" s="2182"/>
      <c r="O996" s="2182"/>
      <c r="P996" s="2182"/>
      <c r="Q996" s="2182"/>
      <c r="R996" s="2182"/>
      <c r="S996" s="2182"/>
      <c r="T996" s="2182"/>
      <c r="U996" s="2182"/>
      <c r="V996" s="2182"/>
      <c r="W996" s="2182"/>
      <c r="X996" s="2182"/>
      <c r="Y996" s="2182"/>
      <c r="Z996" s="2182"/>
      <c r="AA996" s="2182"/>
      <c r="AB996" s="2182"/>
      <c r="AC996" s="2182"/>
      <c r="AD996" s="2182"/>
      <c r="AE996" s="2183"/>
      <c r="AF996" s="110"/>
      <c r="AG996" s="112"/>
      <c r="AH996" s="112"/>
      <c r="AI996" s="121"/>
      <c r="AJ996" s="2148"/>
      <c r="AK996" s="2149"/>
      <c r="AL996" s="2149"/>
      <c r="AM996" s="2149"/>
      <c r="AN996" s="2149"/>
      <c r="AO996" s="2149"/>
      <c r="AP996" s="2149"/>
      <c r="AQ996" s="2150"/>
      <c r="AR996" s="1436"/>
      <c r="AS996" s="1436"/>
      <c r="AT996" s="1436"/>
      <c r="AU996" s="1436"/>
      <c r="AV996" s="1436"/>
      <c r="AW996" s="1436"/>
      <c r="AX996" s="1436"/>
      <c r="AY996" s="1436"/>
    </row>
    <row r="997" spans="1:96" ht="12.75" customHeight="1">
      <c r="A997" s="51"/>
      <c r="B997" s="110"/>
      <c r="C997" s="111"/>
      <c r="D997" s="2181"/>
      <c r="E997" s="2182"/>
      <c r="F997" s="2182"/>
      <c r="G997" s="2182"/>
      <c r="H997" s="2182"/>
      <c r="I997" s="2182"/>
      <c r="J997" s="2182"/>
      <c r="K997" s="2182"/>
      <c r="L997" s="2182"/>
      <c r="M997" s="2182"/>
      <c r="N997" s="2182"/>
      <c r="O997" s="2182"/>
      <c r="P997" s="2182"/>
      <c r="Q997" s="2182"/>
      <c r="R997" s="2182"/>
      <c r="S997" s="2182"/>
      <c r="T997" s="2182"/>
      <c r="U997" s="2182"/>
      <c r="V997" s="2182"/>
      <c r="W997" s="2182"/>
      <c r="X997" s="2182"/>
      <c r="Y997" s="2182"/>
      <c r="Z997" s="2182"/>
      <c r="AA997" s="2182"/>
      <c r="AB997" s="2182"/>
      <c r="AC997" s="2182"/>
      <c r="AD997" s="2182"/>
      <c r="AE997" s="2183"/>
      <c r="AF997" s="110"/>
      <c r="AG997" s="112"/>
      <c r="AH997" s="112"/>
      <c r="AI997" s="121"/>
      <c r="AJ997" s="2148"/>
      <c r="AK997" s="2149"/>
      <c r="AL997" s="2149"/>
      <c r="AM997" s="2149"/>
      <c r="AN997" s="2149"/>
      <c r="AO997" s="2149"/>
      <c r="AP997" s="2149"/>
      <c r="AQ997" s="2150"/>
      <c r="AR997" s="1436"/>
      <c r="AS997" s="1436"/>
      <c r="AT997" s="1436"/>
      <c r="AU997" s="1436"/>
      <c r="AV997" s="1436"/>
      <c r="AW997" s="1436"/>
      <c r="AX997" s="1436"/>
      <c r="AY997" s="1436"/>
      <c r="BA997" s="320">
        <f>IF(A1044="Yes",0.05,0)</f>
        <v>0</v>
      </c>
    </row>
    <row r="998" spans="1:96" ht="15" customHeight="1">
      <c r="A998" s="51"/>
      <c r="B998" s="119"/>
      <c r="C998" s="120"/>
      <c r="D998" s="2209"/>
      <c r="E998" s="2210"/>
      <c r="F998" s="2210"/>
      <c r="G998" s="2210"/>
      <c r="H998" s="2210"/>
      <c r="I998" s="2210"/>
      <c r="J998" s="2210"/>
      <c r="K998" s="2210"/>
      <c r="L998" s="2210"/>
      <c r="M998" s="2210"/>
      <c r="N998" s="2210"/>
      <c r="O998" s="2210"/>
      <c r="P998" s="2210"/>
      <c r="Q998" s="2210"/>
      <c r="R998" s="2210"/>
      <c r="S998" s="2210"/>
      <c r="T998" s="2210"/>
      <c r="U998" s="2210"/>
      <c r="V998" s="2210"/>
      <c r="W998" s="2210"/>
      <c r="X998" s="2210"/>
      <c r="Y998" s="2210"/>
      <c r="Z998" s="2210"/>
      <c r="AA998" s="2210"/>
      <c r="AB998" s="2210"/>
      <c r="AC998" s="2210"/>
      <c r="AD998" s="2210"/>
      <c r="AE998" s="2211"/>
      <c r="AF998" s="115"/>
      <c r="AG998" s="11"/>
      <c r="AH998" s="11"/>
      <c r="AI998" s="116"/>
      <c r="AJ998" s="2151"/>
      <c r="AK998" s="2152"/>
      <c r="AL998" s="2152"/>
      <c r="AM998" s="2152"/>
      <c r="AN998" s="2152"/>
      <c r="AO998" s="2152"/>
      <c r="AP998" s="2152"/>
      <c r="AQ998" s="2153"/>
      <c r="AR998" s="1436"/>
      <c r="AS998" s="1436"/>
      <c r="AT998" s="1436"/>
      <c r="AU998" s="1436"/>
      <c r="AV998" s="1436"/>
      <c r="AW998" s="1436"/>
      <c r="AX998" s="1436"/>
      <c r="AY998" s="1436"/>
      <c r="BA998" s="320">
        <f>IF(A1050="Yes",0.02,0)</f>
        <v>0</v>
      </c>
    </row>
    <row r="999" spans="1:96" s="711" customFormat="1" ht="15" customHeight="1">
      <c r="A999" s="51"/>
      <c r="B999" s="117"/>
      <c r="C999" s="118" t="s">
        <v>229</v>
      </c>
      <c r="D999" s="2175" t="s">
        <v>1481</v>
      </c>
      <c r="E999" s="2176"/>
      <c r="F999" s="2176"/>
      <c r="G999" s="2176"/>
      <c r="H999" s="2176"/>
      <c r="I999" s="2176"/>
      <c r="J999" s="2176"/>
      <c r="K999" s="2176"/>
      <c r="L999" s="2176"/>
      <c r="M999" s="2176"/>
      <c r="N999" s="2176"/>
      <c r="O999" s="2176"/>
      <c r="P999" s="2176"/>
      <c r="Q999" s="2176"/>
      <c r="R999" s="2176"/>
      <c r="S999" s="2176"/>
      <c r="T999" s="2176"/>
      <c r="U999" s="2176"/>
      <c r="V999" s="2176"/>
      <c r="W999" s="2176"/>
      <c r="X999" s="2176"/>
      <c r="Y999" s="2176"/>
      <c r="Z999" s="2176"/>
      <c r="AA999" s="2176"/>
      <c r="AB999" s="2176"/>
      <c r="AC999" s="2176"/>
      <c r="AD999" s="2176"/>
      <c r="AE999" s="2177"/>
      <c r="AF999" s="117"/>
      <c r="AG999" s="2204" t="s">
        <v>695</v>
      </c>
      <c r="AH999" s="2205"/>
      <c r="AI999" s="125"/>
      <c r="AJ999" s="2154"/>
      <c r="AK999" s="2155"/>
      <c r="AL999" s="2155"/>
      <c r="AM999" s="2155"/>
      <c r="AN999" s="2155"/>
      <c r="AO999" s="2155"/>
      <c r="AP999" s="2155"/>
      <c r="AQ999" s="2156"/>
      <c r="AR999" s="1436"/>
      <c r="AS999" s="1436"/>
      <c r="AT999" s="1436"/>
      <c r="AU999" s="1436"/>
      <c r="AV999" s="1436"/>
      <c r="AW999" s="1436"/>
      <c r="AX999" s="1436"/>
      <c r="AY999" s="1436"/>
      <c r="BA999" s="320">
        <f>IF(A1056="Yes",0.04,0)</f>
        <v>0</v>
      </c>
      <c r="CR999" s="25"/>
    </row>
    <row r="1000" spans="1:96" ht="12.75">
      <c r="A1000" s="51"/>
      <c r="B1000" s="119"/>
      <c r="C1000" s="122"/>
      <c r="D1000" s="2178"/>
      <c r="E1000" s="2179"/>
      <c r="F1000" s="2179"/>
      <c r="G1000" s="2179"/>
      <c r="H1000" s="2179"/>
      <c r="I1000" s="2179"/>
      <c r="J1000" s="2179"/>
      <c r="K1000" s="2179"/>
      <c r="L1000" s="2179"/>
      <c r="M1000" s="2179"/>
      <c r="N1000" s="2179"/>
      <c r="O1000" s="2179"/>
      <c r="P1000" s="2179"/>
      <c r="Q1000" s="2179"/>
      <c r="R1000" s="2179"/>
      <c r="S1000" s="2179"/>
      <c r="T1000" s="2179"/>
      <c r="U1000" s="2179"/>
      <c r="V1000" s="2179"/>
      <c r="W1000" s="2179"/>
      <c r="X1000" s="2179"/>
      <c r="Y1000" s="2179"/>
      <c r="Z1000" s="2179"/>
      <c r="AA1000" s="2179"/>
      <c r="AB1000" s="2179"/>
      <c r="AC1000" s="2179"/>
      <c r="AD1000" s="2179"/>
      <c r="AE1000" s="2180"/>
      <c r="AF1000" s="2163">
        <f>IF(AG999="yes","Please Select Type and Enter Amount:",0)</f>
        <v>0</v>
      </c>
      <c r="AG1000" s="2164"/>
      <c r="AH1000" s="2164"/>
      <c r="AI1000" s="2165"/>
      <c r="AJ1000" s="2157"/>
      <c r="AK1000" s="2158"/>
      <c r="AL1000" s="2158"/>
      <c r="AM1000" s="2158"/>
      <c r="AN1000" s="2158"/>
      <c r="AO1000" s="2158"/>
      <c r="AP1000" s="2158"/>
      <c r="AQ1000" s="2159"/>
      <c r="AR1000" s="1436"/>
      <c r="AS1000" s="1436"/>
      <c r="AT1000" s="1436"/>
      <c r="AU1000" s="1436"/>
      <c r="AV1000" s="1436"/>
      <c r="AW1000" s="1436"/>
      <c r="AX1000" s="1436"/>
      <c r="AY1000" s="1436"/>
      <c r="BA1000" s="320">
        <f>IF(A1063="Yes",0.04,0)</f>
        <v>0</v>
      </c>
    </row>
    <row r="1001" spans="1:96" ht="12.75" customHeight="1">
      <c r="A1001" s="51"/>
      <c r="B1001" s="119"/>
      <c r="C1001" s="122"/>
      <c r="D1001" s="2181" t="s">
        <v>1482</v>
      </c>
      <c r="E1001" s="2182"/>
      <c r="F1001" s="2182"/>
      <c r="G1001" s="2182"/>
      <c r="H1001" s="2182"/>
      <c r="I1001" s="2182"/>
      <c r="J1001" s="2182"/>
      <c r="K1001" s="2182"/>
      <c r="L1001" s="2182"/>
      <c r="M1001" s="2182"/>
      <c r="N1001" s="2182"/>
      <c r="O1001" s="2182"/>
      <c r="P1001" s="2182"/>
      <c r="Q1001" s="2182"/>
      <c r="R1001" s="2182"/>
      <c r="S1001" s="2182"/>
      <c r="T1001" s="2182"/>
      <c r="U1001" s="2182"/>
      <c r="V1001" s="2182"/>
      <c r="W1001" s="2182"/>
      <c r="X1001" s="2182"/>
      <c r="Y1001" s="2182"/>
      <c r="Z1001" s="2182"/>
      <c r="AA1001" s="2182"/>
      <c r="AB1001" s="2182"/>
      <c r="AC1001" s="2182"/>
      <c r="AD1001" s="2182"/>
      <c r="AE1001" s="2183"/>
      <c r="AF1001" s="2163"/>
      <c r="AG1001" s="2164"/>
      <c r="AH1001" s="2164"/>
      <c r="AI1001" s="2165"/>
      <c r="AJ1001" s="2157"/>
      <c r="AK1001" s="2158"/>
      <c r="AL1001" s="2158"/>
      <c r="AM1001" s="2158"/>
      <c r="AN1001" s="2158"/>
      <c r="AO1001" s="2158"/>
      <c r="AP1001" s="2158"/>
      <c r="AQ1001" s="2159"/>
      <c r="AR1001" s="1436"/>
      <c r="AS1001" s="1436"/>
      <c r="AT1001" s="1436"/>
      <c r="AU1001" s="1436"/>
      <c r="AV1001" s="1436"/>
      <c r="AW1001" s="1436"/>
      <c r="AX1001" s="1436"/>
      <c r="AY1001" s="1436"/>
      <c r="BA1001" s="320">
        <f>IF(A1066="Yes",0.01,0)</f>
        <v>0</v>
      </c>
    </row>
    <row r="1002" spans="1:96" ht="12.75" customHeight="1">
      <c r="A1002" s="51"/>
      <c r="B1002" s="119"/>
      <c r="C1002" s="122"/>
      <c r="D1002" s="2181"/>
      <c r="E1002" s="2182"/>
      <c r="F1002" s="2182"/>
      <c r="G1002" s="2182"/>
      <c r="H1002" s="2182"/>
      <c r="I1002" s="2182"/>
      <c r="J1002" s="2182"/>
      <c r="K1002" s="2182"/>
      <c r="L1002" s="2182"/>
      <c r="M1002" s="2182"/>
      <c r="N1002" s="2182"/>
      <c r="O1002" s="2182"/>
      <c r="P1002" s="2182"/>
      <c r="Q1002" s="2182"/>
      <c r="R1002" s="2182"/>
      <c r="S1002" s="2182"/>
      <c r="T1002" s="2182"/>
      <c r="U1002" s="2182"/>
      <c r="V1002" s="2182"/>
      <c r="W1002" s="2182"/>
      <c r="X1002" s="2182"/>
      <c r="Y1002" s="2182"/>
      <c r="Z1002" s="2182"/>
      <c r="AA1002" s="2182"/>
      <c r="AB1002" s="2182"/>
      <c r="AC1002" s="2182"/>
      <c r="AD1002" s="2182"/>
      <c r="AE1002" s="2183"/>
      <c r="AF1002" s="2163"/>
      <c r="AG1002" s="2164"/>
      <c r="AH1002" s="2164"/>
      <c r="AI1002" s="2165"/>
      <c r="AJ1002" s="2157"/>
      <c r="AK1002" s="2158"/>
      <c r="AL1002" s="2158"/>
      <c r="AM1002" s="2158"/>
      <c r="AN1002" s="2158"/>
      <c r="AO1002" s="2158"/>
      <c r="AP1002" s="2158"/>
      <c r="AQ1002" s="2159"/>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84" t="s">
        <v>617</v>
      </c>
      <c r="K1003" s="2185"/>
      <c r="L1003" s="2185"/>
      <c r="M1003" s="2185"/>
      <c r="N1003" s="2185"/>
      <c r="O1003" s="2185"/>
      <c r="P1003" s="2185"/>
      <c r="Q1003" s="2185"/>
      <c r="R1003" s="2185"/>
      <c r="S1003" s="2185"/>
      <c r="T1003" s="2185"/>
      <c r="U1003" s="2185"/>
      <c r="V1003" s="2185"/>
      <c r="W1003" s="2185"/>
      <c r="X1003" s="2185"/>
      <c r="Y1003" s="2185"/>
      <c r="Z1003" s="2185"/>
      <c r="AA1003" s="2185"/>
      <c r="AB1003" s="2185"/>
      <c r="AC1003" s="2185"/>
      <c r="AD1003" s="2185"/>
      <c r="AE1003" s="2186"/>
      <c r="AF1003" s="2166"/>
      <c r="AG1003" s="2167"/>
      <c r="AH1003" s="2167"/>
      <c r="AI1003" s="2168"/>
      <c r="AJ1003" s="2160"/>
      <c r="AK1003" s="2161"/>
      <c r="AL1003" s="2161"/>
      <c r="AM1003" s="2161"/>
      <c r="AN1003" s="2161"/>
      <c r="AO1003" s="2161"/>
      <c r="AP1003" s="2161"/>
      <c r="AQ1003" s="2162"/>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87" t="s">
        <v>1483</v>
      </c>
      <c r="E1004" s="2188"/>
      <c r="F1004" s="2188"/>
      <c r="G1004" s="2188"/>
      <c r="H1004" s="2188"/>
      <c r="I1004" s="2188"/>
      <c r="J1004" s="2188"/>
      <c r="K1004" s="2188"/>
      <c r="L1004" s="2188"/>
      <c r="M1004" s="2188"/>
      <c r="N1004" s="2188"/>
      <c r="O1004" s="2188"/>
      <c r="P1004" s="2188"/>
      <c r="Q1004" s="2188"/>
      <c r="R1004" s="2188"/>
      <c r="S1004" s="2188"/>
      <c r="T1004" s="2188"/>
      <c r="U1004" s="2188"/>
      <c r="V1004" s="2188"/>
      <c r="W1004" s="2188"/>
      <c r="X1004" s="2188"/>
      <c r="Y1004" s="2188"/>
      <c r="Z1004" s="2188"/>
      <c r="AA1004" s="2188"/>
      <c r="AB1004" s="2188"/>
      <c r="AC1004" s="2188"/>
      <c r="AD1004" s="2188"/>
      <c r="AE1004" s="2189"/>
      <c r="AF1004" s="117"/>
      <c r="AG1004" s="2204" t="s">
        <v>570</v>
      </c>
      <c r="AH1004" s="2205"/>
      <c r="AI1004" s="125"/>
      <c r="AJ1004" s="2154">
        <f>+'[10]S&amp;U Qtr'!$W$161</f>
        <v>2633555</v>
      </c>
      <c r="AK1004" s="2155"/>
      <c r="AL1004" s="2155"/>
      <c r="AM1004" s="2155"/>
      <c r="AN1004" s="2155"/>
      <c r="AO1004" s="2155"/>
      <c r="AP1004" s="2155"/>
      <c r="AQ1004" s="2156"/>
      <c r="AR1004" s="1436"/>
      <c r="AS1004" s="1436"/>
      <c r="AT1004" s="1436"/>
      <c r="AU1004" s="1436"/>
      <c r="AV1004" s="1436"/>
      <c r="AW1004" s="1436"/>
      <c r="AX1004" s="1436"/>
      <c r="AY1004" s="1436"/>
      <c r="BA1004" s="320">
        <f>IF(A1078="Yes",0.02,0)</f>
        <v>0</v>
      </c>
    </row>
    <row r="1005" spans="1:96" ht="12.75" customHeight="1">
      <c r="A1005" s="51"/>
      <c r="B1005" s="110"/>
      <c r="C1005" s="111"/>
      <c r="D1005" s="2181" t="s">
        <v>2002</v>
      </c>
      <c r="E1005" s="2182"/>
      <c r="F1005" s="2182"/>
      <c r="G1005" s="2182"/>
      <c r="H1005" s="2182"/>
      <c r="I1005" s="2182"/>
      <c r="J1005" s="2182"/>
      <c r="K1005" s="2182"/>
      <c r="L1005" s="2182"/>
      <c r="M1005" s="2182"/>
      <c r="N1005" s="2182"/>
      <c r="O1005" s="2182"/>
      <c r="P1005" s="2182"/>
      <c r="Q1005" s="2182"/>
      <c r="R1005" s="2182"/>
      <c r="S1005" s="2182"/>
      <c r="T1005" s="2182"/>
      <c r="U1005" s="2182"/>
      <c r="V1005" s="2182"/>
      <c r="W1005" s="2182"/>
      <c r="X1005" s="2182"/>
      <c r="Y1005" s="2182"/>
      <c r="Z1005" s="2182"/>
      <c r="AA1005" s="2182"/>
      <c r="AB1005" s="2182"/>
      <c r="AC1005" s="2182"/>
      <c r="AD1005" s="2182"/>
      <c r="AE1005" s="2183"/>
      <c r="AF1005" s="2169" t="str">
        <f>IF(AG1004="yes","Please Enter Amount:",0)</f>
        <v>Please Enter Amount:</v>
      </c>
      <c r="AG1005" s="2170"/>
      <c r="AH1005" s="2170"/>
      <c r="AI1005" s="2171"/>
      <c r="AJ1005" s="2157"/>
      <c r="AK1005" s="2158"/>
      <c r="AL1005" s="2158"/>
      <c r="AM1005" s="2158"/>
      <c r="AN1005" s="2158"/>
      <c r="AO1005" s="2158"/>
      <c r="AP1005" s="2158"/>
      <c r="AQ1005" s="2159"/>
      <c r="AR1005" s="1436"/>
      <c r="AS1005" s="1436"/>
      <c r="AT1005" s="1436"/>
      <c r="AU1005" s="1436"/>
      <c r="AV1005" s="1436"/>
      <c r="AW1005" s="1436"/>
      <c r="AX1005" s="1436"/>
      <c r="AY1005" s="1436"/>
      <c r="BA1005" s="321">
        <f>IF(A1082="Yes",0.02,0)</f>
        <v>0</v>
      </c>
    </row>
    <row r="1006" spans="1:96" ht="12.75" customHeight="1">
      <c r="A1006" s="51"/>
      <c r="B1006" s="110"/>
      <c r="C1006" s="111"/>
      <c r="D1006" s="2181"/>
      <c r="E1006" s="2182"/>
      <c r="F1006" s="2182"/>
      <c r="G1006" s="2182"/>
      <c r="H1006" s="2182"/>
      <c r="I1006" s="2182"/>
      <c r="J1006" s="2182"/>
      <c r="K1006" s="2182"/>
      <c r="L1006" s="2182"/>
      <c r="M1006" s="2182"/>
      <c r="N1006" s="2182"/>
      <c r="O1006" s="2182"/>
      <c r="P1006" s="2182"/>
      <c r="Q1006" s="2182"/>
      <c r="R1006" s="2182"/>
      <c r="S1006" s="2182"/>
      <c r="T1006" s="2182"/>
      <c r="U1006" s="2182"/>
      <c r="V1006" s="2182"/>
      <c r="W1006" s="2182"/>
      <c r="X1006" s="2182"/>
      <c r="Y1006" s="2182"/>
      <c r="Z1006" s="2182"/>
      <c r="AA1006" s="2182"/>
      <c r="AB1006" s="2182"/>
      <c r="AC1006" s="2182"/>
      <c r="AD1006" s="2182"/>
      <c r="AE1006" s="2183"/>
      <c r="AF1006" s="2169"/>
      <c r="AG1006" s="2170"/>
      <c r="AH1006" s="2170"/>
      <c r="AI1006" s="2171"/>
      <c r="AJ1006" s="2157"/>
      <c r="AK1006" s="2158"/>
      <c r="AL1006" s="2158"/>
      <c r="AM1006" s="2158"/>
      <c r="AN1006" s="2158"/>
      <c r="AO1006" s="2158"/>
      <c r="AP1006" s="2158"/>
      <c r="AQ1006" s="2159"/>
      <c r="AR1006" s="1436"/>
      <c r="AS1006" s="1436"/>
      <c r="AT1006" s="1436"/>
      <c r="AU1006" s="1436"/>
      <c r="AV1006" s="1436"/>
      <c r="AW1006" s="1436"/>
      <c r="AX1006" s="1436"/>
      <c r="AY1006" s="1436"/>
    </row>
    <row r="1007" spans="1:96" ht="12.75" customHeight="1">
      <c r="A1007" s="51"/>
      <c r="B1007" s="123"/>
      <c r="C1007" s="122"/>
      <c r="D1007" s="2209"/>
      <c r="E1007" s="2210"/>
      <c r="F1007" s="2210"/>
      <c r="G1007" s="2210"/>
      <c r="H1007" s="2210"/>
      <c r="I1007" s="2210"/>
      <c r="J1007" s="2210"/>
      <c r="K1007" s="2210"/>
      <c r="L1007" s="2210"/>
      <c r="M1007" s="2210"/>
      <c r="N1007" s="2210"/>
      <c r="O1007" s="2210"/>
      <c r="P1007" s="2210"/>
      <c r="Q1007" s="2210"/>
      <c r="R1007" s="2210"/>
      <c r="S1007" s="2210"/>
      <c r="T1007" s="2210"/>
      <c r="U1007" s="2210"/>
      <c r="V1007" s="2210"/>
      <c r="W1007" s="2210"/>
      <c r="X1007" s="2210"/>
      <c r="Y1007" s="2210"/>
      <c r="Z1007" s="2210"/>
      <c r="AA1007" s="2210"/>
      <c r="AB1007" s="2210"/>
      <c r="AC1007" s="2210"/>
      <c r="AD1007" s="2210"/>
      <c r="AE1007" s="2211"/>
      <c r="AF1007" s="2172"/>
      <c r="AG1007" s="2173"/>
      <c r="AH1007" s="2173"/>
      <c r="AI1007" s="2174"/>
      <c r="AJ1007" s="2160"/>
      <c r="AK1007" s="2161"/>
      <c r="AL1007" s="2161"/>
      <c r="AM1007" s="2161"/>
      <c r="AN1007" s="2161"/>
      <c r="AO1007" s="2161"/>
      <c r="AP1007" s="2161"/>
      <c r="AQ1007" s="2162"/>
      <c r="AR1007" s="1436"/>
      <c r="AS1007" s="1436"/>
      <c r="AT1007" s="1436"/>
      <c r="AU1007" s="1436"/>
      <c r="AV1007" s="1436"/>
      <c r="AW1007" s="1436"/>
      <c r="AX1007" s="1436"/>
      <c r="AY1007" s="1436"/>
    </row>
    <row r="1008" spans="1:96" s="711" customFormat="1" ht="12.75" customHeight="1">
      <c r="A1008" s="51"/>
      <c r="B1008" s="117"/>
      <c r="C1008" s="118" t="s">
        <v>240</v>
      </c>
      <c r="D1008" s="2206" t="s">
        <v>1484</v>
      </c>
      <c r="E1008" s="2207"/>
      <c r="F1008" s="2207"/>
      <c r="G1008" s="2207"/>
      <c r="H1008" s="2207"/>
      <c r="I1008" s="2207"/>
      <c r="J1008" s="2207"/>
      <c r="K1008" s="2207"/>
      <c r="L1008" s="2207"/>
      <c r="M1008" s="2207"/>
      <c r="N1008" s="2207"/>
      <c r="O1008" s="2207"/>
      <c r="P1008" s="2207"/>
      <c r="Q1008" s="2207"/>
      <c r="R1008" s="2207"/>
      <c r="S1008" s="2207"/>
      <c r="T1008" s="2207"/>
      <c r="U1008" s="2207"/>
      <c r="V1008" s="2207"/>
      <c r="W1008" s="2207"/>
      <c r="X1008" s="2207"/>
      <c r="Y1008" s="2207"/>
      <c r="Z1008" s="2207"/>
      <c r="AA1008" s="2207"/>
      <c r="AB1008" s="2207"/>
      <c r="AC1008" s="2207"/>
      <c r="AD1008" s="2207"/>
      <c r="AE1008" s="2208"/>
      <c r="AF1008" s="117"/>
      <c r="AG1008" s="2204" t="s">
        <v>570</v>
      </c>
      <c r="AH1008" s="2205"/>
      <c r="AI1008" s="125"/>
      <c r="AJ1008" s="2145">
        <f>ROUND(IF(AG1008="yes",(AJ975*0.1),0),0)</f>
        <v>5033805</v>
      </c>
      <c r="AK1008" s="2146"/>
      <c r="AL1008" s="2146"/>
      <c r="AM1008" s="2146"/>
      <c r="AN1008" s="2146"/>
      <c r="AO1008" s="2146"/>
      <c r="AP1008" s="2146"/>
      <c r="AQ1008" s="2147"/>
      <c r="AR1008" s="1436"/>
      <c r="AS1008" s="1436"/>
      <c r="AT1008" s="1436"/>
      <c r="AU1008" s="1436"/>
      <c r="AV1008" s="1436"/>
      <c r="AW1008" s="1436"/>
      <c r="AX1008" s="1436"/>
      <c r="AY1008" s="1436"/>
      <c r="CR1008" s="25"/>
    </row>
    <row r="1009" spans="1:96" ht="12.75" customHeight="1">
      <c r="A1009" s="51"/>
      <c r="B1009" s="110"/>
      <c r="C1009" s="111"/>
      <c r="D1009" s="2181" t="s">
        <v>1485</v>
      </c>
      <c r="E1009" s="2182"/>
      <c r="F1009" s="2182"/>
      <c r="G1009" s="2182"/>
      <c r="H1009" s="2182"/>
      <c r="I1009" s="2182"/>
      <c r="J1009" s="2182"/>
      <c r="K1009" s="2182"/>
      <c r="L1009" s="2182"/>
      <c r="M1009" s="2182"/>
      <c r="N1009" s="2182"/>
      <c r="O1009" s="2182"/>
      <c r="P1009" s="2182"/>
      <c r="Q1009" s="2182"/>
      <c r="R1009" s="2182"/>
      <c r="S1009" s="2182"/>
      <c r="T1009" s="2182"/>
      <c r="U1009" s="2182"/>
      <c r="V1009" s="2182"/>
      <c r="W1009" s="2182"/>
      <c r="X1009" s="2182"/>
      <c r="Y1009" s="2182"/>
      <c r="Z1009" s="2182"/>
      <c r="AA1009" s="2182"/>
      <c r="AB1009" s="2182"/>
      <c r="AC1009" s="2182"/>
      <c r="AD1009" s="2182"/>
      <c r="AE1009" s="2183"/>
      <c r="AF1009" s="110"/>
      <c r="AG1009" s="112"/>
      <c r="AH1009" s="112"/>
      <c r="AI1009" s="121"/>
      <c r="AJ1009" s="2148"/>
      <c r="AK1009" s="2149"/>
      <c r="AL1009" s="2149"/>
      <c r="AM1009" s="2149"/>
      <c r="AN1009" s="2149"/>
      <c r="AO1009" s="2149"/>
      <c r="AP1009" s="2149"/>
      <c r="AQ1009" s="2150"/>
      <c r="AR1009" s="1436"/>
      <c r="AS1009" s="1436"/>
      <c r="AT1009" s="1436"/>
      <c r="AU1009" s="1436"/>
      <c r="AV1009" s="1436"/>
      <c r="AW1009" s="1436"/>
      <c r="AX1009" s="1436"/>
      <c r="AY1009" s="1436"/>
    </row>
    <row r="1010" spans="1:96" ht="12.75" customHeight="1">
      <c r="A1010" s="51"/>
      <c r="B1010" s="115"/>
      <c r="C1010" s="111"/>
      <c r="D1010" s="2209"/>
      <c r="E1010" s="2210"/>
      <c r="F1010" s="2210"/>
      <c r="G1010" s="2210"/>
      <c r="H1010" s="2210"/>
      <c r="I1010" s="2210"/>
      <c r="J1010" s="2210"/>
      <c r="K1010" s="2210"/>
      <c r="L1010" s="2210"/>
      <c r="M1010" s="2210"/>
      <c r="N1010" s="2210"/>
      <c r="O1010" s="2210"/>
      <c r="P1010" s="2210"/>
      <c r="Q1010" s="2210"/>
      <c r="R1010" s="2210"/>
      <c r="S1010" s="2210"/>
      <c r="T1010" s="2210"/>
      <c r="U1010" s="2210"/>
      <c r="V1010" s="2210"/>
      <c r="W1010" s="2210"/>
      <c r="X1010" s="2210"/>
      <c r="Y1010" s="2210"/>
      <c r="Z1010" s="2210"/>
      <c r="AA1010" s="2210"/>
      <c r="AB1010" s="2210"/>
      <c r="AC1010" s="2210"/>
      <c r="AD1010" s="2210"/>
      <c r="AE1010" s="2211"/>
      <c r="AF1010" s="110"/>
      <c r="AG1010" s="112"/>
      <c r="AH1010" s="112"/>
      <c r="AI1010" s="121"/>
      <c r="AJ1010" s="2151"/>
      <c r="AK1010" s="2152"/>
      <c r="AL1010" s="2152"/>
      <c r="AM1010" s="2152"/>
      <c r="AN1010" s="2152"/>
      <c r="AO1010" s="2152"/>
      <c r="AP1010" s="2152"/>
      <c r="AQ1010" s="2153"/>
      <c r="AR1010" s="1436"/>
      <c r="AS1010" s="1436"/>
      <c r="AT1010" s="1436"/>
      <c r="AU1010" s="1436"/>
      <c r="AV1010" s="1436"/>
      <c r="AW1010" s="1436"/>
      <c r="AX1010" s="1436"/>
      <c r="AY1010" s="1436"/>
    </row>
    <row r="1011" spans="1:96" s="711" customFormat="1" ht="12.75" customHeight="1">
      <c r="A1011" s="51"/>
      <c r="B1011" s="110"/>
      <c r="C1011" s="524" t="s">
        <v>714</v>
      </c>
      <c r="D1011" s="2187" t="s">
        <v>1998</v>
      </c>
      <c r="E1011" s="2188"/>
      <c r="F1011" s="2188"/>
      <c r="G1011" s="2188"/>
      <c r="H1011" s="2188"/>
      <c r="I1011" s="2188"/>
      <c r="J1011" s="2188"/>
      <c r="K1011" s="2188"/>
      <c r="L1011" s="2188"/>
      <c r="M1011" s="2188"/>
      <c r="N1011" s="2188"/>
      <c r="O1011" s="2188"/>
      <c r="P1011" s="2188"/>
      <c r="Q1011" s="2188"/>
      <c r="R1011" s="2188"/>
      <c r="S1011" s="2188"/>
      <c r="T1011" s="2188"/>
      <c r="U1011" s="2188"/>
      <c r="V1011" s="2188"/>
      <c r="W1011" s="2188"/>
      <c r="X1011" s="2188"/>
      <c r="Y1011" s="2188"/>
      <c r="Z1011" s="2188"/>
      <c r="AA1011" s="2188"/>
      <c r="AB1011" s="2188"/>
      <c r="AC1011" s="2188"/>
      <c r="AD1011" s="2188"/>
      <c r="AE1011" s="2189"/>
      <c r="AF1011" s="117"/>
      <c r="AG1011" s="2204" t="s">
        <v>695</v>
      </c>
      <c r="AH1011" s="2205"/>
      <c r="AI1011" s="125"/>
      <c r="AJ1011" s="2145">
        <f>ROUND(IF(AG1011="yes",(AJ975*0.15),0),0)</f>
        <v>0</v>
      </c>
      <c r="AK1011" s="2146"/>
      <c r="AL1011" s="2146"/>
      <c r="AM1011" s="2146"/>
      <c r="AN1011" s="2146"/>
      <c r="AO1011" s="2146"/>
      <c r="AP1011" s="2146"/>
      <c r="AQ1011" s="2147"/>
      <c r="AR1011" s="1436"/>
      <c r="AS1011" s="1436"/>
      <c r="AT1011" s="1436"/>
      <c r="AU1011" s="1436"/>
      <c r="AV1011" s="1436"/>
      <c r="AW1011" s="1436"/>
      <c r="AX1011" s="1436"/>
      <c r="AY1011" s="1436"/>
      <c r="CR1011" s="25"/>
    </row>
    <row r="1012" spans="1:96" s="711" customFormat="1" ht="12.75" customHeight="1">
      <c r="A1012" s="51"/>
      <c r="B1012" s="110"/>
      <c r="C1012" s="111"/>
      <c r="D1012" s="2221" t="s">
        <v>1999</v>
      </c>
      <c r="E1012" s="2222"/>
      <c r="F1012" s="2222"/>
      <c r="G1012" s="2222"/>
      <c r="H1012" s="2222"/>
      <c r="I1012" s="2222"/>
      <c r="J1012" s="2222"/>
      <c r="K1012" s="2222"/>
      <c r="L1012" s="2222"/>
      <c r="M1012" s="2222"/>
      <c r="N1012" s="2222"/>
      <c r="O1012" s="2222"/>
      <c r="P1012" s="2222"/>
      <c r="Q1012" s="2222"/>
      <c r="R1012" s="2222"/>
      <c r="S1012" s="2222"/>
      <c r="T1012" s="2222"/>
      <c r="U1012" s="2222"/>
      <c r="V1012" s="2222"/>
      <c r="W1012" s="2222"/>
      <c r="X1012" s="2222"/>
      <c r="Y1012" s="2222"/>
      <c r="Z1012" s="2222"/>
      <c r="AA1012" s="2222"/>
      <c r="AB1012" s="2222"/>
      <c r="AC1012" s="2222"/>
      <c r="AD1012" s="2222"/>
      <c r="AE1012" s="2223"/>
      <c r="AF1012" s="1464"/>
      <c r="AG1012" s="1465"/>
      <c r="AH1012" s="1465"/>
      <c r="AI1012" s="1466"/>
      <c r="AJ1012" s="2148"/>
      <c r="AK1012" s="2149"/>
      <c r="AL1012" s="2149"/>
      <c r="AM1012" s="2149"/>
      <c r="AN1012" s="2149"/>
      <c r="AO1012" s="2149"/>
      <c r="AP1012" s="2149"/>
      <c r="AQ1012" s="2150"/>
      <c r="AR1012" s="1436"/>
      <c r="AS1012" s="1436"/>
      <c r="AT1012" s="1436"/>
      <c r="AU1012" s="1436"/>
      <c r="AV1012" s="1436"/>
      <c r="AW1012" s="1436"/>
      <c r="AX1012" s="1436"/>
      <c r="AY1012" s="1436"/>
      <c r="CR1012" s="25"/>
    </row>
    <row r="1013" spans="1:96" s="711" customFormat="1" ht="12.75" customHeight="1">
      <c r="A1013" s="51"/>
      <c r="B1013" s="110"/>
      <c r="C1013" s="111"/>
      <c r="D1013" s="2221"/>
      <c r="E1013" s="2222"/>
      <c r="F1013" s="2222"/>
      <c r="G1013" s="2222"/>
      <c r="H1013" s="2222"/>
      <c r="I1013" s="2222"/>
      <c r="J1013" s="2222"/>
      <c r="K1013" s="2222"/>
      <c r="L1013" s="2222"/>
      <c r="M1013" s="2222"/>
      <c r="N1013" s="2222"/>
      <c r="O1013" s="2222"/>
      <c r="P1013" s="2222"/>
      <c r="Q1013" s="2222"/>
      <c r="R1013" s="2222"/>
      <c r="S1013" s="2222"/>
      <c r="T1013" s="2222"/>
      <c r="U1013" s="2222"/>
      <c r="V1013" s="2222"/>
      <c r="W1013" s="2222"/>
      <c r="X1013" s="2222"/>
      <c r="Y1013" s="2222"/>
      <c r="Z1013" s="2222"/>
      <c r="AA1013" s="2222"/>
      <c r="AB1013" s="2222"/>
      <c r="AC1013" s="2222"/>
      <c r="AD1013" s="2222"/>
      <c r="AE1013" s="2223"/>
      <c r="AF1013" s="1464"/>
      <c r="AG1013" s="1465"/>
      <c r="AH1013" s="1465"/>
      <c r="AI1013" s="1466"/>
      <c r="AJ1013" s="2148"/>
      <c r="AK1013" s="2149"/>
      <c r="AL1013" s="2149"/>
      <c r="AM1013" s="2149"/>
      <c r="AN1013" s="2149"/>
      <c r="AO1013" s="2149"/>
      <c r="AP1013" s="2149"/>
      <c r="AQ1013" s="2150"/>
      <c r="AR1013" s="1436"/>
      <c r="AS1013" s="1436"/>
      <c r="AT1013" s="1436"/>
      <c r="AU1013" s="1436"/>
      <c r="AV1013" s="1436"/>
      <c r="AW1013" s="1436"/>
      <c r="AX1013" s="1436"/>
      <c r="AY1013" s="1436"/>
      <c r="CR1013" s="25"/>
    </row>
    <row r="1014" spans="1:96" s="711" customFormat="1" ht="12.75" customHeight="1">
      <c r="A1014" s="51"/>
      <c r="B1014" s="110"/>
      <c r="C1014" s="111"/>
      <c r="D1014" s="2224"/>
      <c r="E1014" s="2225"/>
      <c r="F1014" s="2225"/>
      <c r="G1014" s="2225"/>
      <c r="H1014" s="2225"/>
      <c r="I1014" s="2225"/>
      <c r="J1014" s="2225"/>
      <c r="K1014" s="2225"/>
      <c r="L1014" s="2225"/>
      <c r="M1014" s="2225"/>
      <c r="N1014" s="2225"/>
      <c r="O1014" s="2225"/>
      <c r="P1014" s="2225"/>
      <c r="Q1014" s="2225"/>
      <c r="R1014" s="2225"/>
      <c r="S1014" s="2225"/>
      <c r="T1014" s="2225"/>
      <c r="U1014" s="2225"/>
      <c r="V1014" s="2225"/>
      <c r="W1014" s="2225"/>
      <c r="X1014" s="2225"/>
      <c r="Y1014" s="2225"/>
      <c r="Z1014" s="2225"/>
      <c r="AA1014" s="2225"/>
      <c r="AB1014" s="2225"/>
      <c r="AC1014" s="2225"/>
      <c r="AD1014" s="2225"/>
      <c r="AE1014" s="2226"/>
      <c r="AF1014" s="1467"/>
      <c r="AG1014" s="1468"/>
      <c r="AH1014" s="1468"/>
      <c r="AI1014" s="1469"/>
      <c r="AJ1014" s="2151"/>
      <c r="AK1014" s="2152"/>
      <c r="AL1014" s="2152"/>
      <c r="AM1014" s="2152"/>
      <c r="AN1014" s="2152"/>
      <c r="AO1014" s="2152"/>
      <c r="AP1014" s="2152"/>
      <c r="AQ1014" s="2153"/>
      <c r="AR1014" s="1436"/>
      <c r="AS1014" s="1436"/>
      <c r="AT1014" s="1436"/>
      <c r="AU1014" s="1436"/>
      <c r="AV1014" s="1436"/>
      <c r="AW1014" s="1436"/>
      <c r="AX1014" s="1436"/>
      <c r="AY1014" s="1436"/>
      <c r="CR1014" s="25"/>
    </row>
    <row r="1015" spans="1:96" s="711" customFormat="1" ht="12.75" customHeight="1">
      <c r="A1015" s="51"/>
      <c r="B1015" s="110"/>
      <c r="C1015" s="524" t="s">
        <v>714</v>
      </c>
      <c r="D1015" s="2206" t="s">
        <v>2000</v>
      </c>
      <c r="E1015" s="2207"/>
      <c r="F1015" s="2207"/>
      <c r="G1015" s="2207"/>
      <c r="H1015" s="2207"/>
      <c r="I1015" s="2207"/>
      <c r="J1015" s="2207"/>
      <c r="K1015" s="2207"/>
      <c r="L1015" s="2207"/>
      <c r="M1015" s="2207"/>
      <c r="N1015" s="2207"/>
      <c r="O1015" s="2207"/>
      <c r="P1015" s="2207"/>
      <c r="Q1015" s="2207"/>
      <c r="R1015" s="2207"/>
      <c r="S1015" s="2207"/>
      <c r="T1015" s="2207"/>
      <c r="U1015" s="2207"/>
      <c r="V1015" s="2207"/>
      <c r="W1015" s="2207"/>
      <c r="X1015" s="2207"/>
      <c r="Y1015" s="2207"/>
      <c r="Z1015" s="2207"/>
      <c r="AA1015" s="2207"/>
      <c r="AB1015" s="2207"/>
      <c r="AC1015" s="2207"/>
      <c r="AD1015" s="2207"/>
      <c r="AE1015" s="2208"/>
      <c r="AF1015" s="110"/>
      <c r="AG1015" s="2288" t="s">
        <v>570</v>
      </c>
      <c r="AH1015" s="2289"/>
      <c r="AI1015" s="121"/>
      <c r="AJ1015" s="2145">
        <f>ROUND(IF(AND(AG1015="yes",AJ1011=0),(AJ975*0.1),0),0)</f>
        <v>5033805</v>
      </c>
      <c r="AK1015" s="2146"/>
      <c r="AL1015" s="2146"/>
      <c r="AM1015" s="2146"/>
      <c r="AN1015" s="2146"/>
      <c r="AO1015" s="2146"/>
      <c r="AP1015" s="2146"/>
      <c r="AQ1015" s="2147"/>
      <c r="AR1015" s="1436"/>
      <c r="AS1015" s="1436"/>
      <c r="AT1015" s="1436"/>
      <c r="AU1015" s="1436"/>
      <c r="AV1015" s="1436"/>
      <c r="AW1015" s="1436"/>
      <c r="AX1015" s="1436"/>
      <c r="AY1015" s="1436"/>
      <c r="CR1015" s="25"/>
    </row>
    <row r="1016" spans="1:96" s="711" customFormat="1" ht="12.75" customHeight="1">
      <c r="A1016" s="51"/>
      <c r="B1016" s="110"/>
      <c r="C1016" s="111"/>
      <c r="D1016" s="2221" t="s">
        <v>2001</v>
      </c>
      <c r="E1016" s="2222"/>
      <c r="F1016" s="2222"/>
      <c r="G1016" s="2222"/>
      <c r="H1016" s="2222"/>
      <c r="I1016" s="2222"/>
      <c r="J1016" s="2222"/>
      <c r="K1016" s="2222"/>
      <c r="L1016" s="2222"/>
      <c r="M1016" s="2222"/>
      <c r="N1016" s="2222"/>
      <c r="O1016" s="2222"/>
      <c r="P1016" s="2222"/>
      <c r="Q1016" s="2222"/>
      <c r="R1016" s="2222"/>
      <c r="S1016" s="2222"/>
      <c r="T1016" s="2222"/>
      <c r="U1016" s="2222"/>
      <c r="V1016" s="2222"/>
      <c r="W1016" s="2222"/>
      <c r="X1016" s="2222"/>
      <c r="Y1016" s="2222"/>
      <c r="Z1016" s="2222"/>
      <c r="AA1016" s="2222"/>
      <c r="AB1016" s="2222"/>
      <c r="AC1016" s="2222"/>
      <c r="AD1016" s="2222"/>
      <c r="AE1016" s="2223"/>
      <c r="AF1016" s="110"/>
      <c r="AG1016" s="112"/>
      <c r="AH1016" s="112"/>
      <c r="AI1016" s="121"/>
      <c r="AJ1016" s="2148"/>
      <c r="AK1016" s="2149"/>
      <c r="AL1016" s="2149"/>
      <c r="AM1016" s="2149"/>
      <c r="AN1016" s="2149"/>
      <c r="AO1016" s="2149"/>
      <c r="AP1016" s="2149"/>
      <c r="AQ1016" s="2150"/>
      <c r="AR1016" s="1436"/>
      <c r="AS1016" s="1436"/>
      <c r="AT1016" s="1436"/>
      <c r="AU1016" s="1436"/>
      <c r="AV1016" s="1436"/>
      <c r="AW1016" s="1436"/>
      <c r="AX1016" s="1436"/>
      <c r="AY1016" s="1436"/>
      <c r="CR1016" s="25"/>
    </row>
    <row r="1017" spans="1:96" s="711" customFormat="1" ht="12.75" customHeight="1">
      <c r="A1017" s="51"/>
      <c r="B1017" s="110"/>
      <c r="C1017" s="111"/>
      <c r="D1017" s="2221"/>
      <c r="E1017" s="2222"/>
      <c r="F1017" s="2222"/>
      <c r="G1017" s="2222"/>
      <c r="H1017" s="2222"/>
      <c r="I1017" s="2222"/>
      <c r="J1017" s="2222"/>
      <c r="K1017" s="2222"/>
      <c r="L1017" s="2222"/>
      <c r="M1017" s="2222"/>
      <c r="N1017" s="2222"/>
      <c r="O1017" s="2222"/>
      <c r="P1017" s="2222"/>
      <c r="Q1017" s="2222"/>
      <c r="R1017" s="2222"/>
      <c r="S1017" s="2222"/>
      <c r="T1017" s="2222"/>
      <c r="U1017" s="2222"/>
      <c r="V1017" s="2222"/>
      <c r="W1017" s="2222"/>
      <c r="X1017" s="2222"/>
      <c r="Y1017" s="2222"/>
      <c r="Z1017" s="2222"/>
      <c r="AA1017" s="2222"/>
      <c r="AB1017" s="2222"/>
      <c r="AC1017" s="2222"/>
      <c r="AD1017" s="2222"/>
      <c r="AE1017" s="2223"/>
      <c r="AF1017" s="110"/>
      <c r="AG1017" s="112"/>
      <c r="AH1017" s="112"/>
      <c r="AI1017" s="121"/>
      <c r="AJ1017" s="2148"/>
      <c r="AK1017" s="2149"/>
      <c r="AL1017" s="2149"/>
      <c r="AM1017" s="2149"/>
      <c r="AN1017" s="2149"/>
      <c r="AO1017" s="2149"/>
      <c r="AP1017" s="2149"/>
      <c r="AQ1017" s="2150"/>
      <c r="AR1017" s="1436"/>
      <c r="AS1017" s="1436"/>
      <c r="AT1017" s="1436"/>
      <c r="AU1017" s="1436"/>
      <c r="AV1017" s="1436"/>
      <c r="AW1017" s="1436"/>
      <c r="AX1017" s="1436"/>
      <c r="AY1017" s="1436"/>
      <c r="CR1017" s="25"/>
    </row>
    <row r="1018" spans="1:96" s="711" customFormat="1" ht="12.75" customHeight="1">
      <c r="A1018" s="51"/>
      <c r="B1018" s="110"/>
      <c r="C1018" s="111"/>
      <c r="D1018" s="2221"/>
      <c r="E1018" s="2222"/>
      <c r="F1018" s="2222"/>
      <c r="G1018" s="2222"/>
      <c r="H1018" s="2222"/>
      <c r="I1018" s="2222"/>
      <c r="J1018" s="2222"/>
      <c r="K1018" s="2222"/>
      <c r="L1018" s="2222"/>
      <c r="M1018" s="2222"/>
      <c r="N1018" s="2222"/>
      <c r="O1018" s="2222"/>
      <c r="P1018" s="2222"/>
      <c r="Q1018" s="2222"/>
      <c r="R1018" s="2222"/>
      <c r="S1018" s="2222"/>
      <c r="T1018" s="2222"/>
      <c r="U1018" s="2222"/>
      <c r="V1018" s="2222"/>
      <c r="W1018" s="2222"/>
      <c r="X1018" s="2222"/>
      <c r="Y1018" s="2222"/>
      <c r="Z1018" s="2222"/>
      <c r="AA1018" s="2222"/>
      <c r="AB1018" s="2222"/>
      <c r="AC1018" s="2222"/>
      <c r="AD1018" s="2222"/>
      <c r="AE1018" s="2223"/>
      <c r="AF1018" s="110"/>
      <c r="AG1018" s="112"/>
      <c r="AH1018" s="112"/>
      <c r="AI1018" s="121"/>
      <c r="AJ1018" s="2148"/>
      <c r="AK1018" s="2149"/>
      <c r="AL1018" s="2149"/>
      <c r="AM1018" s="2149"/>
      <c r="AN1018" s="2149"/>
      <c r="AO1018" s="2149"/>
      <c r="AP1018" s="2149"/>
      <c r="AQ1018" s="2150"/>
      <c r="AR1018" s="1436"/>
      <c r="AS1018" s="1436"/>
      <c r="AT1018" s="1436"/>
      <c r="AU1018" s="1436"/>
      <c r="AV1018" s="1436"/>
      <c r="AW1018" s="1436"/>
      <c r="AX1018" s="1436"/>
      <c r="AY1018" s="1436"/>
      <c r="CR1018" s="25"/>
    </row>
    <row r="1019" spans="1:96" s="711" customFormat="1" ht="12.75" customHeight="1">
      <c r="A1019" s="51"/>
      <c r="B1019" s="110"/>
      <c r="C1019" s="111"/>
      <c r="D1019" s="2224"/>
      <c r="E1019" s="2225"/>
      <c r="F1019" s="2225"/>
      <c r="G1019" s="2225"/>
      <c r="H1019" s="2225"/>
      <c r="I1019" s="2225"/>
      <c r="J1019" s="2225"/>
      <c r="K1019" s="2225"/>
      <c r="L1019" s="2225"/>
      <c r="M1019" s="2225"/>
      <c r="N1019" s="2225"/>
      <c r="O1019" s="2225"/>
      <c r="P1019" s="2225"/>
      <c r="Q1019" s="2225"/>
      <c r="R1019" s="2225"/>
      <c r="S1019" s="2225"/>
      <c r="T1019" s="2225"/>
      <c r="U1019" s="2225"/>
      <c r="V1019" s="2225"/>
      <c r="W1019" s="2225"/>
      <c r="X1019" s="2225"/>
      <c r="Y1019" s="2225"/>
      <c r="Z1019" s="2225"/>
      <c r="AA1019" s="2225"/>
      <c r="AB1019" s="2225"/>
      <c r="AC1019" s="2225"/>
      <c r="AD1019" s="2225"/>
      <c r="AE1019" s="2226"/>
      <c r="AF1019" s="110"/>
      <c r="AG1019" s="112"/>
      <c r="AH1019" s="112"/>
      <c r="AI1019" s="121"/>
      <c r="AJ1019" s="2148"/>
      <c r="AK1019" s="2149"/>
      <c r="AL1019" s="2149"/>
      <c r="AM1019" s="2149"/>
      <c r="AN1019" s="2149"/>
      <c r="AO1019" s="2149"/>
      <c r="AP1019" s="2149"/>
      <c r="AQ1019" s="2150"/>
      <c r="AR1019" s="1436"/>
      <c r="AS1019" s="1436"/>
      <c r="AT1019" s="1436"/>
      <c r="AU1019" s="1436"/>
      <c r="AV1019" s="1436"/>
      <c r="AW1019" s="1436"/>
      <c r="AX1019" s="1436"/>
      <c r="AY1019" s="1436"/>
      <c r="CR1019" s="25"/>
    </row>
    <row r="1020" spans="1:96" s="711" customFormat="1" ht="12.75" customHeight="1">
      <c r="A1020" s="51"/>
      <c r="B1020" s="117"/>
      <c r="C1020" s="198" t="s">
        <v>1087</v>
      </c>
      <c r="D1020" s="2187" t="s">
        <v>1486</v>
      </c>
      <c r="E1020" s="2188"/>
      <c r="F1020" s="2188"/>
      <c r="G1020" s="2188"/>
      <c r="H1020" s="2188"/>
      <c r="I1020" s="2188"/>
      <c r="J1020" s="2188"/>
      <c r="K1020" s="2188"/>
      <c r="L1020" s="2188"/>
      <c r="M1020" s="2188"/>
      <c r="N1020" s="2188"/>
      <c r="O1020" s="2188"/>
      <c r="P1020" s="2188"/>
      <c r="Q1020" s="2188"/>
      <c r="R1020" s="2188"/>
      <c r="S1020" s="2188"/>
      <c r="T1020" s="2188"/>
      <c r="U1020" s="2188"/>
      <c r="V1020" s="2188"/>
      <c r="W1020" s="2188"/>
      <c r="X1020" s="2188"/>
      <c r="Y1020" s="2188"/>
      <c r="Z1020" s="2188"/>
      <c r="AA1020" s="2188"/>
      <c r="AB1020" s="2188"/>
      <c r="AC1020" s="2188"/>
      <c r="AD1020" s="2188"/>
      <c r="AE1020" s="2189"/>
      <c r="AF1020" s="117"/>
      <c r="AG1020" s="2204" t="s">
        <v>570</v>
      </c>
      <c r="AH1020" s="2205"/>
      <c r="AI1020" s="125"/>
      <c r="AJ1020" s="2145">
        <f>ROUND(IF(AG1020="yes",(AJ975*0.1),0),0)</f>
        <v>5033805</v>
      </c>
      <c r="AK1020" s="2146"/>
      <c r="AL1020" s="2146"/>
      <c r="AM1020" s="2146"/>
      <c r="AN1020" s="2146"/>
      <c r="AO1020" s="2146"/>
      <c r="AP1020" s="2146"/>
      <c r="AQ1020" s="2147"/>
      <c r="AR1020" s="1436"/>
      <c r="AS1020" s="1436"/>
      <c r="AT1020" s="1436"/>
      <c r="AU1020" s="1436"/>
      <c r="AV1020" s="1436"/>
      <c r="AW1020" s="1436"/>
      <c r="AX1020" s="1436"/>
      <c r="AY1020" s="1436"/>
      <c r="CR1020" s="25"/>
    </row>
    <row r="1021" spans="1:96" ht="12.75" customHeight="1">
      <c r="A1021" s="51"/>
      <c r="B1021" s="110"/>
      <c r="C1021" s="111"/>
      <c r="D1021" s="2181" t="s">
        <v>2587</v>
      </c>
      <c r="E1021" s="2182"/>
      <c r="F1021" s="2182"/>
      <c r="G1021" s="2182"/>
      <c r="H1021" s="2182"/>
      <c r="I1021" s="2182"/>
      <c r="J1021" s="2182"/>
      <c r="K1021" s="2182"/>
      <c r="L1021" s="2182"/>
      <c r="M1021" s="2182"/>
      <c r="N1021" s="2182"/>
      <c r="O1021" s="2182"/>
      <c r="P1021" s="2182"/>
      <c r="Q1021" s="2182"/>
      <c r="R1021" s="2182"/>
      <c r="S1021" s="2182"/>
      <c r="T1021" s="2182"/>
      <c r="U1021" s="2182"/>
      <c r="V1021" s="2182"/>
      <c r="W1021" s="2182"/>
      <c r="X1021" s="2182"/>
      <c r="Y1021" s="2182"/>
      <c r="Z1021" s="2182"/>
      <c r="AA1021" s="2182"/>
      <c r="AB1021" s="2182"/>
      <c r="AC1021" s="2182"/>
      <c r="AD1021" s="2182"/>
      <c r="AE1021" s="2183"/>
      <c r="AF1021" s="110"/>
      <c r="AG1021" s="112"/>
      <c r="AH1021" s="112"/>
      <c r="AI1021" s="121"/>
      <c r="AJ1021" s="2148"/>
      <c r="AK1021" s="2149"/>
      <c r="AL1021" s="2149"/>
      <c r="AM1021" s="2149"/>
      <c r="AN1021" s="2149"/>
      <c r="AO1021" s="2149"/>
      <c r="AP1021" s="2149"/>
      <c r="AQ1021" s="2150"/>
      <c r="AR1021" s="1436"/>
      <c r="AS1021" s="1436"/>
      <c r="AT1021" s="1436"/>
      <c r="AU1021" s="1436"/>
      <c r="AV1021" s="1436"/>
      <c r="AW1021" s="1436"/>
      <c r="AX1021" s="1436"/>
      <c r="AY1021" s="1436"/>
    </row>
    <row r="1022" spans="1:96" ht="12.75" customHeight="1">
      <c r="A1022" s="51"/>
      <c r="B1022" s="110"/>
      <c r="C1022" s="111"/>
      <c r="D1022" s="2181"/>
      <c r="E1022" s="2182"/>
      <c r="F1022" s="2182"/>
      <c r="G1022" s="2182"/>
      <c r="H1022" s="2182"/>
      <c r="I1022" s="2182"/>
      <c r="J1022" s="2182"/>
      <c r="K1022" s="2182"/>
      <c r="L1022" s="2182"/>
      <c r="M1022" s="2182"/>
      <c r="N1022" s="2182"/>
      <c r="O1022" s="2182"/>
      <c r="P1022" s="2182"/>
      <c r="Q1022" s="2182"/>
      <c r="R1022" s="2182"/>
      <c r="S1022" s="2182"/>
      <c r="T1022" s="2182"/>
      <c r="U1022" s="2182"/>
      <c r="V1022" s="2182"/>
      <c r="W1022" s="2182"/>
      <c r="X1022" s="2182"/>
      <c r="Y1022" s="2182"/>
      <c r="Z1022" s="2182"/>
      <c r="AA1022" s="2182"/>
      <c r="AB1022" s="2182"/>
      <c r="AC1022" s="2182"/>
      <c r="AD1022" s="2182"/>
      <c r="AE1022" s="2183"/>
      <c r="AF1022" s="110"/>
      <c r="AG1022" s="112"/>
      <c r="AH1022" s="112"/>
      <c r="AI1022" s="121"/>
      <c r="AJ1022" s="2148"/>
      <c r="AK1022" s="2149"/>
      <c r="AL1022" s="2149"/>
      <c r="AM1022" s="2149"/>
      <c r="AN1022" s="2149"/>
      <c r="AO1022" s="2149"/>
      <c r="AP1022" s="2149"/>
      <c r="AQ1022" s="2150"/>
      <c r="AR1022" s="1436"/>
      <c r="AS1022" s="1436"/>
      <c r="AT1022" s="1436"/>
      <c r="AU1022" s="1436"/>
      <c r="AV1022" s="1436"/>
      <c r="AW1022" s="1436"/>
      <c r="AX1022" s="1436"/>
      <c r="AY1022" s="1436"/>
    </row>
    <row r="1023" spans="1:96" s="674" customFormat="1" ht="12.75" customHeight="1">
      <c r="A1023" s="51"/>
      <c r="B1023" s="110"/>
      <c r="C1023" s="111"/>
      <c r="D1023" s="2209"/>
      <c r="E1023" s="2210"/>
      <c r="F1023" s="2210"/>
      <c r="G1023" s="2210"/>
      <c r="H1023" s="2210"/>
      <c r="I1023" s="2210"/>
      <c r="J1023" s="2210"/>
      <c r="K1023" s="2210"/>
      <c r="L1023" s="2210"/>
      <c r="M1023" s="2210"/>
      <c r="N1023" s="2210"/>
      <c r="O1023" s="2210"/>
      <c r="P1023" s="2210"/>
      <c r="Q1023" s="2210"/>
      <c r="R1023" s="2210"/>
      <c r="S1023" s="2210"/>
      <c r="T1023" s="2210"/>
      <c r="U1023" s="2210"/>
      <c r="V1023" s="2210"/>
      <c r="W1023" s="2210"/>
      <c r="X1023" s="2210"/>
      <c r="Y1023" s="2210"/>
      <c r="Z1023" s="2210"/>
      <c r="AA1023" s="2210"/>
      <c r="AB1023" s="2210"/>
      <c r="AC1023" s="2210"/>
      <c r="AD1023" s="2210"/>
      <c r="AE1023" s="2211"/>
      <c r="AF1023" s="110"/>
      <c r="AG1023" s="112"/>
      <c r="AH1023" s="112"/>
      <c r="AI1023" s="121"/>
      <c r="AJ1023" s="2151"/>
      <c r="AK1023" s="2152"/>
      <c r="AL1023" s="2152"/>
      <c r="AM1023" s="2152"/>
      <c r="AN1023" s="2152"/>
      <c r="AO1023" s="2152"/>
      <c r="AP1023" s="2152"/>
      <c r="AQ1023" s="2153"/>
      <c r="AR1023" s="1436"/>
      <c r="AS1023" s="1436"/>
      <c r="AT1023" s="1436"/>
      <c r="AU1023" s="1436"/>
      <c r="AV1023" s="1436"/>
      <c r="AW1023" s="1436"/>
      <c r="AX1023" s="1436"/>
      <c r="AY1023" s="1436"/>
      <c r="CR1023" s="25"/>
    </row>
    <row r="1024" spans="1:96" ht="12.75" customHeight="1">
      <c r="A1024" s="51"/>
      <c r="B1024" s="117"/>
      <c r="C1024" s="198" t="s">
        <v>1996</v>
      </c>
      <c r="D1024" s="2206" t="s">
        <v>2182</v>
      </c>
      <c r="E1024" s="2207"/>
      <c r="F1024" s="2207"/>
      <c r="G1024" s="2207"/>
      <c r="H1024" s="2207"/>
      <c r="I1024" s="2207"/>
      <c r="J1024" s="2207"/>
      <c r="K1024" s="2207"/>
      <c r="L1024" s="2207"/>
      <c r="M1024" s="2207"/>
      <c r="N1024" s="2207"/>
      <c r="O1024" s="2207"/>
      <c r="P1024" s="2207"/>
      <c r="Q1024" s="2207"/>
      <c r="R1024" s="2207"/>
      <c r="S1024" s="2207"/>
      <c r="T1024" s="2207"/>
      <c r="U1024" s="2207"/>
      <c r="V1024" s="2207"/>
      <c r="W1024" s="2207"/>
      <c r="X1024" s="2207"/>
      <c r="Y1024" s="2207"/>
      <c r="Z1024" s="2207"/>
      <c r="AA1024" s="2207"/>
      <c r="AB1024" s="2207"/>
      <c r="AC1024" s="2207"/>
      <c r="AD1024" s="2207"/>
      <c r="AE1024" s="2208"/>
      <c r="AF1024" s="117"/>
      <c r="AG1024" s="2286" t="str">
        <f>IF(X1027&gt;0,"Yes","No")</f>
        <v>Yes</v>
      </c>
      <c r="AH1024" s="2287"/>
      <c r="AI1024" s="125"/>
      <c r="AJ1024" s="2290">
        <f>IF((X1027=0),0,BA989*AJ975)</f>
        <v>5537185.8300000001</v>
      </c>
      <c r="AK1024" s="2291"/>
      <c r="AL1024" s="2291"/>
      <c r="AM1024" s="2291"/>
      <c r="AN1024" s="2291"/>
      <c r="AO1024" s="2291"/>
      <c r="AP1024" s="2291"/>
      <c r="AQ1024" s="2292"/>
      <c r="AR1024" s="1436"/>
      <c r="AS1024" s="1436"/>
      <c r="AT1024" s="1436"/>
      <c r="AU1024" s="1436"/>
      <c r="AV1024" s="1436"/>
      <c r="AW1024" s="1436"/>
      <c r="AX1024" s="1436"/>
      <c r="AY1024" s="1436"/>
    </row>
    <row r="1025" spans="1:96" ht="12.75" customHeight="1">
      <c r="A1025" s="51"/>
      <c r="B1025" s="110"/>
      <c r="C1025" s="694"/>
      <c r="D1025" s="2181" t="s">
        <v>1488</v>
      </c>
      <c r="E1025" s="2182"/>
      <c r="F1025" s="2182"/>
      <c r="G1025" s="2182"/>
      <c r="H1025" s="2182"/>
      <c r="I1025" s="2182"/>
      <c r="J1025" s="2182"/>
      <c r="K1025" s="2182"/>
      <c r="L1025" s="2182"/>
      <c r="M1025" s="2182"/>
      <c r="N1025" s="2182"/>
      <c r="O1025" s="2182"/>
      <c r="P1025" s="2182"/>
      <c r="Q1025" s="2182"/>
      <c r="R1025" s="2182"/>
      <c r="S1025" s="2182"/>
      <c r="T1025" s="2182"/>
      <c r="U1025" s="2182"/>
      <c r="V1025" s="2182"/>
      <c r="W1025" s="2182"/>
      <c r="X1025" s="2182"/>
      <c r="Y1025" s="2182"/>
      <c r="Z1025" s="2182"/>
      <c r="AA1025" s="2182"/>
      <c r="AB1025" s="2182"/>
      <c r="AC1025" s="2182"/>
      <c r="AD1025" s="2182"/>
      <c r="AE1025" s="2183"/>
      <c r="AF1025" s="110"/>
      <c r="AG1025" s="695"/>
      <c r="AH1025" s="695"/>
      <c r="AI1025" s="121"/>
      <c r="AJ1025" s="2293"/>
      <c r="AK1025" s="2294"/>
      <c r="AL1025" s="2294"/>
      <c r="AM1025" s="2294"/>
      <c r="AN1025" s="2294"/>
      <c r="AO1025" s="2294"/>
      <c r="AP1025" s="2294"/>
      <c r="AQ1025" s="2295"/>
      <c r="AR1025" s="1436"/>
      <c r="AS1025" s="1436"/>
      <c r="AT1025" s="1436"/>
      <c r="AU1025" s="1436"/>
      <c r="AV1025" s="1436"/>
      <c r="AW1025" s="1436"/>
      <c r="AX1025" s="1436"/>
      <c r="AY1025" s="1436"/>
    </row>
    <row r="1026" spans="1:96" ht="12.75" customHeight="1">
      <c r="A1026" s="51"/>
      <c r="B1026" s="110"/>
      <c r="C1026" s="694"/>
      <c r="D1026" s="2181"/>
      <c r="E1026" s="2182"/>
      <c r="F1026" s="2182"/>
      <c r="G1026" s="2182"/>
      <c r="H1026" s="2182"/>
      <c r="I1026" s="2182"/>
      <c r="J1026" s="2182"/>
      <c r="K1026" s="2182"/>
      <c r="L1026" s="2182"/>
      <c r="M1026" s="2182"/>
      <c r="N1026" s="2182"/>
      <c r="O1026" s="2182"/>
      <c r="P1026" s="2182"/>
      <c r="Q1026" s="2182"/>
      <c r="R1026" s="2182"/>
      <c r="S1026" s="2182"/>
      <c r="T1026" s="2182"/>
      <c r="U1026" s="2182"/>
      <c r="V1026" s="2182"/>
      <c r="W1026" s="2182"/>
      <c r="X1026" s="2182"/>
      <c r="Y1026" s="2182"/>
      <c r="Z1026" s="2182"/>
      <c r="AA1026" s="2182"/>
      <c r="AB1026" s="2182"/>
      <c r="AC1026" s="2182"/>
      <c r="AD1026" s="2182"/>
      <c r="AE1026" s="2183"/>
      <c r="AF1026" s="110"/>
      <c r="AG1026" s="695"/>
      <c r="AH1026" s="695"/>
      <c r="AI1026" s="121"/>
      <c r="AJ1026" s="2293"/>
      <c r="AK1026" s="2294"/>
      <c r="AL1026" s="2294"/>
      <c r="AM1026" s="2294"/>
      <c r="AN1026" s="2294"/>
      <c r="AO1026" s="2294"/>
      <c r="AP1026" s="2294"/>
      <c r="AQ1026" s="2295"/>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284">
        <f>BA987</f>
        <v>135</v>
      </c>
      <c r="J1027" s="2285"/>
      <c r="K1027" s="11"/>
      <c r="L1027" s="200"/>
      <c r="M1027" s="200"/>
      <c r="N1027" s="200"/>
      <c r="O1027" s="200"/>
      <c r="P1027" s="200"/>
      <c r="Q1027" s="200"/>
      <c r="R1027" s="200"/>
      <c r="S1027" s="200"/>
      <c r="T1027" s="200"/>
      <c r="U1027" s="200"/>
      <c r="V1027" s="201" t="s">
        <v>1032</v>
      </c>
      <c r="W1027" s="80"/>
      <c r="X1027" s="2282">
        <f>BG635</f>
        <v>15</v>
      </c>
      <c r="Y1027" s="2283"/>
      <c r="Z1027" s="80"/>
      <c r="AA1027" s="80"/>
      <c r="AB1027" s="80"/>
      <c r="AC1027" s="80"/>
      <c r="AD1027" s="80"/>
      <c r="AE1027" s="81"/>
      <c r="AF1027" s="1473"/>
      <c r="AG1027" s="1474"/>
      <c r="AH1027" s="1474"/>
      <c r="AI1027" s="1475"/>
      <c r="AJ1027" s="2296"/>
      <c r="AK1027" s="2297"/>
      <c r="AL1027" s="2297"/>
      <c r="AM1027" s="2297"/>
      <c r="AN1027" s="2297"/>
      <c r="AO1027" s="2297"/>
      <c r="AP1027" s="2297"/>
      <c r="AQ1027" s="2298"/>
      <c r="AR1027" s="1436"/>
      <c r="AS1027" s="1436"/>
      <c r="AT1027" s="1436"/>
      <c r="AU1027" s="1436"/>
      <c r="AV1027" s="1436"/>
      <c r="AW1027" s="1436"/>
      <c r="AX1027" s="1436"/>
      <c r="AY1027" s="1436"/>
      <c r="CR1027" s="25"/>
    </row>
    <row r="1028" spans="1:96" ht="12.75" customHeight="1">
      <c r="A1028" s="51"/>
      <c r="B1028" s="117"/>
      <c r="C1028" s="198" t="s">
        <v>1997</v>
      </c>
      <c r="D1028" s="2187" t="s">
        <v>2183</v>
      </c>
      <c r="E1028" s="2188"/>
      <c r="F1028" s="2188"/>
      <c r="G1028" s="2188"/>
      <c r="H1028" s="2188"/>
      <c r="I1028" s="2188"/>
      <c r="J1028" s="2188"/>
      <c r="K1028" s="2188"/>
      <c r="L1028" s="2188"/>
      <c r="M1028" s="2188"/>
      <c r="N1028" s="2188"/>
      <c r="O1028" s="2188"/>
      <c r="P1028" s="2188"/>
      <c r="Q1028" s="2188"/>
      <c r="R1028" s="2188"/>
      <c r="S1028" s="2188"/>
      <c r="T1028" s="2188"/>
      <c r="U1028" s="2188"/>
      <c r="V1028" s="2188"/>
      <c r="W1028" s="2188"/>
      <c r="X1028" s="2188"/>
      <c r="Y1028" s="2188"/>
      <c r="Z1028" s="2188"/>
      <c r="AA1028" s="2188"/>
      <c r="AB1028" s="2188"/>
      <c r="AC1028" s="2188"/>
      <c r="AD1028" s="2188"/>
      <c r="AE1028" s="2189"/>
      <c r="AF1028" s="110"/>
      <c r="AG1028" s="2286" t="str">
        <f>IF(X1031&gt;0,"Yes","No")</f>
        <v>Yes</v>
      </c>
      <c r="AH1028" s="2287"/>
      <c r="AI1028" s="121"/>
      <c r="AJ1028" s="2290">
        <f>IF((X1031=0),0,(2*BA990)*AJ975)</f>
        <v>11074371.66</v>
      </c>
      <c r="AK1028" s="2291"/>
      <c r="AL1028" s="2291"/>
      <c r="AM1028" s="2291"/>
      <c r="AN1028" s="2291"/>
      <c r="AO1028" s="2291"/>
      <c r="AP1028" s="2291"/>
      <c r="AQ1028" s="2292"/>
      <c r="AR1028" s="1436"/>
      <c r="AS1028" s="1436"/>
      <c r="AT1028" s="1436"/>
      <c r="AU1028" s="1436"/>
      <c r="AV1028" s="1436"/>
      <c r="AW1028" s="1436"/>
      <c r="AX1028" s="1436"/>
      <c r="AY1028" s="1436"/>
    </row>
    <row r="1029" spans="1:96" ht="12.75" customHeight="1">
      <c r="A1029" s="51"/>
      <c r="B1029" s="110"/>
      <c r="C1029" s="694"/>
      <c r="D1029" s="2181" t="s">
        <v>1487</v>
      </c>
      <c r="E1029" s="2182"/>
      <c r="F1029" s="2182"/>
      <c r="G1029" s="2182"/>
      <c r="H1029" s="2182"/>
      <c r="I1029" s="2182"/>
      <c r="J1029" s="2182"/>
      <c r="K1029" s="2182"/>
      <c r="L1029" s="2182"/>
      <c r="M1029" s="2182"/>
      <c r="N1029" s="2182"/>
      <c r="O1029" s="2182"/>
      <c r="P1029" s="2182"/>
      <c r="Q1029" s="2182"/>
      <c r="R1029" s="2182"/>
      <c r="S1029" s="2182"/>
      <c r="T1029" s="2182"/>
      <c r="U1029" s="2182"/>
      <c r="V1029" s="2182"/>
      <c r="W1029" s="2182"/>
      <c r="X1029" s="2182"/>
      <c r="Y1029" s="2182"/>
      <c r="Z1029" s="2182"/>
      <c r="AA1029" s="2182"/>
      <c r="AB1029" s="2182"/>
      <c r="AC1029" s="2182"/>
      <c r="AD1029" s="2182"/>
      <c r="AE1029" s="2183"/>
      <c r="AF1029" s="110"/>
      <c r="AG1029" s="695"/>
      <c r="AH1029" s="695"/>
      <c r="AI1029" s="121"/>
      <c r="AJ1029" s="2293"/>
      <c r="AK1029" s="2294"/>
      <c r="AL1029" s="2294"/>
      <c r="AM1029" s="2294"/>
      <c r="AN1029" s="2294"/>
      <c r="AO1029" s="2294"/>
      <c r="AP1029" s="2294"/>
      <c r="AQ1029" s="2295"/>
      <c r="AR1029" s="1436"/>
      <c r="AS1029" s="1436"/>
      <c r="AT1029" s="1436"/>
      <c r="AU1029" s="1436"/>
      <c r="AV1029" s="1436"/>
      <c r="AW1029" s="1436"/>
      <c r="AX1029" s="1436"/>
      <c r="AY1029" s="1436"/>
    </row>
    <row r="1030" spans="1:96" ht="12.75" customHeight="1">
      <c r="A1030" s="51"/>
      <c r="B1030" s="110"/>
      <c r="C1030" s="121"/>
      <c r="D1030" s="2181"/>
      <c r="E1030" s="2182"/>
      <c r="F1030" s="2182"/>
      <c r="G1030" s="2182"/>
      <c r="H1030" s="2182"/>
      <c r="I1030" s="2182"/>
      <c r="J1030" s="2182"/>
      <c r="K1030" s="2182"/>
      <c r="L1030" s="2182"/>
      <c r="M1030" s="2182"/>
      <c r="N1030" s="2182"/>
      <c r="O1030" s="2182"/>
      <c r="P1030" s="2182"/>
      <c r="Q1030" s="2182"/>
      <c r="R1030" s="2182"/>
      <c r="S1030" s="2182"/>
      <c r="T1030" s="2182"/>
      <c r="U1030" s="2182"/>
      <c r="V1030" s="2182"/>
      <c r="W1030" s="2182"/>
      <c r="X1030" s="2182"/>
      <c r="Y1030" s="2182"/>
      <c r="Z1030" s="2182"/>
      <c r="AA1030" s="2182"/>
      <c r="AB1030" s="2182"/>
      <c r="AC1030" s="2182"/>
      <c r="AD1030" s="2182"/>
      <c r="AE1030" s="2183"/>
      <c r="AF1030" s="1470"/>
      <c r="AG1030" s="1471"/>
      <c r="AH1030" s="1471"/>
      <c r="AI1030" s="1472"/>
      <c r="AJ1030" s="2293"/>
      <c r="AK1030" s="2294"/>
      <c r="AL1030" s="2294"/>
      <c r="AM1030" s="2294"/>
      <c r="AN1030" s="2294"/>
      <c r="AO1030" s="2294"/>
      <c r="AP1030" s="2294"/>
      <c r="AQ1030" s="2295"/>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284">
        <f>BA987</f>
        <v>135</v>
      </c>
      <c r="J1031" s="2285"/>
      <c r="K1031" s="51"/>
      <c r="L1031" s="200"/>
      <c r="M1031" s="200"/>
      <c r="N1031" s="200"/>
      <c r="O1031" s="200"/>
      <c r="P1031" s="200"/>
      <c r="Q1031" s="200"/>
      <c r="R1031" s="200"/>
      <c r="S1031" s="200"/>
      <c r="T1031" s="200"/>
      <c r="U1031" s="200"/>
      <c r="V1031" s="201" t="s">
        <v>1033</v>
      </c>
      <c r="X1031" s="2282">
        <f>BK635</f>
        <v>15</v>
      </c>
      <c r="Y1031" s="2283"/>
      <c r="AF1031" s="1473"/>
      <c r="AG1031" s="1474"/>
      <c r="AH1031" s="1474"/>
      <c r="AI1031" s="1475"/>
      <c r="AJ1031" s="2296"/>
      <c r="AK1031" s="2297"/>
      <c r="AL1031" s="2297"/>
      <c r="AM1031" s="2297"/>
      <c r="AN1031" s="2297"/>
      <c r="AO1031" s="2297"/>
      <c r="AP1031" s="2297"/>
      <c r="AQ1031" s="2298"/>
      <c r="AR1031" s="1436"/>
      <c r="AS1031" s="1436"/>
      <c r="AT1031" s="1436"/>
      <c r="AU1031" s="1436"/>
      <c r="AV1031" s="1436"/>
      <c r="AW1031" s="1436"/>
      <c r="AX1031" s="1436"/>
      <c r="AY1031" s="1436"/>
      <c r="CR1031" s="25"/>
    </row>
    <row r="1032" spans="1:96" ht="12.75" customHeight="1">
      <c r="A1032" s="51"/>
      <c r="B1032" s="158"/>
      <c r="C1032" s="159"/>
      <c r="D1032" s="2280" t="s">
        <v>538</v>
      </c>
      <c r="E1032" s="2280"/>
      <c r="F1032" s="2280"/>
      <c r="G1032" s="2280"/>
      <c r="H1032" s="2280"/>
      <c r="I1032" s="2280"/>
      <c r="J1032" s="2280"/>
      <c r="K1032" s="2280"/>
      <c r="L1032" s="2280"/>
      <c r="M1032" s="2280"/>
      <c r="N1032" s="2280"/>
      <c r="O1032" s="2280"/>
      <c r="P1032" s="2280"/>
      <c r="Q1032" s="2280"/>
      <c r="R1032" s="2280"/>
      <c r="S1032" s="2280"/>
      <c r="T1032" s="2280"/>
      <c r="U1032" s="2280"/>
      <c r="V1032" s="2280"/>
      <c r="W1032" s="2280"/>
      <c r="X1032" s="2280"/>
      <c r="Y1032" s="2280"/>
      <c r="Z1032" s="2280"/>
      <c r="AA1032" s="2280"/>
      <c r="AB1032" s="2280"/>
      <c r="AC1032" s="2280"/>
      <c r="AD1032" s="2280"/>
      <c r="AE1032" s="2280"/>
      <c r="AF1032" s="2280"/>
      <c r="AG1032" s="2280"/>
      <c r="AH1032" s="2280"/>
      <c r="AI1032" s="2281"/>
      <c r="AJ1032" s="2299">
        <f>SUM(AJ975:AQ1031)</f>
        <v>84684580.489999995</v>
      </c>
      <c r="AK1032" s="2300"/>
      <c r="AL1032" s="2300"/>
      <c r="AM1032" s="2300"/>
      <c r="AN1032" s="2300"/>
      <c r="AO1032" s="2300"/>
      <c r="AP1032" s="2300"/>
      <c r="AQ1032" s="230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88">
        <f>IF(ISNA(IF((AJ999&gt;(AJ975*0.15)),"(f) cannot be greater than 15% of unadjusted eligible basis.",0)),"",(IF((AJ999&gt;(AJ975*0.15)),"(f) cannot be greater than 15% of unadjusted eligible basis.",0)))</f>
        <v>0</v>
      </c>
      <c r="C1039" s="2388"/>
      <c r="D1039" s="2388"/>
      <c r="E1039" s="2388"/>
      <c r="F1039" s="2388"/>
      <c r="G1039" s="2388"/>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8"/>
      <c r="AC1039" s="2388"/>
      <c r="AD1039" s="2388"/>
      <c r="AE1039" s="2388"/>
      <c r="AF1039" s="2388"/>
      <c r="AG1039" s="2388"/>
      <c r="AH1039" s="2388"/>
      <c r="AI1039" s="2388"/>
      <c r="AJ1039" s="2388"/>
      <c r="AK1039" s="2388"/>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21" t="s">
        <v>836</v>
      </c>
      <c r="B1040" s="2421"/>
      <c r="C1040" s="2421"/>
      <c r="D1040" s="2421"/>
      <c r="E1040" s="2421"/>
      <c r="F1040" s="2421"/>
      <c r="G1040" s="2421"/>
      <c r="H1040" s="2421"/>
      <c r="I1040" s="2421"/>
      <c r="J1040" s="2421"/>
      <c r="K1040" s="2421"/>
      <c r="L1040" s="2421"/>
      <c r="M1040" s="2421"/>
      <c r="N1040" s="2421"/>
      <c r="O1040" s="2421"/>
      <c r="P1040" s="2421"/>
      <c r="Q1040" s="2421"/>
      <c r="R1040" s="2421"/>
      <c r="S1040" s="2421"/>
      <c r="T1040" s="2421"/>
      <c r="U1040" s="2421"/>
      <c r="V1040" s="2421"/>
      <c r="W1040" s="2421"/>
      <c r="X1040" s="2421"/>
      <c r="Y1040" s="2421"/>
      <c r="Z1040" s="2421"/>
      <c r="AA1040" s="2421"/>
      <c r="AB1040" s="2421"/>
      <c r="AC1040" s="2421"/>
      <c r="AD1040" s="2421"/>
      <c r="AE1040" s="2421"/>
      <c r="AF1040" s="2421"/>
      <c r="AG1040" s="2421"/>
      <c r="AH1040" s="2421"/>
      <c r="AI1040" s="2421"/>
      <c r="AJ1040" s="2421"/>
      <c r="AK1040" s="2421"/>
      <c r="AL1040" s="242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9" t="s">
        <v>617</v>
      </c>
      <c r="B1044" s="2089"/>
      <c r="C1044" s="13">
        <v>1</v>
      </c>
      <c r="D1044" s="1933" t="s">
        <v>1191</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89" t="s">
        <v>617</v>
      </c>
      <c r="B1050" s="2089"/>
      <c r="C1050" s="13">
        <v>2</v>
      </c>
      <c r="D1050" s="1933" t="s">
        <v>1190</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89" t="s">
        <v>617</v>
      </c>
      <c r="B1056" s="2089"/>
      <c r="C1056" s="13">
        <v>3</v>
      </c>
      <c r="D1056" s="1933" t="s">
        <v>1471</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89" t="s">
        <v>617</v>
      </c>
      <c r="B1063" s="2089"/>
      <c r="C1063" s="13">
        <v>4</v>
      </c>
      <c r="D1063" s="1933" t="s">
        <v>1176</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89" t="s">
        <v>617</v>
      </c>
      <c r="B1066" s="2089"/>
      <c r="C1066" s="13">
        <v>5</v>
      </c>
      <c r="D1066" s="1933" t="s">
        <v>1373</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89" t="s">
        <v>617</v>
      </c>
      <c r="B1071" s="2089"/>
      <c r="C1071" s="13">
        <v>6</v>
      </c>
      <c r="D1071" s="1933" t="s">
        <v>1177</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89" t="s">
        <v>617</v>
      </c>
      <c r="B1074" s="2089"/>
      <c r="C1074" s="318">
        <v>7</v>
      </c>
      <c r="D1074" s="1933" t="s">
        <v>1179</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89" t="s">
        <v>617</v>
      </c>
      <c r="B1078" s="2089"/>
      <c r="C1078" s="318">
        <v>8</v>
      </c>
      <c r="D1078" s="2389" t="s">
        <v>1994</v>
      </c>
      <c r="E1078" s="2389"/>
      <c r="F1078" s="2389"/>
      <c r="G1078" s="2389"/>
      <c r="H1078" s="2389"/>
      <c r="I1078" s="2389"/>
      <c r="J1078" s="2389"/>
      <c r="K1078" s="2389"/>
      <c r="L1078" s="2389"/>
      <c r="M1078" s="2389"/>
      <c r="N1078" s="2389"/>
      <c r="O1078" s="2389"/>
      <c r="P1078" s="2389"/>
      <c r="Q1078" s="2389"/>
      <c r="R1078" s="2389"/>
      <c r="S1078" s="2389"/>
      <c r="T1078" s="2389"/>
      <c r="U1078" s="2389"/>
      <c r="V1078" s="2389"/>
      <c r="W1078" s="2389"/>
      <c r="X1078" s="2389"/>
      <c r="Y1078" s="2389"/>
      <c r="Z1078" s="2389"/>
      <c r="AA1078" s="2389"/>
      <c r="AB1078" s="2389"/>
      <c r="AC1078" s="2389"/>
      <c r="AD1078" s="2389"/>
      <c r="AE1078" s="2389"/>
      <c r="AF1078" s="2389"/>
      <c r="AG1078" s="2389"/>
      <c r="AH1078" s="2389"/>
      <c r="AI1078" s="2389"/>
      <c r="AJ1078" s="2389"/>
      <c r="AK1078" s="2389"/>
    </row>
    <row r="1079" spans="1:96" ht="12.6" customHeight="1">
      <c r="A1079" s="235"/>
      <c r="B1079" s="235"/>
      <c r="C1079" s="318"/>
      <c r="D1079" s="2389"/>
      <c r="E1079" s="2389"/>
      <c r="F1079" s="2389"/>
      <c r="G1079" s="2389"/>
      <c r="H1079" s="2389"/>
      <c r="I1079" s="2389"/>
      <c r="J1079" s="2389"/>
      <c r="K1079" s="2389"/>
      <c r="L1079" s="2389"/>
      <c r="M1079" s="2389"/>
      <c r="N1079" s="2389"/>
      <c r="O1079" s="2389"/>
      <c r="P1079" s="2389"/>
      <c r="Q1079" s="2389"/>
      <c r="R1079" s="2389"/>
      <c r="S1079" s="2389"/>
      <c r="T1079" s="2389"/>
      <c r="U1079" s="2389"/>
      <c r="V1079" s="2389"/>
      <c r="W1079" s="2389"/>
      <c r="X1079" s="2389"/>
      <c r="Y1079" s="2389"/>
      <c r="Z1079" s="2389"/>
      <c r="AA1079" s="2389"/>
      <c r="AB1079" s="2389"/>
      <c r="AC1079" s="2389"/>
      <c r="AD1079" s="2389"/>
      <c r="AE1079" s="2389"/>
      <c r="AF1079" s="2389"/>
      <c r="AG1079" s="2389"/>
      <c r="AH1079" s="2389"/>
      <c r="AI1079" s="2389"/>
      <c r="AJ1079" s="2389"/>
      <c r="AK1079" s="2389"/>
    </row>
    <row r="1080" spans="1:96" ht="12.6" customHeight="1">
      <c r="A1080" s="235"/>
      <c r="B1080" s="235"/>
      <c r="C1080" s="318"/>
      <c r="D1080" s="2389"/>
      <c r="E1080" s="2389"/>
      <c r="F1080" s="2389"/>
      <c r="G1080" s="2389"/>
      <c r="H1080" s="2389"/>
      <c r="I1080" s="2389"/>
      <c r="J1080" s="2389"/>
      <c r="K1080" s="2389"/>
      <c r="L1080" s="2389"/>
      <c r="M1080" s="2389"/>
      <c r="N1080" s="2389"/>
      <c r="O1080" s="2389"/>
      <c r="P1080" s="2389"/>
      <c r="Q1080" s="2389"/>
      <c r="R1080" s="2389"/>
      <c r="S1080" s="2389"/>
      <c r="T1080" s="2389"/>
      <c r="U1080" s="2389"/>
      <c r="V1080" s="2389"/>
      <c r="W1080" s="2389"/>
      <c r="X1080" s="2389"/>
      <c r="Y1080" s="2389"/>
      <c r="Z1080" s="2389"/>
      <c r="AA1080" s="2389"/>
      <c r="AB1080" s="2389"/>
      <c r="AC1080" s="2389"/>
      <c r="AD1080" s="2389"/>
      <c r="AE1080" s="2389"/>
      <c r="AF1080" s="2389"/>
      <c r="AG1080" s="2389"/>
      <c r="AH1080" s="2389"/>
      <c r="AI1080" s="2389"/>
      <c r="AJ1080" s="2389"/>
      <c r="AK1080" s="2389"/>
      <c r="AL1080" s="674"/>
    </row>
    <row r="1081" spans="1:96" ht="12" customHeight="1">
      <c r="A1081" s="62"/>
      <c r="B1081" s="66"/>
      <c r="C1081" s="318"/>
      <c r="D1081" s="2389"/>
      <c r="E1081" s="2389"/>
      <c r="F1081" s="2389"/>
      <c r="G1081" s="2389"/>
      <c r="H1081" s="2389"/>
      <c r="I1081" s="2389"/>
      <c r="J1081" s="2389"/>
      <c r="K1081" s="2389"/>
      <c r="L1081" s="2389"/>
      <c r="M1081" s="2389"/>
      <c r="N1081" s="2389"/>
      <c r="O1081" s="2389"/>
      <c r="P1081" s="2389"/>
      <c r="Q1081" s="2389"/>
      <c r="R1081" s="2389"/>
      <c r="S1081" s="2389"/>
      <c r="T1081" s="2389"/>
      <c r="U1081" s="2389"/>
      <c r="V1081" s="2389"/>
      <c r="W1081" s="2389"/>
      <c r="X1081" s="2389"/>
      <c r="Y1081" s="2389"/>
      <c r="Z1081" s="2389"/>
      <c r="AA1081" s="2389"/>
      <c r="AB1081" s="2389"/>
      <c r="AC1081" s="2389"/>
      <c r="AD1081" s="2389"/>
      <c r="AE1081" s="2389"/>
      <c r="AF1081" s="2389"/>
      <c r="AG1081" s="2389"/>
      <c r="AH1081" s="2389"/>
      <c r="AI1081" s="2389"/>
      <c r="AJ1081" s="2389"/>
      <c r="AK1081" s="2389"/>
    </row>
    <row r="1082" spans="1:96" ht="12.6" customHeight="1">
      <c r="A1082" s="2089" t="s">
        <v>617</v>
      </c>
      <c r="B1082" s="2089"/>
      <c r="C1082" s="318">
        <v>9</v>
      </c>
      <c r="D1082" s="1933" t="s">
        <v>1178</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570:AS570"/>
    <mergeCell ref="Z579:AK579"/>
    <mergeCell ref="Z572:AD572"/>
    <mergeCell ref="Z573:AD573"/>
    <mergeCell ref="AI575:AL575"/>
    <mergeCell ref="AI574:AL574"/>
    <mergeCell ref="AI572:AL572"/>
    <mergeCell ref="AI570:AL570"/>
    <mergeCell ref="AH549:AK549"/>
    <mergeCell ref="AC540:AF540"/>
    <mergeCell ref="O541:AA541"/>
    <mergeCell ref="AC530:AF530"/>
    <mergeCell ref="Y486:AC486"/>
    <mergeCell ref="T487:X487"/>
    <mergeCell ref="Y488:AC488"/>
    <mergeCell ref="AH537:AK537"/>
    <mergeCell ref="Q505:AK505"/>
    <mergeCell ref="Q501:R502"/>
    <mergeCell ref="Q500:AK500"/>
    <mergeCell ref="AH527:AK527"/>
    <mergeCell ref="AC528:AF528"/>
    <mergeCell ref="C574:P574"/>
    <mergeCell ref="AC513:AF513"/>
    <mergeCell ref="AH513:AK513"/>
    <mergeCell ref="W573:Y573"/>
    <mergeCell ref="W574:Y574"/>
    <mergeCell ref="Z575:AD575"/>
    <mergeCell ref="Q563:S563"/>
    <mergeCell ref="AH553:AK553"/>
    <mergeCell ref="AC547:AF547"/>
    <mergeCell ref="AE563:AH563"/>
    <mergeCell ref="Z563:AD563"/>
    <mergeCell ref="BE618:BF618"/>
    <mergeCell ref="BE616:BF616"/>
    <mergeCell ref="BE625:BF625"/>
    <mergeCell ref="BS652:BW652"/>
    <mergeCell ref="BX655:CB655"/>
    <mergeCell ref="J387:U387"/>
    <mergeCell ref="AG394:AJ394"/>
    <mergeCell ref="AI391:AJ391"/>
    <mergeCell ref="BE615:BF615"/>
    <mergeCell ref="D444:AF444"/>
    <mergeCell ref="B513:H514"/>
    <mergeCell ref="AI615:AK615"/>
    <mergeCell ref="T490:X490"/>
    <mergeCell ref="AM567:AS567"/>
    <mergeCell ref="Y494:AC494"/>
    <mergeCell ref="BE613:BF613"/>
    <mergeCell ref="BE612:BF612"/>
    <mergeCell ref="N601:O601"/>
    <mergeCell ref="AA583:AK583"/>
    <mergeCell ref="Z604:AK604"/>
    <mergeCell ref="O535:AA535"/>
    <mergeCell ref="Z588:AK588"/>
    <mergeCell ref="G587:R587"/>
    <mergeCell ref="G604:R604"/>
    <mergeCell ref="W466:Y466"/>
    <mergeCell ref="AD491:AH491"/>
    <mergeCell ref="AD488:AH488"/>
    <mergeCell ref="Z578:AK578"/>
    <mergeCell ref="Z580:AK580"/>
    <mergeCell ref="Y495:AC495"/>
    <mergeCell ref="Q498:AK498"/>
    <mergeCell ref="AH546:AK546"/>
    <mergeCell ref="AE423:AF423"/>
    <mergeCell ref="AG393:AJ393"/>
    <mergeCell ref="AJ354:AK354"/>
    <mergeCell ref="A350:AL351"/>
    <mergeCell ref="AC384:AJ384"/>
    <mergeCell ref="AG376:AH376"/>
    <mergeCell ref="E417:G417"/>
    <mergeCell ref="AD410:AE410"/>
    <mergeCell ref="F426:AH427"/>
    <mergeCell ref="G598:R598"/>
    <mergeCell ref="D448:AF448"/>
    <mergeCell ref="K402:AJ402"/>
    <mergeCell ref="AD489:AH489"/>
    <mergeCell ref="J386:U386"/>
    <mergeCell ref="AC385:AJ385"/>
    <mergeCell ref="T491:X491"/>
    <mergeCell ref="Q392:U392"/>
    <mergeCell ref="Y491:AC491"/>
    <mergeCell ref="AH521:AK521"/>
    <mergeCell ref="W470:Y470"/>
    <mergeCell ref="W465:Y465"/>
    <mergeCell ref="T483:AH483"/>
    <mergeCell ref="W471:Y471"/>
    <mergeCell ref="D468:V468"/>
    <mergeCell ref="T488:X488"/>
    <mergeCell ref="AD490:AH490"/>
    <mergeCell ref="C573:P573"/>
    <mergeCell ref="A478:AL479"/>
    <mergeCell ref="AD484:AH485"/>
    <mergeCell ref="T569:V569"/>
    <mergeCell ref="Q497:AK497"/>
    <mergeCell ref="AC525:AF52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576:AL576"/>
    <mergeCell ref="T575:V575"/>
    <mergeCell ref="Z582:AE582"/>
    <mergeCell ref="AC522:AF522"/>
    <mergeCell ref="AH522:AK522"/>
    <mergeCell ref="AC524:AF524"/>
    <mergeCell ref="AH524:AK524"/>
    <mergeCell ref="AC521:AF521"/>
    <mergeCell ref="AH516:AK516"/>
    <mergeCell ref="AH529:AK529"/>
    <mergeCell ref="AH533:AK533"/>
    <mergeCell ref="AC529:AF529"/>
    <mergeCell ref="AH517:AK517"/>
    <mergeCell ref="B515:H520"/>
    <mergeCell ref="AC520:AF520"/>
    <mergeCell ref="AH528:AK528"/>
    <mergeCell ref="AC537:AF537"/>
    <mergeCell ref="Z574:AD574"/>
    <mergeCell ref="B563:P563"/>
    <mergeCell ref="AH534:AK534"/>
    <mergeCell ref="AH542:AK542"/>
    <mergeCell ref="AH525:AK525"/>
    <mergeCell ref="AE571:AH571"/>
    <mergeCell ref="AH544:AK544"/>
    <mergeCell ref="T568:V568"/>
    <mergeCell ref="W571:Y571"/>
    <mergeCell ref="W572:Y572"/>
    <mergeCell ref="AG827:AJ827"/>
    <mergeCell ref="AG825:AJ825"/>
    <mergeCell ref="M824:P824"/>
    <mergeCell ref="AI599:AK599"/>
    <mergeCell ref="Z587:AK587"/>
    <mergeCell ref="G612:R612"/>
    <mergeCell ref="Z598:AK598"/>
    <mergeCell ref="AM573:AS573"/>
    <mergeCell ref="AM568:AS568"/>
    <mergeCell ref="Q569:S569"/>
    <mergeCell ref="Q570:S570"/>
    <mergeCell ref="AI573:AL573"/>
    <mergeCell ref="AE570:AH570"/>
    <mergeCell ref="X791:AB791"/>
    <mergeCell ref="X792:AB792"/>
    <mergeCell ref="X787:AB787"/>
    <mergeCell ref="X788:AB788"/>
    <mergeCell ref="X789:AB789"/>
    <mergeCell ref="X790:AB790"/>
    <mergeCell ref="O795:S795"/>
    <mergeCell ref="Z605:AK605"/>
    <mergeCell ref="Z596:AK596"/>
    <mergeCell ref="AG617:AH617"/>
    <mergeCell ref="H616:R616"/>
    <mergeCell ref="P615:R615"/>
    <mergeCell ref="AM574:AS574"/>
    <mergeCell ref="Q571:S571"/>
    <mergeCell ref="Q572:S572"/>
    <mergeCell ref="G590:R590"/>
    <mergeCell ref="Z569:AD569"/>
    <mergeCell ref="Z570:AD570"/>
    <mergeCell ref="AE574:AH574"/>
    <mergeCell ref="Z431:AA431"/>
    <mergeCell ref="AC455:AF455"/>
    <mergeCell ref="Y487:AC487"/>
    <mergeCell ref="D443:AF443"/>
    <mergeCell ref="D467:V467"/>
    <mergeCell ref="D436:AF436"/>
    <mergeCell ref="AH540:AK540"/>
    <mergeCell ref="B526:H528"/>
    <mergeCell ref="AC542:AF542"/>
    <mergeCell ref="O538:AA538"/>
    <mergeCell ref="AC550:AF550"/>
    <mergeCell ref="AH539:AK539"/>
    <mergeCell ref="O544:AA544"/>
    <mergeCell ref="AC549:AF549"/>
    <mergeCell ref="B532:H554"/>
    <mergeCell ref="AC532:AF532"/>
    <mergeCell ref="AC554:AF554"/>
    <mergeCell ref="AC539:AF539"/>
    <mergeCell ref="T492:X492"/>
    <mergeCell ref="T495:X495"/>
    <mergeCell ref="Q499:AK499"/>
    <mergeCell ref="T494:X494"/>
    <mergeCell ref="Q506:AK506"/>
    <mergeCell ref="AH536:AK536"/>
    <mergeCell ref="B529:H531"/>
    <mergeCell ref="AH541:AK541"/>
    <mergeCell ref="Y484:AC485"/>
    <mergeCell ref="AC515:AF515"/>
    <mergeCell ref="AC536:AF536"/>
    <mergeCell ref="AG445:AJ445"/>
    <mergeCell ref="Q503:AK503"/>
    <mergeCell ref="D439:AF439"/>
    <mergeCell ref="AG437:AJ437"/>
    <mergeCell ref="AC531:AF531"/>
    <mergeCell ref="AC533:AF533"/>
    <mergeCell ref="AM563:AS563"/>
    <mergeCell ref="AH515:AK515"/>
    <mergeCell ref="AH554:AK554"/>
    <mergeCell ref="W563:Y563"/>
    <mergeCell ref="AC548:AF548"/>
    <mergeCell ref="AC538:AF538"/>
    <mergeCell ref="AH551:AK551"/>
    <mergeCell ref="AH543:AK543"/>
    <mergeCell ref="AH552:AK552"/>
    <mergeCell ref="AC552:AF552"/>
    <mergeCell ref="AC551:AF551"/>
    <mergeCell ref="AC544:AF544"/>
    <mergeCell ref="O547:AA547"/>
    <mergeCell ref="AH548:AK548"/>
    <mergeCell ref="AC546:AF546"/>
    <mergeCell ref="AC541:AF541"/>
    <mergeCell ref="AH532:AK532"/>
    <mergeCell ref="L520:AB520"/>
    <mergeCell ref="AH538:AK538"/>
    <mergeCell ref="AC545:AF545"/>
    <mergeCell ref="AH545:AK545"/>
    <mergeCell ref="AH547:AK547"/>
    <mergeCell ref="D445:AF445"/>
    <mergeCell ref="D446:AF446"/>
    <mergeCell ref="AG441:AJ441"/>
    <mergeCell ref="AG440:AJ440"/>
    <mergeCell ref="O532:AA532"/>
    <mergeCell ref="AC517:AF517"/>
    <mergeCell ref="AH520:AK520"/>
    <mergeCell ref="AC535:AF535"/>
    <mergeCell ref="AC543:AF543"/>
    <mergeCell ref="AH535:AK535"/>
    <mergeCell ref="AC534:AF534"/>
    <mergeCell ref="BE623:BF623"/>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Q573:S573"/>
    <mergeCell ref="BS643:BW643"/>
    <mergeCell ref="BX643:CB643"/>
    <mergeCell ref="CC643:CG643"/>
    <mergeCell ref="BS651:BW651"/>
    <mergeCell ref="CH663:CL663"/>
    <mergeCell ref="CH656:CL656"/>
    <mergeCell ref="CH657:CL657"/>
    <mergeCell ref="BX656:CB656"/>
    <mergeCell ref="CM625:CQ625"/>
    <mergeCell ref="CM626:CQ626"/>
    <mergeCell ref="CM627:CQ627"/>
    <mergeCell ref="CM628:CQ628"/>
    <mergeCell ref="CH635:CL635"/>
    <mergeCell ref="CH634:CL634"/>
    <mergeCell ref="CM629:CQ629"/>
    <mergeCell ref="CM630:CQ630"/>
    <mergeCell ref="CM631:CQ631"/>
    <mergeCell ref="BX642:CB642"/>
    <mergeCell ref="CC663:CG663"/>
    <mergeCell ref="CM663:CQ663"/>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9:CL629"/>
    <mergeCell ref="BK633:BL633"/>
    <mergeCell ref="CH633:CL633"/>
    <mergeCell ref="CM634:CQ634"/>
    <mergeCell ref="BI625:BJ625"/>
    <mergeCell ref="BK625:BL625"/>
    <mergeCell ref="BG625:BH625"/>
    <mergeCell ref="CC630:CG630"/>
    <mergeCell ref="CC632:CG632"/>
    <mergeCell ref="BE627:BF627"/>
    <mergeCell ref="BI630:BJ630"/>
    <mergeCell ref="BE629:BF629"/>
    <mergeCell ref="CC628:CG628"/>
    <mergeCell ref="BK627:BL627"/>
    <mergeCell ref="BI626:BJ626"/>
    <mergeCell ref="BK626:BL62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I616:BJ616"/>
    <mergeCell ref="BS615:BW615"/>
    <mergeCell ref="BX615:CB615"/>
    <mergeCell ref="BG621:BH621"/>
    <mergeCell ref="C564:P564"/>
    <mergeCell ref="C565:P565"/>
    <mergeCell ref="C567:P567"/>
    <mergeCell ref="C569:P569"/>
    <mergeCell ref="Z597:AK597"/>
    <mergeCell ref="G580:R580"/>
    <mergeCell ref="Q567:S567"/>
    <mergeCell ref="Z564:AD564"/>
    <mergeCell ref="Z565:AD565"/>
    <mergeCell ref="AE567:AH567"/>
    <mergeCell ref="AE565:AH565"/>
    <mergeCell ref="BX622:CB622"/>
    <mergeCell ref="CC621:CG621"/>
    <mergeCell ref="CH619:CL619"/>
    <mergeCell ref="CC616:CG616"/>
    <mergeCell ref="CH616:CL616"/>
    <mergeCell ref="CH612:CL612"/>
    <mergeCell ref="BX609:CB609"/>
    <mergeCell ref="BX612:CB612"/>
    <mergeCell ref="BI619:BJ619"/>
    <mergeCell ref="CH617:CL617"/>
    <mergeCell ref="BE619:BF619"/>
    <mergeCell ref="BE614:BF614"/>
    <mergeCell ref="Z571:AD571"/>
    <mergeCell ref="Z591:AE591"/>
    <mergeCell ref="C575:P575"/>
    <mergeCell ref="T573:V573"/>
    <mergeCell ref="G615:L615"/>
    <mergeCell ref="AA600:AK600"/>
    <mergeCell ref="BS614:BW614"/>
    <mergeCell ref="BX614:CB614"/>
    <mergeCell ref="AM564:AS564"/>
    <mergeCell ref="BE617:BF617"/>
    <mergeCell ref="CC613:CG613"/>
    <mergeCell ref="BN614:BR614"/>
    <mergeCell ref="CC615:CG615"/>
    <mergeCell ref="BS617:BW617"/>
    <mergeCell ref="BN613:BR613"/>
    <mergeCell ref="BX613:CB613"/>
    <mergeCell ref="CC618:CG618"/>
    <mergeCell ref="AI566:AL566"/>
    <mergeCell ref="BI620:BJ620"/>
    <mergeCell ref="BK620:BL620"/>
    <mergeCell ref="BN620:BR620"/>
    <mergeCell ref="BS620:BW620"/>
    <mergeCell ref="BX616:CB616"/>
    <mergeCell ref="BI613:BJ613"/>
    <mergeCell ref="G581:R581"/>
    <mergeCell ref="G595:R595"/>
    <mergeCell ref="AG585:AH585"/>
    <mergeCell ref="G607:L607"/>
    <mergeCell ref="AA608:AK608"/>
    <mergeCell ref="BE611:BF611"/>
    <mergeCell ref="BG611:BH611"/>
    <mergeCell ref="T566:V566"/>
    <mergeCell ref="BK618:BL618"/>
    <mergeCell ref="C568:P568"/>
    <mergeCell ref="Q574:S574"/>
    <mergeCell ref="Q575:S575"/>
    <mergeCell ref="AA592:AK592"/>
    <mergeCell ref="W569:Y569"/>
    <mergeCell ref="W570:Y570"/>
    <mergeCell ref="W575:Y575"/>
    <mergeCell ref="AE575:AH575"/>
    <mergeCell ref="AE564:AH564"/>
    <mergeCell ref="Z566:AD566"/>
    <mergeCell ref="AI565:AL565"/>
    <mergeCell ref="T563:V563"/>
    <mergeCell ref="AM569:AS569"/>
    <mergeCell ref="AM566:AS566"/>
    <mergeCell ref="CH609:CL609"/>
    <mergeCell ref="BE621:BF621"/>
    <mergeCell ref="AM576:AS576"/>
    <mergeCell ref="AM571:AS571"/>
    <mergeCell ref="BG614:BH614"/>
    <mergeCell ref="BI614:BJ614"/>
    <mergeCell ref="BI612:BJ612"/>
    <mergeCell ref="T570:V570"/>
    <mergeCell ref="BE610:BF610"/>
    <mergeCell ref="H583:R583"/>
    <mergeCell ref="Z611:AK611"/>
    <mergeCell ref="N609:O609"/>
    <mergeCell ref="AG609:AH609"/>
    <mergeCell ref="AI607:AK607"/>
    <mergeCell ref="BG613:BH613"/>
    <mergeCell ref="BI621:BJ621"/>
    <mergeCell ref="Z603:AK603"/>
    <mergeCell ref="AG593:AH593"/>
    <mergeCell ref="AI591:AK591"/>
    <mergeCell ref="Z590:AK590"/>
    <mergeCell ref="AG601:AH601"/>
    <mergeCell ref="Z599:AE599"/>
    <mergeCell ref="W568:Y568"/>
    <mergeCell ref="Q568:S568"/>
    <mergeCell ref="AE573:AH573"/>
    <mergeCell ref="BX621:CB621"/>
    <mergeCell ref="W417:Y417"/>
    <mergeCell ref="D447:AF447"/>
    <mergeCell ref="AG444:AJ444"/>
    <mergeCell ref="Z613:AK613"/>
    <mergeCell ref="AM565:AS565"/>
    <mergeCell ref="T571:V571"/>
    <mergeCell ref="T572:V572"/>
    <mergeCell ref="AE568:AH568"/>
    <mergeCell ref="AI568:AL568"/>
    <mergeCell ref="Z568:AD568"/>
    <mergeCell ref="AI571:AL571"/>
    <mergeCell ref="AE572:AH572"/>
    <mergeCell ref="AM572:AS572"/>
    <mergeCell ref="Z607:AE607"/>
    <mergeCell ref="AH550:AK550"/>
    <mergeCell ref="AI563:AL563"/>
    <mergeCell ref="A556:AS557"/>
    <mergeCell ref="AC553:AF553"/>
    <mergeCell ref="AI582:AK582"/>
    <mergeCell ref="G611:R611"/>
    <mergeCell ref="Q564:S564"/>
    <mergeCell ref="T567:V567"/>
    <mergeCell ref="W564:Y564"/>
    <mergeCell ref="W565:Y565"/>
    <mergeCell ref="Z567:AD567"/>
    <mergeCell ref="W567:Y567"/>
    <mergeCell ref="AI567:AL567"/>
    <mergeCell ref="T565:V565"/>
    <mergeCell ref="D469:V469"/>
    <mergeCell ref="Y489:AC489"/>
    <mergeCell ref="T484:X485"/>
    <mergeCell ref="AH514:AK514"/>
    <mergeCell ref="AC511:AK511"/>
    <mergeCell ref="B501:P502"/>
    <mergeCell ref="AC518:AF518"/>
    <mergeCell ref="D464:V464"/>
    <mergeCell ref="Q504:AK504"/>
    <mergeCell ref="AD493:AH493"/>
    <mergeCell ref="D470:V470"/>
    <mergeCell ref="Y493:AC493"/>
    <mergeCell ref="AD486:AH486"/>
    <mergeCell ref="Y490:AC490"/>
    <mergeCell ref="AH519:AK519"/>
    <mergeCell ref="AC516:AF516"/>
    <mergeCell ref="T493:X493"/>
    <mergeCell ref="AD495:AH495"/>
    <mergeCell ref="AD494:AH494"/>
    <mergeCell ref="AC514:AF514"/>
    <mergeCell ref="AH512:AK512"/>
    <mergeCell ref="Q428:R428"/>
    <mergeCell ref="T489:X489"/>
    <mergeCell ref="Y492:AC492"/>
    <mergeCell ref="D466:V466"/>
    <mergeCell ref="M507:P507"/>
    <mergeCell ref="AH507:AK507"/>
    <mergeCell ref="W469:Y469"/>
    <mergeCell ref="Q389:U389"/>
    <mergeCell ref="AI388:AJ388"/>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Q388:U388"/>
    <mergeCell ref="S401:U401"/>
    <mergeCell ref="E419:AJ419"/>
    <mergeCell ref="P424:Q424"/>
    <mergeCell ref="I417:K417"/>
    <mergeCell ref="S412:T412"/>
    <mergeCell ref="AE424:AF424"/>
    <mergeCell ref="AC519:AF519"/>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S404:AJ404"/>
    <mergeCell ref="AG447:AJ447"/>
    <mergeCell ref="AG392:AJ392"/>
    <mergeCell ref="AG390:AJ390"/>
    <mergeCell ref="P348:AE348"/>
    <mergeCell ref="AC369:AF369"/>
    <mergeCell ref="P347:Z347"/>
    <mergeCell ref="N372:AF373"/>
    <mergeCell ref="AA298:AF298"/>
    <mergeCell ref="AA286:AK286"/>
    <mergeCell ref="T266:X266"/>
    <mergeCell ref="M252:T252"/>
    <mergeCell ref="AC252:AE252"/>
    <mergeCell ref="AA302:AK302"/>
    <mergeCell ref="D269:H269"/>
    <mergeCell ref="N370:Q370"/>
    <mergeCell ref="V381:W381"/>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A288:AK288"/>
    <mergeCell ref="Z262:AE262"/>
    <mergeCell ref="AA287:AK287"/>
    <mergeCell ref="H286:R286"/>
    <mergeCell ref="M259:AE259"/>
    <mergeCell ref="M261:AE261"/>
    <mergeCell ref="H308:R308"/>
    <mergeCell ref="AA308:AK308"/>
    <mergeCell ref="P322:R322"/>
    <mergeCell ref="AA314:AF314"/>
    <mergeCell ref="P342:AE342"/>
    <mergeCell ref="H320:R320"/>
    <mergeCell ref="H321:R321"/>
    <mergeCell ref="AA330:AF330"/>
    <mergeCell ref="H310:R310"/>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248:AK248"/>
    <mergeCell ref="AA291:AF291"/>
    <mergeCell ref="AB275:AD275"/>
    <mergeCell ref="Y277:AD277"/>
    <mergeCell ref="AA294:AK294"/>
    <mergeCell ref="AF258:AK258"/>
    <mergeCell ref="AC260:AE260"/>
    <mergeCell ref="P298:R298"/>
    <mergeCell ref="H303:R303"/>
    <mergeCell ref="A281:AL282"/>
    <mergeCell ref="H292:R292"/>
    <mergeCell ref="P314:R31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AA310:AK310"/>
    <mergeCell ref="AA305:AK305"/>
    <mergeCell ref="X269:AC269"/>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H302:R302"/>
    <mergeCell ref="M263:AE263"/>
    <mergeCell ref="AA307:AF307"/>
    <mergeCell ref="AI338:AK338"/>
    <mergeCell ref="H339:M339"/>
    <mergeCell ref="AA312:AK312"/>
    <mergeCell ref="M251:AE251"/>
    <mergeCell ref="AA304:AK304"/>
    <mergeCell ref="AA290:AF290"/>
    <mergeCell ref="AI290:AK290"/>
    <mergeCell ref="H291:M291"/>
    <mergeCell ref="AA296:AK296"/>
    <mergeCell ref="AA297:AK297"/>
    <mergeCell ref="H316:R316"/>
    <mergeCell ref="L275:S275"/>
    <mergeCell ref="L277:Q277"/>
    <mergeCell ref="AA295:AK295"/>
    <mergeCell ref="Z254:AE254"/>
    <mergeCell ref="H300:R300"/>
    <mergeCell ref="H297:R297"/>
    <mergeCell ref="H311:R311"/>
    <mergeCell ref="H304:R304"/>
    <mergeCell ref="AA299:AF299"/>
    <mergeCell ref="H305:R305"/>
    <mergeCell ref="M254:R254"/>
    <mergeCell ref="L276:AD276"/>
    <mergeCell ref="T277:V277"/>
    <mergeCell ref="AI314:AK314"/>
    <mergeCell ref="M258:AE258"/>
    <mergeCell ref="AA303:AK303"/>
    <mergeCell ref="AA311:AK311"/>
    <mergeCell ref="AI306:AK306"/>
    <mergeCell ref="L278:AD278"/>
    <mergeCell ref="M260:T260"/>
    <mergeCell ref="AA313:AK313"/>
    <mergeCell ref="D405:AJ406"/>
    <mergeCell ref="AM575:AS575"/>
    <mergeCell ref="W467:Y467"/>
    <mergeCell ref="U254:W254"/>
    <mergeCell ref="J385:U385"/>
    <mergeCell ref="AD492:AH492"/>
    <mergeCell ref="AC512:AF512"/>
    <mergeCell ref="W464:Y464"/>
    <mergeCell ref="T486:X486"/>
    <mergeCell ref="AH518:AK518"/>
    <mergeCell ref="AD487:AH487"/>
    <mergeCell ref="D437:AF437"/>
    <mergeCell ref="D438:AF438"/>
    <mergeCell ref="N625:O625"/>
    <mergeCell ref="AK639:AN639"/>
    <mergeCell ref="AO650:AS650"/>
    <mergeCell ref="U639:W639"/>
    <mergeCell ref="X637:AB637"/>
    <mergeCell ref="AA300:AK300"/>
    <mergeCell ref="H306:M306"/>
    <mergeCell ref="AA326:AK326"/>
    <mergeCell ref="AA339:AF339"/>
    <mergeCell ref="H315:M315"/>
    <mergeCell ref="H330:M330"/>
    <mergeCell ref="H340:R340"/>
    <mergeCell ref="H337:R337"/>
    <mergeCell ref="AA324:AK324"/>
    <mergeCell ref="H314:M314"/>
    <mergeCell ref="AA315:AF315"/>
    <mergeCell ref="AA338:AF338"/>
    <mergeCell ref="H307:M307"/>
    <mergeCell ref="P306:R306"/>
    <mergeCell ref="B753:F753"/>
    <mergeCell ref="X772:AB772"/>
    <mergeCell ref="T772:W772"/>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AG448:AJ448"/>
    <mergeCell ref="AF417:AH417"/>
    <mergeCell ref="Y363:Z363"/>
    <mergeCell ref="AG379:AH379"/>
    <mergeCell ref="N377:P377"/>
    <mergeCell ref="AG400:AJ400"/>
    <mergeCell ref="Z433:AA433"/>
    <mergeCell ref="AD411:AE411"/>
    <mergeCell ref="AE401:AJ401"/>
    <mergeCell ref="K403:AJ403"/>
    <mergeCell ref="AG446:AJ446"/>
    <mergeCell ref="T790:W790"/>
    <mergeCell ref="T791:W791"/>
    <mergeCell ref="O788:S788"/>
    <mergeCell ref="J774:N774"/>
    <mergeCell ref="AC773:AG773"/>
    <mergeCell ref="AC774:AG774"/>
    <mergeCell ref="AC782:AG785"/>
    <mergeCell ref="X793:AB793"/>
    <mergeCell ref="T795:W795"/>
    <mergeCell ref="X773:AB773"/>
    <mergeCell ref="J790:N790"/>
    <mergeCell ref="T774:W774"/>
    <mergeCell ref="T775:W775"/>
    <mergeCell ref="X782:AB785"/>
    <mergeCell ref="X786:AB786"/>
    <mergeCell ref="AC768:AG771"/>
    <mergeCell ref="T794:W794"/>
    <mergeCell ref="O786:S786"/>
    <mergeCell ref="AC793:AG793"/>
    <mergeCell ref="AC794:AG794"/>
    <mergeCell ref="Q824:T824"/>
    <mergeCell ref="Y821:AB822"/>
    <mergeCell ref="Y824:AB824"/>
    <mergeCell ref="AC824:AF824"/>
    <mergeCell ref="AC825:AF825"/>
    <mergeCell ref="Z806:AE806"/>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O745:S745"/>
    <mergeCell ref="AC746:AG746"/>
    <mergeCell ref="O793:S793"/>
    <mergeCell ref="O796:S796"/>
    <mergeCell ref="C762:AR764"/>
    <mergeCell ref="C765:AR767"/>
    <mergeCell ref="B754:AH755"/>
    <mergeCell ref="O773:S773"/>
    <mergeCell ref="G753:J753"/>
    <mergeCell ref="T773:W773"/>
    <mergeCell ref="J778:K778"/>
    <mergeCell ref="J786:N786"/>
    <mergeCell ref="BD905:BE905"/>
    <mergeCell ref="W847:AC847"/>
    <mergeCell ref="U827:X827"/>
    <mergeCell ref="W864:AC864"/>
    <mergeCell ref="C892:AB892"/>
    <mergeCell ref="AG829:AJ829"/>
    <mergeCell ref="Y829:AB829"/>
    <mergeCell ref="U829:X829"/>
    <mergeCell ref="Q829:T829"/>
    <mergeCell ref="AC829:AF829"/>
    <mergeCell ref="Y827:AB827"/>
    <mergeCell ref="AC827:AF827"/>
    <mergeCell ref="Q828:T828"/>
    <mergeCell ref="AG828:AJ828"/>
    <mergeCell ref="W867:AC867"/>
    <mergeCell ref="AC886:AH886"/>
    <mergeCell ref="M876:V876"/>
    <mergeCell ref="AC881:AH881"/>
    <mergeCell ref="AG830:AJ830"/>
    <mergeCell ref="W842:AC842"/>
    <mergeCell ref="AC830:AF830"/>
    <mergeCell ref="W844:AC844"/>
    <mergeCell ref="W849:AC849"/>
    <mergeCell ref="W840:AC840"/>
    <mergeCell ref="W845:AC845"/>
    <mergeCell ref="AZ854:BA854"/>
    <mergeCell ref="W874:AC874"/>
    <mergeCell ref="M874:V874"/>
    <mergeCell ref="Q830:T830"/>
    <mergeCell ref="Q827:T827"/>
    <mergeCell ref="M873:V873"/>
    <mergeCell ref="W851:AC851"/>
    <mergeCell ref="BI844:BL844"/>
    <mergeCell ref="AA951:AG951"/>
    <mergeCell ref="AA957:AG957"/>
    <mergeCell ref="M955:S955"/>
    <mergeCell ref="I934:T934"/>
    <mergeCell ref="AA929:AF929"/>
    <mergeCell ref="F913:T914"/>
    <mergeCell ref="U917:Z917"/>
    <mergeCell ref="U927:Z927"/>
    <mergeCell ref="U923:Z923"/>
    <mergeCell ref="AA916:AF916"/>
    <mergeCell ref="U921:Z921"/>
    <mergeCell ref="AA920:AF920"/>
    <mergeCell ref="AB914:AE914"/>
    <mergeCell ref="BD907:BF907"/>
    <mergeCell ref="BD901:BE901"/>
    <mergeCell ref="BD903:BE903"/>
    <mergeCell ref="BD904:BE904"/>
    <mergeCell ref="BD906:BE906"/>
    <mergeCell ref="BD902:BE902"/>
    <mergeCell ref="W866:AC866"/>
    <mergeCell ref="W875:AC875"/>
    <mergeCell ref="AC884:AH884"/>
    <mergeCell ref="AC883:AH883"/>
    <mergeCell ref="M942:S942"/>
    <mergeCell ref="W876:AC876"/>
    <mergeCell ref="BD908:BF908"/>
    <mergeCell ref="W865:AC865"/>
    <mergeCell ref="W850:AC850"/>
    <mergeCell ref="AA922:AF922"/>
    <mergeCell ref="W855:AC855"/>
    <mergeCell ref="M859:V85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AA956:AG956"/>
    <mergeCell ref="M944:S944"/>
    <mergeCell ref="Z898:AE898"/>
    <mergeCell ref="X752:AB752"/>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59:AC859"/>
    <mergeCell ref="M872:V872"/>
    <mergeCell ref="AC826:AF826"/>
    <mergeCell ref="C828:H828"/>
    <mergeCell ref="M844:V844"/>
    <mergeCell ref="W853:AC853"/>
    <mergeCell ref="AC890:AH890"/>
    <mergeCell ref="AC888:AH888"/>
    <mergeCell ref="U828:X828"/>
    <mergeCell ref="W857:AC857"/>
    <mergeCell ref="M823:P823"/>
    <mergeCell ref="M827:P827"/>
    <mergeCell ref="AH786:AL786"/>
    <mergeCell ref="Y823:AB823"/>
    <mergeCell ref="AC823:AF823"/>
    <mergeCell ref="U825:X825"/>
    <mergeCell ref="P814:Y814"/>
    <mergeCell ref="O787:S787"/>
    <mergeCell ref="O794:S794"/>
    <mergeCell ref="AC790:AG790"/>
    <mergeCell ref="AH782:AL785"/>
    <mergeCell ref="U830:X830"/>
    <mergeCell ref="C830:L830"/>
    <mergeCell ref="M830:P830"/>
    <mergeCell ref="W861:AC861"/>
    <mergeCell ref="AC889:AH889"/>
    <mergeCell ref="C891:AB891"/>
    <mergeCell ref="AG826:AJ826"/>
    <mergeCell ref="J787:N787"/>
    <mergeCell ref="Z816:AE816"/>
    <mergeCell ref="Q823:T823"/>
    <mergeCell ref="U823:X823"/>
    <mergeCell ref="M821:P822"/>
    <mergeCell ref="O790:S790"/>
    <mergeCell ref="Z815:AE815"/>
    <mergeCell ref="O782:S785"/>
    <mergeCell ref="Y830:AB830"/>
    <mergeCell ref="Z813:AE813"/>
    <mergeCell ref="X794:AB794"/>
    <mergeCell ref="X795:AB795"/>
    <mergeCell ref="J795:N795"/>
    <mergeCell ref="T792:W792"/>
    <mergeCell ref="Y825:AB825"/>
    <mergeCell ref="W872:AC872"/>
    <mergeCell ref="W868:AC86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R969:AA969"/>
    <mergeCell ref="M943:S943"/>
    <mergeCell ref="J941:S941"/>
    <mergeCell ref="Z897:AE897"/>
    <mergeCell ref="O744:S744"/>
    <mergeCell ref="Y828:AB828"/>
    <mergeCell ref="U919:Z919"/>
    <mergeCell ref="AA921:AF921"/>
    <mergeCell ref="AC776:AG776"/>
    <mergeCell ref="Q821:T822"/>
    <mergeCell ref="Z807:AE807"/>
    <mergeCell ref="J776:N776"/>
    <mergeCell ref="W841:AC841"/>
    <mergeCell ref="J847:V847"/>
    <mergeCell ref="AC891:AH891"/>
    <mergeCell ref="B732:F732"/>
    <mergeCell ref="T724:W727"/>
    <mergeCell ref="O729:S729"/>
    <mergeCell ref="X734:AB734"/>
    <mergeCell ref="AH732:AJ732"/>
    <mergeCell ref="AC734:AG734"/>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AC733:AG733"/>
    <mergeCell ref="K739:N739"/>
    <mergeCell ref="G741:J741"/>
    <mergeCell ref="X739:AB739"/>
    <mergeCell ref="X735:AB735"/>
    <mergeCell ref="X738:AB738"/>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O756:R756"/>
    <mergeCell ref="X741:AB741"/>
    <mergeCell ref="G746:J746"/>
    <mergeCell ref="AC752:AG752"/>
    <mergeCell ref="AH750:AJ750"/>
    <mergeCell ref="O747:S747"/>
    <mergeCell ref="AH787:AL787"/>
    <mergeCell ref="AH788:AL788"/>
    <mergeCell ref="AH789:AL789"/>
    <mergeCell ref="AH790:AL790"/>
    <mergeCell ref="B731:F731"/>
    <mergeCell ref="BN616:BR616"/>
    <mergeCell ref="BN619:BR619"/>
    <mergeCell ref="BK619:BL619"/>
    <mergeCell ref="BG620:BH620"/>
    <mergeCell ref="BK621:BL621"/>
    <mergeCell ref="BI618:BJ618"/>
    <mergeCell ref="BS623:BW623"/>
    <mergeCell ref="BG617:BH617"/>
    <mergeCell ref="BK615:BL615"/>
    <mergeCell ref="BG619:BH619"/>
    <mergeCell ref="BG616:BH616"/>
    <mergeCell ref="BG629:BH629"/>
    <mergeCell ref="BG635:BH635"/>
    <mergeCell ref="BK635:BL635"/>
    <mergeCell ref="BN635:BR635"/>
    <mergeCell ref="BG626:BH626"/>
    <mergeCell ref="BK628:BL628"/>
    <mergeCell ref="BS642:BW642"/>
    <mergeCell ref="BG618:BH618"/>
    <mergeCell ref="BE620:BF620"/>
    <mergeCell ref="P657:R657"/>
    <mergeCell ref="AI657:AK657"/>
    <mergeCell ref="AO634:AS636"/>
    <mergeCell ref="O647:Q647"/>
    <mergeCell ref="O648:Q648"/>
    <mergeCell ref="BG622:BH622"/>
    <mergeCell ref="T729:W729"/>
    <mergeCell ref="G724:J727"/>
    <mergeCell ref="K724:N727"/>
    <mergeCell ref="BK632:BL632"/>
    <mergeCell ref="BS625:BW625"/>
    <mergeCell ref="BE630:BF630"/>
    <mergeCell ref="G663:R663"/>
    <mergeCell ref="AK729:AO729"/>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BN626:BR626"/>
    <mergeCell ref="C646:N646"/>
    <mergeCell ref="X634:AB636"/>
    <mergeCell ref="X648:AB648"/>
    <mergeCell ref="AO643:AS643"/>
    <mergeCell ref="Z654:AK654"/>
    <mergeCell ref="AA658:AK658"/>
    <mergeCell ref="BG630:BH630"/>
    <mergeCell ref="BN625:BR625"/>
    <mergeCell ref="BN663:BR663"/>
    <mergeCell ref="H658:R658"/>
    <mergeCell ref="G657:L657"/>
    <mergeCell ref="B728:F728"/>
    <mergeCell ref="AE709:AI709"/>
    <mergeCell ref="BE626:BF626"/>
    <mergeCell ref="BE624:BF624"/>
    <mergeCell ref="BG627:BH627"/>
    <mergeCell ref="BN649:BR649"/>
    <mergeCell ref="BN629:BR629"/>
    <mergeCell ref="BE631:BF631"/>
    <mergeCell ref="BE632:BF632"/>
    <mergeCell ref="BI629:BJ629"/>
    <mergeCell ref="BK629:BL629"/>
    <mergeCell ref="BE634:BF634"/>
    <mergeCell ref="AF643:AJ643"/>
    <mergeCell ref="AO640:AS640"/>
    <mergeCell ref="BN654:BR654"/>
    <mergeCell ref="BN653:BR653"/>
    <mergeCell ref="BN652:BR652"/>
    <mergeCell ref="BN655:BR655"/>
    <mergeCell ref="BN656:BR656"/>
    <mergeCell ref="BN657:BR657"/>
    <mergeCell ref="R640:T640"/>
    <mergeCell ref="CM613:CQ613"/>
    <mergeCell ref="CM614:CQ614"/>
    <mergeCell ref="CM615:CQ615"/>
    <mergeCell ref="CM616:CQ616"/>
    <mergeCell ref="CH620:CL620"/>
    <mergeCell ref="CH623:CL623"/>
    <mergeCell ref="CH621:CL621"/>
    <mergeCell ref="BI623:BJ623"/>
    <mergeCell ref="BI622:BJ622"/>
    <mergeCell ref="BS624:BW624"/>
    <mergeCell ref="BX624:CB624"/>
    <mergeCell ref="BX627:CB627"/>
    <mergeCell ref="BS626:BW626"/>
    <mergeCell ref="BI624:BJ624"/>
    <mergeCell ref="BX625:CB625"/>
    <mergeCell ref="CC625:CG625"/>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CC614:CG614"/>
    <mergeCell ref="BS627:BW627"/>
    <mergeCell ref="CC624:CG624"/>
    <mergeCell ref="CM620:CQ620"/>
    <mergeCell ref="BX626:CB626"/>
    <mergeCell ref="CC626:CG626"/>
    <mergeCell ref="BN627:BR627"/>
    <mergeCell ref="CH628:CL628"/>
    <mergeCell ref="BS629:BW629"/>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G665:L665"/>
    <mergeCell ref="X643:AB643"/>
    <mergeCell ref="U637:W637"/>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M356:N356"/>
    <mergeCell ref="R410:S410"/>
    <mergeCell ref="BK622:BL622"/>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C566:P566"/>
    <mergeCell ref="C570:P570"/>
    <mergeCell ref="AI564:AL564"/>
    <mergeCell ref="T564:V564"/>
    <mergeCell ref="E367:AH368"/>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18:CW618"/>
    <mergeCell ref="CX618:DB618"/>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X751:AB751"/>
    <mergeCell ref="O730:S730"/>
    <mergeCell ref="AC821:AF822"/>
    <mergeCell ref="Z814:AE814"/>
    <mergeCell ref="AC740:AG740"/>
    <mergeCell ref="K736:N736"/>
    <mergeCell ref="T788:W788"/>
    <mergeCell ref="T789:W789"/>
    <mergeCell ref="AC745:AG745"/>
    <mergeCell ref="T731:W731"/>
    <mergeCell ref="AG756:AJ756"/>
    <mergeCell ref="Y799:AC799"/>
    <mergeCell ref="J782:N785"/>
    <mergeCell ref="AH738:AJ738"/>
    <mergeCell ref="X740:AB740"/>
    <mergeCell ref="AH749:AJ749"/>
    <mergeCell ref="AH735:AJ735"/>
    <mergeCell ref="G680:R680"/>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Z685:AK685"/>
    <mergeCell ref="T733:W733"/>
    <mergeCell ref="T734:W734"/>
    <mergeCell ref="G729:J729"/>
    <mergeCell ref="B730:F730"/>
    <mergeCell ref="G739:J739"/>
    <mergeCell ref="AC741:AG741"/>
    <mergeCell ref="AC742:AG742"/>
    <mergeCell ref="AC743:AG743"/>
    <mergeCell ref="AC737:AG737"/>
    <mergeCell ref="AC738:AG738"/>
    <mergeCell ref="G733:J733"/>
    <mergeCell ref="K737:N737"/>
    <mergeCell ref="K738:N738"/>
    <mergeCell ref="AH743:AJ743"/>
    <mergeCell ref="O734:S73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Z672:AK672"/>
    <mergeCell ref="Z677:AK677"/>
    <mergeCell ref="K728:N728"/>
    <mergeCell ref="AG699:AH699"/>
    <mergeCell ref="AE703:AF703"/>
    <mergeCell ref="AE704:AF704"/>
    <mergeCell ref="AH731:AJ731"/>
    <mergeCell ref="T728:W728"/>
    <mergeCell ref="O728:S728"/>
    <mergeCell ref="K729:N729"/>
    <mergeCell ref="AC728:AG728"/>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Z673:AE673"/>
    <mergeCell ref="AG683:AH683"/>
    <mergeCell ref="AJ972:AQ972"/>
    <mergeCell ref="G678:R678"/>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AA682:AK682"/>
    <mergeCell ref="Z694:AK694"/>
    <mergeCell ref="Z697:AE697"/>
    <mergeCell ref="G694:R694"/>
    <mergeCell ref="AH728:AJ728"/>
    <mergeCell ref="N683:O683"/>
    <mergeCell ref="G697:L697"/>
    <mergeCell ref="P681:R681"/>
    <mergeCell ref="P697:R697"/>
    <mergeCell ref="J715:O715"/>
    <mergeCell ref="J714:X71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C823:H823"/>
    <mergeCell ref="C824:H824"/>
    <mergeCell ref="B751:F751"/>
    <mergeCell ref="Z811:AE811"/>
    <mergeCell ref="AA917:AF917"/>
    <mergeCell ref="AC791:AG791"/>
    <mergeCell ref="AC753:AG753"/>
    <mergeCell ref="O753:S753"/>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T748:W748"/>
    <mergeCell ref="G748:J748"/>
    <mergeCell ref="G747:J747"/>
    <mergeCell ref="G745:J74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M953:S953"/>
    <mergeCell ref="M952:S952"/>
    <mergeCell ref="AC885:AH885"/>
    <mergeCell ref="AE943:AK943"/>
    <mergeCell ref="W958:AG958"/>
    <mergeCell ref="M957:S957"/>
    <mergeCell ref="M956:S956"/>
    <mergeCell ref="M945:S945"/>
    <mergeCell ref="AA955:AG955"/>
    <mergeCell ref="AE946:AK946"/>
    <mergeCell ref="AE942:AK942"/>
    <mergeCell ref="Z899:AE899"/>
    <mergeCell ref="M959:S959"/>
    <mergeCell ref="D968:Q968"/>
    <mergeCell ref="D969:Q969"/>
    <mergeCell ref="D970:Q970"/>
    <mergeCell ref="AG824:AJ824"/>
    <mergeCell ref="AG823:AJ823"/>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CH643:CL643"/>
    <mergeCell ref="DM630:DQ630"/>
    <mergeCell ref="R642:T642"/>
    <mergeCell ref="R634:T636"/>
    <mergeCell ref="CC633:CG633"/>
    <mergeCell ref="BX635:CB635"/>
    <mergeCell ref="CM642:CQ642"/>
    <mergeCell ref="EC648:EG648"/>
    <mergeCell ref="AK638:AN638"/>
    <mergeCell ref="BS635:BW635"/>
    <mergeCell ref="BK634:BL634"/>
    <mergeCell ref="BN634:BR634"/>
    <mergeCell ref="CM648:CQ648"/>
    <mergeCell ref="EH648:EL648"/>
    <mergeCell ref="EH639:EL639"/>
    <mergeCell ref="DX632:EB632"/>
    <mergeCell ref="EC632:EG632"/>
    <mergeCell ref="CM643:CQ643"/>
    <mergeCell ref="BN642:BR642"/>
    <mergeCell ref="BN643:BR643"/>
    <mergeCell ref="BN644:BR644"/>
    <mergeCell ref="BS644:BW644"/>
    <mergeCell ref="X644:AB644"/>
    <mergeCell ref="X645:AB645"/>
    <mergeCell ref="R646:T646"/>
    <mergeCell ref="X639:AB639"/>
    <mergeCell ref="X640:AB640"/>
    <mergeCell ref="X641:AB641"/>
    <mergeCell ref="X642:AB642"/>
    <mergeCell ref="CC641:CG641"/>
    <mergeCell ref="BN633:BR633"/>
    <mergeCell ref="BE633:BF633"/>
    <mergeCell ref="DR633:DV633"/>
    <mergeCell ref="CX626:DB626"/>
    <mergeCell ref="AO646:AS646"/>
    <mergeCell ref="AO637:AS637"/>
    <mergeCell ref="O646:Q646"/>
    <mergeCell ref="BX619:CB619"/>
    <mergeCell ref="R645:T645"/>
    <mergeCell ref="R637:T637"/>
    <mergeCell ref="R638:T638"/>
    <mergeCell ref="R639:T639"/>
    <mergeCell ref="BN630:BR630"/>
    <mergeCell ref="BS630:BW630"/>
    <mergeCell ref="BI627:BJ627"/>
    <mergeCell ref="U634:W636"/>
    <mergeCell ref="AC639:AE639"/>
    <mergeCell ref="AO642:AS642"/>
    <mergeCell ref="CX620:DB620"/>
    <mergeCell ref="CM619:CQ619"/>
    <mergeCell ref="CX627:DB627"/>
    <mergeCell ref="AA624:AK624"/>
    <mergeCell ref="AG625:AH625"/>
    <mergeCell ref="CS621:CW621"/>
    <mergeCell ref="AK640:AN640"/>
    <mergeCell ref="AK641:AN641"/>
    <mergeCell ref="AK642:AN642"/>
    <mergeCell ref="AK643:AN643"/>
    <mergeCell ref="CM624:CQ624"/>
    <mergeCell ref="BS628:BW628"/>
    <mergeCell ref="BX628:CB628"/>
    <mergeCell ref="CC623:CG623"/>
    <mergeCell ref="BK623:BL623"/>
    <mergeCell ref="BE622:BF622"/>
    <mergeCell ref="BS622:BW622"/>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EH632:EL632"/>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G622:R622"/>
    <mergeCell ref="DM635:DQ635"/>
    <mergeCell ref="DC634:DG634"/>
    <mergeCell ref="DM634:DQ634"/>
    <mergeCell ref="CC635:CG635"/>
    <mergeCell ref="CM633:CQ633"/>
    <mergeCell ref="DH634:DL634"/>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S651:CW651"/>
    <mergeCell ref="CC650:CG650"/>
    <mergeCell ref="CM641:CQ641"/>
    <mergeCell ref="CC652:CG652"/>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50:DL650"/>
    <mergeCell ref="DM650:DQ650"/>
    <mergeCell ref="DR650:DV650"/>
    <mergeCell ref="DH635:DL635"/>
    <mergeCell ref="CM632:CQ632"/>
    <mergeCell ref="CH632:CL632"/>
    <mergeCell ref="CM636:CQ636"/>
    <mergeCell ref="AI673:AK673"/>
    <mergeCell ref="Z671:AK671"/>
    <mergeCell ref="X730:AB730"/>
    <mergeCell ref="X731:AB731"/>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DM656:DQ656"/>
    <mergeCell ref="DR656:DV656"/>
    <mergeCell ref="DH654:DL654"/>
    <mergeCell ref="DM654:DQ654"/>
    <mergeCell ref="BN658:BR658"/>
    <mergeCell ref="BX651:CB651"/>
    <mergeCell ref="CM653:CQ653"/>
    <mergeCell ref="Z679:AK679"/>
    <mergeCell ref="AG675:AH675"/>
    <mergeCell ref="Z686:AK686"/>
    <mergeCell ref="AI697:AK697"/>
    <mergeCell ref="AA690:AK690"/>
    <mergeCell ref="DH656:DL656"/>
    <mergeCell ref="EC652:EG652"/>
    <mergeCell ref="EH653:EL653"/>
    <mergeCell ref="EM653:EQ653"/>
    <mergeCell ref="CM652:CQ652"/>
    <mergeCell ref="BS656:BW656"/>
    <mergeCell ref="CC658:CG658"/>
    <mergeCell ref="CH658:CL658"/>
    <mergeCell ref="CM658:CQ658"/>
    <mergeCell ref="CH655:CL655"/>
    <mergeCell ref="BX657:CB657"/>
    <mergeCell ref="CC653:CG653"/>
    <mergeCell ref="CC655:CG655"/>
    <mergeCell ref="CC656:CG656"/>
    <mergeCell ref="CC657:CG657"/>
    <mergeCell ref="CM657:CQ657"/>
    <mergeCell ref="EC663:EG663"/>
    <mergeCell ref="EH663:EL663"/>
    <mergeCell ref="EM663:EQ663"/>
    <mergeCell ref="DX656:EB656"/>
    <mergeCell ref="EC656:EG656"/>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DH652:DL652"/>
    <mergeCell ref="DM652:DQ652"/>
    <mergeCell ref="DR652:DV652"/>
    <mergeCell ref="CS654:CW654"/>
    <mergeCell ref="CX654:DB654"/>
    <mergeCell ref="DC654:DG654"/>
    <mergeCell ref="Z653:AK653"/>
    <mergeCell ref="CS658:CW658"/>
    <mergeCell ref="DH655:DL655"/>
    <mergeCell ref="DM655:DQ655"/>
    <mergeCell ref="DR655:DV655"/>
    <mergeCell ref="CS656:CW656"/>
    <mergeCell ref="CX656:DB656"/>
    <mergeCell ref="AK730:AO730"/>
    <mergeCell ref="AK731:AO731"/>
    <mergeCell ref="Z663:AK663"/>
    <mergeCell ref="Z657:AE657"/>
    <mergeCell ref="Z662:AK662"/>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CM655:CQ655"/>
    <mergeCell ref="CM656:CQ656"/>
    <mergeCell ref="AH742:AJ742"/>
    <mergeCell ref="Z693:AK693"/>
    <mergeCell ref="DR660:DV660"/>
    <mergeCell ref="DC656:DG656"/>
    <mergeCell ref="AK733:AO733"/>
    <mergeCell ref="AK734:AO734"/>
    <mergeCell ref="AK735:AO735"/>
    <mergeCell ref="AK736:AO736"/>
    <mergeCell ref="AK737:AO737"/>
    <mergeCell ref="X744:AB744"/>
    <mergeCell ref="X743:AB743"/>
    <mergeCell ref="BS654:BW654"/>
    <mergeCell ref="AC732:AG732"/>
    <mergeCell ref="AK749:AO749"/>
    <mergeCell ref="AE569:AH569"/>
    <mergeCell ref="AI569:AL569"/>
    <mergeCell ref="Q566:S566"/>
    <mergeCell ref="Q565:S565"/>
    <mergeCell ref="AE566:AH566"/>
    <mergeCell ref="W566:Y566"/>
    <mergeCell ref="AH744:AJ744"/>
    <mergeCell ref="Z695:AK695"/>
    <mergeCell ref="G685:R685"/>
    <mergeCell ref="AK724:AO727"/>
    <mergeCell ref="AK728:AO728"/>
    <mergeCell ref="BS663:BW663"/>
    <mergeCell ref="AH734:AJ734"/>
    <mergeCell ref="Z621:AK621"/>
    <mergeCell ref="O748:S748"/>
    <mergeCell ref="Z696:AK696"/>
    <mergeCell ref="P689:R689"/>
    <mergeCell ref="AE712:AF712"/>
    <mergeCell ref="Z665:AE665"/>
    <mergeCell ref="AA666:AK666"/>
    <mergeCell ref="AK732:AO732"/>
    <mergeCell ref="BN651:BR651"/>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4" zoomScaleNormal="100" zoomScaleSheetLayoutView="90" workbookViewId="0">
      <selection activeCell="C46" sqref="C4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06" t="s">
        <v>647</v>
      </c>
      <c r="G1" s="2607"/>
      <c r="H1" s="2607"/>
      <c r="I1" s="2607"/>
      <c r="J1" s="2607"/>
      <c r="K1" s="2607"/>
      <c r="L1" s="2607"/>
      <c r="M1" s="2607"/>
      <c r="N1" s="2607"/>
      <c r="O1" s="2607"/>
      <c r="P1" s="2607"/>
      <c r="Q1" s="2607"/>
      <c r="R1" s="2608"/>
      <c r="S1" s="168"/>
      <c r="T1" s="167"/>
      <c r="U1" s="169"/>
    </row>
    <row r="2" spans="1:21" s="208" customFormat="1" ht="71.25" customHeight="1">
      <c r="A2" s="207"/>
      <c r="B2" s="208" t="s">
        <v>24</v>
      </c>
      <c r="C2" s="208" t="s">
        <v>389</v>
      </c>
      <c r="D2" s="208" t="s">
        <v>388</v>
      </c>
      <c r="E2" s="208" t="s">
        <v>25</v>
      </c>
      <c r="F2" s="209" t="str">
        <f>Application!B637&amp;Application!C637</f>
        <v>1)Citi/Permanent Loan</v>
      </c>
      <c r="G2" s="209" t="str">
        <f>Application!B638&amp;Application!C638</f>
        <v>2)CIC Opportunties Fund/Jr Bond</v>
      </c>
      <c r="H2" s="209" t="str">
        <f>Application!B639&amp;Application!C639</f>
        <v>3)IHTF County of San Diego/sub loan</v>
      </c>
      <c r="I2" s="209" t="str">
        <f>Application!B640&amp;Application!C640</f>
        <v>4)County of San Diego/land value note</v>
      </c>
      <c r="J2" s="209" t="str">
        <f>Application!B641&amp;Application!C641</f>
        <v>5)Subordinate Developer fee</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12510000</v>
      </c>
      <c r="C4" s="217">
        <f>+'[10]S&amp;U Qtr'!$W$34</f>
        <v>12510000</v>
      </c>
      <c r="D4" s="217"/>
      <c r="E4" s="217"/>
      <c r="F4" s="217"/>
      <c r="G4" s="217"/>
      <c r="H4" s="217"/>
      <c r="I4" s="217">
        <f>+C4</f>
        <v>12510000</v>
      </c>
      <c r="J4" s="217"/>
      <c r="K4" s="217"/>
      <c r="L4" s="217"/>
      <c r="M4" s="217"/>
      <c r="N4" s="217"/>
      <c r="O4" s="217"/>
      <c r="P4" s="217"/>
      <c r="Q4" s="217"/>
      <c r="R4" s="871">
        <f>SUM(E4:Q4)</f>
        <v>12510000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62000</v>
      </c>
      <c r="C6" s="217">
        <f>+'[10]S&amp;U Qtr'!$E$35</f>
        <v>62000</v>
      </c>
      <c r="D6" s="217"/>
      <c r="E6" s="217">
        <f>+C6</f>
        <v>62000</v>
      </c>
      <c r="F6" s="217"/>
      <c r="G6" s="217"/>
      <c r="H6" s="217"/>
      <c r="I6" s="217"/>
      <c r="J6" s="217"/>
      <c r="K6" s="217"/>
      <c r="L6" s="217"/>
      <c r="M6" s="217"/>
      <c r="N6" s="217"/>
      <c r="O6" s="217"/>
      <c r="P6" s="217"/>
      <c r="Q6" s="217"/>
      <c r="R6" s="871">
        <f>SUM(E6:Q6)</f>
        <v>62000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12572000</v>
      </c>
      <c r="C8" s="216">
        <f t="shared" ref="C8:Q8" si="0">SUM(C4:C7)</f>
        <v>12572000</v>
      </c>
      <c r="D8" s="216">
        <f t="shared" si="0"/>
        <v>0</v>
      </c>
      <c r="E8" s="216">
        <f t="shared" si="0"/>
        <v>62000</v>
      </c>
      <c r="F8" s="216">
        <f t="shared" si="0"/>
        <v>0</v>
      </c>
      <c r="G8" s="216">
        <f t="shared" si="0"/>
        <v>0</v>
      </c>
      <c r="H8" s="216">
        <f t="shared" si="0"/>
        <v>0</v>
      </c>
      <c r="I8" s="216">
        <f t="shared" si="0"/>
        <v>12510000</v>
      </c>
      <c r="J8" s="216">
        <f t="shared" si="0"/>
        <v>0</v>
      </c>
      <c r="K8" s="216">
        <f t="shared" si="0"/>
        <v>0</v>
      </c>
      <c r="L8" s="216">
        <f t="shared" si="0"/>
        <v>0</v>
      </c>
      <c r="M8" s="216">
        <f t="shared" si="0"/>
        <v>0</v>
      </c>
      <c r="N8" s="216">
        <f t="shared" si="0"/>
        <v>0</v>
      </c>
      <c r="O8" s="216">
        <f t="shared" si="0"/>
        <v>0</v>
      </c>
      <c r="P8" s="216"/>
      <c r="Q8" s="216">
        <f t="shared" si="0"/>
        <v>0</v>
      </c>
      <c r="R8" s="527">
        <f>SUM(R4:R7)</f>
        <v>12572000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12572000</v>
      </c>
      <c r="C12" s="216">
        <f t="shared" si="2"/>
        <v>12572000</v>
      </c>
      <c r="D12" s="216">
        <f t="shared" si="2"/>
        <v>0</v>
      </c>
      <c r="E12" s="216">
        <f t="shared" si="2"/>
        <v>62000</v>
      </c>
      <c r="F12" s="216">
        <f t="shared" si="2"/>
        <v>0</v>
      </c>
      <c r="G12" s="216">
        <f t="shared" si="2"/>
        <v>0</v>
      </c>
      <c r="H12" s="216">
        <f t="shared" si="2"/>
        <v>0</v>
      </c>
      <c r="I12" s="216">
        <f t="shared" si="2"/>
        <v>12510000</v>
      </c>
      <c r="J12" s="216">
        <f t="shared" si="2"/>
        <v>0</v>
      </c>
      <c r="K12" s="216">
        <f t="shared" si="2"/>
        <v>0</v>
      </c>
      <c r="L12" s="216">
        <f t="shared" si="2"/>
        <v>0</v>
      </c>
      <c r="M12" s="216">
        <f t="shared" si="2"/>
        <v>0</v>
      </c>
      <c r="N12" s="216">
        <f t="shared" si="2"/>
        <v>0</v>
      </c>
      <c r="O12" s="216">
        <f t="shared" si="2"/>
        <v>0</v>
      </c>
      <c r="P12" s="216"/>
      <c r="Q12" s="216">
        <f t="shared" si="2"/>
        <v>0</v>
      </c>
      <c r="R12" s="527">
        <f>SUM(R8+R11)</f>
        <v>12572000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6374928</v>
      </c>
      <c r="C29" s="217">
        <f>+'[10]S&amp;U Qtr'!$AA$60+'[10]S&amp;U Qtr'!$W$61</f>
        <v>6374928</v>
      </c>
      <c r="D29" s="217"/>
      <c r="E29" s="217">
        <f>+C29</f>
        <v>6374928</v>
      </c>
      <c r="F29" s="217"/>
      <c r="G29" s="217"/>
      <c r="H29" s="217"/>
      <c r="I29" s="217"/>
      <c r="J29" s="217"/>
      <c r="K29" s="217"/>
      <c r="L29" s="217"/>
      <c r="M29" s="217"/>
      <c r="N29" s="217"/>
      <c r="O29" s="217"/>
      <c r="P29" s="217"/>
      <c r="Q29" s="217"/>
      <c r="R29" s="871">
        <f t="shared" ref="R29:R37" si="7">SUM(E29:Q29)</f>
        <v>6374928</v>
      </c>
      <c r="S29" s="217">
        <f>+R29</f>
        <v>6374928</v>
      </c>
      <c r="T29" s="217"/>
      <c r="U29" s="213"/>
    </row>
    <row r="30" spans="1:21" s="214" customFormat="1">
      <c r="A30" s="215" t="s">
        <v>625</v>
      </c>
      <c r="B30" s="216">
        <f t="shared" si="6"/>
        <v>34557962</v>
      </c>
      <c r="C30" s="217">
        <f>+'[10]S&amp;U Qtr'!$AA$62</f>
        <v>34557962</v>
      </c>
      <c r="D30" s="217"/>
      <c r="E30" s="217">
        <f>+C30-F30-G30-H30</f>
        <v>2917962</v>
      </c>
      <c r="F30" s="217">
        <f>+Application!AO637</f>
        <v>25140000</v>
      </c>
      <c r="G30" s="217">
        <f>+Application!AO638</f>
        <v>2500000</v>
      </c>
      <c r="H30" s="217">
        <f>+Application!AO639</f>
        <v>4000000</v>
      </c>
      <c r="I30" s="217"/>
      <c r="J30" s="217"/>
      <c r="K30" s="217"/>
      <c r="L30" s="217"/>
      <c r="M30" s="217"/>
      <c r="N30" s="217"/>
      <c r="O30" s="217"/>
      <c r="P30" s="217"/>
      <c r="Q30" s="217"/>
      <c r="R30" s="871">
        <f t="shared" si="7"/>
        <v>34557962</v>
      </c>
      <c r="S30" s="217">
        <f t="shared" ref="S30:S33" si="8">+R30</f>
        <v>34557962</v>
      </c>
      <c r="T30" s="217"/>
      <c r="U30" s="213"/>
    </row>
    <row r="31" spans="1:21" s="214" customFormat="1">
      <c r="A31" s="215" t="s">
        <v>626</v>
      </c>
      <c r="B31" s="216">
        <f t="shared" si="6"/>
        <v>1624507</v>
      </c>
      <c r="C31" s="217">
        <f>+'[10]S&amp;U Qtr'!$AA$64</f>
        <v>1624507</v>
      </c>
      <c r="D31" s="217"/>
      <c r="E31" s="217">
        <f>+C31</f>
        <v>1624507</v>
      </c>
      <c r="F31" s="217"/>
      <c r="G31" s="217"/>
      <c r="H31" s="217"/>
      <c r="I31" s="217"/>
      <c r="J31" s="217"/>
      <c r="K31" s="217"/>
      <c r="L31" s="217"/>
      <c r="M31" s="217"/>
      <c r="N31" s="217"/>
      <c r="O31" s="217"/>
      <c r="P31" s="217"/>
      <c r="Q31" s="217"/>
      <c r="R31" s="871">
        <f t="shared" si="7"/>
        <v>1624507</v>
      </c>
      <c r="S31" s="217">
        <f t="shared" si="8"/>
        <v>1624507</v>
      </c>
      <c r="T31" s="217"/>
      <c r="U31" s="213"/>
    </row>
    <row r="32" spans="1:21" s="214" customFormat="1">
      <c r="A32" s="215" t="s">
        <v>142</v>
      </c>
      <c r="B32" s="216">
        <f t="shared" si="6"/>
        <v>1056714.4849999999</v>
      </c>
      <c r="C32" s="217">
        <f>+'[10]S&amp;U Qtr'!$AA$68</f>
        <v>1056714.4849999999</v>
      </c>
      <c r="D32" s="217"/>
      <c r="E32" s="217">
        <f t="shared" ref="E32:E33" si="9">+C32</f>
        <v>1056714.4849999999</v>
      </c>
      <c r="F32" s="217"/>
      <c r="G32" s="217"/>
      <c r="H32" s="217"/>
      <c r="I32" s="217"/>
      <c r="J32" s="217"/>
      <c r="K32" s="217"/>
      <c r="L32" s="217"/>
      <c r="M32" s="217"/>
      <c r="N32" s="217"/>
      <c r="O32" s="217"/>
      <c r="P32" s="217"/>
      <c r="Q32" s="217"/>
      <c r="R32" s="871">
        <f t="shared" si="7"/>
        <v>1056714.4849999999</v>
      </c>
      <c r="S32" s="217">
        <f t="shared" si="8"/>
        <v>1056714.4849999999</v>
      </c>
      <c r="T32" s="217"/>
      <c r="U32" s="213"/>
    </row>
    <row r="33" spans="1:21" s="214" customFormat="1">
      <c r="A33" s="215" t="s">
        <v>143</v>
      </c>
      <c r="B33" s="216">
        <f t="shared" si="6"/>
        <v>2842888</v>
      </c>
      <c r="C33" s="217">
        <f>+'[10]S&amp;U Qtr'!$AA$66</f>
        <v>2842888</v>
      </c>
      <c r="D33" s="217"/>
      <c r="E33" s="217">
        <f t="shared" si="9"/>
        <v>2842888</v>
      </c>
      <c r="F33" s="217"/>
      <c r="G33" s="217"/>
      <c r="H33" s="217"/>
      <c r="I33" s="217"/>
      <c r="J33" s="217"/>
      <c r="K33" s="217"/>
      <c r="L33" s="217"/>
      <c r="M33" s="217"/>
      <c r="N33" s="217"/>
      <c r="O33" s="217"/>
      <c r="P33" s="217"/>
      <c r="Q33" s="217"/>
      <c r="R33" s="871">
        <f t="shared" si="7"/>
        <v>2842888</v>
      </c>
      <c r="S33" s="217">
        <f t="shared" si="8"/>
        <v>2842888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1">
        <f t="shared" si="7"/>
        <v>0</v>
      </c>
      <c r="S35" s="217"/>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46456999.484999999</v>
      </c>
      <c r="C38" s="216">
        <f>SUM(C29:C37)</f>
        <v>46456999.484999999</v>
      </c>
      <c r="D38" s="216">
        <f t="shared" ref="D38:Q38" si="10">SUM(D29:D37)</f>
        <v>0</v>
      </c>
      <c r="E38" s="216">
        <f t="shared" si="10"/>
        <v>14816999.484999999</v>
      </c>
      <c r="F38" s="216">
        <f t="shared" si="10"/>
        <v>25140000</v>
      </c>
      <c r="G38" s="216">
        <f t="shared" si="10"/>
        <v>2500000</v>
      </c>
      <c r="H38" s="216">
        <f t="shared" si="10"/>
        <v>4000000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46456999.484999999</v>
      </c>
      <c r="S38" s="220">
        <f>SUM(S29:S37)</f>
        <v>46456999.484999999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1256956.5150000001</v>
      </c>
      <c r="C40" s="217">
        <f>+'[10]S&amp;U Qtr'!$AA$75+'[10]S&amp;U Qtr'!$W$76</f>
        <v>1256956.5150000001</v>
      </c>
      <c r="D40" s="217"/>
      <c r="E40" s="217">
        <f>+C40</f>
        <v>1256956.5150000001</v>
      </c>
      <c r="F40" s="217"/>
      <c r="G40" s="217"/>
      <c r="H40" s="217"/>
      <c r="I40" s="217"/>
      <c r="J40" s="217"/>
      <c r="K40" s="217"/>
      <c r="L40" s="217"/>
      <c r="M40" s="217"/>
      <c r="N40" s="217"/>
      <c r="O40" s="217"/>
      <c r="P40" s="217"/>
      <c r="Q40" s="217"/>
      <c r="R40" s="871">
        <f>SUM(E40:Q40)</f>
        <v>1256956.5150000001</v>
      </c>
      <c r="S40" s="217">
        <f t="shared" ref="S40:S41" si="11">+R40</f>
        <v>1256956.5150000001</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f t="shared" si="11"/>
        <v>0</v>
      </c>
      <c r="T41" s="217"/>
      <c r="U41" s="213"/>
    </row>
    <row r="42" spans="1:21" s="214" customFormat="1">
      <c r="A42" s="219" t="s">
        <v>152</v>
      </c>
      <c r="B42" s="216">
        <f>SUM(C42:D42)</f>
        <v>1256956.5150000001</v>
      </c>
      <c r="C42" s="216">
        <f>SUM(C39:C41)</f>
        <v>1256956.5150000001</v>
      </c>
      <c r="D42" s="216">
        <f>SUM(D39:D41)</f>
        <v>0</v>
      </c>
      <c r="E42" s="216">
        <f t="shared" ref="E42:T42" si="12">SUM(E40:E41)</f>
        <v>1256956.5150000001</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7">
        <f>SUM(R40:R41)</f>
        <v>1256956.5150000001</v>
      </c>
      <c r="S42" s="220">
        <f t="shared" si="12"/>
        <v>1256956.5150000001</v>
      </c>
      <c r="T42" s="220">
        <f t="shared" si="12"/>
        <v>0</v>
      </c>
      <c r="U42" s="213"/>
    </row>
    <row r="43" spans="1:21" s="214" customFormat="1">
      <c r="A43" s="219" t="s">
        <v>153</v>
      </c>
      <c r="B43" s="216">
        <f>SUM(C43:D43)</f>
        <v>599500</v>
      </c>
      <c r="C43" s="217">
        <f>+'[10]S&amp;U Qtr'!$W$92</f>
        <v>599500</v>
      </c>
      <c r="D43" s="217"/>
      <c r="E43" s="217">
        <f>+C43</f>
        <v>599500</v>
      </c>
      <c r="F43" s="217"/>
      <c r="G43" s="217"/>
      <c r="H43" s="217"/>
      <c r="I43" s="217"/>
      <c r="J43" s="217"/>
      <c r="K43" s="217"/>
      <c r="L43" s="217"/>
      <c r="M43" s="217"/>
      <c r="N43" s="217"/>
      <c r="O43" s="217"/>
      <c r="P43" s="217"/>
      <c r="Q43" s="217"/>
      <c r="R43" s="871">
        <f>SUM(E43:Q43)</f>
        <v>599500</v>
      </c>
      <c r="S43" s="217">
        <f>+R43</f>
        <v>599500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3429560.6539354245</v>
      </c>
      <c r="C45" s="217">
        <f>+'[10]S&amp;U Qtr'!$W$100+'[10]S&amp;U Qtr'!$W$101+'[10]S&amp;U Qtr'!$W$112-2</f>
        <v>3429560.6539354245</v>
      </c>
      <c r="D45" s="217"/>
      <c r="E45" s="217">
        <f t="shared" ref="E45:E53" si="14">+C45</f>
        <v>3429560.6539354245</v>
      </c>
      <c r="F45" s="217"/>
      <c r="G45" s="217"/>
      <c r="H45" s="217"/>
      <c r="I45" s="217"/>
      <c r="J45" s="217"/>
      <c r="K45" s="217"/>
      <c r="L45" s="217"/>
      <c r="M45" s="217"/>
      <c r="N45" s="217"/>
      <c r="O45" s="217"/>
      <c r="P45" s="217"/>
      <c r="Q45" s="217"/>
      <c r="R45" s="871">
        <f t="shared" ref="R45:R53" si="15">SUM(E45:Q45)</f>
        <v>3429560.6539354245</v>
      </c>
      <c r="S45" s="217">
        <f>+'[10]LIHTC &amp; BASIS CALCULATION'!$D$75+'[10]LIHTC &amp; BASIS CALCULATION'!$D$76+'[10]LIHTC &amp; BASIS CALCULATION'!$D$87</f>
        <v>2446646.8868328701</v>
      </c>
      <c r="T45" s="217"/>
      <c r="U45" s="213"/>
    </row>
    <row r="46" spans="1:21" s="214" customFormat="1">
      <c r="A46" s="215" t="s">
        <v>156</v>
      </c>
      <c r="B46" s="216">
        <f t="shared" si="13"/>
        <v>518463.87853336753</v>
      </c>
      <c r="C46" s="217">
        <f>+'[10]S&amp;U Qtr'!$W$103</f>
        <v>518463.87853336753</v>
      </c>
      <c r="D46" s="217"/>
      <c r="E46" s="217">
        <f t="shared" si="14"/>
        <v>518463.87853336753</v>
      </c>
      <c r="F46" s="217"/>
      <c r="G46" s="217"/>
      <c r="H46" s="217"/>
      <c r="I46" s="217"/>
      <c r="J46" s="217"/>
      <c r="K46" s="217"/>
      <c r="L46" s="217"/>
      <c r="M46" s="217"/>
      <c r="N46" s="217"/>
      <c r="O46" s="217"/>
      <c r="P46" s="217"/>
      <c r="Q46" s="217"/>
      <c r="R46" s="871">
        <f t="shared" si="15"/>
        <v>518463.87853336753</v>
      </c>
      <c r="S46" s="217">
        <f>+'[10]LIHTC &amp; BASIS CALCULATION'!$D$78</f>
        <v>345642.58568891167</v>
      </c>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1">
        <f t="shared" si="15"/>
        <v>0</v>
      </c>
      <c r="S47" s="217"/>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1">
        <f t="shared" si="15"/>
        <v>0</v>
      </c>
      <c r="S48" s="217"/>
      <c r="T48" s="217"/>
      <c r="U48" s="213"/>
    </row>
    <row r="49" spans="1:21" s="214" customFormat="1">
      <c r="A49" s="215" t="s">
        <v>60</v>
      </c>
      <c r="B49" s="216">
        <f t="shared" si="13"/>
        <v>235157.83271200204</v>
      </c>
      <c r="C49" s="217">
        <f>+'[10]S&amp;U Qtr'!$W$123+'[10]S&amp;U Qtr'!$W$133+'[10]S&amp;U Qtr'!$W$132+'[10]S&amp;U Qtr'!$W$159</f>
        <v>235157.83271200204</v>
      </c>
      <c r="D49" s="217"/>
      <c r="E49" s="217">
        <f t="shared" si="14"/>
        <v>235157.83271200204</v>
      </c>
      <c r="F49" s="217"/>
      <c r="G49" s="217"/>
      <c r="H49" s="217"/>
      <c r="I49" s="217"/>
      <c r="J49" s="217"/>
      <c r="K49" s="217"/>
      <c r="L49" s="217"/>
      <c r="M49" s="217"/>
      <c r="N49" s="217"/>
      <c r="O49" s="217"/>
      <c r="P49" s="217"/>
      <c r="Q49" s="217"/>
      <c r="R49" s="871">
        <f t="shared" si="15"/>
        <v>235157.83271200204</v>
      </c>
      <c r="S49" s="217"/>
      <c r="T49" s="217"/>
      <c r="U49" s="213"/>
    </row>
    <row r="50" spans="1:21" s="214" customFormat="1">
      <c r="A50" s="215" t="s">
        <v>161</v>
      </c>
      <c r="B50" s="216">
        <f t="shared" si="13"/>
        <v>25000</v>
      </c>
      <c r="C50" s="217">
        <f>+'[10]S&amp;U Qtr'!$W$110</f>
        <v>25000</v>
      </c>
      <c r="D50" s="217"/>
      <c r="E50" s="217">
        <f t="shared" si="14"/>
        <v>25000</v>
      </c>
      <c r="F50" s="217"/>
      <c r="G50" s="217"/>
      <c r="H50" s="217"/>
      <c r="I50" s="217"/>
      <c r="J50" s="217"/>
      <c r="K50" s="217"/>
      <c r="L50" s="217"/>
      <c r="M50" s="217"/>
      <c r="N50" s="217"/>
      <c r="O50" s="217"/>
      <c r="P50" s="217"/>
      <c r="Q50" s="217"/>
      <c r="R50" s="871">
        <f t="shared" si="15"/>
        <v>25000</v>
      </c>
      <c r="S50" s="217">
        <f>+'[10]LIHTC &amp; BASIS CALCULATION'!$D$85</f>
        <v>16666.666666666664</v>
      </c>
      <c r="T50" s="217"/>
      <c r="U50" s="213"/>
    </row>
    <row r="51" spans="1:21" s="214" customFormat="1">
      <c r="A51" s="437" t="s">
        <v>159</v>
      </c>
      <c r="B51" s="216">
        <f t="shared" si="13"/>
        <v>35000</v>
      </c>
      <c r="C51" s="217">
        <f>+'[10]S&amp;U Qtr'!$W$107</f>
        <v>35000</v>
      </c>
      <c r="D51" s="217"/>
      <c r="E51" s="217">
        <f t="shared" si="14"/>
        <v>35000</v>
      </c>
      <c r="F51" s="217"/>
      <c r="G51" s="217"/>
      <c r="H51" s="217"/>
      <c r="I51" s="217"/>
      <c r="J51" s="217"/>
      <c r="K51" s="217"/>
      <c r="L51" s="217"/>
      <c r="M51" s="217"/>
      <c r="N51" s="217"/>
      <c r="O51" s="217"/>
      <c r="P51" s="217"/>
      <c r="Q51" s="217"/>
      <c r="R51" s="871">
        <f t="shared" si="15"/>
        <v>35000</v>
      </c>
      <c r="S51" s="217">
        <f>+'[10]LIHTC &amp; BASIS CALCULATION'!$D$82</f>
        <v>23333.333333333332</v>
      </c>
      <c r="T51" s="217"/>
      <c r="U51" s="213"/>
    </row>
    <row r="52" spans="1:21" s="214" customFormat="1">
      <c r="A52" s="215" t="s">
        <v>160</v>
      </c>
      <c r="B52" s="216">
        <f t="shared" si="13"/>
        <v>325000</v>
      </c>
      <c r="C52" s="217">
        <f>+'[10]S&amp;U Qtr'!$W$109</f>
        <v>325000</v>
      </c>
      <c r="D52" s="217"/>
      <c r="E52" s="217">
        <f t="shared" si="14"/>
        <v>325000</v>
      </c>
      <c r="F52" s="217"/>
      <c r="G52" s="217"/>
      <c r="H52" s="217"/>
      <c r="I52" s="217"/>
      <c r="J52" s="217"/>
      <c r="K52" s="217"/>
      <c r="L52" s="217"/>
      <c r="M52" s="217"/>
      <c r="N52" s="217"/>
      <c r="O52" s="217"/>
      <c r="P52" s="217"/>
      <c r="Q52" s="217"/>
      <c r="R52" s="871">
        <f t="shared" si="15"/>
        <v>325000</v>
      </c>
      <c r="S52" s="217">
        <f>+'[10]LIHTC &amp; BASIS CALCULATION'!$D$84</f>
        <v>216666.66666666666</v>
      </c>
      <c r="T52" s="217"/>
      <c r="U52" s="213"/>
    </row>
    <row r="53" spans="1:21" s="214" customFormat="1">
      <c r="A53" s="1892" t="s">
        <v>2722</v>
      </c>
      <c r="B53" s="216">
        <f t="shared" si="13"/>
        <v>85000</v>
      </c>
      <c r="C53" s="217">
        <f>+'[10]S&amp;U Qtr'!$W$106+'[10]S&amp;U Qtr'!$W$113</f>
        <v>85000</v>
      </c>
      <c r="D53" s="217"/>
      <c r="E53" s="217">
        <f t="shared" si="14"/>
        <v>85000</v>
      </c>
      <c r="F53" s="217"/>
      <c r="G53" s="217"/>
      <c r="H53" s="217"/>
      <c r="I53" s="217"/>
      <c r="J53" s="217"/>
      <c r="K53" s="217"/>
      <c r="L53" s="217"/>
      <c r="M53" s="217"/>
      <c r="N53" s="217"/>
      <c r="O53" s="217"/>
      <c r="P53" s="217"/>
      <c r="Q53" s="217"/>
      <c r="R53" s="871">
        <f t="shared" si="15"/>
        <v>85000</v>
      </c>
      <c r="S53" s="217">
        <f>+R53</f>
        <v>85000</v>
      </c>
      <c r="T53" s="217"/>
      <c r="U53" s="213"/>
    </row>
    <row r="54" spans="1:21" s="224" customFormat="1">
      <c r="A54" s="219" t="s">
        <v>162</v>
      </c>
      <c r="B54" s="220">
        <f>SUM(C54:D54)</f>
        <v>4653182.3651807941</v>
      </c>
      <c r="C54" s="220">
        <f t="shared" ref="C54:T54" si="16">SUM(C45:C53)</f>
        <v>4653182.3651807941</v>
      </c>
      <c r="D54" s="220">
        <f t="shared" si="16"/>
        <v>0</v>
      </c>
      <c r="E54" s="220">
        <f t="shared" si="16"/>
        <v>4653182.3651807941</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27">
        <f t="shared" si="16"/>
        <v>4653182.3651807941</v>
      </c>
      <c r="S54" s="220">
        <f t="shared" si="16"/>
        <v>3133956.1391884484</v>
      </c>
      <c r="T54" s="220">
        <f t="shared" si="16"/>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125700</v>
      </c>
      <c r="C56" s="217">
        <f>+'[10]S&amp;U Qtr'!$W$118</f>
        <v>125700</v>
      </c>
      <c r="D56" s="217"/>
      <c r="E56" s="217">
        <f t="shared" ref="E56:E61" si="18">+C56</f>
        <v>125700</v>
      </c>
      <c r="F56" s="217"/>
      <c r="G56" s="217"/>
      <c r="H56" s="217"/>
      <c r="I56" s="217"/>
      <c r="J56" s="217"/>
      <c r="K56" s="217"/>
      <c r="L56" s="217"/>
      <c r="M56" s="217"/>
      <c r="N56" s="217"/>
      <c r="O56" s="217"/>
      <c r="P56" s="217"/>
      <c r="Q56" s="217"/>
      <c r="R56" s="871">
        <f t="shared" ref="R56:R61" si="19">SUM(E56:Q56)</f>
        <v>125700</v>
      </c>
      <c r="S56" s="218"/>
      <c r="T56" s="218"/>
      <c r="U56" s="213"/>
    </row>
    <row r="57" spans="1:21" s="303" customFormat="1">
      <c r="A57" s="297" t="s">
        <v>157</v>
      </c>
      <c r="B57" s="304">
        <f t="shared" si="17"/>
        <v>0</v>
      </c>
      <c r="C57" s="301"/>
      <c r="D57" s="301"/>
      <c r="E57" s="217">
        <f t="shared" si="18"/>
        <v>0</v>
      </c>
      <c r="F57" s="301"/>
      <c r="G57" s="301"/>
      <c r="H57" s="301"/>
      <c r="I57" s="301"/>
      <c r="J57" s="301"/>
      <c r="K57" s="301"/>
      <c r="L57" s="301"/>
      <c r="M57" s="301"/>
      <c r="N57" s="301"/>
      <c r="O57" s="301"/>
      <c r="P57" s="301"/>
      <c r="Q57" s="301"/>
      <c r="R57" s="871">
        <f t="shared" si="19"/>
        <v>0</v>
      </c>
      <c r="S57" s="305"/>
      <c r="T57" s="305"/>
      <c r="U57" s="302"/>
    </row>
    <row r="58" spans="1:21" s="214" customFormat="1">
      <c r="A58" s="215" t="s">
        <v>161</v>
      </c>
      <c r="B58" s="216">
        <f t="shared" si="17"/>
        <v>5000</v>
      </c>
      <c r="C58" s="217">
        <f>+'[10]S&amp;U Qtr'!$W$120</f>
        <v>5000</v>
      </c>
      <c r="D58" s="217"/>
      <c r="E58" s="217">
        <f t="shared" si="18"/>
        <v>5000</v>
      </c>
      <c r="F58" s="217"/>
      <c r="G58" s="217"/>
      <c r="H58" s="217"/>
      <c r="I58" s="217"/>
      <c r="J58" s="217"/>
      <c r="K58" s="217"/>
      <c r="L58" s="217"/>
      <c r="M58" s="217"/>
      <c r="N58" s="217"/>
      <c r="O58" s="217"/>
      <c r="P58" s="217"/>
      <c r="Q58" s="217"/>
      <c r="R58" s="871">
        <f t="shared" si="19"/>
        <v>5000</v>
      </c>
      <c r="S58" s="218"/>
      <c r="T58" s="218"/>
      <c r="U58" s="213"/>
    </row>
    <row r="59" spans="1:21" s="214" customFormat="1">
      <c r="A59" s="437" t="s">
        <v>159</v>
      </c>
      <c r="B59" s="216">
        <f t="shared" si="17"/>
        <v>0</v>
      </c>
      <c r="C59" s="217"/>
      <c r="D59" s="217"/>
      <c r="E59" s="217">
        <f t="shared" si="18"/>
        <v>0</v>
      </c>
      <c r="F59" s="217"/>
      <c r="G59" s="217"/>
      <c r="H59" s="217"/>
      <c r="I59" s="217"/>
      <c r="J59" s="217"/>
      <c r="K59" s="217"/>
      <c r="L59" s="217"/>
      <c r="M59" s="217"/>
      <c r="N59" s="217"/>
      <c r="O59" s="217"/>
      <c r="P59" s="217"/>
      <c r="Q59" s="217"/>
      <c r="R59" s="871">
        <f t="shared" si="19"/>
        <v>0</v>
      </c>
      <c r="S59" s="218"/>
      <c r="T59" s="218"/>
      <c r="U59" s="213"/>
    </row>
    <row r="60" spans="1:21" s="214" customFormat="1">
      <c r="A60" s="215" t="s">
        <v>160</v>
      </c>
      <c r="B60" s="216">
        <f t="shared" si="17"/>
        <v>0</v>
      </c>
      <c r="C60" s="217"/>
      <c r="D60" s="217"/>
      <c r="E60" s="217">
        <f t="shared" si="18"/>
        <v>0</v>
      </c>
      <c r="F60" s="217"/>
      <c r="G60" s="217"/>
      <c r="H60" s="217"/>
      <c r="I60" s="217"/>
      <c r="J60" s="217"/>
      <c r="K60" s="217"/>
      <c r="L60" s="217"/>
      <c r="M60" s="217"/>
      <c r="N60" s="217"/>
      <c r="O60" s="217"/>
      <c r="P60" s="217"/>
      <c r="Q60" s="217"/>
      <c r="R60" s="871">
        <f t="shared" si="19"/>
        <v>0</v>
      </c>
      <c r="S60" s="218"/>
      <c r="T60" s="218"/>
      <c r="U60" s="213"/>
    </row>
    <row r="61" spans="1:21" s="214" customFormat="1">
      <c r="A61" s="222" t="s">
        <v>35</v>
      </c>
      <c r="B61" s="216">
        <f t="shared" si="17"/>
        <v>0</v>
      </c>
      <c r="C61" s="217"/>
      <c r="D61" s="217"/>
      <c r="E61" s="217">
        <f t="shared" si="18"/>
        <v>0</v>
      </c>
      <c r="F61" s="217"/>
      <c r="G61" s="217"/>
      <c r="H61" s="217"/>
      <c r="I61" s="217"/>
      <c r="J61" s="217"/>
      <c r="K61" s="217"/>
      <c r="L61" s="217"/>
      <c r="M61" s="217"/>
      <c r="N61" s="217"/>
      <c r="O61" s="217"/>
      <c r="P61" s="217"/>
      <c r="Q61" s="217"/>
      <c r="R61" s="871">
        <f t="shared" si="19"/>
        <v>0</v>
      </c>
      <c r="S61" s="218"/>
      <c r="T61" s="218"/>
      <c r="U61" s="213"/>
    </row>
    <row r="62" spans="1:21" s="214" customFormat="1" ht="13.7" customHeight="1">
      <c r="A62" s="219" t="s">
        <v>307</v>
      </c>
      <c r="B62" s="216">
        <f>SUM(C62:D62)</f>
        <v>130700</v>
      </c>
      <c r="C62" s="216">
        <f t="shared" ref="C62:R62" si="20">SUM(C56:C61)</f>
        <v>130700</v>
      </c>
      <c r="D62" s="216">
        <f t="shared" si="20"/>
        <v>0</v>
      </c>
      <c r="E62" s="216">
        <f t="shared" si="20"/>
        <v>130700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27">
        <f t="shared" si="20"/>
        <v>130700</v>
      </c>
      <c r="S62" s="218"/>
      <c r="T62" s="218"/>
      <c r="U62" s="213"/>
    </row>
    <row r="63" spans="1:21" s="214" customFormat="1">
      <c r="A63" s="225" t="s">
        <v>308</v>
      </c>
      <c r="B63" s="216">
        <f t="shared" ref="B63:R63" si="21">SUM(B8+B11+B13+B14+B15+B26+B27+B38+B42+B43+B54+B62)</f>
        <v>65669338.36518079</v>
      </c>
      <c r="C63" s="216">
        <f t="shared" si="21"/>
        <v>65669338.36518079</v>
      </c>
      <c r="D63" s="216">
        <f t="shared" si="21"/>
        <v>0</v>
      </c>
      <c r="E63" s="216">
        <f t="shared" si="21"/>
        <v>21519338.365180794</v>
      </c>
      <c r="F63" s="216">
        <f t="shared" si="21"/>
        <v>25140000</v>
      </c>
      <c r="G63" s="216">
        <f t="shared" si="21"/>
        <v>2500000</v>
      </c>
      <c r="H63" s="216">
        <f t="shared" si="21"/>
        <v>4000000</v>
      </c>
      <c r="I63" s="216">
        <f t="shared" si="21"/>
        <v>12510000</v>
      </c>
      <c r="J63" s="216">
        <f t="shared" si="21"/>
        <v>0</v>
      </c>
      <c r="K63" s="216">
        <f t="shared" si="21"/>
        <v>0</v>
      </c>
      <c r="L63" s="216">
        <f t="shared" si="21"/>
        <v>0</v>
      </c>
      <c r="M63" s="216">
        <f t="shared" si="21"/>
        <v>0</v>
      </c>
      <c r="N63" s="216">
        <f t="shared" si="21"/>
        <v>0</v>
      </c>
      <c r="O63" s="216">
        <f t="shared" si="21"/>
        <v>0</v>
      </c>
      <c r="P63" s="216">
        <f t="shared" si="21"/>
        <v>0</v>
      </c>
      <c r="Q63" s="216">
        <f t="shared" si="21"/>
        <v>0</v>
      </c>
      <c r="R63" s="527">
        <f t="shared" si="21"/>
        <v>65669338.36518079</v>
      </c>
      <c r="S63" s="216">
        <f>SUM(S10+S13+S14+S15+S26+S27+S38+S42+S43+S54)</f>
        <v>51447412.139188446</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f>+'[10]S&amp;U Qtr'!$W$128+'[10]S&amp;U Qtr'!$W$129</f>
        <v>85000</v>
      </c>
      <c r="D65" s="217"/>
      <c r="E65" s="217">
        <f t="shared" ref="E65:E69" si="22">+C65</f>
        <v>85000</v>
      </c>
      <c r="F65" s="217"/>
      <c r="G65" s="217"/>
      <c r="H65" s="217"/>
      <c r="I65" s="217"/>
      <c r="J65" s="217"/>
      <c r="K65" s="217"/>
      <c r="L65" s="217"/>
      <c r="M65" s="217"/>
      <c r="N65" s="217"/>
      <c r="O65" s="217"/>
      <c r="P65" s="217"/>
      <c r="Q65" s="217"/>
      <c r="R65" s="871">
        <f>SUM(E65:Q65)</f>
        <v>85000</v>
      </c>
      <c r="S65" s="217">
        <f>+'[10]LIHTC &amp; BASIS CALCULATION'!$D$103</f>
        <v>40000</v>
      </c>
      <c r="T65" s="217"/>
      <c r="U65" s="213"/>
    </row>
    <row r="66" spans="1:21" s="214" customFormat="1" ht="24" customHeight="1">
      <c r="A66" s="437" t="s">
        <v>1849</v>
      </c>
      <c r="B66" s="216">
        <f t="shared" ref="B66:B69" si="23">SUM(C66+D66)</f>
        <v>0</v>
      </c>
      <c r="C66" s="217"/>
      <c r="D66" s="217"/>
      <c r="E66" s="217">
        <f t="shared" si="22"/>
        <v>0</v>
      </c>
      <c r="F66" s="217"/>
      <c r="G66" s="217"/>
      <c r="H66" s="217"/>
      <c r="I66" s="217"/>
      <c r="J66" s="217"/>
      <c r="K66" s="217"/>
      <c r="L66" s="217"/>
      <c r="M66" s="217"/>
      <c r="N66" s="217"/>
      <c r="O66" s="217"/>
      <c r="P66" s="217"/>
      <c r="Q66" s="217"/>
      <c r="R66" s="871">
        <f t="shared" ref="R66:R68" si="24">SUM(E66:Q66)</f>
        <v>0</v>
      </c>
      <c r="S66" s="217"/>
      <c r="T66" s="217"/>
      <c r="U66" s="213"/>
    </row>
    <row r="67" spans="1:21" s="214" customFormat="1" ht="24" customHeight="1">
      <c r="A67" s="437" t="s">
        <v>1850</v>
      </c>
      <c r="B67" s="216">
        <f t="shared" si="23"/>
        <v>0</v>
      </c>
      <c r="C67" s="217">
        <f>+'[10]S&amp;U Qtr'!$W$171</f>
        <v>0</v>
      </c>
      <c r="D67" s="217"/>
      <c r="E67" s="217">
        <f t="shared" si="22"/>
        <v>0</v>
      </c>
      <c r="F67" s="217"/>
      <c r="G67" s="217"/>
      <c r="H67" s="217"/>
      <c r="I67" s="217"/>
      <c r="J67" s="217"/>
      <c r="K67" s="217"/>
      <c r="L67" s="217"/>
      <c r="M67" s="217"/>
      <c r="N67" s="217"/>
      <c r="O67" s="217"/>
      <c r="P67" s="217"/>
      <c r="Q67" s="217"/>
      <c r="R67" s="871">
        <f t="shared" si="24"/>
        <v>0</v>
      </c>
      <c r="S67" s="217">
        <f>+R67</f>
        <v>0</v>
      </c>
      <c r="T67" s="217"/>
      <c r="U67" s="213"/>
    </row>
    <row r="68" spans="1:21" s="214" customFormat="1" ht="12" customHeight="1">
      <c r="A68" s="437" t="s">
        <v>1856</v>
      </c>
      <c r="B68" s="216">
        <f t="shared" si="23"/>
        <v>0</v>
      </c>
      <c r="C68" s="217"/>
      <c r="D68" s="217"/>
      <c r="E68" s="217">
        <f t="shared" si="22"/>
        <v>0</v>
      </c>
      <c r="F68" s="217"/>
      <c r="G68" s="217"/>
      <c r="H68" s="217"/>
      <c r="I68" s="217"/>
      <c r="J68" s="217"/>
      <c r="K68" s="217"/>
      <c r="L68" s="217"/>
      <c r="M68" s="217"/>
      <c r="N68" s="217"/>
      <c r="O68" s="217"/>
      <c r="P68" s="217"/>
      <c r="Q68" s="217"/>
      <c r="R68" s="871">
        <f t="shared" si="24"/>
        <v>0</v>
      </c>
      <c r="S68" s="217"/>
      <c r="T68" s="217"/>
      <c r="U68" s="213"/>
    </row>
    <row r="69" spans="1:21" s="214" customFormat="1">
      <c r="A69" s="1892" t="s">
        <v>2723</v>
      </c>
      <c r="B69" s="216">
        <f t="shared" si="23"/>
        <v>165000</v>
      </c>
      <c r="C69" s="217">
        <f>+'[10]S&amp;U Qtr'!$W$130+'[10]S&amp;U Qtr'!$W$131+'[10]S&amp;U Qtr'!$W$134</f>
        <v>165000</v>
      </c>
      <c r="D69" s="217"/>
      <c r="E69" s="217">
        <f t="shared" si="22"/>
        <v>165000</v>
      </c>
      <c r="F69" s="217"/>
      <c r="G69" s="217"/>
      <c r="H69" s="217"/>
      <c r="I69" s="217"/>
      <c r="J69" s="217"/>
      <c r="K69" s="217"/>
      <c r="L69" s="217"/>
      <c r="M69" s="217"/>
      <c r="N69" s="217"/>
      <c r="O69" s="217"/>
      <c r="P69" s="217"/>
      <c r="Q69" s="217"/>
      <c r="R69" s="871">
        <f>SUM(E69:Q69)</f>
        <v>165000</v>
      </c>
      <c r="S69" s="217">
        <f>+'[10]LIHTC &amp; BASIS CALCULATION'!$D$105+'[10]LIHTC &amp; BASIS CALCULATION'!$D$109</f>
        <v>70000</v>
      </c>
      <c r="T69" s="217"/>
      <c r="U69" s="213"/>
    </row>
    <row r="70" spans="1:21" s="214" customFormat="1">
      <c r="A70" s="219" t="s">
        <v>1853</v>
      </c>
      <c r="B70" s="216">
        <f>SUM(C70:D70)</f>
        <v>250000</v>
      </c>
      <c r="C70" s="216">
        <f>SUM(C65:C69)</f>
        <v>250000</v>
      </c>
      <c r="D70" s="216">
        <f>SUM(D65:D69)</f>
        <v>0</v>
      </c>
      <c r="E70" s="216">
        <f t="shared" ref="E70:T70" si="25">SUM(E65:E69)</f>
        <v>250000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27">
        <f t="shared" si="25"/>
        <v>250000</v>
      </c>
      <c r="S70" s="220">
        <f t="shared" si="25"/>
        <v>110000</v>
      </c>
      <c r="T70" s="220">
        <f t="shared" si="25"/>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26">+C72</f>
        <v>0</v>
      </c>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f t="shared" si="26"/>
        <v>0</v>
      </c>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f t="shared" si="26"/>
        <v>0</v>
      </c>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550720.01306964725</v>
      </c>
      <c r="C75" s="217">
        <f>+'[10]S&amp;U Qtr'!$W$138</f>
        <v>550720.01306964725</v>
      </c>
      <c r="D75" s="217"/>
      <c r="E75" s="217">
        <f t="shared" si="26"/>
        <v>550720.01306964725</v>
      </c>
      <c r="F75" s="217"/>
      <c r="G75" s="217"/>
      <c r="H75" s="217"/>
      <c r="I75" s="217"/>
      <c r="J75" s="217"/>
      <c r="K75" s="217"/>
      <c r="L75" s="217"/>
      <c r="M75" s="217"/>
      <c r="N75" s="217"/>
      <c r="O75" s="217"/>
      <c r="P75" s="217"/>
      <c r="Q75" s="217"/>
      <c r="R75" s="871">
        <f>SUM(E75:Q75)</f>
        <v>550720.01306964725</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550720.01306964725</v>
      </c>
      <c r="C77" s="216">
        <f>SUM(C72:C76)</f>
        <v>550720.01306964725</v>
      </c>
      <c r="D77" s="216">
        <f>SUM(D72:D76)</f>
        <v>0</v>
      </c>
      <c r="E77" s="216">
        <f t="shared" ref="E77:Q77" si="27">SUM(E72:E76)</f>
        <v>550720.01306964725</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27">
        <f>SUM(R72:R76)</f>
        <v>550720.01306964725</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2354675.2869565217</v>
      </c>
      <c r="C79" s="217">
        <f>+'[10]S&amp;U Qtr'!$W$95</f>
        <v>2354675.2869565217</v>
      </c>
      <c r="D79" s="217"/>
      <c r="E79" s="217">
        <f t="shared" ref="E79:E80" si="28">+C79</f>
        <v>2354675.2869565217</v>
      </c>
      <c r="F79" s="217"/>
      <c r="G79" s="217"/>
      <c r="H79" s="217"/>
      <c r="I79" s="217"/>
      <c r="J79" s="217"/>
      <c r="K79" s="217"/>
      <c r="L79" s="217"/>
      <c r="M79" s="217"/>
      <c r="N79" s="217"/>
      <c r="O79" s="217"/>
      <c r="P79" s="217"/>
      <c r="Q79" s="217"/>
      <c r="R79" s="871">
        <f>SUM(E79:Q79)</f>
        <v>2354675.2869565217</v>
      </c>
      <c r="S79" s="217">
        <f t="shared" ref="S79:S80" si="29">+R79</f>
        <v>2354675.2869565217</v>
      </c>
      <c r="T79" s="217"/>
      <c r="U79" s="213"/>
    </row>
    <row r="80" spans="1:21" s="214" customFormat="1">
      <c r="A80" s="437" t="s">
        <v>61</v>
      </c>
      <c r="B80" s="216">
        <f>SUM(C80:D80)</f>
        <v>437151.08889278641</v>
      </c>
      <c r="C80" s="217">
        <f>+'[10]S&amp;U Qtr'!$W$96</f>
        <v>437151.08889278641</v>
      </c>
      <c r="D80" s="217"/>
      <c r="E80" s="217">
        <f t="shared" si="28"/>
        <v>437151.08889278641</v>
      </c>
      <c r="F80" s="217"/>
      <c r="G80" s="217"/>
      <c r="H80" s="217"/>
      <c r="I80" s="217"/>
      <c r="J80" s="217"/>
      <c r="K80" s="217"/>
      <c r="L80" s="217"/>
      <c r="M80" s="217"/>
      <c r="N80" s="217"/>
      <c r="O80" s="217"/>
      <c r="P80" s="217"/>
      <c r="Q80" s="217"/>
      <c r="R80" s="871">
        <f>SUM(E80:Q80)</f>
        <v>437151.08889278641</v>
      </c>
      <c r="S80" s="217">
        <f t="shared" si="29"/>
        <v>437151.08889278641</v>
      </c>
      <c r="T80" s="217"/>
      <c r="U80" s="213"/>
    </row>
    <row r="81" spans="1:21" s="214" customFormat="1">
      <c r="A81" s="219" t="s">
        <v>1374</v>
      </c>
      <c r="B81" s="216">
        <f>SUM(C81:D81)</f>
        <v>2791826.375849308</v>
      </c>
      <c r="C81" s="851">
        <f>SUM(C79:C80)</f>
        <v>2791826.375849308</v>
      </c>
      <c r="D81" s="851">
        <f t="shared" ref="D81:T81" si="30">SUM(D79:D80)</f>
        <v>0</v>
      </c>
      <c r="E81" s="851">
        <f t="shared" si="30"/>
        <v>2791826.375849308</v>
      </c>
      <c r="F81" s="851">
        <f t="shared" si="30"/>
        <v>0</v>
      </c>
      <c r="G81" s="851">
        <f t="shared" si="30"/>
        <v>0</v>
      </c>
      <c r="H81" s="851">
        <f t="shared" si="30"/>
        <v>0</v>
      </c>
      <c r="I81" s="851">
        <f t="shared" si="30"/>
        <v>0</v>
      </c>
      <c r="J81" s="851">
        <f t="shared" si="30"/>
        <v>0</v>
      </c>
      <c r="K81" s="851">
        <f t="shared" si="30"/>
        <v>0</v>
      </c>
      <c r="L81" s="851">
        <f t="shared" si="30"/>
        <v>0</v>
      </c>
      <c r="M81" s="851">
        <f t="shared" si="30"/>
        <v>0</v>
      </c>
      <c r="N81" s="851">
        <f t="shared" si="30"/>
        <v>0</v>
      </c>
      <c r="O81" s="851">
        <f t="shared" si="30"/>
        <v>0</v>
      </c>
      <c r="P81" s="851">
        <f t="shared" si="30"/>
        <v>0</v>
      </c>
      <c r="Q81" s="851">
        <f t="shared" si="30"/>
        <v>0</v>
      </c>
      <c r="R81" s="851">
        <f t="shared" si="30"/>
        <v>2791826.375849308</v>
      </c>
      <c r="S81" s="851">
        <f t="shared" si="30"/>
        <v>2791826.375849308</v>
      </c>
      <c r="T81" s="851">
        <f t="shared" si="30"/>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2590</v>
      </c>
      <c r="B83" s="216">
        <f t="shared" ref="B83:B95" si="31">SUM(C83+D83)</f>
        <v>91914.742961992582</v>
      </c>
      <c r="C83" s="217">
        <f>+'[10]S&amp;U Qtr'!$W$158</f>
        <v>91914.742961992582</v>
      </c>
      <c r="D83" s="217"/>
      <c r="E83" s="217">
        <f t="shared" ref="E83:E95" si="32">+C83</f>
        <v>91914.742961992582</v>
      </c>
      <c r="F83" s="217"/>
      <c r="G83" s="217"/>
      <c r="H83" s="217"/>
      <c r="I83" s="217"/>
      <c r="J83" s="217"/>
      <c r="K83" s="217"/>
      <c r="L83" s="217"/>
      <c r="M83" s="217"/>
      <c r="N83" s="217"/>
      <c r="O83" s="217"/>
      <c r="P83" s="217"/>
      <c r="Q83" s="217"/>
      <c r="R83" s="871">
        <f t="shared" ref="R83:R95" si="33">SUM(E83:Q83)</f>
        <v>91914.742961992582</v>
      </c>
      <c r="S83" s="218"/>
      <c r="T83" s="218"/>
      <c r="U83" s="213"/>
    </row>
    <row r="84" spans="1:21" s="214" customFormat="1">
      <c r="A84" s="215" t="s">
        <v>809</v>
      </c>
      <c r="B84" s="216">
        <f t="shared" si="31"/>
        <v>36280</v>
      </c>
      <c r="C84" s="217">
        <f>+'[10]S&amp;U Qtr'!$E$150</f>
        <v>36280</v>
      </c>
      <c r="D84" s="217"/>
      <c r="E84" s="217">
        <f t="shared" si="32"/>
        <v>36280</v>
      </c>
      <c r="F84" s="217"/>
      <c r="G84" s="217"/>
      <c r="H84" s="217"/>
      <c r="I84" s="217"/>
      <c r="J84" s="217"/>
      <c r="K84" s="217"/>
      <c r="L84" s="217"/>
      <c r="M84" s="217"/>
      <c r="N84" s="217"/>
      <c r="O84" s="217"/>
      <c r="P84" s="217"/>
      <c r="Q84" s="217"/>
      <c r="R84" s="871">
        <f t="shared" si="33"/>
        <v>36280</v>
      </c>
      <c r="S84" s="217">
        <f t="shared" ref="S84:S87" si="34">+R84</f>
        <v>36280</v>
      </c>
      <c r="T84" s="217"/>
      <c r="U84" s="213"/>
    </row>
    <row r="85" spans="1:21" s="214" customFormat="1">
      <c r="A85" s="215" t="s">
        <v>810</v>
      </c>
      <c r="B85" s="216">
        <f t="shared" si="31"/>
        <v>2633555</v>
      </c>
      <c r="C85" s="217">
        <f>+'[10]S&amp;U Qtr'!$W$161</f>
        <v>2633555</v>
      </c>
      <c r="D85" s="217"/>
      <c r="E85" s="217">
        <f t="shared" si="32"/>
        <v>2633555</v>
      </c>
      <c r="F85" s="217"/>
      <c r="G85" s="217"/>
      <c r="H85" s="217"/>
      <c r="I85" s="217"/>
      <c r="J85" s="217"/>
      <c r="K85" s="217"/>
      <c r="L85" s="217"/>
      <c r="M85" s="217"/>
      <c r="N85" s="217"/>
      <c r="O85" s="217"/>
      <c r="P85" s="217"/>
      <c r="Q85" s="217"/>
      <c r="R85" s="871">
        <f t="shared" si="33"/>
        <v>2633555</v>
      </c>
      <c r="S85" s="217">
        <f t="shared" si="34"/>
        <v>2633555</v>
      </c>
      <c r="T85" s="217"/>
      <c r="U85" s="213"/>
    </row>
    <row r="86" spans="1:21" s="214" customFormat="1">
      <c r="A86" s="215" t="s">
        <v>811</v>
      </c>
      <c r="B86" s="216">
        <f t="shared" si="31"/>
        <v>505000</v>
      </c>
      <c r="C86" s="217">
        <f>+'[10]S&amp;U Qtr'!$W$160</f>
        <v>505000</v>
      </c>
      <c r="D86" s="217"/>
      <c r="E86" s="217">
        <f t="shared" si="32"/>
        <v>505000</v>
      </c>
      <c r="F86" s="217"/>
      <c r="G86" s="217"/>
      <c r="H86" s="217"/>
      <c r="I86" s="217"/>
      <c r="J86" s="217"/>
      <c r="K86" s="217"/>
      <c r="L86" s="217"/>
      <c r="M86" s="217"/>
      <c r="N86" s="217"/>
      <c r="O86" s="217"/>
      <c r="P86" s="217"/>
      <c r="Q86" s="217"/>
      <c r="R86" s="871">
        <f t="shared" si="33"/>
        <v>505000</v>
      </c>
      <c r="S86" s="217">
        <f t="shared" si="34"/>
        <v>505000</v>
      </c>
      <c r="T86" s="217"/>
      <c r="U86" s="213"/>
    </row>
    <row r="87" spans="1:21" s="214" customFormat="1">
      <c r="A87" s="215" t="s">
        <v>812</v>
      </c>
      <c r="B87" s="216">
        <f t="shared" si="31"/>
        <v>0</v>
      </c>
      <c r="C87" s="217"/>
      <c r="D87" s="217"/>
      <c r="E87" s="217">
        <f t="shared" si="32"/>
        <v>0</v>
      </c>
      <c r="F87" s="217"/>
      <c r="G87" s="217"/>
      <c r="H87" s="217"/>
      <c r="I87" s="217"/>
      <c r="J87" s="217"/>
      <c r="K87" s="217"/>
      <c r="L87" s="217"/>
      <c r="M87" s="217"/>
      <c r="N87" s="217"/>
      <c r="O87" s="217"/>
      <c r="P87" s="217"/>
      <c r="Q87" s="217"/>
      <c r="R87" s="871">
        <f t="shared" si="33"/>
        <v>0</v>
      </c>
      <c r="S87" s="217">
        <f t="shared" si="34"/>
        <v>0</v>
      </c>
      <c r="T87" s="217"/>
      <c r="U87" s="213"/>
    </row>
    <row r="88" spans="1:21" s="214" customFormat="1">
      <c r="A88" s="215" t="s">
        <v>813</v>
      </c>
      <c r="B88" s="216">
        <f t="shared" si="31"/>
        <v>165000</v>
      </c>
      <c r="C88" s="217">
        <f>+'[10]S&amp;U Qtr'!$W$167</f>
        <v>165000</v>
      </c>
      <c r="D88" s="217"/>
      <c r="E88" s="217">
        <f t="shared" si="32"/>
        <v>165000</v>
      </c>
      <c r="F88" s="217"/>
      <c r="G88" s="217"/>
      <c r="H88" s="217"/>
      <c r="I88" s="217"/>
      <c r="J88" s="217"/>
      <c r="K88" s="217"/>
      <c r="L88" s="217"/>
      <c r="M88" s="217"/>
      <c r="N88" s="217"/>
      <c r="O88" s="217"/>
      <c r="P88" s="217"/>
      <c r="Q88" s="217"/>
      <c r="R88" s="871">
        <f t="shared" si="33"/>
        <v>165000</v>
      </c>
      <c r="S88" s="218"/>
      <c r="T88" s="218"/>
      <c r="U88" s="213"/>
    </row>
    <row r="89" spans="1:21" s="214" customFormat="1">
      <c r="A89" s="215" t="s">
        <v>814</v>
      </c>
      <c r="B89" s="216">
        <f t="shared" si="31"/>
        <v>160000</v>
      </c>
      <c r="C89" s="217">
        <f>+'[10]S&amp;U Qtr'!$W$165</f>
        <v>160000</v>
      </c>
      <c r="D89" s="217"/>
      <c r="E89" s="217">
        <f t="shared" si="32"/>
        <v>160000</v>
      </c>
      <c r="F89" s="217"/>
      <c r="G89" s="217"/>
      <c r="H89" s="217"/>
      <c r="I89" s="217"/>
      <c r="J89" s="217"/>
      <c r="K89" s="217"/>
      <c r="L89" s="217"/>
      <c r="M89" s="217"/>
      <c r="N89" s="217"/>
      <c r="O89" s="217"/>
      <c r="P89" s="217"/>
      <c r="Q89" s="217"/>
      <c r="R89" s="871">
        <f t="shared" si="33"/>
        <v>160000</v>
      </c>
      <c r="S89" s="217">
        <f t="shared" ref="S89:S92" si="35">+R89</f>
        <v>160000</v>
      </c>
      <c r="T89" s="217"/>
      <c r="U89" s="213"/>
    </row>
    <row r="90" spans="1:21" s="214" customFormat="1">
      <c r="A90" s="215" t="s">
        <v>815</v>
      </c>
      <c r="B90" s="216">
        <f t="shared" si="31"/>
        <v>8500</v>
      </c>
      <c r="C90" s="217">
        <f>+'[10]S&amp;U Qtr'!$W$147</f>
        <v>8500</v>
      </c>
      <c r="D90" s="217"/>
      <c r="E90" s="217">
        <f t="shared" si="32"/>
        <v>8500</v>
      </c>
      <c r="F90" s="217"/>
      <c r="G90" s="217"/>
      <c r="H90" s="217"/>
      <c r="I90" s="217"/>
      <c r="J90" s="217"/>
      <c r="K90" s="217"/>
      <c r="L90" s="217"/>
      <c r="M90" s="217"/>
      <c r="N90" s="217"/>
      <c r="O90" s="217"/>
      <c r="P90" s="217"/>
      <c r="Q90" s="217"/>
      <c r="R90" s="871">
        <f t="shared" si="33"/>
        <v>8500</v>
      </c>
      <c r="S90" s="217">
        <f t="shared" si="35"/>
        <v>8500</v>
      </c>
      <c r="T90" s="217"/>
      <c r="U90" s="213"/>
    </row>
    <row r="91" spans="1:21" s="214" customFormat="1">
      <c r="A91" s="1654" t="s">
        <v>387</v>
      </c>
      <c r="B91" s="216">
        <f t="shared" si="31"/>
        <v>95000</v>
      </c>
      <c r="C91" s="217">
        <f>+'[10]S&amp;U Qtr'!$W$170+'[10]S&amp;U Qtr'!$W$166</f>
        <v>95000</v>
      </c>
      <c r="D91" s="217"/>
      <c r="E91" s="217">
        <f t="shared" si="32"/>
        <v>95000</v>
      </c>
      <c r="F91" s="217"/>
      <c r="G91" s="217"/>
      <c r="H91" s="217"/>
      <c r="I91" s="217"/>
      <c r="J91" s="217"/>
      <c r="K91" s="217"/>
      <c r="L91" s="217"/>
      <c r="M91" s="217"/>
      <c r="N91" s="217"/>
      <c r="O91" s="217"/>
      <c r="P91" s="217"/>
      <c r="Q91" s="217"/>
      <c r="R91" s="871">
        <f t="shared" si="33"/>
        <v>95000</v>
      </c>
      <c r="S91" s="217">
        <f t="shared" si="35"/>
        <v>95000</v>
      </c>
      <c r="T91" s="217"/>
      <c r="U91" s="213"/>
    </row>
    <row r="92" spans="1:21" s="214" customFormat="1">
      <c r="A92" s="1653" t="s">
        <v>1376</v>
      </c>
      <c r="B92" s="216">
        <f t="shared" si="31"/>
        <v>13000</v>
      </c>
      <c r="C92" s="217">
        <f>+'[10]S&amp;U Qtr'!$W$149</f>
        <v>13000</v>
      </c>
      <c r="D92" s="217"/>
      <c r="E92" s="217">
        <f t="shared" si="32"/>
        <v>13000</v>
      </c>
      <c r="F92" s="217"/>
      <c r="G92" s="217"/>
      <c r="H92" s="217"/>
      <c r="I92" s="217"/>
      <c r="J92" s="217"/>
      <c r="K92" s="217"/>
      <c r="L92" s="217"/>
      <c r="M92" s="217"/>
      <c r="N92" s="217"/>
      <c r="O92" s="217"/>
      <c r="P92" s="217"/>
      <c r="Q92" s="217"/>
      <c r="R92" s="871">
        <f t="shared" si="33"/>
        <v>13000</v>
      </c>
      <c r="S92" s="217">
        <f t="shared" si="35"/>
        <v>13000</v>
      </c>
      <c r="T92" s="217"/>
      <c r="U92" s="213"/>
    </row>
    <row r="93" spans="1:21" s="214" customFormat="1">
      <c r="A93" s="1892" t="s">
        <v>2724</v>
      </c>
      <c r="B93" s="216">
        <f t="shared" si="31"/>
        <v>0</v>
      </c>
      <c r="C93" s="217"/>
      <c r="D93" s="217"/>
      <c r="E93" s="217">
        <f t="shared" si="32"/>
        <v>0</v>
      </c>
      <c r="F93" s="217"/>
      <c r="G93" s="217"/>
      <c r="H93" s="217"/>
      <c r="I93" s="217"/>
      <c r="J93" s="217"/>
      <c r="K93" s="217"/>
      <c r="L93" s="217"/>
      <c r="M93" s="217"/>
      <c r="N93" s="217"/>
      <c r="O93" s="217"/>
      <c r="P93" s="217"/>
      <c r="Q93" s="217"/>
      <c r="R93" s="871">
        <f t="shared" si="33"/>
        <v>0</v>
      </c>
      <c r="S93" s="217"/>
      <c r="T93" s="217"/>
      <c r="U93" s="213"/>
    </row>
    <row r="94" spans="1:21" s="214" customFormat="1">
      <c r="A94" s="222" t="s">
        <v>35</v>
      </c>
      <c r="B94" s="216">
        <f t="shared" si="31"/>
        <v>50000</v>
      </c>
      <c r="C94" s="217">
        <f>+'[10]S&amp;U Qtr'!$W$168</f>
        <v>50000</v>
      </c>
      <c r="D94" s="217"/>
      <c r="E94" s="217">
        <f t="shared" si="32"/>
        <v>50000</v>
      </c>
      <c r="F94" s="217"/>
      <c r="G94" s="217"/>
      <c r="H94" s="217"/>
      <c r="I94" s="217"/>
      <c r="J94" s="217"/>
      <c r="K94" s="217"/>
      <c r="L94" s="217"/>
      <c r="M94" s="217"/>
      <c r="N94" s="217"/>
      <c r="O94" s="217"/>
      <c r="P94" s="217"/>
      <c r="Q94" s="217"/>
      <c r="R94" s="871">
        <f t="shared" si="33"/>
        <v>50000</v>
      </c>
      <c r="S94" s="217"/>
      <c r="T94" s="217"/>
      <c r="U94" s="213"/>
    </row>
    <row r="95" spans="1:21" s="214" customFormat="1">
      <c r="A95" s="222" t="s">
        <v>35</v>
      </c>
      <c r="B95" s="216">
        <f t="shared" si="31"/>
        <v>0</v>
      </c>
      <c r="C95" s="217"/>
      <c r="D95" s="217"/>
      <c r="E95" s="217">
        <f t="shared" si="32"/>
        <v>0</v>
      </c>
      <c r="F95" s="217"/>
      <c r="G95" s="217"/>
      <c r="H95" s="217"/>
      <c r="I95" s="217"/>
      <c r="J95" s="217"/>
      <c r="K95" s="217"/>
      <c r="L95" s="217"/>
      <c r="M95" s="217"/>
      <c r="N95" s="217"/>
      <c r="O95" s="217"/>
      <c r="P95" s="217"/>
      <c r="Q95" s="217"/>
      <c r="R95" s="871">
        <f t="shared" si="33"/>
        <v>0</v>
      </c>
      <c r="S95" s="217"/>
      <c r="T95" s="217"/>
      <c r="U95" s="213"/>
    </row>
    <row r="96" spans="1:21" s="214" customFormat="1">
      <c r="A96" s="219" t="s">
        <v>816</v>
      </c>
      <c r="B96" s="216">
        <f>SUM(C96:D96)</f>
        <v>3758249.7429619925</v>
      </c>
      <c r="C96" s="216">
        <f t="shared" ref="C96:R96" si="36">SUM(C83:C95)</f>
        <v>3758249.7429619925</v>
      </c>
      <c r="D96" s="216">
        <f t="shared" si="36"/>
        <v>0</v>
      </c>
      <c r="E96" s="216">
        <f t="shared" si="36"/>
        <v>3758249.7429619925</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27">
        <f t="shared" si="36"/>
        <v>3758249.7429619925</v>
      </c>
      <c r="S96" s="220">
        <f>SUM(S84:S87,S89:S95)</f>
        <v>3451335</v>
      </c>
      <c r="T96" s="216">
        <f>SUM(T84:T87,T89:T95)</f>
        <v>0</v>
      </c>
      <c r="U96" s="213"/>
    </row>
    <row r="97" spans="1:21" s="214" customFormat="1">
      <c r="A97" s="219" t="s">
        <v>817</v>
      </c>
      <c r="B97" s="216">
        <f>SUM(C97:D97)</f>
        <v>73020134.497061729</v>
      </c>
      <c r="C97" s="216">
        <f t="shared" ref="C97:R97" si="37">SUM(C63+C70+C77+C81+C96)</f>
        <v>73020134.497061729</v>
      </c>
      <c r="D97" s="216">
        <f t="shared" si="37"/>
        <v>0</v>
      </c>
      <c r="E97" s="216">
        <f t="shared" si="37"/>
        <v>28870134.497061741</v>
      </c>
      <c r="F97" s="216">
        <f t="shared" si="37"/>
        <v>25140000</v>
      </c>
      <c r="G97" s="216">
        <f t="shared" si="37"/>
        <v>2500000</v>
      </c>
      <c r="H97" s="216">
        <f t="shared" si="37"/>
        <v>4000000</v>
      </c>
      <c r="I97" s="216">
        <f t="shared" si="37"/>
        <v>12510000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73020134.497061729</v>
      </c>
      <c r="S97" s="216">
        <f>SUM(S63+S70+S81+S96)</f>
        <v>57800573.515037753</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8670086.0272556636</v>
      </c>
      <c r="C99" s="1548">
        <f>+'[10]S&amp;U Qtr'!$W$176</f>
        <v>8670086.0272556636</v>
      </c>
      <c r="D99" s="1548"/>
      <c r="E99" s="217">
        <f>+C99-J99-K99</f>
        <v>1892484.7391116489</v>
      </c>
      <c r="F99" s="217"/>
      <c r="G99" s="217"/>
      <c r="H99" s="217"/>
      <c r="I99" s="217"/>
      <c r="J99" s="217">
        <f>+Application!AO641</f>
        <v>5500000</v>
      </c>
      <c r="K99" s="217">
        <f>+Application!AO642</f>
        <v>1277601.2881440148</v>
      </c>
      <c r="L99" s="217"/>
      <c r="M99" s="217"/>
      <c r="N99" s="217"/>
      <c r="O99" s="217"/>
      <c r="P99" s="217"/>
      <c r="Q99" s="217"/>
      <c r="R99" s="871">
        <f t="shared" ref="R99:R103" si="38">SUM(E99:Q99)</f>
        <v>8670086.0272556636</v>
      </c>
      <c r="S99" s="217">
        <f>+R99</f>
        <v>8670086.0272556636</v>
      </c>
      <c r="T99" s="217"/>
      <c r="U99" s="213"/>
    </row>
    <row r="100" spans="1:21" s="214" customFormat="1">
      <c r="A100" s="437" t="s">
        <v>1854</v>
      </c>
      <c r="B100" s="216">
        <f t="shared" ref="B100:B103" si="39">SUM(C100+D100)</f>
        <v>0</v>
      </c>
      <c r="C100" s="217"/>
      <c r="D100" s="217"/>
      <c r="E100" s="217"/>
      <c r="F100" s="217"/>
      <c r="G100" s="217"/>
      <c r="H100" s="217"/>
      <c r="I100" s="217"/>
      <c r="J100" s="217"/>
      <c r="K100" s="217"/>
      <c r="L100" s="217"/>
      <c r="M100" s="217"/>
      <c r="N100" s="217"/>
      <c r="O100" s="217"/>
      <c r="P100" s="217"/>
      <c r="Q100" s="217"/>
      <c r="R100" s="871">
        <f t="shared" si="38"/>
        <v>0</v>
      </c>
      <c r="S100" s="217"/>
      <c r="T100" s="217"/>
      <c r="U100" s="213"/>
    </row>
    <row r="101" spans="1:21" s="214" customFormat="1" ht="12" customHeight="1">
      <c r="A101" s="215" t="s">
        <v>820</v>
      </c>
      <c r="B101" s="216">
        <f t="shared" si="39"/>
        <v>0</v>
      </c>
      <c r="C101" s="217"/>
      <c r="D101" s="217"/>
      <c r="E101" s="217"/>
      <c r="F101" s="217"/>
      <c r="G101" s="217"/>
      <c r="H101" s="217"/>
      <c r="I101" s="217"/>
      <c r="J101" s="217"/>
      <c r="K101" s="217"/>
      <c r="L101" s="217"/>
      <c r="M101" s="217"/>
      <c r="N101" s="217"/>
      <c r="O101" s="217"/>
      <c r="P101" s="217"/>
      <c r="Q101" s="217"/>
      <c r="R101" s="871">
        <f t="shared" si="38"/>
        <v>0</v>
      </c>
      <c r="S101" s="217"/>
      <c r="T101" s="217"/>
      <c r="U101" s="213"/>
    </row>
    <row r="102" spans="1:21" s="214" customFormat="1">
      <c r="A102" s="437" t="s">
        <v>1855</v>
      </c>
      <c r="B102" s="216">
        <f t="shared" si="39"/>
        <v>0</v>
      </c>
      <c r="C102" s="217"/>
      <c r="D102" s="217"/>
      <c r="E102" s="217"/>
      <c r="F102" s="217"/>
      <c r="G102" s="217"/>
      <c r="H102" s="217"/>
      <c r="I102" s="217"/>
      <c r="J102" s="217"/>
      <c r="K102" s="217"/>
      <c r="L102" s="217"/>
      <c r="M102" s="217"/>
      <c r="N102" s="217"/>
      <c r="O102" s="217"/>
      <c r="P102" s="217"/>
      <c r="Q102" s="217"/>
      <c r="R102" s="871">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1">
        <f t="shared" si="38"/>
        <v>0</v>
      </c>
      <c r="S103" s="217"/>
      <c r="T103" s="217"/>
      <c r="U103" s="213"/>
    </row>
    <row r="104" spans="1:21" s="214" customFormat="1">
      <c r="A104" s="219" t="s">
        <v>821</v>
      </c>
      <c r="B104" s="216">
        <f>SUM(C104:D104)</f>
        <v>8670086.0272556636</v>
      </c>
      <c r="C104" s="216">
        <f>SUM(C99:C103)</f>
        <v>8670086.0272556636</v>
      </c>
      <c r="D104" s="216">
        <f t="shared" ref="D104:T104" si="40">SUM(D99:D103)</f>
        <v>0</v>
      </c>
      <c r="E104" s="216">
        <f t="shared" si="40"/>
        <v>1892484.7391116489</v>
      </c>
      <c r="F104" s="216">
        <f t="shared" si="40"/>
        <v>0</v>
      </c>
      <c r="G104" s="216">
        <f t="shared" si="40"/>
        <v>0</v>
      </c>
      <c r="H104" s="216">
        <f t="shared" si="40"/>
        <v>0</v>
      </c>
      <c r="I104" s="216">
        <f t="shared" si="40"/>
        <v>0</v>
      </c>
      <c r="J104" s="216">
        <f t="shared" si="40"/>
        <v>5500000</v>
      </c>
      <c r="K104" s="216">
        <f t="shared" si="40"/>
        <v>1277601.2881440148</v>
      </c>
      <c r="L104" s="216">
        <f t="shared" si="40"/>
        <v>0</v>
      </c>
      <c r="M104" s="216">
        <f t="shared" si="40"/>
        <v>0</v>
      </c>
      <c r="N104" s="216">
        <f t="shared" si="40"/>
        <v>0</v>
      </c>
      <c r="O104" s="216">
        <f t="shared" si="40"/>
        <v>0</v>
      </c>
      <c r="P104" s="216">
        <f t="shared" si="40"/>
        <v>0</v>
      </c>
      <c r="Q104" s="216">
        <f t="shared" si="40"/>
        <v>0</v>
      </c>
      <c r="R104" s="527">
        <f t="shared" si="40"/>
        <v>8670086.0272556636</v>
      </c>
      <c r="S104" s="220">
        <f t="shared" si="40"/>
        <v>8670086.0272556636</v>
      </c>
      <c r="T104" s="220">
        <f t="shared" si="40"/>
        <v>0</v>
      </c>
      <c r="U104" s="213"/>
    </row>
    <row r="105" spans="1:21" s="214" customFormat="1">
      <c r="A105" s="219" t="s">
        <v>822</v>
      </c>
      <c r="B105" s="220">
        <f>SUM(C105:D105)</f>
        <v>81690220.524317399</v>
      </c>
      <c r="C105" s="220">
        <f t="shared" ref="C105:R105" si="41">SUM(C97+C104)</f>
        <v>81690220.524317399</v>
      </c>
      <c r="D105" s="220">
        <f t="shared" si="41"/>
        <v>0</v>
      </c>
      <c r="E105" s="220">
        <f t="shared" si="41"/>
        <v>30762619.236173391</v>
      </c>
      <c r="F105" s="220">
        <f t="shared" si="41"/>
        <v>25140000</v>
      </c>
      <c r="G105" s="220">
        <f t="shared" si="41"/>
        <v>2500000</v>
      </c>
      <c r="H105" s="220">
        <f t="shared" si="41"/>
        <v>4000000</v>
      </c>
      <c r="I105" s="220">
        <f t="shared" si="41"/>
        <v>12510000</v>
      </c>
      <c r="J105" s="220">
        <f t="shared" si="41"/>
        <v>5500000</v>
      </c>
      <c r="K105" s="220">
        <f t="shared" si="41"/>
        <v>1277601.2881440148</v>
      </c>
      <c r="L105" s="220">
        <f t="shared" si="41"/>
        <v>0</v>
      </c>
      <c r="M105" s="220">
        <f t="shared" si="41"/>
        <v>0</v>
      </c>
      <c r="N105" s="220">
        <f t="shared" si="41"/>
        <v>0</v>
      </c>
      <c r="O105" s="220">
        <f t="shared" si="41"/>
        <v>0</v>
      </c>
      <c r="P105" s="220">
        <f t="shared" si="41"/>
        <v>0</v>
      </c>
      <c r="Q105" s="220">
        <f t="shared" si="41"/>
        <v>0</v>
      </c>
      <c r="R105" s="527">
        <f t="shared" si="41"/>
        <v>81690220.524317399</v>
      </c>
      <c r="S105" s="220">
        <f>S97+S104</f>
        <v>66470659.542293414</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66470659.542293414</v>
      </c>
      <c r="T107" s="234">
        <f>T105+T106</f>
        <v>0</v>
      </c>
    </row>
    <row r="108" spans="1:21" s="300" customFormat="1">
      <c r="A108" s="233" t="s">
        <v>927</v>
      </c>
      <c r="B108" s="228"/>
      <c r="C108" s="228"/>
      <c r="D108" s="228"/>
      <c r="E108" s="461">
        <f>Application!AO650</f>
        <v>30762619.236173399</v>
      </c>
      <c r="F108" s="461">
        <f>Application!AO637</f>
        <v>25140000</v>
      </c>
      <c r="G108" s="461">
        <f>Application!AO638</f>
        <v>2500000</v>
      </c>
      <c r="H108" s="461">
        <f>Application!AO639</f>
        <v>4000000</v>
      </c>
      <c r="I108" s="461">
        <f>Application!AO640</f>
        <v>12510000</v>
      </c>
      <c r="J108" s="461">
        <f>Application!AO641</f>
        <v>5500000</v>
      </c>
      <c r="K108" s="461">
        <f>Application!AO642</f>
        <v>1277601.2881440148</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2591</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12" t="s">
        <v>1067</v>
      </c>
      <c r="E122" s="2612"/>
      <c r="F122" s="2612"/>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15" t="s">
        <v>1393</v>
      </c>
      <c r="E123" s="2616"/>
      <c r="F123" s="2616"/>
      <c r="G123" s="2616"/>
      <c r="H123" s="2616"/>
      <c r="I123" s="2616"/>
      <c r="J123" s="2616"/>
      <c r="K123" s="2616"/>
      <c r="L123" s="2616"/>
      <c r="M123" s="2616"/>
      <c r="N123" s="2616"/>
      <c r="O123" s="2616"/>
      <c r="P123" s="2616"/>
      <c r="Q123" s="2616"/>
      <c r="R123" s="2616"/>
      <c r="S123" s="2616"/>
      <c r="T123" s="507"/>
      <c r="U123" s="509"/>
    </row>
    <row r="124" spans="1:21" ht="12.75">
      <c r="A124" s="506" t="s">
        <v>1069</v>
      </c>
      <c r="B124" s="516"/>
      <c r="C124" s="506"/>
      <c r="D124" s="2616"/>
      <c r="E124" s="2616"/>
      <c r="F124" s="2616"/>
      <c r="G124" s="2616"/>
      <c r="H124" s="2616"/>
      <c r="I124" s="2616"/>
      <c r="J124" s="2616"/>
      <c r="K124" s="2616"/>
      <c r="L124" s="2616"/>
      <c r="M124" s="2616"/>
      <c r="N124" s="2616"/>
      <c r="O124" s="2616"/>
      <c r="P124" s="2616"/>
      <c r="Q124" s="2616"/>
      <c r="R124" s="2616"/>
      <c r="S124" s="2616"/>
      <c r="T124" s="507"/>
      <c r="U124" s="509"/>
    </row>
    <row r="125" spans="1:21" ht="12.75">
      <c r="A125" s="506" t="s">
        <v>1070</v>
      </c>
      <c r="B125" s="516"/>
      <c r="C125" s="506"/>
      <c r="D125" s="2616"/>
      <c r="E125" s="2616"/>
      <c r="F125" s="2616"/>
      <c r="G125" s="2616"/>
      <c r="H125" s="2616"/>
      <c r="I125" s="2616"/>
      <c r="J125" s="2616"/>
      <c r="K125" s="2616"/>
      <c r="L125" s="2616"/>
      <c r="M125" s="2616"/>
      <c r="N125" s="2616"/>
      <c r="O125" s="2616"/>
      <c r="P125" s="2616"/>
      <c r="Q125" s="2616"/>
      <c r="R125" s="2616"/>
      <c r="S125" s="2616"/>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09"/>
      <c r="E128" s="2609"/>
      <c r="F128" s="2609"/>
      <c r="G128" s="2609"/>
      <c r="H128" s="2609"/>
      <c r="I128" s="506"/>
      <c r="J128" s="2610"/>
      <c r="K128" s="2610"/>
      <c r="L128" s="506"/>
      <c r="M128" s="506"/>
      <c r="N128" s="506"/>
      <c r="O128" s="506"/>
      <c r="P128" s="506"/>
      <c r="Q128" s="506"/>
      <c r="R128" s="506"/>
      <c r="S128" s="506"/>
      <c r="T128" s="507"/>
      <c r="U128" s="509"/>
    </row>
    <row r="129" spans="1:21" ht="12.75">
      <c r="A129" s="506" t="s">
        <v>306</v>
      </c>
      <c r="B129" s="516"/>
      <c r="C129" s="506"/>
      <c r="D129" s="2611" t="s">
        <v>1074</v>
      </c>
      <c r="E129" s="2611"/>
      <c r="F129" s="2611"/>
      <c r="G129" s="2611"/>
      <c r="H129" s="2611"/>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530"/>
      <c r="E131" s="2530"/>
      <c r="F131" s="2530"/>
      <c r="G131" s="2530"/>
      <c r="H131" s="2530"/>
      <c r="I131" s="506"/>
      <c r="J131" s="2530"/>
      <c r="K131" s="2530"/>
      <c r="L131" s="2530"/>
      <c r="M131" s="2530"/>
      <c r="N131" s="506"/>
      <c r="O131" s="506"/>
      <c r="P131" s="506"/>
      <c r="Q131" s="506"/>
      <c r="R131" s="506"/>
      <c r="S131" s="506"/>
      <c r="T131" s="507"/>
      <c r="U131" s="509"/>
    </row>
    <row r="132" spans="1:21" ht="12" customHeight="1">
      <c r="A132" s="520"/>
      <c r="B132" s="506"/>
      <c r="C132" s="506"/>
      <c r="D132" s="2617" t="s">
        <v>1077</v>
      </c>
      <c r="E132" s="2617"/>
      <c r="F132" s="2617"/>
      <c r="G132" s="2617"/>
      <c r="H132" s="2617"/>
      <c r="I132" s="506"/>
      <c r="J132" s="2617" t="s">
        <v>1078</v>
      </c>
      <c r="K132" s="2617"/>
      <c r="L132" s="2617"/>
      <c r="M132" s="2617"/>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8"/>
      <c r="B138" s="2619"/>
      <c r="C138" s="2619"/>
      <c r="D138" s="511"/>
      <c r="E138" s="2610"/>
      <c r="F138" s="2610"/>
      <c r="G138" s="506"/>
      <c r="H138" s="506"/>
      <c r="I138" s="506"/>
      <c r="J138" s="506"/>
      <c r="K138" s="506"/>
      <c r="L138" s="506"/>
      <c r="M138" s="506"/>
      <c r="N138" s="506"/>
      <c r="O138" s="506"/>
      <c r="P138" s="506"/>
      <c r="Q138" s="506"/>
      <c r="R138" s="506"/>
      <c r="S138" s="506"/>
      <c r="T138" s="513"/>
      <c r="U138" s="514"/>
    </row>
    <row r="139" spans="1:21" ht="12.75">
      <c r="A139" s="2613" t="s">
        <v>1081</v>
      </c>
      <c r="B139" s="2614"/>
      <c r="C139" s="2614"/>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53" stopIfTrue="1">
      <formula>T9&gt;C9</formula>
    </cfRule>
  </conditionalFormatting>
  <conditionalFormatting sqref="S10">
    <cfRule type="expression" dxfId="147" priority="252" stopIfTrue="1">
      <formula>(S10+T10)&gt;C10</formula>
    </cfRule>
  </conditionalFormatting>
  <conditionalFormatting sqref="R8">
    <cfRule type="cellIs" dxfId="146" priority="241" stopIfTrue="1" operator="notEqual">
      <formula>$B8</formula>
    </cfRule>
    <cfRule type="cellIs" priority="244" stopIfTrue="1" operator="notEqual">
      <formula>$B8</formula>
    </cfRule>
  </conditionalFormatting>
  <conditionalFormatting sqref="R4:R7 R56:R61 R45:R53 R83:R95 R99:R103">
    <cfRule type="cellIs" dxfId="145" priority="243" stopIfTrue="1" operator="notEqual">
      <formula>$B4</formula>
    </cfRule>
  </conditionalFormatting>
  <conditionalFormatting sqref="R9:R10">
    <cfRule type="cellIs" dxfId="144" priority="242" stopIfTrue="1" operator="notEqual">
      <formula>$B9</formula>
    </cfRule>
  </conditionalFormatting>
  <conditionalFormatting sqref="R11:R12">
    <cfRule type="cellIs" dxfId="143" priority="239" stopIfTrue="1" operator="notEqual">
      <formula>$B11</formula>
    </cfRule>
    <cfRule type="cellIs" priority="240" stopIfTrue="1" operator="notEqual">
      <formula>$B11</formula>
    </cfRule>
  </conditionalFormatting>
  <conditionalFormatting sqref="R13:R15">
    <cfRule type="cellIs" dxfId="142" priority="238" stopIfTrue="1" operator="notEqual">
      <formula>$B13</formula>
    </cfRule>
  </conditionalFormatting>
  <conditionalFormatting sqref="R26">
    <cfRule type="cellIs" dxfId="141" priority="236" stopIfTrue="1" operator="notEqual">
      <formula>$B26</formula>
    </cfRule>
    <cfRule type="cellIs" priority="237" stopIfTrue="1" operator="notEqual">
      <formula>$B26</formula>
    </cfRule>
  </conditionalFormatting>
  <conditionalFormatting sqref="R17:R25">
    <cfRule type="cellIs" dxfId="140" priority="235" stopIfTrue="1" operator="notEqual">
      <formula>$B17</formula>
    </cfRule>
  </conditionalFormatting>
  <conditionalFormatting sqref="R27">
    <cfRule type="cellIs" dxfId="139" priority="234" stopIfTrue="1" operator="notEqual">
      <formula>$B27</formula>
    </cfRule>
  </conditionalFormatting>
  <conditionalFormatting sqref="R38">
    <cfRule type="cellIs" dxfId="138" priority="232" stopIfTrue="1" operator="notEqual">
      <formula>$B38</formula>
    </cfRule>
    <cfRule type="cellIs" priority="233" stopIfTrue="1" operator="notEqual">
      <formula>$B38</formula>
    </cfRule>
  </conditionalFormatting>
  <conditionalFormatting sqref="R29:R37">
    <cfRule type="cellIs" dxfId="137" priority="231" stopIfTrue="1" operator="notEqual">
      <formula>$B29</formula>
    </cfRule>
  </conditionalFormatting>
  <conditionalFormatting sqref="R42">
    <cfRule type="cellIs" dxfId="136" priority="229" stopIfTrue="1" operator="notEqual">
      <formula>$B42</formula>
    </cfRule>
    <cfRule type="cellIs" priority="230" stopIfTrue="1" operator="notEqual">
      <formula>$B42</formula>
    </cfRule>
  </conditionalFormatting>
  <conditionalFormatting sqref="R40:R41">
    <cfRule type="cellIs" dxfId="135" priority="228" stopIfTrue="1" operator="notEqual">
      <formula>$B40</formula>
    </cfRule>
  </conditionalFormatting>
  <conditionalFormatting sqref="R43">
    <cfRule type="cellIs" dxfId="134" priority="227" stopIfTrue="1" operator="notEqual">
      <formula>$B43</formula>
    </cfRule>
  </conditionalFormatting>
  <conditionalFormatting sqref="R54">
    <cfRule type="cellIs" dxfId="133" priority="225" stopIfTrue="1" operator="notEqual">
      <formula>$B54</formula>
    </cfRule>
    <cfRule type="cellIs" priority="226" stopIfTrue="1" operator="notEqual">
      <formula>$B54</formula>
    </cfRule>
  </conditionalFormatting>
  <conditionalFormatting sqref="R62:R63">
    <cfRule type="cellIs" dxfId="132" priority="222" stopIfTrue="1" operator="notEqual">
      <formula>$B62</formula>
    </cfRule>
    <cfRule type="cellIs" priority="223" stopIfTrue="1" operator="notEqual">
      <formula>$B62</formula>
    </cfRule>
  </conditionalFormatting>
  <conditionalFormatting sqref="R70">
    <cfRule type="cellIs" dxfId="131" priority="219" stopIfTrue="1" operator="notEqual">
      <formula>$B70</formula>
    </cfRule>
    <cfRule type="cellIs" priority="220" stopIfTrue="1" operator="notEqual">
      <formula>$B70</formula>
    </cfRule>
  </conditionalFormatting>
  <conditionalFormatting sqref="R65:R69">
    <cfRule type="cellIs" dxfId="130" priority="218" stopIfTrue="1" operator="notEqual">
      <formula>$B65</formula>
    </cfRule>
  </conditionalFormatting>
  <conditionalFormatting sqref="R77">
    <cfRule type="cellIs" dxfId="129" priority="216" stopIfTrue="1" operator="notEqual">
      <formula>$B77</formula>
    </cfRule>
    <cfRule type="cellIs" priority="217" stopIfTrue="1" operator="notEqual">
      <formula>$B77</formula>
    </cfRule>
  </conditionalFormatting>
  <conditionalFormatting sqref="R96">
    <cfRule type="cellIs" dxfId="128" priority="214" stopIfTrue="1" operator="notEqual">
      <formula>$B96</formula>
    </cfRule>
    <cfRule type="cellIs" priority="215" stopIfTrue="1" operator="notEqual">
      <formula>$B96</formula>
    </cfRule>
  </conditionalFormatting>
  <conditionalFormatting sqref="R72:R76">
    <cfRule type="cellIs" dxfId="127" priority="213" stopIfTrue="1" operator="notEqual">
      <formula>$B72</formula>
    </cfRule>
  </conditionalFormatting>
  <conditionalFormatting sqref="R79:R80">
    <cfRule type="cellIs" dxfId="126" priority="212" stopIfTrue="1" operator="notEqual">
      <formula>$B79</formula>
    </cfRule>
  </conditionalFormatting>
  <conditionalFormatting sqref="R104:R105">
    <cfRule type="cellIs" dxfId="125" priority="209" stopIfTrue="1" operator="notEqual">
      <formula>$B104</formula>
    </cfRule>
    <cfRule type="cellIs" priority="210" stopIfTrue="1" operator="notEqual">
      <formula>$B104</formula>
    </cfRule>
  </conditionalFormatting>
  <conditionalFormatting sqref="E105:Q105">
    <cfRule type="cellIs" dxfId="124" priority="207" stopIfTrue="1" operator="notEqual">
      <formula>E$108</formula>
    </cfRule>
  </conditionalFormatting>
  <conditionalFormatting sqref="S13">
    <cfRule type="expression" dxfId="123" priority="204" stopIfTrue="1">
      <formula>(S13+T13)&gt;C13</formula>
    </cfRule>
  </conditionalFormatting>
  <conditionalFormatting sqref="S14">
    <cfRule type="expression" dxfId="122" priority="201" stopIfTrue="1">
      <formula>(S14+T14)&gt;C14</formula>
    </cfRule>
  </conditionalFormatting>
  <conditionalFormatting sqref="S17">
    <cfRule type="expression" dxfId="121" priority="200" stopIfTrue="1">
      <formula>(S17+T17)&gt;C17</formula>
    </cfRule>
  </conditionalFormatting>
  <conditionalFormatting sqref="S18">
    <cfRule type="expression" dxfId="120" priority="192" stopIfTrue="1">
      <formula>(S18+T18)&gt;C18</formula>
    </cfRule>
  </conditionalFormatting>
  <conditionalFormatting sqref="S19">
    <cfRule type="expression" dxfId="119" priority="190" stopIfTrue="1">
      <formula>(S19+T19)&gt;C19</formula>
    </cfRule>
  </conditionalFormatting>
  <conditionalFormatting sqref="S20">
    <cfRule type="expression" dxfId="118" priority="189" stopIfTrue="1">
      <formula>(S20+T20)&gt;C20</formula>
    </cfRule>
  </conditionalFormatting>
  <conditionalFormatting sqref="S21">
    <cfRule type="expression" dxfId="117" priority="188" stopIfTrue="1">
      <formula>(S21+T21)&gt;C21</formula>
    </cfRule>
  </conditionalFormatting>
  <conditionalFormatting sqref="S22">
    <cfRule type="expression" dxfId="116" priority="187" stopIfTrue="1">
      <formula>(S22+T22)&gt;C22</formula>
    </cfRule>
  </conditionalFormatting>
  <conditionalFormatting sqref="S23:S24">
    <cfRule type="expression" dxfId="115" priority="186" stopIfTrue="1">
      <formula>(S23+T23)&gt;C23</formula>
    </cfRule>
  </conditionalFormatting>
  <conditionalFormatting sqref="S25">
    <cfRule type="expression" dxfId="114" priority="185" stopIfTrue="1">
      <formula>(S25+T25)&gt;C25</formula>
    </cfRule>
  </conditionalFormatting>
  <conditionalFormatting sqref="S27">
    <cfRule type="expression" dxfId="113" priority="178" stopIfTrue="1">
      <formula>(S27+T27)&gt;C27</formula>
    </cfRule>
  </conditionalFormatting>
  <conditionalFormatting sqref="S29">
    <cfRule type="expression" dxfId="112" priority="176" stopIfTrue="1">
      <formula>(S29+T29)&gt;C29</formula>
    </cfRule>
  </conditionalFormatting>
  <conditionalFormatting sqref="S34">
    <cfRule type="expression" dxfId="111" priority="170" stopIfTrue="1">
      <formula>(S34+T34)&gt;C34</formula>
    </cfRule>
  </conditionalFormatting>
  <conditionalFormatting sqref="S35:S36">
    <cfRule type="expression" dxfId="110" priority="169" stopIfTrue="1">
      <formula>(S35+T35)&gt;C35</formula>
    </cfRule>
  </conditionalFormatting>
  <conditionalFormatting sqref="S37">
    <cfRule type="expression" dxfId="109" priority="168" stopIfTrue="1">
      <formula>(S37+T37)&gt;C37</formula>
    </cfRule>
  </conditionalFormatting>
  <conditionalFormatting sqref="S45">
    <cfRule type="expression" dxfId="108" priority="154" stopIfTrue="1">
      <formula>(S45+T45)&gt;C45</formula>
    </cfRule>
  </conditionalFormatting>
  <conditionalFormatting sqref="S46">
    <cfRule type="expression" dxfId="107" priority="149" stopIfTrue="1">
      <formula>(S46+T46)&gt;C46</formula>
    </cfRule>
  </conditionalFormatting>
  <conditionalFormatting sqref="S47">
    <cfRule type="expression" dxfId="106" priority="148" stopIfTrue="1">
      <formula>(S47+T47)&gt;C47</formula>
    </cfRule>
  </conditionalFormatting>
  <conditionalFormatting sqref="S48">
    <cfRule type="expression" dxfId="105" priority="147" stopIfTrue="1">
      <formula>(S48+T48)&gt;C48</formula>
    </cfRule>
  </conditionalFormatting>
  <conditionalFormatting sqref="S49">
    <cfRule type="expression" dxfId="104" priority="146" stopIfTrue="1">
      <formula>(S49+T49)&gt;C49</formula>
    </cfRule>
  </conditionalFormatting>
  <conditionalFormatting sqref="S50">
    <cfRule type="expression" dxfId="103" priority="145" stopIfTrue="1">
      <formula>(S50+T50)&gt;C50</formula>
    </cfRule>
  </conditionalFormatting>
  <conditionalFormatting sqref="S51">
    <cfRule type="expression" dxfId="102" priority="144" stopIfTrue="1">
      <formula>(S51+T51)&gt;C51</formula>
    </cfRule>
  </conditionalFormatting>
  <conditionalFormatting sqref="S52">
    <cfRule type="expression" dxfId="101" priority="143" stopIfTrue="1">
      <formula>(S52+T52)&gt;C52</formula>
    </cfRule>
  </conditionalFormatting>
  <conditionalFormatting sqref="S53">
    <cfRule type="expression" dxfId="100" priority="141" stopIfTrue="1">
      <formula>(S53+T53)&gt;C53</formula>
    </cfRule>
  </conditionalFormatting>
  <conditionalFormatting sqref="S65:S68">
    <cfRule type="expression" dxfId="99" priority="131" stopIfTrue="1">
      <formula>(S65+T65)&gt;C65</formula>
    </cfRule>
  </conditionalFormatting>
  <conditionalFormatting sqref="S69">
    <cfRule type="expression" dxfId="98" priority="130" stopIfTrue="1">
      <formula>(S69+T69)&gt;C69</formula>
    </cfRule>
  </conditionalFormatting>
  <conditionalFormatting sqref="S93">
    <cfRule type="expression" dxfId="97" priority="111" stopIfTrue="1">
      <formula>(S93+T93)&gt;C93</formula>
    </cfRule>
  </conditionalFormatting>
  <conditionalFormatting sqref="S94">
    <cfRule type="expression" dxfId="96" priority="110" stopIfTrue="1">
      <formula>(S94+T94)&gt;C94</formula>
    </cfRule>
  </conditionalFormatting>
  <conditionalFormatting sqref="S95">
    <cfRule type="expression" dxfId="95" priority="109" stopIfTrue="1">
      <formula>(S95+T95)&gt;C95</formula>
    </cfRule>
  </conditionalFormatting>
  <conditionalFormatting sqref="S100">
    <cfRule type="expression" dxfId="94" priority="96" stopIfTrue="1">
      <formula>(S100+T100)&gt;C100</formula>
    </cfRule>
  </conditionalFormatting>
  <conditionalFormatting sqref="S101">
    <cfRule type="expression" dxfId="93" priority="94" stopIfTrue="1">
      <formula>(S101+T101)&gt;C101</formula>
    </cfRule>
  </conditionalFormatting>
  <conditionalFormatting sqref="S102">
    <cfRule type="expression" dxfId="92" priority="93" stopIfTrue="1">
      <formula>(S102+T102)&gt;C102</formula>
    </cfRule>
  </conditionalFormatting>
  <conditionalFormatting sqref="S103">
    <cfRule type="expression" dxfId="91" priority="92" stopIfTrue="1">
      <formula>(S103+T103)&gt;C103</formula>
    </cfRule>
  </conditionalFormatting>
  <conditionalFormatting sqref="C10">
    <cfRule type="expression" dxfId="90" priority="84">
      <formula>"(S10+T10)&gt;C10 "</formula>
    </cfRule>
  </conditionalFormatting>
  <conditionalFormatting sqref="T10">
    <cfRule type="expression" dxfId="89" priority="82" stopIfTrue="1">
      <formula>(S10+T10)&gt;C10</formula>
    </cfRule>
  </conditionalFormatting>
  <conditionalFormatting sqref="T13">
    <cfRule type="expression" dxfId="88" priority="80" stopIfTrue="1">
      <formula>(S13+T13)&gt;C13</formula>
    </cfRule>
  </conditionalFormatting>
  <conditionalFormatting sqref="T14">
    <cfRule type="expression" dxfId="87" priority="79" stopIfTrue="1">
      <formula>(S14+T14)&gt;C14</formula>
    </cfRule>
  </conditionalFormatting>
  <conditionalFormatting sqref="T17">
    <cfRule type="expression" dxfId="86" priority="78" stopIfTrue="1">
      <formula>(S17+T17)&gt;C17</formula>
    </cfRule>
  </conditionalFormatting>
  <conditionalFormatting sqref="T18">
    <cfRule type="expression" dxfId="85" priority="61" stopIfTrue="1">
      <formula>(S18+T18)&gt;C18</formula>
    </cfRule>
  </conditionalFormatting>
  <conditionalFormatting sqref="T19">
    <cfRule type="expression" dxfId="84" priority="60" stopIfTrue="1">
      <formula>(S19+T19)&gt;C19</formula>
    </cfRule>
  </conditionalFormatting>
  <conditionalFormatting sqref="T20">
    <cfRule type="expression" dxfId="83" priority="59" stopIfTrue="1">
      <formula>(S20+T20)&gt;C20</formula>
    </cfRule>
  </conditionalFormatting>
  <conditionalFormatting sqref="T21">
    <cfRule type="expression" dxfId="82" priority="58" stopIfTrue="1">
      <formula>(S21+T21)&gt;C21</formula>
    </cfRule>
  </conditionalFormatting>
  <conditionalFormatting sqref="T22">
    <cfRule type="expression" dxfId="81" priority="57" stopIfTrue="1">
      <formula>(S22+T22)&gt;C22</formula>
    </cfRule>
  </conditionalFormatting>
  <conditionalFormatting sqref="T23:T24">
    <cfRule type="expression" dxfId="80" priority="56" stopIfTrue="1">
      <formula>(S23+T23)&gt;C23</formula>
    </cfRule>
  </conditionalFormatting>
  <conditionalFormatting sqref="T25">
    <cfRule type="expression" dxfId="79" priority="55" stopIfTrue="1">
      <formula>(S25+T25)&gt;C25</formula>
    </cfRule>
  </conditionalFormatting>
  <conditionalFormatting sqref="T27">
    <cfRule type="expression" dxfId="78" priority="53" stopIfTrue="1">
      <formula>(S27+T27)&gt;C27</formula>
    </cfRule>
  </conditionalFormatting>
  <conditionalFormatting sqref="T29">
    <cfRule type="expression" dxfId="77" priority="52" stopIfTrue="1">
      <formula>(S29+T29)&gt;C29</formula>
    </cfRule>
  </conditionalFormatting>
  <conditionalFormatting sqref="T30">
    <cfRule type="expression" dxfId="76" priority="50" stopIfTrue="1">
      <formula>(S30+T30)&gt;C30</formula>
    </cfRule>
  </conditionalFormatting>
  <conditionalFormatting sqref="T31">
    <cfRule type="expression" dxfId="75" priority="49" stopIfTrue="1">
      <formula>(S31+T31)&gt;C31</formula>
    </cfRule>
  </conditionalFormatting>
  <conditionalFormatting sqref="T32">
    <cfRule type="expression" dxfId="74" priority="48" stopIfTrue="1">
      <formula>(S32+T32)&gt;C32</formula>
    </cfRule>
  </conditionalFormatting>
  <conditionalFormatting sqref="T33">
    <cfRule type="expression" dxfId="73" priority="47" stopIfTrue="1">
      <formula>(S33+T33)&gt;C33</formula>
    </cfRule>
  </conditionalFormatting>
  <conditionalFormatting sqref="T34">
    <cfRule type="expression" dxfId="72" priority="46" stopIfTrue="1">
      <formula>(S34+T34)&gt;C34</formula>
    </cfRule>
  </conditionalFormatting>
  <conditionalFormatting sqref="T35:T36">
    <cfRule type="expression" dxfId="71" priority="45" stopIfTrue="1">
      <formula>(S35+T35)&gt;C35</formula>
    </cfRule>
  </conditionalFormatting>
  <conditionalFormatting sqref="T37">
    <cfRule type="expression" dxfId="70" priority="44" stopIfTrue="1">
      <formula>(S37+T37)&gt;C37</formula>
    </cfRule>
  </conditionalFormatting>
  <conditionalFormatting sqref="T40">
    <cfRule type="expression" dxfId="69" priority="43" stopIfTrue="1">
      <formula>(S40+T40)&gt;C40</formula>
    </cfRule>
  </conditionalFormatting>
  <conditionalFormatting sqref="T41">
    <cfRule type="expression" dxfId="68" priority="42" stopIfTrue="1">
      <formula>(S41+T41)&gt;C41</formula>
    </cfRule>
  </conditionalFormatting>
  <conditionalFormatting sqref="T43">
    <cfRule type="expression" dxfId="67" priority="41" stopIfTrue="1">
      <formula>(S43+T43)&gt;C43</formula>
    </cfRule>
  </conditionalFormatting>
  <conditionalFormatting sqref="T45">
    <cfRule type="expression" dxfId="66" priority="40" stopIfTrue="1">
      <formula>(S45+T45)&gt;C45</formula>
    </cfRule>
  </conditionalFormatting>
  <conditionalFormatting sqref="T46">
    <cfRule type="expression" dxfId="65" priority="39" stopIfTrue="1">
      <formula>(S46+T46)&gt;C46</formula>
    </cfRule>
  </conditionalFormatting>
  <conditionalFormatting sqref="T47">
    <cfRule type="expression" dxfId="64" priority="38" stopIfTrue="1">
      <formula>(S47+T47)&gt;C47</formula>
    </cfRule>
  </conditionalFormatting>
  <conditionalFormatting sqref="T48">
    <cfRule type="expression" dxfId="63" priority="37" stopIfTrue="1">
      <formula>(S48+T48)&gt;C48</formula>
    </cfRule>
  </conditionalFormatting>
  <conditionalFormatting sqref="T49">
    <cfRule type="expression" dxfId="62" priority="36" stopIfTrue="1">
      <formula>(S49+T49)&gt;C49</formula>
    </cfRule>
  </conditionalFormatting>
  <conditionalFormatting sqref="T50">
    <cfRule type="expression" dxfId="61" priority="35" stopIfTrue="1">
      <formula>(S50+T50)&gt;C50</formula>
    </cfRule>
  </conditionalFormatting>
  <conditionalFormatting sqref="T51">
    <cfRule type="expression" dxfId="60" priority="34" stopIfTrue="1">
      <formula>(S51+T51)&gt;C51</formula>
    </cfRule>
  </conditionalFormatting>
  <conditionalFormatting sqref="T52">
    <cfRule type="expression" dxfId="59" priority="33" stopIfTrue="1">
      <formula>(S52+T52)&gt;C52</formula>
    </cfRule>
  </conditionalFormatting>
  <conditionalFormatting sqref="T53">
    <cfRule type="expression" dxfId="58" priority="31" stopIfTrue="1">
      <formula>(S53+T53)&gt;C53</formula>
    </cfRule>
  </conditionalFormatting>
  <conditionalFormatting sqref="T65:T68">
    <cfRule type="expression" dxfId="57" priority="30" stopIfTrue="1">
      <formula>(S65+T65)&gt;C65</formula>
    </cfRule>
  </conditionalFormatting>
  <conditionalFormatting sqref="T69">
    <cfRule type="expression" dxfId="56" priority="29" stopIfTrue="1">
      <formula>(S69+T69)&gt;C69</formula>
    </cfRule>
  </conditionalFormatting>
  <conditionalFormatting sqref="T79">
    <cfRule type="expression" dxfId="55" priority="28" stopIfTrue="1">
      <formula>(S79+T79)&gt;C79</formula>
    </cfRule>
  </conditionalFormatting>
  <conditionalFormatting sqref="T80">
    <cfRule type="expression" dxfId="54" priority="27" stopIfTrue="1">
      <formula>(S80+T80)&gt;C80</formula>
    </cfRule>
  </conditionalFormatting>
  <conditionalFormatting sqref="T84">
    <cfRule type="expression" dxfId="53" priority="26" stopIfTrue="1">
      <formula>(S84+T84)&gt;C84</formula>
    </cfRule>
  </conditionalFormatting>
  <conditionalFormatting sqref="T85">
    <cfRule type="expression" dxfId="52" priority="25" stopIfTrue="1">
      <formula>(S85+T85)&gt;C85</formula>
    </cfRule>
  </conditionalFormatting>
  <conditionalFormatting sqref="T86">
    <cfRule type="expression" dxfId="51" priority="24" stopIfTrue="1">
      <formula>(S86+T86)&gt;C86</formula>
    </cfRule>
  </conditionalFormatting>
  <conditionalFormatting sqref="T87">
    <cfRule type="expression" dxfId="50" priority="23" stopIfTrue="1">
      <formula>(S87+T87)&gt;C87</formula>
    </cfRule>
  </conditionalFormatting>
  <conditionalFormatting sqref="T89">
    <cfRule type="expression" dxfId="49" priority="22" stopIfTrue="1">
      <formula>(S89+T89)&gt;C89</formula>
    </cfRule>
  </conditionalFormatting>
  <conditionalFormatting sqref="T90">
    <cfRule type="expression" dxfId="48" priority="21" stopIfTrue="1">
      <formula>(S90+T90)&gt;C90</formula>
    </cfRule>
  </conditionalFormatting>
  <conditionalFormatting sqref="T91">
    <cfRule type="expression" dxfId="47" priority="20" stopIfTrue="1">
      <formula>(S91+T91)&gt;C91</formula>
    </cfRule>
  </conditionalFormatting>
  <conditionalFormatting sqref="T92">
    <cfRule type="expression" dxfId="46" priority="19" stopIfTrue="1">
      <formula>(S92+T92)&gt;C92</formula>
    </cfRule>
  </conditionalFormatting>
  <conditionalFormatting sqref="T93">
    <cfRule type="expression" dxfId="45" priority="18" stopIfTrue="1">
      <formula>(S93+T93)&gt;C93</formula>
    </cfRule>
  </conditionalFormatting>
  <conditionalFormatting sqref="T94">
    <cfRule type="expression" dxfId="44" priority="17" stopIfTrue="1">
      <formula>(S94+T94)&gt;C94</formula>
    </cfRule>
  </conditionalFormatting>
  <conditionalFormatting sqref="T95">
    <cfRule type="expression" dxfId="43" priority="16" stopIfTrue="1">
      <formula>(S95+T95)&gt;C95</formula>
    </cfRule>
  </conditionalFormatting>
  <conditionalFormatting sqref="T99">
    <cfRule type="expression" dxfId="42" priority="13" stopIfTrue="1">
      <formula>(S99+T99)&gt;C99</formula>
    </cfRule>
  </conditionalFormatting>
  <conditionalFormatting sqref="T100">
    <cfRule type="expression" dxfId="41" priority="12" stopIfTrue="1">
      <formula>(S100+T100)&gt;C100</formula>
    </cfRule>
  </conditionalFormatting>
  <conditionalFormatting sqref="T101">
    <cfRule type="expression" dxfId="40" priority="10" stopIfTrue="1">
      <formula>(S101+T101)&gt;C101</formula>
    </cfRule>
  </conditionalFormatting>
  <conditionalFormatting sqref="T102">
    <cfRule type="expression" dxfId="39" priority="9" stopIfTrue="1">
      <formula>(S102+T102)&gt;C102</formula>
    </cfRule>
  </conditionalFormatting>
  <conditionalFormatting sqref="T103">
    <cfRule type="expression" dxfId="38" priority="8" stopIfTrue="1">
      <formula>(S103+T103)&gt;C103</formula>
    </cfRule>
  </conditionalFormatting>
  <conditionalFormatting sqref="S30:S33">
    <cfRule type="expression" dxfId="37" priority="7" stopIfTrue="1">
      <formula>(S30+T30)&gt;C30</formula>
    </cfRule>
  </conditionalFormatting>
  <conditionalFormatting sqref="S40:S41">
    <cfRule type="expression" dxfId="36" priority="6" stopIfTrue="1">
      <formula>(S40+T40)&gt;C40</formula>
    </cfRule>
  </conditionalFormatting>
  <conditionalFormatting sqref="S43">
    <cfRule type="expression" dxfId="35" priority="5" stopIfTrue="1">
      <formula>(S43+T43)&gt;C43</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2">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F18" sqref="F18"/>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6" t="s">
        <v>1396</v>
      </c>
      <c r="B1" s="2627"/>
      <c r="C1" s="2627"/>
      <c r="D1" s="2627"/>
      <c r="E1" s="2627"/>
      <c r="F1" s="2627"/>
      <c r="G1" s="2627"/>
      <c r="H1" s="2627"/>
      <c r="I1" s="2627"/>
      <c r="J1" s="2628"/>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12510000</v>
      </c>
      <c r="C4" s="559">
        <f>+B4</f>
        <v>12510000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62000</v>
      </c>
      <c r="C6" s="559">
        <f>+B6</f>
        <v>62000</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12572000</v>
      </c>
      <c r="C8" s="558">
        <f>SUM(C4:C7)</f>
        <v>12572000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12572000</v>
      </c>
      <c r="C12" s="558">
        <f>SUM(C8+C11)</f>
        <v>12572000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6374928</v>
      </c>
      <c r="C29" s="1893">
        <f t="shared" ref="C29:C37" si="0">+B29</f>
        <v>6374928</v>
      </c>
      <c r="D29" s="559"/>
      <c r="E29" s="558">
        <f>'Sources and Uses Budget'!S29</f>
        <v>6374928</v>
      </c>
      <c r="F29" s="1893">
        <f t="shared" ref="F29:F37" si="1">+E29</f>
        <v>6374928</v>
      </c>
      <c r="G29" s="559"/>
      <c r="H29" s="558">
        <f>'Sources and Uses Budget'!T29</f>
        <v>0</v>
      </c>
      <c r="I29" s="559"/>
      <c r="J29" s="559"/>
      <c r="K29" s="556"/>
    </row>
    <row r="30" spans="1:11" s="557" customFormat="1">
      <c r="A30" s="215" t="s">
        <v>625</v>
      </c>
      <c r="B30" s="558">
        <f>'Sources and Uses Budget'!C30</f>
        <v>34557962</v>
      </c>
      <c r="C30" s="1893">
        <f t="shared" si="0"/>
        <v>34557962</v>
      </c>
      <c r="D30" s="559"/>
      <c r="E30" s="558">
        <f>'Sources and Uses Budget'!S30</f>
        <v>34557962</v>
      </c>
      <c r="F30" s="1893">
        <f t="shared" si="1"/>
        <v>34557962</v>
      </c>
      <c r="G30" s="559"/>
      <c r="H30" s="558">
        <f>'Sources and Uses Budget'!T30</f>
        <v>0</v>
      </c>
      <c r="I30" s="559"/>
      <c r="J30" s="559"/>
      <c r="K30" s="556"/>
    </row>
    <row r="31" spans="1:11" s="557" customFormat="1">
      <c r="A31" s="215" t="s">
        <v>626</v>
      </c>
      <c r="B31" s="558">
        <f>'Sources and Uses Budget'!C31</f>
        <v>1624507</v>
      </c>
      <c r="C31" s="1893">
        <f t="shared" si="0"/>
        <v>1624507</v>
      </c>
      <c r="D31" s="559"/>
      <c r="E31" s="558">
        <f>'Sources and Uses Budget'!S31</f>
        <v>1624507</v>
      </c>
      <c r="F31" s="1893">
        <f t="shared" si="1"/>
        <v>1624507</v>
      </c>
      <c r="G31" s="559"/>
      <c r="H31" s="558">
        <f>'Sources and Uses Budget'!T31</f>
        <v>0</v>
      </c>
      <c r="I31" s="559"/>
      <c r="J31" s="559"/>
      <c r="K31" s="556"/>
    </row>
    <row r="32" spans="1:11" s="557" customFormat="1">
      <c r="A32" s="215" t="s">
        <v>142</v>
      </c>
      <c r="B32" s="558">
        <f>'Sources and Uses Budget'!C32</f>
        <v>1056714.4849999999</v>
      </c>
      <c r="C32" s="1893">
        <f t="shared" si="0"/>
        <v>1056714.4849999999</v>
      </c>
      <c r="D32" s="559"/>
      <c r="E32" s="558">
        <f>'Sources and Uses Budget'!S32</f>
        <v>1056714.4849999999</v>
      </c>
      <c r="F32" s="1893">
        <f t="shared" si="1"/>
        <v>1056714.4849999999</v>
      </c>
      <c r="G32" s="559"/>
      <c r="H32" s="558">
        <f>'Sources and Uses Budget'!T32</f>
        <v>0</v>
      </c>
      <c r="I32" s="559"/>
      <c r="J32" s="559"/>
      <c r="K32" s="556"/>
    </row>
    <row r="33" spans="1:11" s="557" customFormat="1">
      <c r="A33" s="215" t="s">
        <v>143</v>
      </c>
      <c r="B33" s="558">
        <f>'Sources and Uses Budget'!C33</f>
        <v>2842888</v>
      </c>
      <c r="C33" s="1893">
        <f t="shared" si="0"/>
        <v>2842888</v>
      </c>
      <c r="D33" s="559"/>
      <c r="E33" s="558">
        <f>'Sources and Uses Budget'!S33</f>
        <v>2842888</v>
      </c>
      <c r="F33" s="1893">
        <f t="shared" si="1"/>
        <v>2842888</v>
      </c>
      <c r="G33" s="559"/>
      <c r="H33" s="558">
        <f>'Sources and Uses Budget'!T33</f>
        <v>0</v>
      </c>
      <c r="I33" s="559"/>
      <c r="J33" s="559"/>
      <c r="K33" s="556"/>
    </row>
    <row r="34" spans="1:11" s="557" customFormat="1">
      <c r="A34" s="215" t="s">
        <v>144</v>
      </c>
      <c r="B34" s="558">
        <f>'Sources and Uses Budget'!C34</f>
        <v>0</v>
      </c>
      <c r="C34" s="1893">
        <f t="shared" si="0"/>
        <v>0</v>
      </c>
      <c r="D34" s="559"/>
      <c r="E34" s="558">
        <f>'Sources and Uses Budget'!S34</f>
        <v>0</v>
      </c>
      <c r="F34" s="1893">
        <f t="shared" si="1"/>
        <v>0</v>
      </c>
      <c r="G34" s="559"/>
      <c r="H34" s="558">
        <f>'Sources and Uses Budget'!T34</f>
        <v>0</v>
      </c>
      <c r="I34" s="559"/>
      <c r="J34" s="559"/>
      <c r="K34" s="556"/>
    </row>
    <row r="35" spans="1:11" s="557" customFormat="1">
      <c r="A35" s="215" t="s">
        <v>145</v>
      </c>
      <c r="B35" s="558">
        <f>'Sources and Uses Budget'!C35</f>
        <v>0</v>
      </c>
      <c r="C35" s="1893">
        <f t="shared" si="0"/>
        <v>0</v>
      </c>
      <c r="D35" s="559"/>
      <c r="E35" s="558">
        <f>'Sources and Uses Budget'!S35</f>
        <v>0</v>
      </c>
      <c r="F35" s="1893">
        <f t="shared" si="1"/>
        <v>0</v>
      </c>
      <c r="G35" s="559"/>
      <c r="H35" s="558">
        <f>'Sources and Uses Budget'!T35</f>
        <v>0</v>
      </c>
      <c r="I35" s="559"/>
      <c r="J35" s="559"/>
      <c r="K35" s="556"/>
    </row>
    <row r="36" spans="1:11" s="557" customFormat="1">
      <c r="A36" s="850" t="s">
        <v>1848</v>
      </c>
      <c r="B36" s="558">
        <f>'Sources and Uses Budget'!C36</f>
        <v>0</v>
      </c>
      <c r="C36" s="1893">
        <f t="shared" si="0"/>
        <v>0</v>
      </c>
      <c r="D36" s="559"/>
      <c r="E36" s="558">
        <f>'Sources and Uses Budget'!S36</f>
        <v>0</v>
      </c>
      <c r="F36" s="1893">
        <f t="shared" si="1"/>
        <v>0</v>
      </c>
      <c r="G36" s="559"/>
      <c r="H36" s="558">
        <f>'Sources and Uses Budget'!T36</f>
        <v>0</v>
      </c>
      <c r="I36" s="559"/>
      <c r="J36" s="559"/>
      <c r="K36" s="556"/>
    </row>
    <row r="37" spans="1:11" s="557" customFormat="1">
      <c r="A37" s="564" t="str">
        <f>'Sources and Uses Budget'!$A37</f>
        <v>Other: (Specify)</v>
      </c>
      <c r="B37" s="558">
        <f>'Sources and Uses Budget'!C37</f>
        <v>0</v>
      </c>
      <c r="C37" s="1893">
        <f t="shared" si="0"/>
        <v>0</v>
      </c>
      <c r="D37" s="559"/>
      <c r="E37" s="558">
        <f>'Sources and Uses Budget'!S37</f>
        <v>0</v>
      </c>
      <c r="F37" s="1893">
        <f t="shared" si="1"/>
        <v>0</v>
      </c>
      <c r="G37" s="559"/>
      <c r="H37" s="558">
        <f>'Sources and Uses Budget'!T37</f>
        <v>0</v>
      </c>
      <c r="I37" s="559"/>
      <c r="J37" s="559"/>
      <c r="K37" s="556"/>
    </row>
    <row r="38" spans="1:11" s="557" customFormat="1">
      <c r="A38" s="566" t="s">
        <v>148</v>
      </c>
      <c r="B38" s="558">
        <f>'Sources and Uses Budget'!C38</f>
        <v>46456999.484999999</v>
      </c>
      <c r="C38" s="558">
        <f>SUM(C29:C37)</f>
        <v>46456999.484999999</v>
      </c>
      <c r="D38" s="558">
        <f>SUM(D29:D37)</f>
        <v>0</v>
      </c>
      <c r="E38" s="558">
        <f>'Sources and Uses Budget'!S38</f>
        <v>46456999.484999999</v>
      </c>
      <c r="F38" s="565">
        <f>SUM(F29:F37)</f>
        <v>46456999.484999999</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1256956.5150000001</v>
      </c>
      <c r="C40" s="1893">
        <f t="shared" ref="C40:C41" si="2">+B40</f>
        <v>1256956.5150000001</v>
      </c>
      <c r="D40" s="559"/>
      <c r="E40" s="558">
        <f>'Sources and Uses Budget'!S40</f>
        <v>1256956.5150000001</v>
      </c>
      <c r="F40" s="1893">
        <f t="shared" ref="F40:F41" si="3">+E40</f>
        <v>1256956.5150000001</v>
      </c>
      <c r="G40" s="559"/>
      <c r="H40" s="558">
        <f>'Sources and Uses Budget'!T40</f>
        <v>0</v>
      </c>
      <c r="I40" s="559"/>
      <c r="J40" s="559"/>
      <c r="K40" s="556"/>
    </row>
    <row r="41" spans="1:11" s="557" customFormat="1">
      <c r="A41" s="561" t="s">
        <v>151</v>
      </c>
      <c r="B41" s="558">
        <f>'Sources and Uses Budget'!C41</f>
        <v>0</v>
      </c>
      <c r="C41" s="1893">
        <f t="shared" si="2"/>
        <v>0</v>
      </c>
      <c r="D41" s="559"/>
      <c r="E41" s="558">
        <f>'Sources and Uses Budget'!S41</f>
        <v>0</v>
      </c>
      <c r="F41" s="1893">
        <f t="shared" si="3"/>
        <v>0</v>
      </c>
      <c r="G41" s="559"/>
      <c r="H41" s="558">
        <f>'Sources and Uses Budget'!T41</f>
        <v>0</v>
      </c>
      <c r="I41" s="559"/>
      <c r="J41" s="559"/>
      <c r="K41" s="556"/>
    </row>
    <row r="42" spans="1:11" s="557" customFormat="1">
      <c r="A42" s="562" t="s">
        <v>152</v>
      </c>
      <c r="B42" s="558">
        <f>'Sources and Uses Budget'!C42</f>
        <v>1256956.5150000001</v>
      </c>
      <c r="C42" s="558">
        <f>SUM(C39:C41)</f>
        <v>1256956.5150000001</v>
      </c>
      <c r="D42" s="558">
        <f>SUM(D39:D41)</f>
        <v>0</v>
      </c>
      <c r="E42" s="558">
        <f>'Sources and Uses Budget'!S42</f>
        <v>1256956.5150000001</v>
      </c>
      <c r="F42" s="565">
        <f>SUM(F40:F41)</f>
        <v>1256956.5150000001</v>
      </c>
      <c r="G42" s="565">
        <f>SUM(G40:G41)</f>
        <v>0</v>
      </c>
      <c r="H42" s="558">
        <f>'Sources and Uses Budget'!T42</f>
        <v>0</v>
      </c>
      <c r="I42" s="565">
        <f>SUM(I40:I41)</f>
        <v>0</v>
      </c>
      <c r="J42" s="565">
        <f>SUM(J40:J41)</f>
        <v>0</v>
      </c>
      <c r="K42" s="556"/>
    </row>
    <row r="43" spans="1:11" s="557" customFormat="1">
      <c r="A43" s="562" t="s">
        <v>153</v>
      </c>
      <c r="B43" s="558">
        <f>'Sources and Uses Budget'!C43</f>
        <v>599500</v>
      </c>
      <c r="C43" s="1893">
        <f>+B43</f>
        <v>599500</v>
      </c>
      <c r="D43" s="559"/>
      <c r="E43" s="558">
        <f>'Sources and Uses Budget'!S43</f>
        <v>599500</v>
      </c>
      <c r="F43" s="1893">
        <f>+E43</f>
        <v>599500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3429560.6539354245</v>
      </c>
      <c r="C45" s="1893">
        <f t="shared" ref="C45:C53" si="4">+B45</f>
        <v>3429560.6539354245</v>
      </c>
      <c r="D45" s="559"/>
      <c r="E45" s="558">
        <f>'Sources and Uses Budget'!S45</f>
        <v>2446646.8868328701</v>
      </c>
      <c r="F45" s="1893">
        <f t="shared" ref="F45:F53" si="5">+E45</f>
        <v>2446646.8868328701</v>
      </c>
      <c r="G45" s="559"/>
      <c r="H45" s="558">
        <f>'Sources and Uses Budget'!T45</f>
        <v>0</v>
      </c>
      <c r="I45" s="559"/>
      <c r="J45" s="559"/>
      <c r="K45" s="556"/>
    </row>
    <row r="46" spans="1:11" s="557" customFormat="1">
      <c r="A46" s="561" t="s">
        <v>156</v>
      </c>
      <c r="B46" s="558">
        <f>'Sources and Uses Budget'!C46</f>
        <v>518463.87853336753</v>
      </c>
      <c r="C46" s="1893">
        <f t="shared" si="4"/>
        <v>518463.87853336753</v>
      </c>
      <c r="D46" s="559"/>
      <c r="E46" s="558">
        <f>'Sources and Uses Budget'!S46</f>
        <v>345642.58568891167</v>
      </c>
      <c r="F46" s="1893">
        <f t="shared" si="5"/>
        <v>345642.58568891167</v>
      </c>
      <c r="G46" s="559"/>
      <c r="H46" s="558">
        <f>'Sources and Uses Budget'!T46</f>
        <v>0</v>
      </c>
      <c r="I46" s="559"/>
      <c r="J46" s="559"/>
      <c r="K46" s="556"/>
    </row>
    <row r="47" spans="1:11" s="557" customFormat="1" ht="12" customHeight="1">
      <c r="A47" s="561" t="s">
        <v>157</v>
      </c>
      <c r="B47" s="558">
        <f>'Sources and Uses Budget'!C47</f>
        <v>0</v>
      </c>
      <c r="C47" s="1893">
        <f t="shared" si="4"/>
        <v>0</v>
      </c>
      <c r="D47" s="559"/>
      <c r="E47" s="558">
        <f>'Sources and Uses Budget'!S47</f>
        <v>0</v>
      </c>
      <c r="F47" s="1893">
        <f t="shared" si="5"/>
        <v>0</v>
      </c>
      <c r="G47" s="559"/>
      <c r="H47" s="558">
        <f>'Sources and Uses Budget'!T47</f>
        <v>0</v>
      </c>
      <c r="I47" s="559"/>
      <c r="J47" s="559"/>
      <c r="K47" s="556"/>
    </row>
    <row r="48" spans="1:11" s="557" customFormat="1">
      <c r="A48" s="561" t="s">
        <v>158</v>
      </c>
      <c r="B48" s="558">
        <f>'Sources and Uses Budget'!C48</f>
        <v>0</v>
      </c>
      <c r="C48" s="1893">
        <f t="shared" si="4"/>
        <v>0</v>
      </c>
      <c r="D48" s="559"/>
      <c r="E48" s="558">
        <f>'Sources and Uses Budget'!S48</f>
        <v>0</v>
      </c>
      <c r="F48" s="1893">
        <f t="shared" si="5"/>
        <v>0</v>
      </c>
      <c r="G48" s="559"/>
      <c r="H48" s="558">
        <f>'Sources and Uses Budget'!T48</f>
        <v>0</v>
      </c>
      <c r="I48" s="559"/>
      <c r="J48" s="559"/>
      <c r="K48" s="556"/>
    </row>
    <row r="49" spans="1:11" s="557" customFormat="1">
      <c r="A49" s="437" t="s">
        <v>60</v>
      </c>
      <c r="B49" s="558">
        <f>'Sources and Uses Budget'!C49</f>
        <v>235157.83271200204</v>
      </c>
      <c r="C49" s="1893">
        <f t="shared" si="4"/>
        <v>235157.83271200204</v>
      </c>
      <c r="D49" s="559"/>
      <c r="E49" s="558">
        <f>'Sources and Uses Budget'!S49</f>
        <v>0</v>
      </c>
      <c r="F49" s="1893">
        <f t="shared" si="5"/>
        <v>0</v>
      </c>
      <c r="G49" s="559"/>
      <c r="H49" s="558">
        <f>'Sources and Uses Budget'!T49</f>
        <v>0</v>
      </c>
      <c r="I49" s="559"/>
      <c r="J49" s="559"/>
      <c r="K49" s="556"/>
    </row>
    <row r="50" spans="1:11" s="557" customFormat="1">
      <c r="A50" s="561" t="s">
        <v>161</v>
      </c>
      <c r="B50" s="558">
        <f>'Sources and Uses Budget'!C50</f>
        <v>25000</v>
      </c>
      <c r="C50" s="1893">
        <f t="shared" si="4"/>
        <v>25000</v>
      </c>
      <c r="D50" s="559"/>
      <c r="E50" s="558">
        <f>'Sources and Uses Budget'!S50</f>
        <v>16666.666666666664</v>
      </c>
      <c r="F50" s="1893">
        <f t="shared" si="5"/>
        <v>16666.666666666664</v>
      </c>
      <c r="G50" s="559"/>
      <c r="H50" s="558">
        <f>'Sources and Uses Budget'!T50</f>
        <v>0</v>
      </c>
      <c r="I50" s="559"/>
      <c r="J50" s="559"/>
      <c r="K50" s="556"/>
    </row>
    <row r="51" spans="1:11" s="557" customFormat="1">
      <c r="A51" s="561" t="s">
        <v>159</v>
      </c>
      <c r="B51" s="558">
        <f>'Sources and Uses Budget'!C51</f>
        <v>35000</v>
      </c>
      <c r="C51" s="1893">
        <f t="shared" si="4"/>
        <v>35000</v>
      </c>
      <c r="D51" s="559"/>
      <c r="E51" s="558">
        <f>'Sources and Uses Budget'!S51</f>
        <v>23333.333333333332</v>
      </c>
      <c r="F51" s="1893">
        <f t="shared" si="5"/>
        <v>23333.333333333332</v>
      </c>
      <c r="G51" s="559"/>
      <c r="H51" s="558">
        <f>'Sources and Uses Budget'!T51</f>
        <v>0</v>
      </c>
      <c r="I51" s="559"/>
      <c r="J51" s="559"/>
      <c r="K51" s="556"/>
    </row>
    <row r="52" spans="1:11" s="557" customFormat="1">
      <c r="A52" s="561" t="s">
        <v>160</v>
      </c>
      <c r="B52" s="558">
        <f>'Sources and Uses Budget'!C52</f>
        <v>325000</v>
      </c>
      <c r="C52" s="1893">
        <f t="shared" si="4"/>
        <v>325000</v>
      </c>
      <c r="D52" s="559"/>
      <c r="E52" s="558">
        <f>'Sources and Uses Budget'!S52</f>
        <v>216666.66666666666</v>
      </c>
      <c r="F52" s="1893">
        <f t="shared" si="5"/>
        <v>216666.66666666666</v>
      </c>
      <c r="G52" s="559"/>
      <c r="H52" s="558">
        <f>'Sources and Uses Budget'!T52</f>
        <v>0</v>
      </c>
      <c r="I52" s="559"/>
      <c r="J52" s="559"/>
      <c r="K52" s="556"/>
    </row>
    <row r="53" spans="1:11" s="557" customFormat="1">
      <c r="A53" s="564" t="str">
        <f>'Sources and Uses Budget'!$A53</f>
        <v>Other: Lender inspections/reports</v>
      </c>
      <c r="B53" s="558">
        <f>'Sources and Uses Budget'!C53</f>
        <v>85000</v>
      </c>
      <c r="C53" s="1893">
        <f t="shared" si="4"/>
        <v>85000</v>
      </c>
      <c r="D53" s="559"/>
      <c r="E53" s="558">
        <f>'Sources and Uses Budget'!S53</f>
        <v>85000</v>
      </c>
      <c r="F53" s="1893">
        <f t="shared" si="5"/>
        <v>85000</v>
      </c>
      <c r="G53" s="559"/>
      <c r="H53" s="558">
        <f>'Sources and Uses Budget'!T53</f>
        <v>0</v>
      </c>
      <c r="I53" s="559"/>
      <c r="J53" s="559"/>
      <c r="K53" s="556"/>
    </row>
    <row r="54" spans="1:11" s="568" customFormat="1">
      <c r="A54" s="562" t="s">
        <v>162</v>
      </c>
      <c r="B54" s="558">
        <f>'Sources and Uses Budget'!C54</f>
        <v>4653182.3651807941</v>
      </c>
      <c r="C54" s="565">
        <f>SUM(C45:C53)</f>
        <v>4653182.3651807941</v>
      </c>
      <c r="D54" s="565">
        <f>SUM(D45:D53)</f>
        <v>0</v>
      </c>
      <c r="E54" s="558">
        <f>'Sources and Uses Budget'!S54</f>
        <v>3133956.1391884484</v>
      </c>
      <c r="F54" s="565">
        <f>SUM(F45:F53)</f>
        <v>3133956.1391884484</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125700</v>
      </c>
      <c r="C56" s="1893">
        <f t="shared" ref="C56:C61" si="6">+B56</f>
        <v>125700</v>
      </c>
      <c r="D56" s="559"/>
      <c r="E56" s="560"/>
      <c r="F56" s="560"/>
      <c r="G56" s="560"/>
      <c r="H56" s="560"/>
      <c r="I56" s="560"/>
      <c r="J56" s="560"/>
      <c r="K56" s="556"/>
    </row>
    <row r="57" spans="1:11" s="557" customFormat="1" ht="12" customHeight="1">
      <c r="A57" s="561" t="s">
        <v>157</v>
      </c>
      <c r="B57" s="558">
        <f>'Sources and Uses Budget'!C57</f>
        <v>0</v>
      </c>
      <c r="C57" s="1893">
        <f t="shared" si="6"/>
        <v>0</v>
      </c>
      <c r="D57" s="559"/>
      <c r="E57" s="560"/>
      <c r="F57" s="560"/>
      <c r="G57" s="560"/>
      <c r="H57" s="560"/>
      <c r="I57" s="560"/>
      <c r="J57" s="560"/>
      <c r="K57" s="556"/>
    </row>
    <row r="58" spans="1:11" s="557" customFormat="1">
      <c r="A58" s="561" t="s">
        <v>161</v>
      </c>
      <c r="B58" s="558">
        <f>'Sources and Uses Budget'!C58</f>
        <v>5000</v>
      </c>
      <c r="C58" s="1893">
        <f t="shared" si="6"/>
        <v>5000</v>
      </c>
      <c r="D58" s="559"/>
      <c r="E58" s="560"/>
      <c r="F58" s="560"/>
      <c r="G58" s="560"/>
      <c r="H58" s="560"/>
      <c r="I58" s="560"/>
      <c r="J58" s="560"/>
      <c r="K58" s="556"/>
    </row>
    <row r="59" spans="1:11" s="557" customFormat="1">
      <c r="A59" s="561" t="s">
        <v>159</v>
      </c>
      <c r="B59" s="558">
        <f>'Sources and Uses Budget'!C59</f>
        <v>0</v>
      </c>
      <c r="C59" s="1893">
        <f t="shared" si="6"/>
        <v>0</v>
      </c>
      <c r="D59" s="559"/>
      <c r="E59" s="560"/>
      <c r="F59" s="560"/>
      <c r="G59" s="560"/>
      <c r="H59" s="560"/>
      <c r="I59" s="560"/>
      <c r="J59" s="560"/>
      <c r="K59" s="556"/>
    </row>
    <row r="60" spans="1:11" s="557" customFormat="1">
      <c r="A60" s="561" t="s">
        <v>160</v>
      </c>
      <c r="B60" s="558">
        <f>'Sources and Uses Budget'!C60</f>
        <v>0</v>
      </c>
      <c r="C60" s="1893">
        <f t="shared" si="6"/>
        <v>0</v>
      </c>
      <c r="D60" s="559"/>
      <c r="E60" s="560"/>
      <c r="F60" s="560"/>
      <c r="G60" s="560"/>
      <c r="H60" s="560"/>
      <c r="I60" s="560"/>
      <c r="J60" s="560"/>
      <c r="K60" s="556"/>
    </row>
    <row r="61" spans="1:11" s="557" customFormat="1">
      <c r="A61" s="564" t="str">
        <f>'Sources and Uses Budget'!$A61</f>
        <v>Other: (Specify)</v>
      </c>
      <c r="B61" s="558">
        <f>'Sources and Uses Budget'!C61</f>
        <v>0</v>
      </c>
      <c r="C61" s="1893">
        <f t="shared" si="6"/>
        <v>0</v>
      </c>
      <c r="D61" s="559"/>
      <c r="E61" s="560"/>
      <c r="F61" s="560"/>
      <c r="G61" s="560"/>
      <c r="H61" s="560"/>
      <c r="I61" s="560"/>
      <c r="J61" s="560"/>
      <c r="K61" s="556"/>
    </row>
    <row r="62" spans="1:11" s="557" customFormat="1" ht="13.7" customHeight="1">
      <c r="A62" s="562" t="s">
        <v>307</v>
      </c>
      <c r="B62" s="558">
        <f>'Sources and Uses Budget'!C62</f>
        <v>130700</v>
      </c>
      <c r="C62" s="558">
        <f>SUM(C56:C61)</f>
        <v>130700</v>
      </c>
      <c r="D62" s="558">
        <f>SUM(D56:D61)</f>
        <v>0</v>
      </c>
      <c r="E62" s="560"/>
      <c r="F62" s="560"/>
      <c r="G62" s="560"/>
      <c r="H62" s="560"/>
      <c r="I62" s="560"/>
      <c r="J62" s="560"/>
      <c r="K62" s="556"/>
    </row>
    <row r="63" spans="1:11" s="557" customFormat="1">
      <c r="A63" s="569" t="s">
        <v>308</v>
      </c>
      <c r="B63" s="558">
        <f>'Sources and Uses Budget'!C63</f>
        <v>65669338.36518079</v>
      </c>
      <c r="C63" s="558">
        <f>SUM(C8+C11+C13+C14+C15+C26+C27+C38+C42+C43+C54+C62)</f>
        <v>65669338.36518079</v>
      </c>
      <c r="D63" s="558">
        <f>SUM(D8+D11+D13+D14+D15+D26+D27+D38+D42+D43+D54+D62)</f>
        <v>0</v>
      </c>
      <c r="E63" s="558">
        <f>'Sources and Uses Budget'!S63</f>
        <v>51447412.139188446</v>
      </c>
      <c r="F63" s="558">
        <f>SUM(F10+F13+F14+F15+F26+F27+F38+F42+F43+F54)</f>
        <v>51447412.139188446</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85000</v>
      </c>
      <c r="C65" s="1893">
        <f t="shared" ref="C65:C69" si="7">+B65</f>
        <v>85000</v>
      </c>
      <c r="D65" s="559"/>
      <c r="E65" s="558">
        <f>'Sources and Uses Budget'!S65</f>
        <v>40000</v>
      </c>
      <c r="F65" s="1893">
        <f t="shared" ref="F65:F69" si="8">+E65</f>
        <v>40000</v>
      </c>
      <c r="G65" s="559"/>
      <c r="H65" s="558">
        <f>'Sources and Uses Budget'!T65</f>
        <v>0</v>
      </c>
      <c r="I65" s="559"/>
      <c r="J65" s="559"/>
      <c r="K65" s="556"/>
    </row>
    <row r="66" spans="1:11" s="557" customFormat="1" ht="24">
      <c r="A66" s="437" t="s">
        <v>1849</v>
      </c>
      <c r="B66" s="558">
        <f>'Sources and Uses Budget'!C66</f>
        <v>0</v>
      </c>
      <c r="C66" s="1893">
        <f t="shared" si="7"/>
        <v>0</v>
      </c>
      <c r="D66" s="559"/>
      <c r="E66" s="558">
        <f>'Sources and Uses Budget'!S66</f>
        <v>0</v>
      </c>
      <c r="F66" s="1893">
        <f t="shared" si="8"/>
        <v>0</v>
      </c>
      <c r="G66" s="559"/>
      <c r="H66" s="558">
        <f>'Sources and Uses Budget'!T66</f>
        <v>0</v>
      </c>
      <c r="I66" s="559"/>
      <c r="J66" s="559"/>
      <c r="K66" s="556"/>
    </row>
    <row r="67" spans="1:11" s="557" customFormat="1" ht="24">
      <c r="A67" s="437" t="s">
        <v>1850</v>
      </c>
      <c r="B67" s="558">
        <f>'Sources and Uses Budget'!C67</f>
        <v>0</v>
      </c>
      <c r="C67" s="1893">
        <f t="shared" si="7"/>
        <v>0</v>
      </c>
      <c r="D67" s="559"/>
      <c r="E67" s="558">
        <f>'Sources and Uses Budget'!S67</f>
        <v>0</v>
      </c>
      <c r="F67" s="1893">
        <f t="shared" si="8"/>
        <v>0</v>
      </c>
      <c r="G67" s="559"/>
      <c r="H67" s="558">
        <f>'Sources and Uses Budget'!T67</f>
        <v>0</v>
      </c>
      <c r="I67" s="559"/>
      <c r="J67" s="559"/>
      <c r="K67" s="556"/>
    </row>
    <row r="68" spans="1:11" s="557" customFormat="1">
      <c r="A68" s="437" t="s">
        <v>1856</v>
      </c>
      <c r="B68" s="558">
        <f>'Sources and Uses Budget'!C68</f>
        <v>0</v>
      </c>
      <c r="C68" s="1893">
        <f t="shared" si="7"/>
        <v>0</v>
      </c>
      <c r="D68" s="559"/>
      <c r="E68" s="558">
        <f>'Sources and Uses Budget'!S68</f>
        <v>0</v>
      </c>
      <c r="F68" s="1893">
        <f t="shared" si="8"/>
        <v>0</v>
      </c>
      <c r="G68" s="559"/>
      <c r="H68" s="558">
        <f>'Sources and Uses Budget'!T68</f>
        <v>0</v>
      </c>
      <c r="I68" s="559"/>
      <c r="J68" s="559"/>
      <c r="K68" s="556"/>
    </row>
    <row r="69" spans="1:11" s="557" customFormat="1">
      <c r="A69" s="564" t="str">
        <f>'Sources and Uses Budget'!$A69</f>
        <v>Other: Applicant legal</v>
      </c>
      <c r="B69" s="558">
        <f>'Sources and Uses Budget'!C69</f>
        <v>165000</v>
      </c>
      <c r="C69" s="1893">
        <f t="shared" si="7"/>
        <v>165000</v>
      </c>
      <c r="D69" s="559"/>
      <c r="E69" s="558">
        <f>'Sources and Uses Budget'!S69</f>
        <v>70000</v>
      </c>
      <c r="F69" s="1893">
        <f t="shared" si="8"/>
        <v>70000</v>
      </c>
      <c r="G69" s="559"/>
      <c r="H69" s="558">
        <f>'Sources and Uses Budget'!T69</f>
        <v>0</v>
      </c>
      <c r="I69" s="559"/>
      <c r="J69" s="559"/>
      <c r="K69" s="556"/>
    </row>
    <row r="70" spans="1:11" s="557" customFormat="1">
      <c r="A70" s="562" t="s">
        <v>627</v>
      </c>
      <c r="B70" s="558">
        <f>'Sources and Uses Budget'!C70</f>
        <v>250000</v>
      </c>
      <c r="C70" s="558">
        <f>SUM(C64:C69)</f>
        <v>250000</v>
      </c>
      <c r="D70" s="558">
        <f>SUM(D64:D69)</f>
        <v>0</v>
      </c>
      <c r="E70" s="558">
        <f>'Sources and Uses Budget'!S70</f>
        <v>110000</v>
      </c>
      <c r="F70" s="565">
        <f>SUM(F65:F69)</f>
        <v>110000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1893">
        <f t="shared" ref="C72:C76" si="9">+B72</f>
        <v>0</v>
      </c>
      <c r="D72" s="559"/>
      <c r="E72" s="560"/>
      <c r="F72" s="560"/>
      <c r="G72" s="560"/>
      <c r="H72" s="560"/>
      <c r="I72" s="560"/>
      <c r="J72" s="560"/>
      <c r="K72" s="556"/>
    </row>
    <row r="73" spans="1:11" s="557" customFormat="1">
      <c r="A73" s="561" t="s">
        <v>630</v>
      </c>
      <c r="B73" s="558">
        <f>'Sources and Uses Budget'!C73</f>
        <v>0</v>
      </c>
      <c r="C73" s="1893">
        <f t="shared" si="9"/>
        <v>0</v>
      </c>
      <c r="D73" s="559"/>
      <c r="E73" s="560"/>
      <c r="F73" s="560"/>
      <c r="G73" s="560"/>
      <c r="H73" s="560"/>
      <c r="I73" s="560"/>
      <c r="J73" s="560"/>
      <c r="K73" s="556"/>
    </row>
    <row r="74" spans="1:11" s="557" customFormat="1">
      <c r="A74" s="731" t="s">
        <v>1059</v>
      </c>
      <c r="B74" s="558">
        <f>'Sources and Uses Budget'!C74</f>
        <v>0</v>
      </c>
      <c r="C74" s="1893">
        <f t="shared" si="9"/>
        <v>0</v>
      </c>
      <c r="D74" s="559"/>
      <c r="E74" s="560"/>
      <c r="F74" s="560"/>
      <c r="G74" s="560"/>
      <c r="H74" s="560"/>
      <c r="I74" s="560"/>
      <c r="J74" s="560"/>
      <c r="K74" s="556"/>
    </row>
    <row r="75" spans="1:11" s="557" customFormat="1">
      <c r="A75" s="561" t="s">
        <v>631</v>
      </c>
      <c r="B75" s="558">
        <f>'Sources and Uses Budget'!C75</f>
        <v>550720.01306964725</v>
      </c>
      <c r="C75" s="1893">
        <f t="shared" si="9"/>
        <v>550720.01306964725</v>
      </c>
      <c r="D75" s="559"/>
      <c r="E75" s="560"/>
      <c r="F75" s="560"/>
      <c r="G75" s="560"/>
      <c r="H75" s="560"/>
      <c r="I75" s="560"/>
      <c r="J75" s="560"/>
      <c r="K75" s="556"/>
    </row>
    <row r="76" spans="1:11" s="557" customFormat="1">
      <c r="A76" s="564" t="str">
        <f>'Sources and Uses Budget'!$A76</f>
        <v>Other: (Specify)</v>
      </c>
      <c r="B76" s="558">
        <f>'Sources and Uses Budget'!C76</f>
        <v>0</v>
      </c>
      <c r="C76" s="1893">
        <f t="shared" si="9"/>
        <v>0</v>
      </c>
      <c r="D76" s="559"/>
      <c r="E76" s="560"/>
      <c r="F76" s="560"/>
      <c r="G76" s="560"/>
      <c r="H76" s="560"/>
      <c r="I76" s="560"/>
      <c r="J76" s="560"/>
      <c r="K76" s="556"/>
    </row>
    <row r="77" spans="1:11" s="557" customFormat="1">
      <c r="A77" s="562" t="s">
        <v>632</v>
      </c>
      <c r="B77" s="558">
        <f>'Sources and Uses Budget'!C77</f>
        <v>550720.01306964725</v>
      </c>
      <c r="C77" s="558">
        <f>SUM(C72:C76)</f>
        <v>550720.01306964725</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2354675.2869565217</v>
      </c>
      <c r="C79" s="1893">
        <f t="shared" ref="C79:C80" si="10">+B79</f>
        <v>2354675.2869565217</v>
      </c>
      <c r="D79" s="559"/>
      <c r="E79" s="558">
        <f>'Sources and Uses Budget'!S79</f>
        <v>2354675.2869565217</v>
      </c>
      <c r="F79" s="1893">
        <f t="shared" ref="F79:F80" si="11">+E79</f>
        <v>2354675.2869565217</v>
      </c>
      <c r="G79" s="559"/>
      <c r="H79" s="558">
        <f>'Sources and Uses Budget'!T79</f>
        <v>0</v>
      </c>
      <c r="I79" s="559"/>
      <c r="J79" s="559"/>
      <c r="K79" s="556"/>
    </row>
    <row r="80" spans="1:11" s="557" customFormat="1">
      <c r="A80" s="561" t="s">
        <v>61</v>
      </c>
      <c r="B80" s="558">
        <f>'Sources and Uses Budget'!C80</f>
        <v>437151.08889278641</v>
      </c>
      <c r="C80" s="1893">
        <f t="shared" si="10"/>
        <v>437151.08889278641</v>
      </c>
      <c r="D80" s="559"/>
      <c r="E80" s="558">
        <f>'Sources and Uses Budget'!S80</f>
        <v>437151.08889278641</v>
      </c>
      <c r="F80" s="1893">
        <f t="shared" si="11"/>
        <v>437151.08889278641</v>
      </c>
      <c r="G80" s="559"/>
      <c r="H80" s="558">
        <f>'Sources and Uses Budget'!T80</f>
        <v>0</v>
      </c>
      <c r="I80" s="559"/>
      <c r="J80" s="559"/>
      <c r="K80" s="556"/>
    </row>
    <row r="81" spans="1:11" s="557" customFormat="1">
      <c r="A81" s="562" t="s">
        <v>1374</v>
      </c>
      <c r="B81" s="558">
        <f>'Sources and Uses Budget'!C81</f>
        <v>2791826.375849308</v>
      </c>
      <c r="C81" s="558">
        <f>SUM(C79:C80)</f>
        <v>2791826.375849308</v>
      </c>
      <c r="D81" s="558">
        <f>SUM(D79:D80)</f>
        <v>0</v>
      </c>
      <c r="E81" s="558">
        <f>'Sources and Uses Budget'!S81</f>
        <v>2791826.375849308</v>
      </c>
      <c r="F81" s="558">
        <f>SUM(F79:F80)</f>
        <v>2791826.375849308</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2590</v>
      </c>
      <c r="B83" s="558">
        <f>'Sources and Uses Budget'!C83</f>
        <v>91914.742961992582</v>
      </c>
      <c r="C83" s="1893">
        <f t="shared" ref="C83:C95" si="12">+B83</f>
        <v>91914.742961992582</v>
      </c>
      <c r="D83" s="559"/>
      <c r="E83" s="560"/>
      <c r="F83" s="560"/>
      <c r="G83" s="560"/>
      <c r="H83" s="560"/>
      <c r="I83" s="560"/>
      <c r="J83" s="560"/>
      <c r="K83" s="556"/>
    </row>
    <row r="84" spans="1:11" s="557" customFormat="1">
      <c r="A84" s="215" t="s">
        <v>809</v>
      </c>
      <c r="B84" s="558">
        <f>'Sources and Uses Budget'!C84</f>
        <v>36280</v>
      </c>
      <c r="C84" s="1893">
        <f t="shared" si="12"/>
        <v>36280</v>
      </c>
      <c r="D84" s="559"/>
      <c r="E84" s="558">
        <f>'Sources and Uses Budget'!S84</f>
        <v>36280</v>
      </c>
      <c r="F84" s="1893">
        <f t="shared" ref="F84:F87" si="13">+E84</f>
        <v>36280</v>
      </c>
      <c r="G84" s="559"/>
      <c r="H84" s="558">
        <f>'Sources and Uses Budget'!T84</f>
        <v>0</v>
      </c>
      <c r="I84" s="559"/>
      <c r="J84" s="559"/>
      <c r="K84" s="556"/>
    </row>
    <row r="85" spans="1:11" s="557" customFormat="1">
      <c r="A85" s="215" t="s">
        <v>810</v>
      </c>
      <c r="B85" s="558">
        <f>'Sources and Uses Budget'!C85</f>
        <v>2633555</v>
      </c>
      <c r="C85" s="1893">
        <f t="shared" si="12"/>
        <v>2633555</v>
      </c>
      <c r="D85" s="559"/>
      <c r="E85" s="558">
        <f>'Sources and Uses Budget'!S85</f>
        <v>2633555</v>
      </c>
      <c r="F85" s="1893">
        <f t="shared" si="13"/>
        <v>2633555</v>
      </c>
      <c r="G85" s="559"/>
      <c r="H85" s="558">
        <f>'Sources and Uses Budget'!T85</f>
        <v>0</v>
      </c>
      <c r="I85" s="559"/>
      <c r="J85" s="559"/>
      <c r="K85" s="556"/>
    </row>
    <row r="86" spans="1:11" s="557" customFormat="1">
      <c r="A86" s="215" t="s">
        <v>811</v>
      </c>
      <c r="B86" s="558">
        <f>'Sources and Uses Budget'!C86</f>
        <v>505000</v>
      </c>
      <c r="C86" s="1893">
        <f t="shared" si="12"/>
        <v>505000</v>
      </c>
      <c r="D86" s="559"/>
      <c r="E86" s="558">
        <f>'Sources and Uses Budget'!S86</f>
        <v>505000</v>
      </c>
      <c r="F86" s="1893">
        <f t="shared" si="13"/>
        <v>505000</v>
      </c>
      <c r="G86" s="559"/>
      <c r="H86" s="558">
        <f>'Sources and Uses Budget'!T86</f>
        <v>0</v>
      </c>
      <c r="I86" s="559"/>
      <c r="J86" s="559"/>
      <c r="K86" s="556"/>
    </row>
    <row r="87" spans="1:11" s="557" customFormat="1">
      <c r="A87" s="215" t="s">
        <v>812</v>
      </c>
      <c r="B87" s="558">
        <f>'Sources and Uses Budget'!C87</f>
        <v>0</v>
      </c>
      <c r="C87" s="1893">
        <f t="shared" si="12"/>
        <v>0</v>
      </c>
      <c r="D87" s="559"/>
      <c r="E87" s="558">
        <f>'Sources and Uses Budget'!S87</f>
        <v>0</v>
      </c>
      <c r="F87" s="1893">
        <f t="shared" si="13"/>
        <v>0</v>
      </c>
      <c r="G87" s="559"/>
      <c r="H87" s="558">
        <f>'Sources and Uses Budget'!T87</f>
        <v>0</v>
      </c>
      <c r="I87" s="559"/>
      <c r="J87" s="559"/>
      <c r="K87" s="556"/>
    </row>
    <row r="88" spans="1:11" s="557" customFormat="1">
      <c r="A88" s="215" t="s">
        <v>813</v>
      </c>
      <c r="B88" s="558">
        <f>'Sources and Uses Budget'!C88</f>
        <v>165000</v>
      </c>
      <c r="C88" s="1893">
        <f t="shared" si="12"/>
        <v>165000</v>
      </c>
      <c r="D88" s="559"/>
      <c r="E88" s="560"/>
      <c r="F88" s="560"/>
      <c r="G88" s="560"/>
      <c r="H88" s="560"/>
      <c r="I88" s="560"/>
      <c r="J88" s="560"/>
      <c r="K88" s="556"/>
    </row>
    <row r="89" spans="1:11" s="557" customFormat="1">
      <c r="A89" s="215" t="s">
        <v>814</v>
      </c>
      <c r="B89" s="558">
        <f>'Sources and Uses Budget'!C89</f>
        <v>160000</v>
      </c>
      <c r="C89" s="1893">
        <f t="shared" si="12"/>
        <v>160000</v>
      </c>
      <c r="D89" s="559"/>
      <c r="E89" s="558">
        <f>'Sources and Uses Budget'!S89</f>
        <v>160000</v>
      </c>
      <c r="F89" s="1893">
        <f t="shared" ref="F89:F95" si="14">+E89</f>
        <v>160000</v>
      </c>
      <c r="G89" s="559"/>
      <c r="H89" s="558">
        <f>'Sources and Uses Budget'!T89</f>
        <v>0</v>
      </c>
      <c r="I89" s="559"/>
      <c r="J89" s="559"/>
      <c r="K89" s="556"/>
    </row>
    <row r="90" spans="1:11" s="557" customFormat="1">
      <c r="A90" s="215" t="s">
        <v>815</v>
      </c>
      <c r="B90" s="558">
        <f>'Sources and Uses Budget'!C90</f>
        <v>8500</v>
      </c>
      <c r="C90" s="1893">
        <f t="shared" si="12"/>
        <v>8500</v>
      </c>
      <c r="D90" s="559"/>
      <c r="E90" s="558">
        <f>'Sources and Uses Budget'!S90</f>
        <v>8500</v>
      </c>
      <c r="F90" s="1893">
        <f t="shared" si="14"/>
        <v>8500</v>
      </c>
      <c r="G90" s="559"/>
      <c r="H90" s="558">
        <f>'Sources and Uses Budget'!T90</f>
        <v>0</v>
      </c>
      <c r="I90" s="559"/>
      <c r="J90" s="559"/>
      <c r="K90" s="556"/>
    </row>
    <row r="91" spans="1:11" s="557" customFormat="1">
      <c r="A91" s="226" t="s">
        <v>387</v>
      </c>
      <c r="B91" s="558">
        <f>'Sources and Uses Budget'!C91</f>
        <v>95000</v>
      </c>
      <c r="C91" s="1893">
        <f t="shared" si="12"/>
        <v>95000</v>
      </c>
      <c r="D91" s="559"/>
      <c r="E91" s="558">
        <f>'Sources and Uses Budget'!S91</f>
        <v>95000</v>
      </c>
      <c r="F91" s="1893">
        <f t="shared" si="14"/>
        <v>95000</v>
      </c>
      <c r="G91" s="559"/>
      <c r="H91" s="558">
        <f>'Sources and Uses Budget'!T91</f>
        <v>0</v>
      </c>
      <c r="I91" s="559"/>
      <c r="J91" s="559"/>
      <c r="K91" s="556"/>
    </row>
    <row r="92" spans="1:11" s="557" customFormat="1">
      <c r="A92" s="850" t="s">
        <v>1376</v>
      </c>
      <c r="B92" s="558">
        <f>'Sources and Uses Budget'!C92</f>
        <v>13000</v>
      </c>
      <c r="C92" s="1893">
        <f t="shared" si="12"/>
        <v>13000</v>
      </c>
      <c r="D92" s="559"/>
      <c r="E92" s="558">
        <f>'Sources and Uses Budget'!S92</f>
        <v>13000</v>
      </c>
      <c r="F92" s="1893">
        <f t="shared" si="14"/>
        <v>13000</v>
      </c>
      <c r="G92" s="559"/>
      <c r="H92" s="558">
        <f>'Sources and Uses Budget'!T92</f>
        <v>0</v>
      </c>
      <c r="I92" s="559"/>
      <c r="J92" s="559"/>
      <c r="K92" s="556"/>
    </row>
    <row r="93" spans="1:11" s="557" customFormat="1">
      <c r="A93" s="564" t="str">
        <f>'Sources and Uses Budget'!$A93</f>
        <v>Other: MGP Services fee</v>
      </c>
      <c r="B93" s="558">
        <f>'Sources and Uses Budget'!C93</f>
        <v>0</v>
      </c>
      <c r="C93" s="1893">
        <f t="shared" si="12"/>
        <v>0</v>
      </c>
      <c r="D93" s="559"/>
      <c r="E93" s="558">
        <f>'Sources and Uses Budget'!S93</f>
        <v>0</v>
      </c>
      <c r="F93" s="1893">
        <f t="shared" si="14"/>
        <v>0</v>
      </c>
      <c r="G93" s="559"/>
      <c r="H93" s="558">
        <f>'Sources and Uses Budget'!T93</f>
        <v>0</v>
      </c>
      <c r="I93" s="559"/>
      <c r="J93" s="559"/>
      <c r="K93" s="556"/>
    </row>
    <row r="94" spans="1:11" s="557" customFormat="1">
      <c r="A94" s="564" t="str">
        <f>'Sources and Uses Budget'!$A94</f>
        <v>Other: (Specify)</v>
      </c>
      <c r="B94" s="558">
        <f>'Sources and Uses Budget'!C94</f>
        <v>50000</v>
      </c>
      <c r="C94" s="1893">
        <f t="shared" si="12"/>
        <v>50000</v>
      </c>
      <c r="D94" s="559"/>
      <c r="E94" s="558">
        <f>'Sources and Uses Budget'!S94</f>
        <v>0</v>
      </c>
      <c r="F94" s="1893">
        <f t="shared" si="14"/>
        <v>0</v>
      </c>
      <c r="G94" s="559"/>
      <c r="H94" s="558">
        <f>'Sources and Uses Budget'!T94</f>
        <v>0</v>
      </c>
      <c r="I94" s="559"/>
      <c r="J94" s="559"/>
      <c r="K94" s="556"/>
    </row>
    <row r="95" spans="1:11" s="557" customFormat="1">
      <c r="A95" s="564" t="str">
        <f>'Sources and Uses Budget'!$A95</f>
        <v>Other: (Specify)</v>
      </c>
      <c r="B95" s="558">
        <f>'Sources and Uses Budget'!C95</f>
        <v>0</v>
      </c>
      <c r="C95" s="1893">
        <f t="shared" si="12"/>
        <v>0</v>
      </c>
      <c r="D95" s="559"/>
      <c r="E95" s="558">
        <f>'Sources and Uses Budget'!S95</f>
        <v>0</v>
      </c>
      <c r="F95" s="1893">
        <f t="shared" si="14"/>
        <v>0</v>
      </c>
      <c r="G95" s="559"/>
      <c r="H95" s="558">
        <f>'Sources and Uses Budget'!T95</f>
        <v>0</v>
      </c>
      <c r="I95" s="559"/>
      <c r="J95" s="559"/>
      <c r="K95" s="556"/>
    </row>
    <row r="96" spans="1:11" s="557" customFormat="1">
      <c r="A96" s="562" t="s">
        <v>816</v>
      </c>
      <c r="B96" s="558">
        <f>'Sources and Uses Budget'!C96</f>
        <v>3758249.7429619925</v>
      </c>
      <c r="C96" s="558">
        <f>SUM(C83:C95)</f>
        <v>3758249.7429619925</v>
      </c>
      <c r="D96" s="558">
        <f>SUM(D83:D95)</f>
        <v>0</v>
      </c>
      <c r="E96" s="558">
        <f>'Sources and Uses Budget'!S96</f>
        <v>3451335</v>
      </c>
      <c r="F96" s="565">
        <f>SUM(F84:F87,F89:F95)</f>
        <v>3451335</v>
      </c>
      <c r="G96" s="565">
        <f>SUM(G84:G87,G89:G95)</f>
        <v>0</v>
      </c>
      <c r="H96" s="558">
        <f>'Sources and Uses Budget'!T96</f>
        <v>0</v>
      </c>
      <c r="I96" s="558">
        <f>SUM(I84:I87,I89:I95)</f>
        <v>0</v>
      </c>
      <c r="J96" s="558">
        <f>SUM(J84:J87,J89:J95)</f>
        <v>0</v>
      </c>
      <c r="K96" s="556"/>
    </row>
    <row r="97" spans="1:11" s="557" customFormat="1">
      <c r="A97" s="562" t="s">
        <v>1110</v>
      </c>
      <c r="B97" s="558">
        <f>'Sources and Uses Budget'!C97</f>
        <v>73020134.497061729</v>
      </c>
      <c r="C97" s="558">
        <f>SUM(C63+C70+C77+C81+C96)</f>
        <v>73020134.497061729</v>
      </c>
      <c r="D97" s="558">
        <f>SUM(D63+D70+D77+D81+D96)</f>
        <v>0</v>
      </c>
      <c r="E97" s="558">
        <f>'Sources and Uses Budget'!S97</f>
        <v>57800573.515037753</v>
      </c>
      <c r="F97" s="565">
        <f>SUM(+F63+F70+F81+F96)</f>
        <v>57800573.515037753</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8670086.0272556636</v>
      </c>
      <c r="C99" s="1893">
        <f>+B99</f>
        <v>8670086.0272556636</v>
      </c>
      <c r="D99" s="559"/>
      <c r="E99" s="558">
        <f>'Sources and Uses Budget'!S99</f>
        <v>8670086.0272556636</v>
      </c>
      <c r="F99" s="559">
        <f>+E99</f>
        <v>8670086.0272556636</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8670086.0272556636</v>
      </c>
      <c r="C104" s="558">
        <f>SUM(C99:C103)</f>
        <v>8670086.0272556636</v>
      </c>
      <c r="D104" s="558">
        <f>SUM(D99:D103)</f>
        <v>0</v>
      </c>
      <c r="E104" s="558">
        <f>'Sources and Uses Budget'!S104</f>
        <v>8670086.0272556636</v>
      </c>
      <c r="F104" s="565">
        <f>SUM(F99:F103)</f>
        <v>8670086.0272556636</v>
      </c>
      <c r="G104" s="565">
        <f>SUM(G99:G103)</f>
        <v>0</v>
      </c>
      <c r="H104" s="558">
        <f>'Sources and Uses Budget'!T104</f>
        <v>0</v>
      </c>
      <c r="I104" s="565">
        <f>SUM(I99:I103)</f>
        <v>0</v>
      </c>
      <c r="J104" s="565">
        <f>SUM(J99:J103)</f>
        <v>0</v>
      </c>
      <c r="K104" s="556"/>
    </row>
    <row r="105" spans="1:11" s="557" customFormat="1">
      <c r="A105" s="562" t="s">
        <v>1111</v>
      </c>
      <c r="B105" s="558">
        <f>'Sources and Uses Budget'!C105</f>
        <v>81690220.524317399</v>
      </c>
      <c r="C105" s="565">
        <f>SUM(C97+C104)</f>
        <v>81690220.524317399</v>
      </c>
      <c r="D105" s="565">
        <f>SUM(D97+D104)</f>
        <v>0</v>
      </c>
      <c r="E105" s="558">
        <f>'Sources and Uses Budget'!S105</f>
        <v>66470659.542293414</v>
      </c>
      <c r="F105" s="565">
        <f>F97+F104</f>
        <v>66470659.542293414</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66470659.542293414</v>
      </c>
      <c r="F107" s="574">
        <f>F105+F106</f>
        <v>66470659.542293414</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0"/>
      <c r="E124" s="2621"/>
      <c r="F124" s="2621"/>
      <c r="G124" s="2621"/>
      <c r="H124" s="2621"/>
      <c r="I124" s="2621"/>
      <c r="J124" s="576"/>
      <c r="K124" s="556"/>
    </row>
    <row r="125" spans="1:11" s="557" customFormat="1" ht="12.75">
      <c r="A125" s="587"/>
      <c r="B125" s="586"/>
      <c r="C125" s="587"/>
      <c r="D125" s="2621"/>
      <c r="E125" s="2621"/>
      <c r="F125" s="2621"/>
      <c r="G125" s="2621"/>
      <c r="H125" s="2621"/>
      <c r="I125" s="2621"/>
      <c r="J125" s="576"/>
      <c r="K125" s="556"/>
    </row>
    <row r="126" spans="1:11" s="557" customFormat="1" ht="12.75">
      <c r="A126" s="587"/>
      <c r="B126" s="586"/>
      <c r="C126" s="587"/>
      <c r="D126" s="2621"/>
      <c r="E126" s="2621"/>
      <c r="F126" s="2621"/>
      <c r="G126" s="2621"/>
      <c r="H126" s="2621"/>
      <c r="I126" s="2621"/>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2"/>
      <c r="B139" s="2623"/>
      <c r="C139" s="2623"/>
      <c r="D139" s="599"/>
      <c r="E139" s="587"/>
      <c r="F139" s="587"/>
      <c r="G139" s="587"/>
    </row>
    <row r="140" spans="1:11" ht="12" customHeight="1">
      <c r="A140" s="2624"/>
      <c r="B140" s="2625"/>
      <c r="C140" s="2625"/>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J52" sqref="J52:Q52"/>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64" t="s">
        <v>2592</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065"/>
      <c r="AW1" s="3065"/>
      <c r="AX1" s="3065"/>
      <c r="AY1" s="3065"/>
      <c r="AZ1" s="3065"/>
      <c r="BA1" s="3065"/>
      <c r="BB1" s="3065"/>
      <c r="BC1" s="3065"/>
      <c r="BD1" s="3065"/>
      <c r="BE1" s="3066"/>
    </row>
    <row r="2" spans="1:65" ht="15.75" customHeight="1">
      <c r="A2" s="3067" t="s">
        <v>2593</v>
      </c>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068"/>
      <c r="AZ2" s="3068"/>
      <c r="BA2" s="3068"/>
      <c r="BB2" s="3068"/>
      <c r="BC2" s="3068"/>
      <c r="BD2" s="3068"/>
      <c r="BE2" s="3069"/>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995" t="str">
        <f>IF(Application!H18="","",Application!H18)</f>
        <v>Taormina</v>
      </c>
      <c r="M4" s="2996"/>
      <c r="N4" s="2996"/>
      <c r="O4" s="2996"/>
      <c r="P4" s="2996"/>
      <c r="Q4" s="2996"/>
      <c r="R4" s="2996"/>
      <c r="S4" s="2996"/>
      <c r="T4" s="2996"/>
      <c r="U4" s="2996"/>
      <c r="V4" s="2996"/>
      <c r="W4" s="2996"/>
      <c r="X4" s="2996"/>
      <c r="Y4" s="2996"/>
      <c r="Z4" s="2996"/>
      <c r="AA4" s="2996"/>
      <c r="AB4" s="2996"/>
      <c r="AC4" s="2997"/>
      <c r="AD4" s="1706"/>
      <c r="AE4" s="1706"/>
      <c r="AF4" s="2691" t="s">
        <v>1886</v>
      </c>
      <c r="AG4" s="2692"/>
      <c r="AH4" s="2692"/>
      <c r="AI4" s="2692"/>
      <c r="AJ4" s="2692"/>
      <c r="AK4" s="2692"/>
      <c r="AL4" s="2692"/>
      <c r="AM4" s="2692"/>
      <c r="AN4" s="2692"/>
      <c r="AO4" s="2692"/>
      <c r="AP4" s="3070">
        <v>45047</v>
      </c>
      <c r="AQ4" s="3043"/>
      <c r="AR4" s="3043"/>
      <c r="AS4" s="3043"/>
      <c r="AT4" s="3043"/>
      <c r="AU4" s="3044"/>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7" t="s">
        <v>1887</v>
      </c>
      <c r="AG5" s="2748"/>
      <c r="AH5" s="2748"/>
      <c r="AI5" s="2748"/>
      <c r="AJ5" s="2748"/>
      <c r="AK5" s="2748"/>
      <c r="AL5" s="2748"/>
      <c r="AM5" s="2748"/>
      <c r="AN5" s="2748"/>
      <c r="AO5" s="2748"/>
      <c r="AP5" s="3070">
        <f>AP4</f>
        <v>45047</v>
      </c>
      <c r="AQ5" s="3043"/>
      <c r="AR5" s="3043"/>
      <c r="AS5" s="3043"/>
      <c r="AT5" s="3043"/>
      <c r="AU5" s="3044"/>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49" t="str">
        <f>IF(Application!H16="","",Application!H16)</f>
        <v>Taormina Family Apartments CIC, LP</v>
      </c>
      <c r="M6" s="3050"/>
      <c r="N6" s="3050"/>
      <c r="O6" s="3050"/>
      <c r="P6" s="3050"/>
      <c r="Q6" s="3050"/>
      <c r="R6" s="3050"/>
      <c r="S6" s="3050"/>
      <c r="T6" s="3050"/>
      <c r="U6" s="3050"/>
      <c r="V6" s="3050"/>
      <c r="W6" s="3050"/>
      <c r="X6" s="3050"/>
      <c r="Y6" s="3050"/>
      <c r="Z6" s="3050"/>
      <c r="AA6" s="3050"/>
      <c r="AB6" s="3050"/>
      <c r="AC6" s="3051"/>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2" t="str">
        <f>Application!T196</f>
        <v>No</v>
      </c>
      <c r="AC8" s="3053"/>
      <c r="AD8" s="3054"/>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55">
        <f>Application!AO637</f>
        <v>25140000</v>
      </c>
      <c r="O10" s="3056"/>
      <c r="P10" s="3056"/>
      <c r="Q10" s="3056"/>
      <c r="R10" s="3056"/>
      <c r="S10" s="3056"/>
      <c r="T10" s="3057"/>
      <c r="U10" s="1706"/>
      <c r="V10" s="1706"/>
      <c r="W10" s="1706"/>
      <c r="X10" s="2732" t="s">
        <v>1892</v>
      </c>
      <c r="Y10" s="2733"/>
      <c r="Z10" s="2733"/>
      <c r="AA10" s="2733"/>
      <c r="AB10" s="2733"/>
      <c r="AC10" s="2733"/>
      <c r="AD10" s="2733"/>
      <c r="AE10" s="2733"/>
      <c r="AF10" s="2733"/>
      <c r="AG10" s="2733"/>
      <c r="AH10" s="2733"/>
      <c r="AI10" s="2733"/>
      <c r="AJ10" s="2733"/>
      <c r="AK10" s="2734"/>
      <c r="AL10" s="3074">
        <f>Application!W471</f>
        <v>21</v>
      </c>
      <c r="AM10" s="3053"/>
      <c r="AN10" s="3053"/>
      <c r="AO10" s="3053"/>
      <c r="AP10" s="3054"/>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58">
        <f>Application!AA925</f>
        <v>0</v>
      </c>
      <c r="O11" s="3059"/>
      <c r="P11" s="3059"/>
      <c r="Q11" s="3059"/>
      <c r="R11" s="3059"/>
      <c r="S11" s="3059"/>
      <c r="T11" s="3060"/>
      <c r="U11" s="1706"/>
      <c r="V11" s="1706"/>
      <c r="W11" s="1706"/>
      <c r="X11" s="3061" t="s">
        <v>1894</v>
      </c>
      <c r="Y11" s="3062"/>
      <c r="Z11" s="3062"/>
      <c r="AA11" s="3062"/>
      <c r="AB11" s="3062"/>
      <c r="AC11" s="3062"/>
      <c r="AD11" s="3062"/>
      <c r="AE11" s="3062"/>
      <c r="AF11" s="3062"/>
      <c r="AG11" s="3062"/>
      <c r="AH11" s="3062"/>
      <c r="AI11" s="3062"/>
      <c r="AJ11" s="3062"/>
      <c r="AK11" s="3063"/>
      <c r="AL11" s="3071">
        <v>44754</v>
      </c>
      <c r="AM11" s="3072"/>
      <c r="AN11" s="3072"/>
      <c r="AO11" s="3072"/>
      <c r="AP11" s="3073"/>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2" t="s">
        <v>2594</v>
      </c>
      <c r="Y12" s="2733"/>
      <c r="Z12" s="2733"/>
      <c r="AA12" s="2733"/>
      <c r="AB12" s="2733"/>
      <c r="AC12" s="2733"/>
      <c r="AD12" s="2733"/>
      <c r="AE12" s="2733"/>
      <c r="AF12" s="2733"/>
      <c r="AG12" s="2733"/>
      <c r="AH12" s="2733"/>
      <c r="AI12" s="2733"/>
      <c r="AJ12" s="2733"/>
      <c r="AK12" s="2734"/>
      <c r="AL12" s="3071">
        <v>44782</v>
      </c>
      <c r="AM12" s="3072"/>
      <c r="AN12" s="3072"/>
      <c r="AO12" s="3072"/>
      <c r="AP12" s="3073"/>
      <c r="AQ12" s="1709"/>
      <c r="AR12" s="1709"/>
      <c r="AS12" s="1709"/>
      <c r="AT12" s="1709"/>
      <c r="AU12" s="1709"/>
      <c r="AV12" s="1706"/>
      <c r="AW12" s="1706"/>
      <c r="AX12" s="1706"/>
      <c r="AY12" s="1706"/>
      <c r="AZ12" s="1706"/>
      <c r="BA12" s="1706"/>
      <c r="BB12" s="1706"/>
      <c r="BC12" s="1706"/>
      <c r="BD12" s="1706"/>
      <c r="BE12" s="1712"/>
    </row>
    <row r="13" spans="1:65" thickBot="1">
      <c r="A13" s="1706"/>
      <c r="B13" s="2732" t="s">
        <v>1895</v>
      </c>
      <c r="C13" s="2733"/>
      <c r="D13" s="2733"/>
      <c r="E13" s="2733"/>
      <c r="F13" s="2733"/>
      <c r="G13" s="2733"/>
      <c r="H13" s="2733"/>
      <c r="I13" s="2733"/>
      <c r="J13" s="2733"/>
      <c r="K13" s="2733"/>
      <c r="L13" s="2733"/>
      <c r="M13" s="2733"/>
      <c r="N13" s="2733"/>
      <c r="O13" s="2733"/>
      <c r="P13" s="2734"/>
      <c r="Q13" s="3042" t="s">
        <v>695</v>
      </c>
      <c r="R13" s="3043"/>
      <c r="S13" s="3043"/>
      <c r="T13" s="3044"/>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45" t="s">
        <v>1896</v>
      </c>
      <c r="C15" s="3045"/>
      <c r="D15" s="3045"/>
      <c r="E15" s="3045"/>
      <c r="F15" s="3045"/>
      <c r="G15" s="3045"/>
      <c r="H15" s="3045"/>
      <c r="I15" s="3045"/>
      <c r="J15" s="3045"/>
      <c r="K15" s="3045"/>
      <c r="L15" s="3046"/>
      <c r="M15" s="2691" t="s">
        <v>1897</v>
      </c>
      <c r="N15" s="2692"/>
      <c r="O15" s="2692"/>
      <c r="P15" s="2692"/>
      <c r="Q15" s="2692"/>
      <c r="R15" s="2692"/>
      <c r="S15" s="3047" t="str">
        <f>IF(Application!AB214="","",Application!AB214)</f>
        <v/>
      </c>
      <c r="T15" s="3047"/>
      <c r="U15" s="3047"/>
      <c r="V15" s="3047"/>
      <c r="W15" s="3048"/>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76" t="s">
        <v>1898</v>
      </c>
      <c r="C17" s="2777"/>
      <c r="D17" s="2777"/>
      <c r="E17" s="2777"/>
      <c r="F17" s="2777"/>
      <c r="G17" s="2777"/>
      <c r="H17" s="2777"/>
      <c r="I17" s="2777"/>
      <c r="J17" s="2777"/>
      <c r="K17" s="2777"/>
      <c r="L17" s="2777"/>
      <c r="M17" s="2777"/>
      <c r="N17" s="2777"/>
      <c r="O17" s="2777"/>
      <c r="P17" s="2777"/>
      <c r="Q17" s="2777"/>
      <c r="R17" s="2777"/>
      <c r="S17" s="2777"/>
      <c r="T17" s="2777"/>
      <c r="U17" s="2777"/>
      <c r="V17" s="2777"/>
      <c r="W17" s="2777"/>
      <c r="X17" s="2777"/>
      <c r="Y17" s="2777"/>
      <c r="Z17" s="2777"/>
      <c r="AA17" s="2777"/>
      <c r="AB17" s="2777"/>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778"/>
      <c r="AZ17" s="1706"/>
      <c r="BA17" s="1706"/>
      <c r="BB17" s="1706"/>
      <c r="BC17" s="1706"/>
      <c r="BD17" s="1706"/>
      <c r="BE17" s="1712"/>
      <c r="BF17" s="1704"/>
    </row>
    <row r="18" spans="1:58" ht="15.75" customHeight="1">
      <c r="A18" s="1706"/>
      <c r="B18" s="3035" t="s">
        <v>1899</v>
      </c>
      <c r="C18" s="3036"/>
      <c r="D18" s="3036"/>
      <c r="E18" s="3036"/>
      <c r="F18" s="3036"/>
      <c r="G18" s="3036"/>
      <c r="H18" s="3036"/>
      <c r="I18" s="3037"/>
      <c r="J18" s="3038" t="s">
        <v>1791</v>
      </c>
      <c r="K18" s="3039"/>
      <c r="L18" s="3039"/>
      <c r="M18" s="3039"/>
      <c r="N18" s="3039"/>
      <c r="O18" s="3040"/>
      <c r="P18" s="3038" t="s">
        <v>330</v>
      </c>
      <c r="Q18" s="3039"/>
      <c r="R18" s="3039"/>
      <c r="S18" s="3039"/>
      <c r="T18" s="3039"/>
      <c r="U18" s="3040"/>
      <c r="V18" s="3038" t="s">
        <v>331</v>
      </c>
      <c r="W18" s="3039"/>
      <c r="X18" s="3039"/>
      <c r="Y18" s="3039"/>
      <c r="Z18" s="3039"/>
      <c r="AA18" s="3040"/>
      <c r="AB18" s="3038" t="s">
        <v>168</v>
      </c>
      <c r="AC18" s="3039"/>
      <c r="AD18" s="3039"/>
      <c r="AE18" s="3039"/>
      <c r="AF18" s="3039"/>
      <c r="AG18" s="3040"/>
      <c r="AH18" s="3038" t="s">
        <v>169</v>
      </c>
      <c r="AI18" s="3039"/>
      <c r="AJ18" s="3039"/>
      <c r="AK18" s="3039"/>
      <c r="AL18" s="3039"/>
      <c r="AM18" s="3040"/>
      <c r="AN18" s="3038" t="s">
        <v>170</v>
      </c>
      <c r="AO18" s="3039"/>
      <c r="AP18" s="3039"/>
      <c r="AQ18" s="3039"/>
      <c r="AR18" s="3039"/>
      <c r="AS18" s="3040"/>
      <c r="AT18" s="3038" t="s">
        <v>1900</v>
      </c>
      <c r="AU18" s="3039"/>
      <c r="AV18" s="3039"/>
      <c r="AW18" s="3039"/>
      <c r="AX18" s="3039"/>
      <c r="AY18" s="3041"/>
      <c r="AZ18" s="1706"/>
      <c r="BA18" s="1706"/>
      <c r="BB18" s="1706"/>
      <c r="BC18" s="1706"/>
      <c r="BD18" s="1706"/>
      <c r="BE18" s="1712"/>
    </row>
    <row r="19" spans="1:58" ht="15">
      <c r="A19" s="1706"/>
      <c r="B19" s="3033">
        <v>0.2</v>
      </c>
      <c r="C19" s="3034"/>
      <c r="D19" s="3034"/>
      <c r="E19" s="3034"/>
      <c r="F19" s="3034"/>
      <c r="G19" s="3034"/>
      <c r="H19" s="3034"/>
      <c r="I19" s="3034"/>
      <c r="J19" s="3024">
        <f>SUM(P19:AS19)</f>
        <v>0</v>
      </c>
      <c r="K19" s="3025"/>
      <c r="L19" s="3025"/>
      <c r="M19" s="3025"/>
      <c r="N19" s="3025"/>
      <c r="O19" s="3026"/>
      <c r="P19" s="3024" cm="1">
        <f t="array" ref="P19">SUMPRODUCT((Application!$B$728:$B$752 = 'CalHFA Addendum'!P$18)*(Application!$AC$728:$AC$752 = 'CalHFA Addendum'!$B19),Application!$G$728:$G$752)</f>
        <v>0</v>
      </c>
      <c r="Q19" s="3025"/>
      <c r="R19" s="3025"/>
      <c r="S19" s="3025"/>
      <c r="T19" s="3025"/>
      <c r="U19" s="3026"/>
      <c r="V19" s="3024" cm="1">
        <f t="array" ref="V19">SUMPRODUCT((Application!$B$728:$B$752 = 'CalHFA Addendum'!V$18)*(Application!$AC$728:$AC$752 = 'CalHFA Addendum'!$B19),Application!$G$728:$G$752)</f>
        <v>0</v>
      </c>
      <c r="W19" s="3025"/>
      <c r="X19" s="3025"/>
      <c r="Y19" s="3025"/>
      <c r="Z19" s="3025"/>
      <c r="AA19" s="3026"/>
      <c r="AB19" s="3024" cm="1">
        <f t="array" ref="AB19">SUMPRODUCT((Application!$B$728:$B$752 = 'CalHFA Addendum'!AB$18)*(Application!$AC$728:$AC$752 = 'CalHFA Addendum'!$B19),Application!$G$728:$G$752)</f>
        <v>0</v>
      </c>
      <c r="AC19" s="3025"/>
      <c r="AD19" s="3025"/>
      <c r="AE19" s="3025"/>
      <c r="AF19" s="3025"/>
      <c r="AG19" s="3026"/>
      <c r="AH19" s="3024" cm="1">
        <f t="array" ref="AH19">SUMPRODUCT((Application!$B$728:$B$752 = 'CalHFA Addendum'!AH$18)*(Application!$AC$728:$AC$752 = 'CalHFA Addendum'!$B19),Application!$G$728:$G$752)</f>
        <v>0</v>
      </c>
      <c r="AI19" s="3025"/>
      <c r="AJ19" s="3025"/>
      <c r="AK19" s="3025"/>
      <c r="AL19" s="3025"/>
      <c r="AM19" s="3026"/>
      <c r="AN19" s="3024" cm="1">
        <f t="array" ref="AN19">SUMPRODUCT((Application!$B$728:$B$752 = 'CalHFA Addendum'!AN$18)*(Application!$AC$728:$AC$752 = 'CalHFA Addendum'!$B19),Application!$G$728:$G$752)</f>
        <v>0</v>
      </c>
      <c r="AO19" s="3025"/>
      <c r="AP19" s="3025"/>
      <c r="AQ19" s="3025"/>
      <c r="AR19" s="3025"/>
      <c r="AS19" s="3026"/>
      <c r="AT19" s="3027">
        <f t="shared" ref="AT19:AT28" si="0">J19/$J$29</f>
        <v>0</v>
      </c>
      <c r="AU19" s="3028"/>
      <c r="AV19" s="3028"/>
      <c r="AW19" s="3028"/>
      <c r="AX19" s="3028"/>
      <c r="AY19" s="3029"/>
      <c r="AZ19" s="1713"/>
      <c r="BA19" s="1706"/>
      <c r="BB19" s="1706"/>
      <c r="BC19" s="1706"/>
      <c r="BD19" s="1706"/>
      <c r="BE19" s="1712"/>
    </row>
    <row r="20" spans="1:58" ht="15" customHeight="1">
      <c r="A20" s="1706"/>
      <c r="B20" s="3033">
        <v>0.3</v>
      </c>
      <c r="C20" s="3034"/>
      <c r="D20" s="3034"/>
      <c r="E20" s="3034"/>
      <c r="F20" s="3034"/>
      <c r="G20" s="3034"/>
      <c r="H20" s="3034"/>
      <c r="I20" s="3034"/>
      <c r="J20" s="3024">
        <f t="shared" ref="J20:J28" si="1">SUM(P20:AS20)</f>
        <v>15</v>
      </c>
      <c r="K20" s="3025"/>
      <c r="L20" s="3025"/>
      <c r="M20" s="3025"/>
      <c r="N20" s="3025"/>
      <c r="O20" s="3026"/>
      <c r="P20" s="3024" cm="1">
        <f t="array" ref="P20">SUMPRODUCT((Application!$B$728:$B$752 = 'CalHFA Addendum'!P$18)*(Application!$AC$728:$AC$752 = 'CalHFA Addendum'!$B20),Application!$G$728:$G$752)</f>
        <v>0</v>
      </c>
      <c r="Q20" s="3025"/>
      <c r="R20" s="3025"/>
      <c r="S20" s="3025"/>
      <c r="T20" s="3025"/>
      <c r="U20" s="3026"/>
      <c r="V20" s="3024" cm="1">
        <f t="array" ref="V20">SUMPRODUCT((Application!$B$728:$B$752 = 'CalHFA Addendum'!V$18)*(Application!$AC$728:$AC$752 = 'CalHFA Addendum'!$B20),Application!$G$728:$G$752)</f>
        <v>7</v>
      </c>
      <c r="W20" s="3025"/>
      <c r="X20" s="3025"/>
      <c r="Y20" s="3025"/>
      <c r="Z20" s="3025"/>
      <c r="AA20" s="3026"/>
      <c r="AB20" s="3024" cm="1">
        <f t="array" ref="AB20">SUMPRODUCT((Application!$B$728:$B$752 = 'CalHFA Addendum'!AB$18)*(Application!$AC$728:$AC$752 = 'CalHFA Addendum'!$B20),Application!$G$728:$G$752)</f>
        <v>4</v>
      </c>
      <c r="AC20" s="3025"/>
      <c r="AD20" s="3025"/>
      <c r="AE20" s="3025"/>
      <c r="AF20" s="3025"/>
      <c r="AG20" s="3026"/>
      <c r="AH20" s="3024" cm="1">
        <f t="array" ref="AH20">SUMPRODUCT((Application!$B$728:$B$752 = 'CalHFA Addendum'!AH$18)*(Application!$AC$728:$AC$752 = 'CalHFA Addendum'!$B20),Application!$G$728:$G$752)</f>
        <v>4</v>
      </c>
      <c r="AI20" s="3025"/>
      <c r="AJ20" s="3025"/>
      <c r="AK20" s="3025"/>
      <c r="AL20" s="3025"/>
      <c r="AM20" s="3026"/>
      <c r="AN20" s="3024" cm="1">
        <f t="array" ref="AN20">SUMPRODUCT((Application!$B$728:$B$752 = 'CalHFA Addendum'!AN$18)*(Application!$AC$728:$AC$752 = 'CalHFA Addendum'!$B20),Application!$G$728:$G$752)</f>
        <v>0</v>
      </c>
      <c r="AO20" s="3025"/>
      <c r="AP20" s="3025"/>
      <c r="AQ20" s="3025"/>
      <c r="AR20" s="3025"/>
      <c r="AS20" s="3026"/>
      <c r="AT20" s="3027">
        <f t="shared" si="0"/>
        <v>0.11029411764705882</v>
      </c>
      <c r="AU20" s="3028"/>
      <c r="AV20" s="3028"/>
      <c r="AW20" s="3028"/>
      <c r="AX20" s="3028"/>
      <c r="AY20" s="3029"/>
      <c r="AZ20" s="1706"/>
      <c r="BA20" s="1706"/>
      <c r="BB20" s="1706"/>
      <c r="BC20" s="1706"/>
      <c r="BD20" s="1706"/>
      <c r="BE20" s="1712"/>
    </row>
    <row r="21" spans="1:58" ht="15">
      <c r="A21" s="1706"/>
      <c r="B21" s="3033">
        <v>0.4</v>
      </c>
      <c r="C21" s="3034"/>
      <c r="D21" s="3034"/>
      <c r="E21" s="3034"/>
      <c r="F21" s="3034"/>
      <c r="G21" s="3034"/>
      <c r="H21" s="3034"/>
      <c r="I21" s="3034"/>
      <c r="J21" s="3024">
        <f t="shared" si="1"/>
        <v>0</v>
      </c>
      <c r="K21" s="3025"/>
      <c r="L21" s="3025"/>
      <c r="M21" s="3025"/>
      <c r="N21" s="3025"/>
      <c r="O21" s="3026"/>
      <c r="P21" s="3024" cm="1">
        <f t="array" ref="P21">SUMPRODUCT((Application!$B$728:$B$752 = 'CalHFA Addendum'!P$18)*(Application!$AC$728:$AC$752 = 'CalHFA Addendum'!$B21),Application!$G$728:$G$752)</f>
        <v>0</v>
      </c>
      <c r="Q21" s="3025"/>
      <c r="R21" s="3025"/>
      <c r="S21" s="3025"/>
      <c r="T21" s="3025"/>
      <c r="U21" s="3026"/>
      <c r="V21" s="3024" cm="1">
        <f t="array" ref="V21">SUMPRODUCT((Application!$B$728:$B$752 = 'CalHFA Addendum'!V$18)*(Application!$AC$728:$AC$752 = 'CalHFA Addendum'!$B21),Application!$G$728:$G$752)</f>
        <v>0</v>
      </c>
      <c r="W21" s="3025"/>
      <c r="X21" s="3025"/>
      <c r="Y21" s="3025"/>
      <c r="Z21" s="3025"/>
      <c r="AA21" s="3026"/>
      <c r="AB21" s="3024" cm="1">
        <f t="array" ref="AB21">SUMPRODUCT((Application!$B$728:$B$752 = 'CalHFA Addendum'!AB$18)*(Application!$AC$728:$AC$752 = 'CalHFA Addendum'!$B21),Application!$G$728:$G$752)</f>
        <v>0</v>
      </c>
      <c r="AC21" s="3025"/>
      <c r="AD21" s="3025"/>
      <c r="AE21" s="3025"/>
      <c r="AF21" s="3025"/>
      <c r="AG21" s="3026"/>
      <c r="AH21" s="3024" cm="1">
        <f t="array" ref="AH21">SUMPRODUCT((Application!$B$728:$B$752 = 'CalHFA Addendum'!AH$18)*(Application!$AC$728:$AC$752 = 'CalHFA Addendum'!$B21),Application!$G$728:$G$752)</f>
        <v>0</v>
      </c>
      <c r="AI21" s="3025"/>
      <c r="AJ21" s="3025"/>
      <c r="AK21" s="3025"/>
      <c r="AL21" s="3025"/>
      <c r="AM21" s="3026"/>
      <c r="AN21" s="3024" cm="1">
        <f t="array" ref="AN21">SUMPRODUCT((Application!$B$728:$B$752 = 'CalHFA Addendum'!AN$18)*(Application!$AC$728:$AC$752 = 'CalHFA Addendum'!$B21),Application!$G$728:$G$752)</f>
        <v>0</v>
      </c>
      <c r="AO21" s="3025"/>
      <c r="AP21" s="3025"/>
      <c r="AQ21" s="3025"/>
      <c r="AR21" s="3025"/>
      <c r="AS21" s="3026"/>
      <c r="AT21" s="3027">
        <f t="shared" si="0"/>
        <v>0</v>
      </c>
      <c r="AU21" s="3028"/>
      <c r="AV21" s="3028"/>
      <c r="AW21" s="3028"/>
      <c r="AX21" s="3028"/>
      <c r="AY21" s="3029"/>
      <c r="AZ21" s="1706"/>
      <c r="BA21" s="1706"/>
      <c r="BB21" s="1706"/>
      <c r="BC21" s="1706"/>
      <c r="BD21" s="1706"/>
      <c r="BE21" s="1712"/>
    </row>
    <row r="22" spans="1:58" ht="15">
      <c r="A22" s="1706"/>
      <c r="B22" s="3033">
        <v>0.5</v>
      </c>
      <c r="C22" s="3034"/>
      <c r="D22" s="3034"/>
      <c r="E22" s="3034"/>
      <c r="F22" s="3034"/>
      <c r="G22" s="3034"/>
      <c r="H22" s="3034"/>
      <c r="I22" s="3034"/>
      <c r="J22" s="3024">
        <f t="shared" si="1"/>
        <v>15</v>
      </c>
      <c r="K22" s="3025"/>
      <c r="L22" s="3025"/>
      <c r="M22" s="3025"/>
      <c r="N22" s="3025"/>
      <c r="O22" s="3026"/>
      <c r="P22" s="3024" cm="1">
        <f t="array" ref="P22">SUMPRODUCT((Application!$B$728:$B$752 = 'CalHFA Addendum'!P$18)*(Application!$AC$728:$AC$752 = 'CalHFA Addendum'!$B22),Application!$G$728:$G$752)</f>
        <v>0</v>
      </c>
      <c r="Q22" s="3025"/>
      <c r="R22" s="3025"/>
      <c r="S22" s="3025"/>
      <c r="T22" s="3025"/>
      <c r="U22" s="3026"/>
      <c r="V22" s="3024" cm="1">
        <f t="array" ref="V22">SUMPRODUCT((Application!$B$728:$B$752 = 'CalHFA Addendum'!V$18)*(Application!$AC$728:$AC$752 = 'CalHFA Addendum'!$B22),Application!$G$728:$G$752)</f>
        <v>7</v>
      </c>
      <c r="W22" s="3025"/>
      <c r="X22" s="3025"/>
      <c r="Y22" s="3025"/>
      <c r="Z22" s="3025"/>
      <c r="AA22" s="3026"/>
      <c r="AB22" s="3024" cm="1">
        <f t="array" ref="AB22">SUMPRODUCT((Application!$B$728:$B$752 = 'CalHFA Addendum'!AB$18)*(Application!$AC$728:$AC$752 = 'CalHFA Addendum'!$B22),Application!$G$728:$G$752)</f>
        <v>4</v>
      </c>
      <c r="AC22" s="3025"/>
      <c r="AD22" s="3025"/>
      <c r="AE22" s="3025"/>
      <c r="AF22" s="3025"/>
      <c r="AG22" s="3026"/>
      <c r="AH22" s="3024" cm="1">
        <f t="array" ref="AH22">SUMPRODUCT((Application!$B$728:$B$752 = 'CalHFA Addendum'!AH$18)*(Application!$AC$728:$AC$752 = 'CalHFA Addendum'!$B22),Application!$G$728:$G$752)</f>
        <v>4</v>
      </c>
      <c r="AI22" s="3025"/>
      <c r="AJ22" s="3025"/>
      <c r="AK22" s="3025"/>
      <c r="AL22" s="3025"/>
      <c r="AM22" s="3026"/>
      <c r="AN22" s="3024" cm="1">
        <f t="array" ref="AN22">SUMPRODUCT((Application!$B$728:$B$752 = 'CalHFA Addendum'!AN$18)*(Application!$AC$728:$AC$752 = 'CalHFA Addendum'!$B22),Application!$G$728:$G$752)</f>
        <v>0</v>
      </c>
      <c r="AO22" s="3025"/>
      <c r="AP22" s="3025"/>
      <c r="AQ22" s="3025"/>
      <c r="AR22" s="3025"/>
      <c r="AS22" s="3026"/>
      <c r="AT22" s="3027">
        <f t="shared" si="0"/>
        <v>0.11029411764705882</v>
      </c>
      <c r="AU22" s="3028"/>
      <c r="AV22" s="3028"/>
      <c r="AW22" s="3028"/>
      <c r="AX22" s="3028"/>
      <c r="AY22" s="3029"/>
      <c r="AZ22" s="1706"/>
      <c r="BA22" s="1706"/>
      <c r="BB22" s="1706"/>
      <c r="BC22" s="1706"/>
      <c r="BD22" s="1706"/>
      <c r="BE22" s="1712"/>
    </row>
    <row r="23" spans="1:58" ht="15">
      <c r="A23" s="1706"/>
      <c r="B23" s="3033">
        <v>0.6</v>
      </c>
      <c r="C23" s="3034"/>
      <c r="D23" s="3034"/>
      <c r="E23" s="3034"/>
      <c r="F23" s="3034"/>
      <c r="G23" s="3034"/>
      <c r="H23" s="3034"/>
      <c r="I23" s="3034"/>
      <c r="J23" s="3024">
        <f t="shared" si="1"/>
        <v>77</v>
      </c>
      <c r="K23" s="3025"/>
      <c r="L23" s="3025"/>
      <c r="M23" s="3025"/>
      <c r="N23" s="3025"/>
      <c r="O23" s="3026"/>
      <c r="P23" s="3024" cm="1">
        <f t="array" ref="P23">SUMPRODUCT((Application!$B$728:$B$752 = 'CalHFA Addendum'!P$18)*(Application!$AC$728:$AC$752 = 'CalHFA Addendum'!$B23),Application!$G$728:$G$752)</f>
        <v>0</v>
      </c>
      <c r="Q23" s="3025"/>
      <c r="R23" s="3025"/>
      <c r="S23" s="3025"/>
      <c r="T23" s="3025"/>
      <c r="U23" s="3026"/>
      <c r="V23" s="3024" cm="1">
        <f t="array" ref="V23">SUMPRODUCT((Application!$B$728:$B$752 = 'CalHFA Addendum'!V$18)*(Application!$AC$728:$AC$752 = 'CalHFA Addendum'!$B23),Application!$G$728:$G$752)</f>
        <v>37</v>
      </c>
      <c r="W23" s="3025"/>
      <c r="X23" s="3025"/>
      <c r="Y23" s="3025"/>
      <c r="Z23" s="3025"/>
      <c r="AA23" s="3026"/>
      <c r="AB23" s="3024" cm="1">
        <f t="array" ref="AB23">SUMPRODUCT((Application!$B$728:$B$752 = 'CalHFA Addendum'!AB$18)*(Application!$AC$728:$AC$752 = 'CalHFA Addendum'!$B23),Application!$G$728:$G$752)</f>
        <v>21</v>
      </c>
      <c r="AC23" s="3025"/>
      <c r="AD23" s="3025"/>
      <c r="AE23" s="3025"/>
      <c r="AF23" s="3025"/>
      <c r="AG23" s="3026"/>
      <c r="AH23" s="3024" cm="1">
        <f t="array" ref="AH23">SUMPRODUCT((Application!$B$728:$B$752 = 'CalHFA Addendum'!AH$18)*(Application!$AC$728:$AC$752 = 'CalHFA Addendum'!$B23),Application!$G$728:$G$752)</f>
        <v>19</v>
      </c>
      <c r="AI23" s="3025"/>
      <c r="AJ23" s="3025"/>
      <c r="AK23" s="3025"/>
      <c r="AL23" s="3025"/>
      <c r="AM23" s="3026"/>
      <c r="AN23" s="3024" cm="1">
        <f t="array" ref="AN23">SUMPRODUCT((Application!$B$728:$B$752 = 'CalHFA Addendum'!AN$18)*(Application!$AC$728:$AC$752 = 'CalHFA Addendum'!$B23),Application!$G$728:$G$752)</f>
        <v>0</v>
      </c>
      <c r="AO23" s="3025"/>
      <c r="AP23" s="3025"/>
      <c r="AQ23" s="3025"/>
      <c r="AR23" s="3025"/>
      <c r="AS23" s="3026"/>
      <c r="AT23" s="3027">
        <f t="shared" si="0"/>
        <v>0.56617647058823528</v>
      </c>
      <c r="AU23" s="3028"/>
      <c r="AV23" s="3028"/>
      <c r="AW23" s="3028"/>
      <c r="AX23" s="3028"/>
      <c r="AY23" s="3029"/>
      <c r="AZ23" s="1706"/>
      <c r="BA23" s="1706"/>
      <c r="BB23" s="1706"/>
      <c r="BC23" s="1706"/>
      <c r="BD23" s="1706"/>
      <c r="BE23" s="1712"/>
    </row>
    <row r="24" spans="1:58" ht="15">
      <c r="A24" s="1706"/>
      <c r="B24" s="3033">
        <v>0.7</v>
      </c>
      <c r="C24" s="3034"/>
      <c r="D24" s="3034"/>
      <c r="E24" s="3034"/>
      <c r="F24" s="3034"/>
      <c r="G24" s="3034"/>
      <c r="H24" s="3034"/>
      <c r="I24" s="3034"/>
      <c r="J24" s="3024">
        <f t="shared" si="1"/>
        <v>0</v>
      </c>
      <c r="K24" s="3025"/>
      <c r="L24" s="3025"/>
      <c r="M24" s="3025"/>
      <c r="N24" s="3025"/>
      <c r="O24" s="3026"/>
      <c r="P24" s="3024" cm="1">
        <f t="array" ref="P24">SUMPRODUCT((Application!$B$728:$B$752 = 'CalHFA Addendum'!P$18)*(Application!$AC$728:$AC$752 = 'CalHFA Addendum'!$B24),Application!$G$728:$G$752)</f>
        <v>0</v>
      </c>
      <c r="Q24" s="3025"/>
      <c r="R24" s="3025"/>
      <c r="S24" s="3025"/>
      <c r="T24" s="3025"/>
      <c r="U24" s="3026"/>
      <c r="V24" s="3024" cm="1">
        <f t="array" ref="V24">SUMPRODUCT((Application!$B$728:$B$752 = 'CalHFA Addendum'!V$18)*(Application!$AC$728:$AC$752 = 'CalHFA Addendum'!$B24),Application!$G$728:$G$752)</f>
        <v>0</v>
      </c>
      <c r="W24" s="3025"/>
      <c r="X24" s="3025"/>
      <c r="Y24" s="3025"/>
      <c r="Z24" s="3025"/>
      <c r="AA24" s="3026"/>
      <c r="AB24" s="3024" cm="1">
        <f t="array" ref="AB24">SUMPRODUCT((Application!$B$728:$B$752 = 'CalHFA Addendum'!AB$18)*(Application!$AC$728:$AC$752 = 'CalHFA Addendum'!$B24),Application!$G$728:$G$752)</f>
        <v>0</v>
      </c>
      <c r="AC24" s="3025"/>
      <c r="AD24" s="3025"/>
      <c r="AE24" s="3025"/>
      <c r="AF24" s="3025"/>
      <c r="AG24" s="3026"/>
      <c r="AH24" s="3024" cm="1">
        <f t="array" ref="AH24">SUMPRODUCT((Application!$B$728:$B$752 = 'CalHFA Addendum'!AH$18)*(Application!$AC$728:$AC$752 = 'CalHFA Addendum'!$B24),Application!$G$728:$G$752)</f>
        <v>0</v>
      </c>
      <c r="AI24" s="3025"/>
      <c r="AJ24" s="3025"/>
      <c r="AK24" s="3025"/>
      <c r="AL24" s="3025"/>
      <c r="AM24" s="3026"/>
      <c r="AN24" s="3024" cm="1">
        <f t="array" ref="AN24">SUMPRODUCT((Application!$B$728:$B$752 = 'CalHFA Addendum'!AN$18)*(Application!$AC$728:$AC$752 = 'CalHFA Addendum'!$B24),Application!$G$728:$G$752)</f>
        <v>0</v>
      </c>
      <c r="AO24" s="3025"/>
      <c r="AP24" s="3025"/>
      <c r="AQ24" s="3025"/>
      <c r="AR24" s="3025"/>
      <c r="AS24" s="3026"/>
      <c r="AT24" s="3027">
        <f t="shared" si="0"/>
        <v>0</v>
      </c>
      <c r="AU24" s="3028"/>
      <c r="AV24" s="3028"/>
      <c r="AW24" s="3028"/>
      <c r="AX24" s="3028"/>
      <c r="AY24" s="3029"/>
      <c r="AZ24" s="1706"/>
      <c r="BA24" s="1706"/>
      <c r="BB24" s="1706"/>
      <c r="BC24" s="1706"/>
      <c r="BD24" s="1706"/>
      <c r="BE24" s="1712"/>
    </row>
    <row r="25" spans="1:58" ht="15">
      <c r="A25" s="1706"/>
      <c r="B25" s="3033">
        <v>0.8</v>
      </c>
      <c r="C25" s="3034"/>
      <c r="D25" s="3034"/>
      <c r="E25" s="3034"/>
      <c r="F25" s="3034"/>
      <c r="G25" s="3034"/>
      <c r="H25" s="3034"/>
      <c r="I25" s="3034"/>
      <c r="J25" s="3024">
        <f t="shared" si="1"/>
        <v>28</v>
      </c>
      <c r="K25" s="3025"/>
      <c r="L25" s="3025"/>
      <c r="M25" s="3025"/>
      <c r="N25" s="3025"/>
      <c r="O25" s="3026"/>
      <c r="P25" s="3024" cm="1">
        <f t="array" ref="P25">SUMPRODUCT((Application!$B$728:$B$752 = 'CalHFA Addendum'!P$18)*(Application!$AC$728:$AC$752 = 'CalHFA Addendum'!$B25),Application!$G$728:$G$752)</f>
        <v>0</v>
      </c>
      <c r="Q25" s="3025"/>
      <c r="R25" s="3025"/>
      <c r="S25" s="3025"/>
      <c r="T25" s="3025"/>
      <c r="U25" s="3026"/>
      <c r="V25" s="3024" cm="1">
        <f t="array" ref="V25">SUMPRODUCT((Application!$B$728:$B$752 = 'CalHFA Addendum'!V$18)*(Application!$AC$728:$AC$752 = 'CalHFA Addendum'!$B25),Application!$G$728:$G$752)</f>
        <v>12</v>
      </c>
      <c r="W25" s="3025"/>
      <c r="X25" s="3025"/>
      <c r="Y25" s="3025"/>
      <c r="Z25" s="3025"/>
      <c r="AA25" s="3026"/>
      <c r="AB25" s="3024" cm="1">
        <f t="array" ref="AB25">SUMPRODUCT((Application!$B$728:$B$752 = 'CalHFA Addendum'!AB$18)*(Application!$AC$728:$AC$752 = 'CalHFA Addendum'!$B25),Application!$G$728:$G$752)</f>
        <v>8</v>
      </c>
      <c r="AC25" s="3025"/>
      <c r="AD25" s="3025"/>
      <c r="AE25" s="3025"/>
      <c r="AF25" s="3025"/>
      <c r="AG25" s="3026"/>
      <c r="AH25" s="3024" cm="1">
        <f t="array" ref="AH25">SUMPRODUCT((Application!$B$728:$B$752 = 'CalHFA Addendum'!AH$18)*(Application!$AC$728:$AC$752 = 'CalHFA Addendum'!$B25),Application!$G$728:$G$752)</f>
        <v>8</v>
      </c>
      <c r="AI25" s="3025"/>
      <c r="AJ25" s="3025"/>
      <c r="AK25" s="3025"/>
      <c r="AL25" s="3025"/>
      <c r="AM25" s="3026"/>
      <c r="AN25" s="3024" cm="1">
        <f t="array" ref="AN25">SUMPRODUCT((Application!$B$728:$B$752 = 'CalHFA Addendum'!AN$18)*(Application!$AC$728:$AC$752 = 'CalHFA Addendum'!$B25),Application!$G$728:$G$752)</f>
        <v>0</v>
      </c>
      <c r="AO25" s="3025"/>
      <c r="AP25" s="3025"/>
      <c r="AQ25" s="3025"/>
      <c r="AR25" s="3025"/>
      <c r="AS25" s="3026"/>
      <c r="AT25" s="3027">
        <f t="shared" si="0"/>
        <v>0.20588235294117646</v>
      </c>
      <c r="AU25" s="3028"/>
      <c r="AV25" s="3028"/>
      <c r="AW25" s="3028"/>
      <c r="AX25" s="3028"/>
      <c r="AY25" s="3029"/>
      <c r="AZ25" s="1706"/>
      <c r="BA25" s="1706"/>
      <c r="BB25" s="1706"/>
      <c r="BC25" s="1706"/>
      <c r="BD25" s="1706"/>
      <c r="BE25" s="1712"/>
    </row>
    <row r="26" spans="1:58" ht="15">
      <c r="A26" s="1706"/>
      <c r="B26" s="3033">
        <v>0.9</v>
      </c>
      <c r="C26" s="3034"/>
      <c r="D26" s="3034"/>
      <c r="E26" s="3034"/>
      <c r="F26" s="3034"/>
      <c r="G26" s="3034"/>
      <c r="H26" s="3034"/>
      <c r="I26" s="3034"/>
      <c r="J26" s="3024">
        <f t="shared" si="1"/>
        <v>0</v>
      </c>
      <c r="K26" s="3025"/>
      <c r="L26" s="3025"/>
      <c r="M26" s="3025"/>
      <c r="N26" s="3025"/>
      <c r="O26" s="3026"/>
      <c r="P26" s="3024" cm="1">
        <f t="array" ref="P26">SUMPRODUCT((Application!$B$728:$B$752 = 'CalHFA Addendum'!P$18)*(Application!$AC$728:$AC$752 = 'CalHFA Addendum'!$B26),Application!$G$728:$G$752)</f>
        <v>0</v>
      </c>
      <c r="Q26" s="3025"/>
      <c r="R26" s="3025"/>
      <c r="S26" s="3025"/>
      <c r="T26" s="3025"/>
      <c r="U26" s="3026"/>
      <c r="V26" s="3024" cm="1">
        <f t="array" ref="V26">SUMPRODUCT((Application!$B$728:$B$752 = 'CalHFA Addendum'!V$18)*(Application!$AC$728:$AC$752 = 'CalHFA Addendum'!$B26),Application!$G$728:$G$752)</f>
        <v>0</v>
      </c>
      <c r="W26" s="3025"/>
      <c r="X26" s="3025"/>
      <c r="Y26" s="3025"/>
      <c r="Z26" s="3025"/>
      <c r="AA26" s="3026"/>
      <c r="AB26" s="3024" cm="1">
        <f t="array" ref="AB26">SUMPRODUCT((Application!$B$728:$B$752 = 'CalHFA Addendum'!AB$18)*(Application!$AC$728:$AC$752 = 'CalHFA Addendum'!$B26),Application!$G$728:$G$752)</f>
        <v>0</v>
      </c>
      <c r="AC26" s="3025"/>
      <c r="AD26" s="3025"/>
      <c r="AE26" s="3025"/>
      <c r="AF26" s="3025"/>
      <c r="AG26" s="3026"/>
      <c r="AH26" s="3024" cm="1">
        <f t="array" ref="AH26">SUMPRODUCT((Application!$B$728:$B$752 = 'CalHFA Addendum'!AH$18)*(Application!$AC$728:$AC$752 = 'CalHFA Addendum'!$B26),Application!$G$728:$G$752)</f>
        <v>0</v>
      </c>
      <c r="AI26" s="3025"/>
      <c r="AJ26" s="3025"/>
      <c r="AK26" s="3025"/>
      <c r="AL26" s="3025"/>
      <c r="AM26" s="3026"/>
      <c r="AN26" s="3024" cm="1">
        <f t="array" ref="AN26">SUMPRODUCT((Application!$B$728:$B$752 = 'CalHFA Addendum'!AN$18)*(Application!$AC$728:$AC$752 = 'CalHFA Addendum'!$B26),Application!$G$728:$G$752)</f>
        <v>0</v>
      </c>
      <c r="AO26" s="3025"/>
      <c r="AP26" s="3025"/>
      <c r="AQ26" s="3025"/>
      <c r="AR26" s="3025"/>
      <c r="AS26" s="3026"/>
      <c r="AT26" s="3027">
        <f t="shared" si="0"/>
        <v>0</v>
      </c>
      <c r="AU26" s="3028"/>
      <c r="AV26" s="3028"/>
      <c r="AW26" s="3028"/>
      <c r="AX26" s="3028"/>
      <c r="AY26" s="3029"/>
      <c r="AZ26" s="1706"/>
      <c r="BA26" s="1706"/>
      <c r="BB26" s="1706"/>
      <c r="BC26" s="1706"/>
      <c r="BD26" s="1706"/>
      <c r="BE26" s="1712"/>
    </row>
    <row r="27" spans="1:58" ht="15">
      <c r="A27" s="1706"/>
      <c r="B27" s="3033">
        <v>1</v>
      </c>
      <c r="C27" s="3034"/>
      <c r="D27" s="3034"/>
      <c r="E27" s="3034"/>
      <c r="F27" s="3034"/>
      <c r="G27" s="3034"/>
      <c r="H27" s="3034"/>
      <c r="I27" s="3034"/>
      <c r="J27" s="3024">
        <f t="shared" si="1"/>
        <v>0</v>
      </c>
      <c r="K27" s="3025"/>
      <c r="L27" s="3025"/>
      <c r="M27" s="3025"/>
      <c r="N27" s="3025"/>
      <c r="O27" s="3026"/>
      <c r="P27" s="3024" cm="1">
        <f t="array" ref="P27">SUMPRODUCT((Application!$B$728:$B$752 = 'CalHFA Addendum'!P$18)*(Application!$AC$728:$AC$752 = 'CalHFA Addendum'!$B27),Application!$G$728:$G$752)</f>
        <v>0</v>
      </c>
      <c r="Q27" s="3025"/>
      <c r="R27" s="3025"/>
      <c r="S27" s="3025"/>
      <c r="T27" s="3025"/>
      <c r="U27" s="3026"/>
      <c r="V27" s="3024" cm="1">
        <f t="array" ref="V27">SUMPRODUCT((Application!$B$728:$B$752 = 'CalHFA Addendum'!V$18)*(Application!$AC$728:$AC$752 = 'CalHFA Addendum'!$B27),Application!$G$728:$G$752)</f>
        <v>0</v>
      </c>
      <c r="W27" s="3025"/>
      <c r="X27" s="3025"/>
      <c r="Y27" s="3025"/>
      <c r="Z27" s="3025"/>
      <c r="AA27" s="3026"/>
      <c r="AB27" s="3024" cm="1">
        <f t="array" ref="AB27">SUMPRODUCT((Application!$B$728:$B$752 = 'CalHFA Addendum'!AB$18)*(Application!$AC$728:$AC$752 = 'CalHFA Addendum'!$B27),Application!$G$728:$G$752)</f>
        <v>0</v>
      </c>
      <c r="AC27" s="3025"/>
      <c r="AD27" s="3025"/>
      <c r="AE27" s="3025"/>
      <c r="AF27" s="3025"/>
      <c r="AG27" s="3026"/>
      <c r="AH27" s="3024" cm="1">
        <f t="array" ref="AH27">SUMPRODUCT((Application!$B$728:$B$752 = 'CalHFA Addendum'!AH$18)*(Application!$AC$728:$AC$752 = 'CalHFA Addendum'!$B27),Application!$G$728:$G$752)</f>
        <v>0</v>
      </c>
      <c r="AI27" s="3025"/>
      <c r="AJ27" s="3025"/>
      <c r="AK27" s="3025"/>
      <c r="AL27" s="3025"/>
      <c r="AM27" s="3026"/>
      <c r="AN27" s="3024" cm="1">
        <f t="array" ref="AN27">SUMPRODUCT((Application!$B$728:$B$752 = 'CalHFA Addendum'!AN$18)*(Application!$AC$728:$AC$752 = 'CalHFA Addendum'!$B27),Application!$G$728:$G$752)</f>
        <v>0</v>
      </c>
      <c r="AO27" s="3025"/>
      <c r="AP27" s="3025"/>
      <c r="AQ27" s="3025"/>
      <c r="AR27" s="3025"/>
      <c r="AS27" s="3026"/>
      <c r="AT27" s="3027">
        <f t="shared" si="0"/>
        <v>0</v>
      </c>
      <c r="AU27" s="3028"/>
      <c r="AV27" s="3028"/>
      <c r="AW27" s="3028"/>
      <c r="AX27" s="3028"/>
      <c r="AY27" s="3029"/>
      <c r="AZ27" s="1706"/>
      <c r="BA27" s="1706"/>
      <c r="BB27" s="1706"/>
      <c r="BC27" s="1706"/>
      <c r="BD27" s="1706"/>
      <c r="BE27" s="1712"/>
    </row>
    <row r="28" spans="1:58" thickBot="1">
      <c r="A28" s="1706"/>
      <c r="B28" s="3030" t="s">
        <v>1901</v>
      </c>
      <c r="C28" s="3031"/>
      <c r="D28" s="3031"/>
      <c r="E28" s="3031"/>
      <c r="F28" s="3031"/>
      <c r="G28" s="3031"/>
      <c r="H28" s="3031"/>
      <c r="I28" s="3032"/>
      <c r="J28" s="3024">
        <f t="shared" si="1"/>
        <v>1</v>
      </c>
      <c r="K28" s="3025"/>
      <c r="L28" s="3025"/>
      <c r="M28" s="3025"/>
      <c r="N28" s="3025"/>
      <c r="O28" s="3026"/>
      <c r="P28" s="3024">
        <f>_xlfn.IFNA(VLOOKUP(P$18,Application!$J$772:$S$775,6,FALSE), 0)</f>
        <v>0</v>
      </c>
      <c r="Q28" s="3025"/>
      <c r="R28" s="3025"/>
      <c r="S28" s="3025"/>
      <c r="T28" s="3025"/>
      <c r="U28" s="3026"/>
      <c r="V28" s="3024">
        <f>_xlfn.IFNA(VLOOKUP(V$18,Application!$J$772:$S$775,6,FALSE), 0)</f>
        <v>0</v>
      </c>
      <c r="W28" s="3025"/>
      <c r="X28" s="3025"/>
      <c r="Y28" s="3025"/>
      <c r="Z28" s="3025"/>
      <c r="AA28" s="3026"/>
      <c r="AB28" s="3024">
        <f>_xlfn.IFNA(VLOOKUP(AB$18,Application!$J$772:$S$775,6,FALSE), 0)</f>
        <v>1</v>
      </c>
      <c r="AC28" s="3025"/>
      <c r="AD28" s="3025"/>
      <c r="AE28" s="3025"/>
      <c r="AF28" s="3025"/>
      <c r="AG28" s="3026"/>
      <c r="AH28" s="3024">
        <f>_xlfn.IFNA(VLOOKUP(AH$18,Application!$J$772:$S$775,6,FALSE), 0)</f>
        <v>0</v>
      </c>
      <c r="AI28" s="3025"/>
      <c r="AJ28" s="3025"/>
      <c r="AK28" s="3025"/>
      <c r="AL28" s="3025"/>
      <c r="AM28" s="3026"/>
      <c r="AN28" s="3024">
        <f>_xlfn.IFNA(VLOOKUP(AN$18,Application!$J$772:$S$775,6,FALSE), 0)</f>
        <v>0</v>
      </c>
      <c r="AO28" s="3025"/>
      <c r="AP28" s="3025"/>
      <c r="AQ28" s="3025"/>
      <c r="AR28" s="3025"/>
      <c r="AS28" s="3026"/>
      <c r="AT28" s="3027">
        <f t="shared" si="0"/>
        <v>7.3529411764705881E-3</v>
      </c>
      <c r="AU28" s="3028"/>
      <c r="AV28" s="3028"/>
      <c r="AW28" s="3028"/>
      <c r="AX28" s="3028"/>
      <c r="AY28" s="3029"/>
      <c r="AZ28" s="1706"/>
      <c r="BA28" s="1706"/>
      <c r="BB28" s="1706"/>
      <c r="BC28" s="1706"/>
      <c r="BD28" s="1706"/>
      <c r="BE28" s="1712"/>
    </row>
    <row r="29" spans="1:58" thickBot="1">
      <c r="A29" s="1706"/>
      <c r="B29" s="3023" t="s">
        <v>1791</v>
      </c>
      <c r="C29" s="2999"/>
      <c r="D29" s="2999"/>
      <c r="E29" s="2999"/>
      <c r="F29" s="2999"/>
      <c r="G29" s="2999"/>
      <c r="H29" s="2999"/>
      <c r="I29" s="3000"/>
      <c r="J29" s="2998">
        <f>SUM(J19:O28)</f>
        <v>136</v>
      </c>
      <c r="K29" s="2999"/>
      <c r="L29" s="2999"/>
      <c r="M29" s="2999"/>
      <c r="N29" s="2999"/>
      <c r="O29" s="3000"/>
      <c r="P29" s="2998">
        <f>SUM(P19:U28)</f>
        <v>0</v>
      </c>
      <c r="Q29" s="2999"/>
      <c r="R29" s="2999"/>
      <c r="S29" s="2999"/>
      <c r="T29" s="2999"/>
      <c r="U29" s="3000"/>
      <c r="V29" s="2998">
        <f>SUM(V19:AA28)</f>
        <v>63</v>
      </c>
      <c r="W29" s="2999"/>
      <c r="X29" s="2999"/>
      <c r="Y29" s="2999"/>
      <c r="Z29" s="2999"/>
      <c r="AA29" s="3000"/>
      <c r="AB29" s="2998">
        <f>SUM(AB19:AG28)</f>
        <v>38</v>
      </c>
      <c r="AC29" s="2999"/>
      <c r="AD29" s="2999"/>
      <c r="AE29" s="2999"/>
      <c r="AF29" s="2999"/>
      <c r="AG29" s="3000"/>
      <c r="AH29" s="2998">
        <f>SUM(AH19:AM28)</f>
        <v>35</v>
      </c>
      <c r="AI29" s="2999"/>
      <c r="AJ29" s="2999"/>
      <c r="AK29" s="2999"/>
      <c r="AL29" s="2999"/>
      <c r="AM29" s="3000"/>
      <c r="AN29" s="2998">
        <f>SUM(AN19:AS28)</f>
        <v>0</v>
      </c>
      <c r="AO29" s="2999"/>
      <c r="AP29" s="2999"/>
      <c r="AQ29" s="2999"/>
      <c r="AR29" s="2999"/>
      <c r="AS29" s="3000"/>
      <c r="AT29" s="3001">
        <f>J29/$J$29</f>
        <v>1</v>
      </c>
      <c r="AU29" s="3002"/>
      <c r="AV29" s="3002"/>
      <c r="AW29" s="3002"/>
      <c r="AX29" s="3002"/>
      <c r="AY29" s="3003"/>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04" t="s">
        <v>1902</v>
      </c>
      <c r="C31" s="3005"/>
      <c r="D31" s="3005"/>
      <c r="E31" s="3005"/>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5"/>
      <c r="AK31" s="3005"/>
      <c r="AL31" s="3005"/>
      <c r="AM31" s="3005"/>
      <c r="AN31" s="3005"/>
      <c r="AO31" s="3005"/>
      <c r="AP31" s="3005"/>
      <c r="AQ31" s="3005"/>
      <c r="AR31" s="3005"/>
      <c r="AS31" s="3005"/>
      <c r="AT31" s="3005"/>
      <c r="AU31" s="3005"/>
      <c r="AV31" s="3005"/>
      <c r="AW31" s="3005"/>
      <c r="AX31" s="3005"/>
      <c r="AY31" s="3005"/>
      <c r="AZ31" s="3006"/>
      <c r="BA31" s="1706"/>
      <c r="BB31" s="1706"/>
      <c r="BC31" s="1706"/>
      <c r="BD31" s="1706"/>
      <c r="BE31" s="1712"/>
    </row>
    <row r="32" spans="1:58" thickBot="1">
      <c r="A32" s="1706"/>
      <c r="B32" s="3007" t="s">
        <v>1903</v>
      </c>
      <c r="C32" s="3008"/>
      <c r="D32" s="3008"/>
      <c r="E32" s="3008"/>
      <c r="F32" s="3008"/>
      <c r="G32" s="3008"/>
      <c r="H32" s="3008"/>
      <c r="I32" s="3009"/>
      <c r="J32" s="3011" t="s">
        <v>1904</v>
      </c>
      <c r="K32" s="3012"/>
      <c r="L32" s="3012"/>
      <c r="M32" s="3013"/>
      <c r="N32" s="3011" t="s">
        <v>1905</v>
      </c>
      <c r="O32" s="3012"/>
      <c r="P32" s="3012"/>
      <c r="Q32" s="3012"/>
      <c r="R32" s="3015" t="s">
        <v>1906</v>
      </c>
      <c r="S32" s="3016"/>
      <c r="T32" s="3016"/>
      <c r="U32" s="3016"/>
      <c r="V32" s="3016"/>
      <c r="W32" s="3016"/>
      <c r="X32" s="3016"/>
      <c r="Y32" s="3016"/>
      <c r="Z32" s="3016"/>
      <c r="AA32" s="3016"/>
      <c r="AB32" s="3016"/>
      <c r="AC32" s="3016"/>
      <c r="AD32" s="3016"/>
      <c r="AE32" s="3016"/>
      <c r="AF32" s="3016"/>
      <c r="AG32" s="3016"/>
      <c r="AH32" s="3016"/>
      <c r="AI32" s="3016"/>
      <c r="AJ32" s="3016"/>
      <c r="AK32" s="3016"/>
      <c r="AL32" s="3016"/>
      <c r="AM32" s="3016"/>
      <c r="AN32" s="3016"/>
      <c r="AO32" s="3016"/>
      <c r="AP32" s="3016"/>
      <c r="AQ32" s="3016"/>
      <c r="AR32" s="3016"/>
      <c r="AS32" s="3016"/>
      <c r="AT32" s="3016"/>
      <c r="AU32" s="3016"/>
      <c r="AV32" s="3016"/>
      <c r="AW32" s="3016"/>
      <c r="AX32" s="3016"/>
      <c r="AY32" s="3016"/>
      <c r="AZ32" s="3017"/>
      <c r="BA32" s="1706"/>
      <c r="BB32" s="1706"/>
      <c r="BC32" s="1706"/>
      <c r="BD32" s="1706"/>
      <c r="BE32" s="1712"/>
    </row>
    <row r="33" spans="1:58" ht="15" customHeight="1">
      <c r="A33" s="1706"/>
      <c r="B33" s="3010"/>
      <c r="C33" s="3008"/>
      <c r="D33" s="3008"/>
      <c r="E33" s="3008"/>
      <c r="F33" s="3008"/>
      <c r="G33" s="3008"/>
      <c r="H33" s="3008"/>
      <c r="I33" s="3009"/>
      <c r="J33" s="3014"/>
      <c r="K33" s="3012"/>
      <c r="L33" s="3012"/>
      <c r="M33" s="3013"/>
      <c r="N33" s="3014"/>
      <c r="O33" s="3012"/>
      <c r="P33" s="3012"/>
      <c r="Q33" s="3012"/>
      <c r="R33" s="2945" t="s">
        <v>1907</v>
      </c>
      <c r="S33" s="3018"/>
      <c r="T33" s="3018"/>
      <c r="U33" s="3018"/>
      <c r="V33" s="3018"/>
      <c r="W33" s="3018"/>
      <c r="X33" s="3018"/>
      <c r="Y33" s="3018"/>
      <c r="Z33" s="3018"/>
      <c r="AA33" s="3018"/>
      <c r="AB33" s="3018"/>
      <c r="AC33" s="3018"/>
      <c r="AD33" s="3018"/>
      <c r="AE33" s="3018"/>
      <c r="AF33" s="3018"/>
      <c r="AG33" s="3018"/>
      <c r="AH33" s="3018"/>
      <c r="AI33" s="3018"/>
      <c r="AJ33" s="3018"/>
      <c r="AK33" s="3018"/>
      <c r="AL33" s="3018"/>
      <c r="AM33" s="3018"/>
      <c r="AN33" s="3018"/>
      <c r="AO33" s="3018"/>
      <c r="AP33" s="3018"/>
      <c r="AQ33" s="3018"/>
      <c r="AR33" s="3018"/>
      <c r="AS33" s="3018"/>
      <c r="AT33" s="3018"/>
      <c r="AU33" s="3018"/>
      <c r="AV33" s="3018"/>
      <c r="AW33" s="3018"/>
      <c r="AX33" s="3018"/>
      <c r="AY33" s="3018"/>
      <c r="AZ33" s="3019"/>
      <c r="BA33" s="1713"/>
      <c r="BB33" s="1706"/>
      <c r="BC33" s="1706"/>
      <c r="BD33" s="1706"/>
      <c r="BE33" s="1712"/>
    </row>
    <row r="34" spans="1:58" ht="15.75" customHeight="1" thickBot="1">
      <c r="A34" s="1706"/>
      <c r="B34" s="3010"/>
      <c r="C34" s="3008"/>
      <c r="D34" s="3008"/>
      <c r="E34" s="3008"/>
      <c r="F34" s="3008"/>
      <c r="G34" s="3008"/>
      <c r="H34" s="3008"/>
      <c r="I34" s="3009"/>
      <c r="J34" s="3014"/>
      <c r="K34" s="3012"/>
      <c r="L34" s="3012"/>
      <c r="M34" s="3013"/>
      <c r="N34" s="3014"/>
      <c r="O34" s="3012"/>
      <c r="P34" s="3012"/>
      <c r="Q34" s="3012"/>
      <c r="R34" s="3020"/>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2"/>
      <c r="BA34" s="1713"/>
      <c r="BB34" s="1706"/>
      <c r="BC34" s="1706"/>
      <c r="BD34" s="1706"/>
      <c r="BE34" s="1712"/>
    </row>
    <row r="35" spans="1:58" ht="15.75" customHeight="1" thickBot="1">
      <c r="A35" s="1706"/>
      <c r="B35" s="3010"/>
      <c r="C35" s="3008"/>
      <c r="D35" s="3008"/>
      <c r="E35" s="3008"/>
      <c r="F35" s="3008"/>
      <c r="G35" s="3008"/>
      <c r="H35" s="3008"/>
      <c r="I35" s="3009"/>
      <c r="J35" s="3014"/>
      <c r="K35" s="3012"/>
      <c r="L35" s="3012"/>
      <c r="M35" s="3013"/>
      <c r="N35" s="3014"/>
      <c r="O35" s="3012"/>
      <c r="P35" s="3012"/>
      <c r="Q35" s="3012"/>
      <c r="R35" s="2992">
        <v>0.3</v>
      </c>
      <c r="S35" s="2993"/>
      <c r="T35" s="2993"/>
      <c r="U35" s="2994"/>
      <c r="V35" s="2992">
        <v>0.4</v>
      </c>
      <c r="W35" s="2993"/>
      <c r="X35" s="2993"/>
      <c r="Y35" s="2994"/>
      <c r="Z35" s="2992">
        <v>0.5</v>
      </c>
      <c r="AA35" s="2993"/>
      <c r="AB35" s="2993"/>
      <c r="AC35" s="2994"/>
      <c r="AD35" s="2992">
        <v>0.6</v>
      </c>
      <c r="AE35" s="2993"/>
      <c r="AF35" s="2993"/>
      <c r="AG35" s="2994"/>
      <c r="AH35" s="2992">
        <v>0.8</v>
      </c>
      <c r="AI35" s="2993"/>
      <c r="AJ35" s="2993"/>
      <c r="AK35" s="2994"/>
      <c r="AL35" s="2992" t="s">
        <v>2300</v>
      </c>
      <c r="AM35" s="2993"/>
      <c r="AN35" s="2994"/>
      <c r="AO35" s="2995" t="s">
        <v>1908</v>
      </c>
      <c r="AP35" s="2996"/>
      <c r="AQ35" s="2996"/>
      <c r="AR35" s="2996"/>
      <c r="AS35" s="2996"/>
      <c r="AT35" s="2997"/>
      <c r="AU35" s="2995" t="s">
        <v>1909</v>
      </c>
      <c r="AV35" s="2996"/>
      <c r="AW35" s="2996"/>
      <c r="AX35" s="2996"/>
      <c r="AY35" s="2996"/>
      <c r="AZ35" s="2997"/>
      <c r="BA35" s="1713"/>
      <c r="BB35" s="1706"/>
      <c r="BC35" s="1706"/>
      <c r="BD35" s="1706"/>
      <c r="BE35" s="1712"/>
      <c r="BF35" s="1704"/>
    </row>
    <row r="36" spans="1:58" ht="15.75" customHeight="1">
      <c r="A36" s="1706"/>
      <c r="B36" s="2983" t="s">
        <v>1910</v>
      </c>
      <c r="C36" s="2984"/>
      <c r="D36" s="2984"/>
      <c r="E36" s="2984"/>
      <c r="F36" s="2984"/>
      <c r="G36" s="2984"/>
      <c r="H36" s="2984"/>
      <c r="I36" s="2985"/>
      <c r="J36" s="2986" t="s">
        <v>1911</v>
      </c>
      <c r="K36" s="2987"/>
      <c r="L36" s="2987"/>
      <c r="M36" s="2988"/>
      <c r="N36" s="2989">
        <v>55</v>
      </c>
      <c r="O36" s="2990"/>
      <c r="P36" s="2990"/>
      <c r="Q36" s="2991"/>
      <c r="R36" s="2954">
        <v>15</v>
      </c>
      <c r="S36" s="2954"/>
      <c r="T36" s="2954"/>
      <c r="U36" s="2954"/>
      <c r="V36" s="2954">
        <v>0</v>
      </c>
      <c r="W36" s="2954"/>
      <c r="X36" s="2954"/>
      <c r="Y36" s="2954"/>
      <c r="Z36" s="2954">
        <v>15</v>
      </c>
      <c r="AA36" s="2954"/>
      <c r="AB36" s="2954"/>
      <c r="AC36" s="2954"/>
      <c r="AD36" s="2954">
        <v>77</v>
      </c>
      <c r="AE36" s="2954"/>
      <c r="AF36" s="2954"/>
      <c r="AG36" s="2954"/>
      <c r="AH36" s="2955">
        <v>28</v>
      </c>
      <c r="AI36" s="2955"/>
      <c r="AJ36" s="2955"/>
      <c r="AK36" s="2955"/>
      <c r="AL36" s="2955"/>
      <c r="AM36" s="2955"/>
      <c r="AN36" s="2955"/>
      <c r="AO36" s="2952">
        <f>SUM(R36:AN36)</f>
        <v>135</v>
      </c>
      <c r="AP36" s="2952"/>
      <c r="AQ36" s="2952"/>
      <c r="AR36" s="2952"/>
      <c r="AS36" s="2952"/>
      <c r="AT36" s="2952"/>
      <c r="AU36" s="2953">
        <f>AO36/$J$29</f>
        <v>0.99264705882352944</v>
      </c>
      <c r="AV36" s="2953"/>
      <c r="AW36" s="2953"/>
      <c r="AX36" s="2953"/>
      <c r="AY36" s="2953"/>
      <c r="AZ36" s="2953"/>
      <c r="BA36" s="1706"/>
      <c r="BB36" s="1706"/>
      <c r="BC36" s="1706"/>
      <c r="BD36" s="1706"/>
      <c r="BE36" s="1712"/>
      <c r="BF36" s="1704"/>
    </row>
    <row r="37" spans="1:58" ht="15.75" customHeight="1">
      <c r="A37" s="1706"/>
      <c r="B37" s="2978" t="s">
        <v>1912</v>
      </c>
      <c r="C37" s="2979"/>
      <c r="D37" s="2979"/>
      <c r="E37" s="2979"/>
      <c r="F37" s="2979"/>
      <c r="G37" s="2979"/>
      <c r="H37" s="2979"/>
      <c r="I37" s="2980"/>
      <c r="J37" s="2981"/>
      <c r="K37" s="2968"/>
      <c r="L37" s="2968"/>
      <c r="M37" s="2982"/>
      <c r="N37" s="2967"/>
      <c r="O37" s="2968"/>
      <c r="P37" s="2968"/>
      <c r="Q37" s="2969"/>
      <c r="R37" s="2951"/>
      <c r="S37" s="2951"/>
      <c r="T37" s="2951"/>
      <c r="U37" s="2951"/>
      <c r="V37" s="2951"/>
      <c r="W37" s="2951"/>
      <c r="X37" s="2951"/>
      <c r="Y37" s="2951"/>
      <c r="Z37" s="2951"/>
      <c r="AA37" s="2951"/>
      <c r="AB37" s="2951"/>
      <c r="AC37" s="2951"/>
      <c r="AD37" s="2951"/>
      <c r="AE37" s="2951"/>
      <c r="AF37" s="2951"/>
      <c r="AG37" s="2951"/>
      <c r="AH37" s="2951"/>
      <c r="AI37" s="2951"/>
      <c r="AJ37" s="2951"/>
      <c r="AK37" s="2951"/>
      <c r="AL37" s="2951"/>
      <c r="AM37" s="2951"/>
      <c r="AN37" s="2951"/>
      <c r="AO37" s="2952">
        <f t="shared" ref="AO37:AO47" si="2">SUM(R37:AN37)</f>
        <v>0</v>
      </c>
      <c r="AP37" s="2952"/>
      <c r="AQ37" s="2952"/>
      <c r="AR37" s="2952"/>
      <c r="AS37" s="2952"/>
      <c r="AT37" s="2952"/>
      <c r="AU37" s="2953">
        <f t="shared" ref="AU37:AU47" si="3">AO37/$J$29</f>
        <v>0</v>
      </c>
      <c r="AV37" s="2953"/>
      <c r="AW37" s="2953"/>
      <c r="AX37" s="2953"/>
      <c r="AY37" s="2953"/>
      <c r="AZ37" s="2953"/>
      <c r="BA37" s="1706"/>
      <c r="BB37" s="1706"/>
      <c r="BC37" s="1706"/>
      <c r="BD37" s="1706"/>
      <c r="BE37" s="1712"/>
      <c r="BF37" s="1704"/>
    </row>
    <row r="38" spans="1:58" ht="15.75" customHeight="1">
      <c r="A38" s="1706"/>
      <c r="B38" s="2978" t="s">
        <v>2595</v>
      </c>
      <c r="C38" s="2979"/>
      <c r="D38" s="2979"/>
      <c r="E38" s="2979"/>
      <c r="F38" s="2979"/>
      <c r="G38" s="2979"/>
      <c r="H38" s="2979"/>
      <c r="I38" s="2980"/>
      <c r="J38" s="2981" t="s">
        <v>1913</v>
      </c>
      <c r="K38" s="2968"/>
      <c r="L38" s="2968"/>
      <c r="M38" s="2982"/>
      <c r="N38" s="2967">
        <v>55</v>
      </c>
      <c r="O38" s="2968"/>
      <c r="P38" s="2968"/>
      <c r="Q38" s="2969"/>
      <c r="R38" s="2954">
        <v>15</v>
      </c>
      <c r="S38" s="2954"/>
      <c r="T38" s="2954"/>
      <c r="U38" s="2954"/>
      <c r="V38" s="2954">
        <v>0</v>
      </c>
      <c r="W38" s="2954"/>
      <c r="X38" s="2954"/>
      <c r="Y38" s="2954"/>
      <c r="Z38" s="2954">
        <v>15</v>
      </c>
      <c r="AA38" s="2954"/>
      <c r="AB38" s="2954"/>
      <c r="AC38" s="2954"/>
      <c r="AD38" s="2954">
        <v>77</v>
      </c>
      <c r="AE38" s="2954"/>
      <c r="AF38" s="2954"/>
      <c r="AG38" s="2954"/>
      <c r="AH38" s="2955">
        <v>28</v>
      </c>
      <c r="AI38" s="2955"/>
      <c r="AJ38" s="2955"/>
      <c r="AK38" s="2955"/>
      <c r="AL38" s="2951"/>
      <c r="AM38" s="2951"/>
      <c r="AN38" s="2951"/>
      <c r="AO38" s="2952">
        <f t="shared" si="2"/>
        <v>135</v>
      </c>
      <c r="AP38" s="2952"/>
      <c r="AQ38" s="2952"/>
      <c r="AR38" s="2952"/>
      <c r="AS38" s="2952"/>
      <c r="AT38" s="2952"/>
      <c r="AU38" s="2953">
        <f t="shared" si="3"/>
        <v>0.99264705882352944</v>
      </c>
      <c r="AV38" s="2953"/>
      <c r="AW38" s="2953"/>
      <c r="AX38" s="2953"/>
      <c r="AY38" s="2953"/>
      <c r="AZ38" s="2953"/>
      <c r="BA38" s="1706"/>
      <c r="BB38" s="1706"/>
      <c r="BC38" s="1706"/>
      <c r="BD38" s="1706"/>
      <c r="BE38" s="1712"/>
      <c r="BF38" s="1704"/>
    </row>
    <row r="39" spans="1:58" ht="15.75" customHeight="1">
      <c r="A39" s="1706"/>
      <c r="B39" s="2978" t="s">
        <v>1915</v>
      </c>
      <c r="C39" s="2979"/>
      <c r="D39" s="2979"/>
      <c r="E39" s="2979"/>
      <c r="F39" s="2979"/>
      <c r="G39" s="2979"/>
      <c r="H39" s="2979"/>
      <c r="I39" s="2980"/>
      <c r="J39" s="2965"/>
      <c r="K39" s="2722"/>
      <c r="L39" s="2722"/>
      <c r="M39" s="2966"/>
      <c r="N39" s="2893"/>
      <c r="O39" s="2722"/>
      <c r="P39" s="2722"/>
      <c r="Q39" s="2971"/>
      <c r="R39" s="2951"/>
      <c r="S39" s="2951"/>
      <c r="T39" s="2951"/>
      <c r="U39" s="2951"/>
      <c r="V39" s="2951"/>
      <c r="W39" s="2951"/>
      <c r="X39" s="2951"/>
      <c r="Y39" s="2951"/>
      <c r="Z39" s="2951"/>
      <c r="AA39" s="2951"/>
      <c r="AB39" s="2951"/>
      <c r="AC39" s="2951"/>
      <c r="AD39" s="2951"/>
      <c r="AE39" s="2951"/>
      <c r="AF39" s="2951"/>
      <c r="AG39" s="2951"/>
      <c r="AH39" s="2951"/>
      <c r="AI39" s="2951"/>
      <c r="AJ39" s="2951"/>
      <c r="AK39" s="2951"/>
      <c r="AL39" s="2951"/>
      <c r="AM39" s="2951"/>
      <c r="AN39" s="2951"/>
      <c r="AO39" s="2952">
        <f t="shared" si="2"/>
        <v>0</v>
      </c>
      <c r="AP39" s="2952"/>
      <c r="AQ39" s="2952"/>
      <c r="AR39" s="2952"/>
      <c r="AS39" s="2952"/>
      <c r="AT39" s="2952"/>
      <c r="AU39" s="2953">
        <f t="shared" si="3"/>
        <v>0</v>
      </c>
      <c r="AV39" s="2953"/>
      <c r="AW39" s="2953"/>
      <c r="AX39" s="2953"/>
      <c r="AY39" s="2953"/>
      <c r="AZ39" s="2953"/>
      <c r="BA39" s="1706"/>
      <c r="BB39" s="1706"/>
      <c r="BC39" s="1706"/>
      <c r="BD39" s="1706"/>
      <c r="BE39" s="1712"/>
    </row>
    <row r="40" spans="1:58" ht="15.75" customHeight="1">
      <c r="A40" s="1706"/>
      <c r="B40" s="2978" t="s">
        <v>1915</v>
      </c>
      <c r="C40" s="2979"/>
      <c r="D40" s="2979"/>
      <c r="E40" s="2979"/>
      <c r="F40" s="2979"/>
      <c r="G40" s="2979"/>
      <c r="H40" s="2979"/>
      <c r="I40" s="2980"/>
      <c r="J40" s="2970"/>
      <c r="K40" s="2722"/>
      <c r="L40" s="2722"/>
      <c r="M40" s="2966"/>
      <c r="N40" s="2893"/>
      <c r="O40" s="2722"/>
      <c r="P40" s="2722"/>
      <c r="Q40" s="2971"/>
      <c r="R40" s="2951"/>
      <c r="S40" s="2951"/>
      <c r="T40" s="2951"/>
      <c r="U40" s="2951"/>
      <c r="V40" s="2951"/>
      <c r="W40" s="2951"/>
      <c r="X40" s="2951"/>
      <c r="Y40" s="2951"/>
      <c r="Z40" s="2951"/>
      <c r="AA40" s="2951"/>
      <c r="AB40" s="2951"/>
      <c r="AC40" s="2951"/>
      <c r="AD40" s="2951"/>
      <c r="AE40" s="2951"/>
      <c r="AF40" s="2951"/>
      <c r="AG40" s="2951"/>
      <c r="AH40" s="2951"/>
      <c r="AI40" s="2951"/>
      <c r="AJ40" s="2951"/>
      <c r="AK40" s="2951"/>
      <c r="AL40" s="2951"/>
      <c r="AM40" s="2951"/>
      <c r="AN40" s="2951"/>
      <c r="AO40" s="2952">
        <f t="shared" si="2"/>
        <v>0</v>
      </c>
      <c r="AP40" s="2952"/>
      <c r="AQ40" s="2952"/>
      <c r="AR40" s="2952"/>
      <c r="AS40" s="2952"/>
      <c r="AT40" s="2952"/>
      <c r="AU40" s="2953">
        <f t="shared" si="3"/>
        <v>0</v>
      </c>
      <c r="AV40" s="2953"/>
      <c r="AW40" s="2953"/>
      <c r="AX40" s="2953"/>
      <c r="AY40" s="2953"/>
      <c r="AZ40" s="2953"/>
      <c r="BA40" s="1706"/>
      <c r="BB40" s="1706"/>
      <c r="BC40" s="1706"/>
      <c r="BD40" s="1706"/>
      <c r="BE40" s="1712"/>
    </row>
    <row r="41" spans="1:58" ht="15.75" customHeight="1">
      <c r="A41" s="1706"/>
      <c r="B41" s="2975" t="s">
        <v>2730</v>
      </c>
      <c r="C41" s="2976"/>
      <c r="D41" s="2976"/>
      <c r="E41" s="2976"/>
      <c r="F41" s="2976"/>
      <c r="G41" s="2976"/>
      <c r="H41" s="2976"/>
      <c r="I41" s="2977"/>
      <c r="J41" s="2965" t="s">
        <v>1914</v>
      </c>
      <c r="K41" s="2722"/>
      <c r="L41" s="2722"/>
      <c r="M41" s="2966"/>
      <c r="N41" s="2893">
        <v>55</v>
      </c>
      <c r="O41" s="2722"/>
      <c r="P41" s="2722"/>
      <c r="Q41" s="2971"/>
      <c r="R41" s="2954">
        <v>15</v>
      </c>
      <c r="S41" s="2954"/>
      <c r="T41" s="2954"/>
      <c r="U41" s="2954"/>
      <c r="V41" s="2954">
        <v>0</v>
      </c>
      <c r="W41" s="2954"/>
      <c r="X41" s="2954"/>
      <c r="Y41" s="2954"/>
      <c r="Z41" s="2954">
        <v>15</v>
      </c>
      <c r="AA41" s="2954"/>
      <c r="AB41" s="2954"/>
      <c r="AC41" s="2954"/>
      <c r="AD41" s="2954">
        <v>77</v>
      </c>
      <c r="AE41" s="2954"/>
      <c r="AF41" s="2954"/>
      <c r="AG41" s="2954"/>
      <c r="AH41" s="2955">
        <v>28</v>
      </c>
      <c r="AI41" s="2955"/>
      <c r="AJ41" s="2955"/>
      <c r="AK41" s="2955"/>
      <c r="AL41" s="2951"/>
      <c r="AM41" s="2951"/>
      <c r="AN41" s="2951"/>
      <c r="AO41" s="2952">
        <f t="shared" si="2"/>
        <v>135</v>
      </c>
      <c r="AP41" s="2952"/>
      <c r="AQ41" s="2952"/>
      <c r="AR41" s="2952"/>
      <c r="AS41" s="2952"/>
      <c r="AT41" s="2952"/>
      <c r="AU41" s="2953">
        <f t="shared" si="3"/>
        <v>0.99264705882352944</v>
      </c>
      <c r="AV41" s="2953"/>
      <c r="AW41" s="2953"/>
      <c r="AX41" s="2953"/>
      <c r="AY41" s="2953"/>
      <c r="AZ41" s="2953"/>
      <c r="BA41" s="1706"/>
      <c r="BB41" s="1706"/>
      <c r="BC41" s="1706"/>
      <c r="BD41" s="1706"/>
      <c r="BE41" s="1712"/>
    </row>
    <row r="42" spans="1:58" ht="15.75" customHeight="1">
      <c r="A42" s="1706"/>
      <c r="B42" s="2975" t="s">
        <v>2729</v>
      </c>
      <c r="C42" s="2976"/>
      <c r="D42" s="2976"/>
      <c r="E42" s="2976"/>
      <c r="F42" s="2976"/>
      <c r="G42" s="2976"/>
      <c r="H42" s="2976"/>
      <c r="I42" s="2977"/>
      <c r="J42" s="2965" t="s">
        <v>2727</v>
      </c>
      <c r="K42" s="2722"/>
      <c r="L42" s="2722"/>
      <c r="M42" s="2966"/>
      <c r="N42" s="2893">
        <v>55</v>
      </c>
      <c r="O42" s="2722"/>
      <c r="P42" s="2722"/>
      <c r="Q42" s="2971"/>
      <c r="R42" s="2954">
        <v>15</v>
      </c>
      <c r="S42" s="2954"/>
      <c r="T42" s="2954"/>
      <c r="U42" s="2954"/>
      <c r="V42" s="2954">
        <v>0</v>
      </c>
      <c r="W42" s="2954"/>
      <c r="X42" s="2954"/>
      <c r="Y42" s="2954"/>
      <c r="Z42" s="2954">
        <v>15</v>
      </c>
      <c r="AA42" s="2954"/>
      <c r="AB42" s="2954"/>
      <c r="AC42" s="2954"/>
      <c r="AD42" s="2954">
        <v>77</v>
      </c>
      <c r="AE42" s="2954"/>
      <c r="AF42" s="2954"/>
      <c r="AG42" s="2954"/>
      <c r="AH42" s="2955">
        <v>28</v>
      </c>
      <c r="AI42" s="2955"/>
      <c r="AJ42" s="2955"/>
      <c r="AK42" s="2955"/>
      <c r="AL42" s="2951"/>
      <c r="AM42" s="2951"/>
      <c r="AN42" s="2951"/>
      <c r="AO42" s="2952">
        <f t="shared" si="2"/>
        <v>135</v>
      </c>
      <c r="AP42" s="2952"/>
      <c r="AQ42" s="2952"/>
      <c r="AR42" s="2952"/>
      <c r="AS42" s="2952"/>
      <c r="AT42" s="2952"/>
      <c r="AU42" s="2953">
        <f t="shared" si="3"/>
        <v>0.99264705882352944</v>
      </c>
      <c r="AV42" s="2953"/>
      <c r="AW42" s="2953"/>
      <c r="AX42" s="2953"/>
      <c r="AY42" s="2953"/>
      <c r="AZ42" s="2953"/>
      <c r="BA42" s="1706"/>
      <c r="BB42" s="1706"/>
      <c r="BC42" s="1706"/>
      <c r="BD42" s="1706"/>
      <c r="BE42" s="1712"/>
    </row>
    <row r="43" spans="1:58" ht="15.75" customHeight="1">
      <c r="A43" s="1706"/>
      <c r="B43" s="2972" t="s">
        <v>1916</v>
      </c>
      <c r="C43" s="2973"/>
      <c r="D43" s="2973"/>
      <c r="E43" s="2973"/>
      <c r="F43" s="2973"/>
      <c r="G43" s="2973"/>
      <c r="H43" s="2973"/>
      <c r="I43" s="2974"/>
      <c r="J43" s="2970"/>
      <c r="K43" s="2722"/>
      <c r="L43" s="2722"/>
      <c r="M43" s="2966"/>
      <c r="N43" s="2893"/>
      <c r="O43" s="2722"/>
      <c r="P43" s="2722"/>
      <c r="Q43" s="2971"/>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2">
        <f t="shared" si="2"/>
        <v>0</v>
      </c>
      <c r="AP43" s="2952"/>
      <c r="AQ43" s="2952"/>
      <c r="AR43" s="2952"/>
      <c r="AS43" s="2952"/>
      <c r="AT43" s="2952"/>
      <c r="AU43" s="2953">
        <f t="shared" si="3"/>
        <v>0</v>
      </c>
      <c r="AV43" s="2953"/>
      <c r="AW43" s="2953"/>
      <c r="AX43" s="2953"/>
      <c r="AY43" s="2953"/>
      <c r="AZ43" s="2953"/>
      <c r="BA43" s="1706"/>
      <c r="BB43" s="1706"/>
      <c r="BC43" s="1706"/>
      <c r="BD43" s="1706"/>
      <c r="BE43" s="1712"/>
    </row>
    <row r="44" spans="1:58" ht="15.75" customHeight="1">
      <c r="A44" s="1706"/>
      <c r="B44" s="2972" t="s">
        <v>1917</v>
      </c>
      <c r="C44" s="2973"/>
      <c r="D44" s="2973"/>
      <c r="E44" s="2973"/>
      <c r="F44" s="2973"/>
      <c r="G44" s="2973"/>
      <c r="H44" s="2973"/>
      <c r="I44" s="2974"/>
      <c r="J44" s="2970"/>
      <c r="K44" s="2722"/>
      <c r="L44" s="2722"/>
      <c r="M44" s="2966"/>
      <c r="N44" s="2893"/>
      <c r="O44" s="2722"/>
      <c r="P44" s="2722"/>
      <c r="Q44" s="2971"/>
      <c r="R44" s="2951"/>
      <c r="S44" s="2951"/>
      <c r="T44" s="2951"/>
      <c r="U44" s="2951"/>
      <c r="V44" s="2951"/>
      <c r="W44" s="2951"/>
      <c r="X44" s="2951"/>
      <c r="Y44" s="2951"/>
      <c r="Z44" s="2951"/>
      <c r="AA44" s="2951"/>
      <c r="AB44" s="2951"/>
      <c r="AC44" s="2951"/>
      <c r="AD44" s="2951"/>
      <c r="AE44" s="2951"/>
      <c r="AF44" s="2951"/>
      <c r="AG44" s="2951"/>
      <c r="AH44" s="2951"/>
      <c r="AI44" s="2951"/>
      <c r="AJ44" s="2951"/>
      <c r="AK44" s="2951"/>
      <c r="AL44" s="2951"/>
      <c r="AM44" s="2951"/>
      <c r="AN44" s="2951"/>
      <c r="AO44" s="2952">
        <f t="shared" si="2"/>
        <v>0</v>
      </c>
      <c r="AP44" s="2952"/>
      <c r="AQ44" s="2952"/>
      <c r="AR44" s="2952"/>
      <c r="AS44" s="2952"/>
      <c r="AT44" s="2952"/>
      <c r="AU44" s="2953">
        <f t="shared" si="3"/>
        <v>0</v>
      </c>
      <c r="AV44" s="2953"/>
      <c r="AW44" s="2953"/>
      <c r="AX44" s="2953"/>
      <c r="AY44" s="2953"/>
      <c r="AZ44" s="2953"/>
      <c r="BA44" s="1706"/>
      <c r="BB44" s="1706"/>
      <c r="BC44" s="1706"/>
      <c r="BD44" s="1706"/>
      <c r="BE44" s="1712"/>
    </row>
    <row r="45" spans="1:58" ht="15.75" customHeight="1">
      <c r="A45" s="1706"/>
      <c r="B45" s="2962" t="s">
        <v>1918</v>
      </c>
      <c r="C45" s="2963"/>
      <c r="D45" s="2963"/>
      <c r="E45" s="2963"/>
      <c r="F45" s="2963"/>
      <c r="G45" s="2963"/>
      <c r="H45" s="2963"/>
      <c r="I45" s="2964"/>
      <c r="J45" s="2970"/>
      <c r="K45" s="2722"/>
      <c r="L45" s="2722"/>
      <c r="M45" s="2966"/>
      <c r="N45" s="2893"/>
      <c r="O45" s="2722"/>
      <c r="P45" s="2722"/>
      <c r="Q45" s="2971"/>
      <c r="R45" s="2951"/>
      <c r="S45" s="2951"/>
      <c r="T45" s="2951"/>
      <c r="U45" s="2951"/>
      <c r="V45" s="2951"/>
      <c r="W45" s="2951"/>
      <c r="X45" s="2951"/>
      <c r="Y45" s="2951"/>
      <c r="Z45" s="2951"/>
      <c r="AA45" s="2951"/>
      <c r="AB45" s="2951"/>
      <c r="AC45" s="2951"/>
      <c r="AD45" s="2951"/>
      <c r="AE45" s="2951"/>
      <c r="AF45" s="2951"/>
      <c r="AG45" s="2951"/>
      <c r="AH45" s="2951"/>
      <c r="AI45" s="2951"/>
      <c r="AJ45" s="2951"/>
      <c r="AK45" s="2951"/>
      <c r="AL45" s="2951"/>
      <c r="AM45" s="2951"/>
      <c r="AN45" s="2951"/>
      <c r="AO45" s="2952">
        <f t="shared" si="2"/>
        <v>0</v>
      </c>
      <c r="AP45" s="2952"/>
      <c r="AQ45" s="2952"/>
      <c r="AR45" s="2952"/>
      <c r="AS45" s="2952"/>
      <c r="AT45" s="2952"/>
      <c r="AU45" s="2953">
        <f t="shared" si="3"/>
        <v>0</v>
      </c>
      <c r="AV45" s="2953"/>
      <c r="AW45" s="2953"/>
      <c r="AX45" s="2953"/>
      <c r="AY45" s="2953"/>
      <c r="AZ45" s="2953"/>
      <c r="BA45" s="1706"/>
      <c r="BB45" s="1706"/>
      <c r="BC45" s="1706"/>
      <c r="BD45" s="1706"/>
      <c r="BE45" s="1712"/>
    </row>
    <row r="46" spans="1:58" ht="15.75" customHeight="1">
      <c r="A46" s="1706"/>
      <c r="B46" s="2962" t="s">
        <v>1919</v>
      </c>
      <c r="C46" s="2963"/>
      <c r="D46" s="2963"/>
      <c r="E46" s="2963"/>
      <c r="F46" s="2963"/>
      <c r="G46" s="2963"/>
      <c r="H46" s="2963"/>
      <c r="I46" s="2964"/>
      <c r="J46" s="2965" t="s">
        <v>2728</v>
      </c>
      <c r="K46" s="2722"/>
      <c r="L46" s="2722"/>
      <c r="M46" s="2966"/>
      <c r="N46" s="2967"/>
      <c r="O46" s="2968"/>
      <c r="P46" s="2968"/>
      <c r="Q46" s="2969"/>
      <c r="R46" s="2954">
        <v>15</v>
      </c>
      <c r="S46" s="2954"/>
      <c r="T46" s="2954"/>
      <c r="U46" s="2954"/>
      <c r="V46" s="2954">
        <v>0</v>
      </c>
      <c r="W46" s="2954"/>
      <c r="X46" s="2954"/>
      <c r="Y46" s="2954"/>
      <c r="Z46" s="2954">
        <v>15</v>
      </c>
      <c r="AA46" s="2954"/>
      <c r="AB46" s="2954"/>
      <c r="AC46" s="2954"/>
      <c r="AD46" s="2954">
        <v>77</v>
      </c>
      <c r="AE46" s="2954"/>
      <c r="AF46" s="2954"/>
      <c r="AG46" s="2954"/>
      <c r="AH46" s="2955">
        <v>28</v>
      </c>
      <c r="AI46" s="2955"/>
      <c r="AJ46" s="2955"/>
      <c r="AK46" s="2955"/>
      <c r="AL46" s="2951"/>
      <c r="AM46" s="2951"/>
      <c r="AN46" s="2951"/>
      <c r="AO46" s="2952">
        <f t="shared" si="2"/>
        <v>135</v>
      </c>
      <c r="AP46" s="2952"/>
      <c r="AQ46" s="2952"/>
      <c r="AR46" s="2952"/>
      <c r="AS46" s="2952"/>
      <c r="AT46" s="2952"/>
      <c r="AU46" s="2953">
        <f t="shared" si="3"/>
        <v>0.99264705882352944</v>
      </c>
      <c r="AV46" s="2953"/>
      <c r="AW46" s="2953"/>
      <c r="AX46" s="2953"/>
      <c r="AY46" s="2953"/>
      <c r="AZ46" s="2953"/>
      <c r="BA46" s="1706"/>
      <c r="BB46" s="1706"/>
      <c r="BC46" s="1706"/>
      <c r="BD46" s="1706"/>
      <c r="BE46" s="1712"/>
    </row>
    <row r="47" spans="1:58" ht="15.75" customHeight="1" thickBot="1">
      <c r="A47" s="1706"/>
      <c r="B47" s="2956" t="s">
        <v>306</v>
      </c>
      <c r="C47" s="2957"/>
      <c r="D47" s="2957"/>
      <c r="E47" s="2957"/>
      <c r="F47" s="2957"/>
      <c r="G47" s="2957"/>
      <c r="H47" s="2957"/>
      <c r="I47" s="2958"/>
      <c r="J47" s="2959"/>
      <c r="K47" s="2859"/>
      <c r="L47" s="2859"/>
      <c r="M47" s="2860"/>
      <c r="N47" s="2960"/>
      <c r="O47" s="2859"/>
      <c r="P47" s="2859"/>
      <c r="Q47" s="2961"/>
      <c r="R47" s="2951"/>
      <c r="S47" s="2951"/>
      <c r="T47" s="2951"/>
      <c r="U47" s="2951"/>
      <c r="V47" s="2951"/>
      <c r="W47" s="2951"/>
      <c r="X47" s="2951"/>
      <c r="Y47" s="2951"/>
      <c r="Z47" s="2951"/>
      <c r="AA47" s="2951"/>
      <c r="AB47" s="2951"/>
      <c r="AC47" s="2951"/>
      <c r="AD47" s="2951"/>
      <c r="AE47" s="2951"/>
      <c r="AF47" s="2951"/>
      <c r="AG47" s="2951"/>
      <c r="AH47" s="2951"/>
      <c r="AI47" s="2951"/>
      <c r="AJ47" s="2951"/>
      <c r="AK47" s="2951"/>
      <c r="AL47" s="2951"/>
      <c r="AM47" s="2951"/>
      <c r="AN47" s="2951"/>
      <c r="AO47" s="2952">
        <f t="shared" si="2"/>
        <v>0</v>
      </c>
      <c r="AP47" s="2952"/>
      <c r="AQ47" s="2952"/>
      <c r="AR47" s="2952"/>
      <c r="AS47" s="2952"/>
      <c r="AT47" s="2952"/>
      <c r="AU47" s="2953">
        <f t="shared" si="3"/>
        <v>0</v>
      </c>
      <c r="AV47" s="2953"/>
      <c r="AW47" s="2953"/>
      <c r="AX47" s="2953"/>
      <c r="AY47" s="2953"/>
      <c r="AZ47" s="2953"/>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5" t="s">
        <v>1921</v>
      </c>
      <c r="C50" s="2806"/>
      <c r="D50" s="2806"/>
      <c r="E50" s="2806"/>
      <c r="F50" s="2806"/>
      <c r="G50" s="2806"/>
      <c r="H50" s="2806"/>
      <c r="I50" s="2806"/>
      <c r="J50" s="2806"/>
      <c r="K50" s="2806"/>
      <c r="L50" s="2806"/>
      <c r="M50" s="2806"/>
      <c r="N50" s="2806"/>
      <c r="O50" s="2806"/>
      <c r="P50" s="2806"/>
      <c r="Q50" s="2806"/>
      <c r="R50" s="2806"/>
      <c r="S50" s="2806"/>
      <c r="T50" s="2806"/>
      <c r="U50" s="2806"/>
      <c r="V50" s="2806"/>
      <c r="W50" s="2806"/>
      <c r="X50" s="2806"/>
      <c r="Y50" s="2806"/>
      <c r="Z50" s="2806"/>
      <c r="AA50" s="2806"/>
      <c r="AB50" s="2806"/>
      <c r="AC50" s="2806"/>
      <c r="AD50" s="2806"/>
      <c r="AE50" s="2806"/>
      <c r="AF50" s="2806"/>
      <c r="AG50" s="2806"/>
      <c r="AH50" s="2806"/>
      <c r="AI50" s="2806"/>
      <c r="AJ50" s="2806"/>
      <c r="AK50" s="2806"/>
      <c r="AL50" s="2806"/>
      <c r="AM50" s="2806"/>
      <c r="AN50" s="2806"/>
      <c r="AO50" s="2941"/>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2" t="s">
        <v>1922</v>
      </c>
      <c r="C51" s="2943"/>
      <c r="D51" s="2943"/>
      <c r="E51" s="2943"/>
      <c r="F51" s="2943"/>
      <c r="G51" s="2943"/>
      <c r="H51" s="2943"/>
      <c r="I51" s="2944"/>
      <c r="J51" s="2942" t="s">
        <v>1923</v>
      </c>
      <c r="K51" s="2943"/>
      <c r="L51" s="2943"/>
      <c r="M51" s="2943"/>
      <c r="N51" s="2943"/>
      <c r="O51" s="2943"/>
      <c r="P51" s="2943"/>
      <c r="Q51" s="2944"/>
      <c r="R51" s="2945" t="s">
        <v>1924</v>
      </c>
      <c r="S51" s="2946"/>
      <c r="T51" s="2946"/>
      <c r="U51" s="2946"/>
      <c r="V51" s="2946"/>
      <c r="W51" s="2946"/>
      <c r="X51" s="2946"/>
      <c r="Y51" s="2947"/>
      <c r="Z51" s="2948" t="s">
        <v>1925</v>
      </c>
      <c r="AA51" s="2949"/>
      <c r="AB51" s="2949"/>
      <c r="AC51" s="2949"/>
      <c r="AD51" s="2949"/>
      <c r="AE51" s="2949"/>
      <c r="AF51" s="2949"/>
      <c r="AG51" s="2950"/>
      <c r="AH51" s="2948" t="s">
        <v>1926</v>
      </c>
      <c r="AI51" s="2949"/>
      <c r="AJ51" s="2949"/>
      <c r="AK51" s="2949"/>
      <c r="AL51" s="2949"/>
      <c r="AM51" s="2949"/>
      <c r="AN51" s="2949"/>
      <c r="AO51" s="295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37" t="s">
        <v>2725</v>
      </c>
      <c r="C52" s="2938"/>
      <c r="D52" s="2938"/>
      <c r="E52" s="2938"/>
      <c r="F52" s="2938"/>
      <c r="G52" s="2938"/>
      <c r="H52" s="2938"/>
      <c r="I52" s="2938"/>
      <c r="J52" s="2938">
        <v>15</v>
      </c>
      <c r="K52" s="2938"/>
      <c r="L52" s="2938"/>
      <c r="M52" s="2938"/>
      <c r="N52" s="2938"/>
      <c r="O52" s="2938"/>
      <c r="P52" s="2938"/>
      <c r="Q52" s="2938"/>
      <c r="R52" s="2939">
        <v>35000</v>
      </c>
      <c r="S52" s="2939"/>
      <c r="T52" s="2939"/>
      <c r="U52" s="2939"/>
      <c r="V52" s="2939"/>
      <c r="W52" s="2939"/>
      <c r="X52" s="2939"/>
      <c r="Y52" s="2939"/>
      <c r="Z52" s="2940"/>
      <c r="AA52" s="2940"/>
      <c r="AB52" s="2940"/>
      <c r="AC52" s="2940"/>
      <c r="AD52" s="2940"/>
      <c r="AE52" s="2940"/>
      <c r="AF52" s="2940"/>
      <c r="AG52" s="2940"/>
      <c r="AH52" s="2935">
        <v>0</v>
      </c>
      <c r="AI52" s="2935"/>
      <c r="AJ52" s="2935"/>
      <c r="AK52" s="2935"/>
      <c r="AL52" s="2935"/>
      <c r="AM52" s="2935"/>
      <c r="AN52" s="2935"/>
      <c r="AO52" s="293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37" t="s">
        <v>2617</v>
      </c>
      <c r="C53" s="2938"/>
      <c r="D53" s="2938"/>
      <c r="E53" s="2938"/>
      <c r="F53" s="2938"/>
      <c r="G53" s="2938"/>
      <c r="H53" s="2938"/>
      <c r="I53" s="2938"/>
      <c r="J53" s="2938">
        <v>15</v>
      </c>
      <c r="K53" s="2938"/>
      <c r="L53" s="2938"/>
      <c r="M53" s="2938"/>
      <c r="N53" s="2938"/>
      <c r="O53" s="2938"/>
      <c r="P53" s="2938"/>
      <c r="Q53" s="2938"/>
      <c r="R53" s="2939">
        <v>432242</v>
      </c>
      <c r="S53" s="2939"/>
      <c r="T53" s="2939"/>
      <c r="U53" s="2939"/>
      <c r="V53" s="2939"/>
      <c r="W53" s="2939"/>
      <c r="X53" s="2939"/>
      <c r="Y53" s="2939"/>
      <c r="Z53" s="2940"/>
      <c r="AA53" s="2940"/>
      <c r="AB53" s="2940"/>
      <c r="AC53" s="2940"/>
      <c r="AD53" s="2940"/>
      <c r="AE53" s="2940"/>
      <c r="AF53" s="2940"/>
      <c r="AG53" s="2940"/>
      <c r="AH53" s="2935" t="s">
        <v>2726</v>
      </c>
      <c r="AI53" s="2935"/>
      <c r="AJ53" s="2935"/>
      <c r="AK53" s="2935"/>
      <c r="AL53" s="2935"/>
      <c r="AM53" s="2935"/>
      <c r="AN53" s="2935"/>
      <c r="AO53" s="293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3"/>
      <c r="C54" s="2914"/>
      <c r="D54" s="2914"/>
      <c r="E54" s="2914"/>
      <c r="F54" s="2914"/>
      <c r="G54" s="2914"/>
      <c r="H54" s="2914"/>
      <c r="I54" s="2914"/>
      <c r="J54" s="2914"/>
      <c r="K54" s="2914"/>
      <c r="L54" s="2914"/>
      <c r="M54" s="2914"/>
      <c r="N54" s="2914"/>
      <c r="O54" s="2914"/>
      <c r="P54" s="2914"/>
      <c r="Q54" s="2914"/>
      <c r="R54" s="2933">
        <v>0</v>
      </c>
      <c r="S54" s="2933"/>
      <c r="T54" s="2933"/>
      <c r="U54" s="2933"/>
      <c r="V54" s="2933"/>
      <c r="W54" s="2933"/>
      <c r="X54" s="2933"/>
      <c r="Y54" s="2933"/>
      <c r="Z54" s="2934"/>
      <c r="AA54" s="2934"/>
      <c r="AB54" s="2934"/>
      <c r="AC54" s="2934"/>
      <c r="AD54" s="2934"/>
      <c r="AE54" s="2934"/>
      <c r="AF54" s="2934"/>
      <c r="AG54" s="2934"/>
      <c r="AH54" s="2935">
        <v>0</v>
      </c>
      <c r="AI54" s="2935"/>
      <c r="AJ54" s="2935"/>
      <c r="AK54" s="2935"/>
      <c r="AL54" s="2935"/>
      <c r="AM54" s="2935"/>
      <c r="AN54" s="2935"/>
      <c r="AO54" s="293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3"/>
      <c r="C55" s="2914"/>
      <c r="D55" s="2914"/>
      <c r="E55" s="2914"/>
      <c r="F55" s="2914"/>
      <c r="G55" s="2914"/>
      <c r="H55" s="2914"/>
      <c r="I55" s="2914"/>
      <c r="J55" s="2914"/>
      <c r="K55" s="2914"/>
      <c r="L55" s="2914"/>
      <c r="M55" s="2914"/>
      <c r="N55" s="2914"/>
      <c r="O55" s="2914"/>
      <c r="P55" s="2914"/>
      <c r="Q55" s="2914"/>
      <c r="R55" s="2933">
        <v>0</v>
      </c>
      <c r="S55" s="2933"/>
      <c r="T55" s="2933"/>
      <c r="U55" s="2933"/>
      <c r="V55" s="2933"/>
      <c r="W55" s="2933"/>
      <c r="X55" s="2933"/>
      <c r="Y55" s="2933"/>
      <c r="Z55" s="2934"/>
      <c r="AA55" s="2934"/>
      <c r="AB55" s="2934"/>
      <c r="AC55" s="2934"/>
      <c r="AD55" s="2934"/>
      <c r="AE55" s="2934"/>
      <c r="AF55" s="2934"/>
      <c r="AG55" s="2934"/>
      <c r="AH55" s="2935">
        <v>0</v>
      </c>
      <c r="AI55" s="2935"/>
      <c r="AJ55" s="2935"/>
      <c r="AK55" s="2935"/>
      <c r="AL55" s="2935"/>
      <c r="AM55" s="2935"/>
      <c r="AN55" s="2935"/>
      <c r="AO55" s="2936"/>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17"/>
      <c r="C56" s="2918"/>
      <c r="D56" s="2918"/>
      <c r="E56" s="2918"/>
      <c r="F56" s="2918"/>
      <c r="G56" s="2918"/>
      <c r="H56" s="2918"/>
      <c r="I56" s="2918"/>
      <c r="J56" s="2918"/>
      <c r="K56" s="2918"/>
      <c r="L56" s="2918"/>
      <c r="M56" s="2918"/>
      <c r="N56" s="2918"/>
      <c r="O56" s="2918"/>
      <c r="P56" s="2918"/>
      <c r="Q56" s="2918"/>
      <c r="R56" s="2924">
        <v>0</v>
      </c>
      <c r="S56" s="2924"/>
      <c r="T56" s="2924"/>
      <c r="U56" s="2924"/>
      <c r="V56" s="2924"/>
      <c r="W56" s="2924"/>
      <c r="X56" s="2924"/>
      <c r="Y56" s="2924"/>
      <c r="Z56" s="2925"/>
      <c r="AA56" s="2925"/>
      <c r="AB56" s="2925"/>
      <c r="AC56" s="2925"/>
      <c r="AD56" s="2925"/>
      <c r="AE56" s="2925"/>
      <c r="AF56" s="2925"/>
      <c r="AG56" s="2925"/>
      <c r="AH56" s="2926"/>
      <c r="AI56" s="2926"/>
      <c r="AJ56" s="2926"/>
      <c r="AK56" s="2926"/>
      <c r="AL56" s="2926"/>
      <c r="AM56" s="2926"/>
      <c r="AN56" s="2926"/>
      <c r="AO56" s="2927"/>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28" t="s">
        <v>1791</v>
      </c>
      <c r="C57" s="2929"/>
      <c r="D57" s="2929"/>
      <c r="E57" s="2929"/>
      <c r="F57" s="2929"/>
      <c r="G57" s="2929"/>
      <c r="H57" s="2929"/>
      <c r="I57" s="2929"/>
      <c r="J57" s="2929"/>
      <c r="K57" s="2929"/>
      <c r="L57" s="2929"/>
      <c r="M57" s="2929"/>
      <c r="N57" s="2929"/>
      <c r="O57" s="2929"/>
      <c r="P57" s="2929"/>
      <c r="Q57" s="2929"/>
      <c r="R57" s="2930">
        <f>SUM(R52:Y56)</f>
        <v>467242</v>
      </c>
      <c r="S57" s="2930"/>
      <c r="T57" s="2930"/>
      <c r="U57" s="2930"/>
      <c r="V57" s="2930"/>
      <c r="W57" s="2930"/>
      <c r="X57" s="2930"/>
      <c r="Y57" s="2930"/>
      <c r="Z57" s="2931">
        <f t="shared" ref="Z57" si="4">SUM(Z52:AG56)</f>
        <v>0</v>
      </c>
      <c r="AA57" s="2931"/>
      <c r="AB57" s="2931"/>
      <c r="AC57" s="2931"/>
      <c r="AD57" s="2931"/>
      <c r="AE57" s="2931"/>
      <c r="AF57" s="2931"/>
      <c r="AG57" s="2931"/>
      <c r="AH57" s="2932">
        <f>SUM(AH52:AO56)</f>
        <v>0</v>
      </c>
      <c r="AI57" s="2932"/>
      <c r="AJ57" s="2932"/>
      <c r="AK57" s="2932"/>
      <c r="AL57" s="2932"/>
      <c r="AM57" s="2932"/>
      <c r="AN57" s="2932"/>
      <c r="AO57" s="2932"/>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1" t="s">
        <v>1922</v>
      </c>
      <c r="C59" s="2922"/>
      <c r="D59" s="2922"/>
      <c r="E59" s="2922"/>
      <c r="F59" s="2922"/>
      <c r="G59" s="2922"/>
      <c r="H59" s="2922"/>
      <c r="I59" s="2923"/>
      <c r="J59" s="2730" t="s">
        <v>1927</v>
      </c>
      <c r="K59" s="2730"/>
      <c r="L59" s="2730"/>
      <c r="M59" s="2730"/>
      <c r="N59" s="2730"/>
      <c r="O59" s="2730"/>
      <c r="P59" s="2730"/>
      <c r="Q59" s="2730"/>
      <c r="R59" s="2730"/>
      <c r="S59" s="2730"/>
      <c r="T59" s="2730"/>
      <c r="U59" s="2730"/>
      <c r="V59" s="2730"/>
      <c r="W59" s="2730"/>
      <c r="X59" s="2730"/>
      <c r="Y59" s="2730"/>
      <c r="Z59" s="2730"/>
      <c r="AA59" s="2730"/>
      <c r="AB59" s="2730"/>
      <c r="AC59" s="2730"/>
      <c r="AD59" s="2730"/>
      <c r="AE59" s="2730"/>
      <c r="AF59" s="2730"/>
      <c r="AG59" s="2730"/>
      <c r="AH59" s="2730"/>
      <c r="AI59" s="2730"/>
      <c r="AJ59" s="2730"/>
      <c r="AK59" s="2730"/>
      <c r="AL59" s="2730"/>
      <c r="AM59" s="2730"/>
      <c r="AN59" s="2730"/>
      <c r="AO59" s="2730"/>
      <c r="AP59" s="2730"/>
      <c r="AQ59" s="2730"/>
      <c r="AR59" s="2730"/>
      <c r="AS59" s="2730"/>
      <c r="AT59" s="2730"/>
      <c r="AU59" s="2730"/>
      <c r="AV59" s="2730"/>
      <c r="AW59" s="2731"/>
      <c r="AX59" s="1706"/>
      <c r="AY59" s="1706"/>
      <c r="AZ59" s="1706"/>
      <c r="BA59" s="1706"/>
      <c r="BB59" s="1706"/>
      <c r="BC59" s="1706"/>
      <c r="BD59" s="1706"/>
      <c r="BE59" s="1712"/>
    </row>
    <row r="60" spans="1:58" ht="15.75" customHeight="1">
      <c r="A60" s="1706"/>
      <c r="B60" s="2913" t="str">
        <f>IF(B52="", "", B52)</f>
        <v>Serving Seniors</v>
      </c>
      <c r="C60" s="2914"/>
      <c r="D60" s="2914"/>
      <c r="E60" s="2914"/>
      <c r="F60" s="2914"/>
      <c r="G60" s="2914"/>
      <c r="H60" s="2914"/>
      <c r="I60" s="2915"/>
      <c r="J60" s="2916"/>
      <c r="K60" s="2914"/>
      <c r="L60" s="2914"/>
      <c r="M60" s="2914"/>
      <c r="N60" s="2914"/>
      <c r="O60" s="2914"/>
      <c r="P60" s="2914"/>
      <c r="Q60" s="2914"/>
      <c r="R60" s="2914"/>
      <c r="S60" s="2914"/>
      <c r="T60" s="2914"/>
      <c r="U60" s="2914"/>
      <c r="V60" s="2914"/>
      <c r="W60" s="2914"/>
      <c r="X60" s="2914"/>
      <c r="Y60" s="2914"/>
      <c r="Z60" s="2914"/>
      <c r="AA60" s="2914"/>
      <c r="AB60" s="2914"/>
      <c r="AC60" s="2914"/>
      <c r="AD60" s="2914"/>
      <c r="AE60" s="2914"/>
      <c r="AF60" s="2914"/>
      <c r="AG60" s="2914"/>
      <c r="AH60" s="2914"/>
      <c r="AI60" s="2914"/>
      <c r="AJ60" s="2914"/>
      <c r="AK60" s="2914"/>
      <c r="AL60" s="2914"/>
      <c r="AM60" s="2914"/>
      <c r="AN60" s="2914"/>
      <c r="AO60" s="2914"/>
      <c r="AP60" s="2914"/>
      <c r="AQ60" s="2914"/>
      <c r="AR60" s="2914"/>
      <c r="AS60" s="2914"/>
      <c r="AT60" s="2914"/>
      <c r="AU60" s="2914"/>
      <c r="AV60" s="2914"/>
      <c r="AW60" s="2915"/>
      <c r="AX60" s="1706"/>
      <c r="AY60" s="1706"/>
      <c r="AZ60" s="1706"/>
      <c r="BA60" s="1706"/>
      <c r="BB60" s="1706"/>
      <c r="BC60" s="1706"/>
      <c r="BD60" s="1706"/>
      <c r="BE60" s="1712"/>
    </row>
    <row r="61" spans="1:58" ht="15.75" customHeight="1">
      <c r="A61" s="1706"/>
      <c r="B61" s="2913" t="str">
        <f t="shared" ref="B61:B64" si="5">IF(B53="", "", B53)</f>
        <v>Southern California Housing Collaborative</v>
      </c>
      <c r="C61" s="2914"/>
      <c r="D61" s="2914"/>
      <c r="E61" s="2914"/>
      <c r="F61" s="2914"/>
      <c r="G61" s="2914"/>
      <c r="H61" s="2914"/>
      <c r="I61" s="2915"/>
      <c r="J61" s="2916"/>
      <c r="K61" s="2914"/>
      <c r="L61" s="2914"/>
      <c r="M61" s="2914"/>
      <c r="N61" s="2914"/>
      <c r="O61" s="2914"/>
      <c r="P61" s="2914"/>
      <c r="Q61" s="2914"/>
      <c r="R61" s="2914"/>
      <c r="S61" s="2914"/>
      <c r="T61" s="2914"/>
      <c r="U61" s="2914"/>
      <c r="V61" s="2914"/>
      <c r="W61" s="2914"/>
      <c r="X61" s="2914"/>
      <c r="Y61" s="2914"/>
      <c r="Z61" s="2914"/>
      <c r="AA61" s="2914"/>
      <c r="AB61" s="2914"/>
      <c r="AC61" s="2914"/>
      <c r="AD61" s="2914"/>
      <c r="AE61" s="2914"/>
      <c r="AF61" s="2914"/>
      <c r="AG61" s="2914"/>
      <c r="AH61" s="2914"/>
      <c r="AI61" s="2914"/>
      <c r="AJ61" s="2914"/>
      <c r="AK61" s="2914"/>
      <c r="AL61" s="2914"/>
      <c r="AM61" s="2914"/>
      <c r="AN61" s="2914"/>
      <c r="AO61" s="2914"/>
      <c r="AP61" s="2914"/>
      <c r="AQ61" s="2914"/>
      <c r="AR61" s="2914"/>
      <c r="AS61" s="2914"/>
      <c r="AT61" s="2914"/>
      <c r="AU61" s="2914"/>
      <c r="AV61" s="2914"/>
      <c r="AW61" s="2915"/>
      <c r="AX61" s="1706"/>
      <c r="AY61" s="1706"/>
      <c r="AZ61" s="1706"/>
      <c r="BA61" s="1706"/>
      <c r="BB61" s="1706"/>
      <c r="BC61" s="1706"/>
      <c r="BD61" s="1706"/>
      <c r="BE61" s="1712"/>
    </row>
    <row r="62" spans="1:58" ht="15.75" customHeight="1">
      <c r="A62" s="1706"/>
      <c r="B62" s="2913" t="str">
        <f t="shared" si="5"/>
        <v/>
      </c>
      <c r="C62" s="2914"/>
      <c r="D62" s="2914"/>
      <c r="E62" s="2914"/>
      <c r="F62" s="2914"/>
      <c r="G62" s="2914"/>
      <c r="H62" s="2914"/>
      <c r="I62" s="2915"/>
      <c r="J62" s="2916"/>
      <c r="K62" s="2914"/>
      <c r="L62" s="2914"/>
      <c r="M62" s="2914"/>
      <c r="N62" s="2914"/>
      <c r="O62" s="2914"/>
      <c r="P62" s="2914"/>
      <c r="Q62" s="2914"/>
      <c r="R62" s="2914"/>
      <c r="S62" s="2914"/>
      <c r="T62" s="2914"/>
      <c r="U62" s="2914"/>
      <c r="V62" s="2914"/>
      <c r="W62" s="2914"/>
      <c r="X62" s="2914"/>
      <c r="Y62" s="2914"/>
      <c r="Z62" s="2914"/>
      <c r="AA62" s="2914"/>
      <c r="AB62" s="2914"/>
      <c r="AC62" s="2914"/>
      <c r="AD62" s="2914"/>
      <c r="AE62" s="2914"/>
      <c r="AF62" s="2914"/>
      <c r="AG62" s="2914"/>
      <c r="AH62" s="2914"/>
      <c r="AI62" s="2914"/>
      <c r="AJ62" s="2914"/>
      <c r="AK62" s="2914"/>
      <c r="AL62" s="2914"/>
      <c r="AM62" s="2914"/>
      <c r="AN62" s="2914"/>
      <c r="AO62" s="2914"/>
      <c r="AP62" s="2914"/>
      <c r="AQ62" s="2914"/>
      <c r="AR62" s="2914"/>
      <c r="AS62" s="2914"/>
      <c r="AT62" s="2914"/>
      <c r="AU62" s="2914"/>
      <c r="AV62" s="2914"/>
      <c r="AW62" s="2915"/>
      <c r="AX62" s="1706"/>
      <c r="AY62" s="1706"/>
      <c r="AZ62" s="1706"/>
      <c r="BA62" s="1706"/>
      <c r="BB62" s="1706"/>
      <c r="BC62" s="1706"/>
      <c r="BD62" s="1706"/>
      <c r="BE62" s="1712"/>
    </row>
    <row r="63" spans="1:58" ht="15.75" customHeight="1">
      <c r="A63" s="1706"/>
      <c r="B63" s="2913" t="str">
        <f t="shared" si="5"/>
        <v/>
      </c>
      <c r="C63" s="2914"/>
      <c r="D63" s="2914"/>
      <c r="E63" s="2914"/>
      <c r="F63" s="2914"/>
      <c r="G63" s="2914"/>
      <c r="H63" s="2914"/>
      <c r="I63" s="2915"/>
      <c r="J63" s="2916"/>
      <c r="K63" s="2914"/>
      <c r="L63" s="2914"/>
      <c r="M63" s="2914"/>
      <c r="N63" s="2914"/>
      <c r="O63" s="2914"/>
      <c r="P63" s="2914"/>
      <c r="Q63" s="2914"/>
      <c r="R63" s="2914"/>
      <c r="S63" s="2914"/>
      <c r="T63" s="2914"/>
      <c r="U63" s="2914"/>
      <c r="V63" s="2914"/>
      <c r="W63" s="2914"/>
      <c r="X63" s="2914"/>
      <c r="Y63" s="2914"/>
      <c r="Z63" s="2914"/>
      <c r="AA63" s="2914"/>
      <c r="AB63" s="2914"/>
      <c r="AC63" s="2914"/>
      <c r="AD63" s="2914"/>
      <c r="AE63" s="2914"/>
      <c r="AF63" s="2914"/>
      <c r="AG63" s="2914"/>
      <c r="AH63" s="2914"/>
      <c r="AI63" s="2914"/>
      <c r="AJ63" s="2914"/>
      <c r="AK63" s="2914"/>
      <c r="AL63" s="2914"/>
      <c r="AM63" s="2914"/>
      <c r="AN63" s="2914"/>
      <c r="AO63" s="2914"/>
      <c r="AP63" s="2914"/>
      <c r="AQ63" s="2914"/>
      <c r="AR63" s="2914"/>
      <c r="AS63" s="2914"/>
      <c r="AT63" s="2914"/>
      <c r="AU63" s="2914"/>
      <c r="AV63" s="2914"/>
      <c r="AW63" s="2915"/>
      <c r="AX63" s="1706"/>
      <c r="AY63" s="1706"/>
      <c r="AZ63" s="1706"/>
      <c r="BA63" s="1706"/>
      <c r="BB63" s="1706"/>
      <c r="BC63" s="1706"/>
      <c r="BD63" s="1706"/>
      <c r="BE63" s="1712"/>
    </row>
    <row r="64" spans="1:58" ht="15.75" customHeight="1" thickBot="1">
      <c r="A64" s="1706"/>
      <c r="B64" s="2917" t="str">
        <f t="shared" si="5"/>
        <v/>
      </c>
      <c r="C64" s="2918"/>
      <c r="D64" s="2918"/>
      <c r="E64" s="2918"/>
      <c r="F64" s="2918"/>
      <c r="G64" s="2918"/>
      <c r="H64" s="2918"/>
      <c r="I64" s="2919"/>
      <c r="J64" s="2920"/>
      <c r="K64" s="2918"/>
      <c r="L64" s="2918"/>
      <c r="M64" s="2918"/>
      <c r="N64" s="2918"/>
      <c r="O64" s="2918"/>
      <c r="P64" s="2918"/>
      <c r="Q64" s="2918"/>
      <c r="R64" s="2918"/>
      <c r="S64" s="2918"/>
      <c r="T64" s="2918"/>
      <c r="U64" s="2918"/>
      <c r="V64" s="2918"/>
      <c r="W64" s="2918"/>
      <c r="X64" s="2918"/>
      <c r="Y64" s="2918"/>
      <c r="Z64" s="2918"/>
      <c r="AA64" s="2918"/>
      <c r="AB64" s="2918"/>
      <c r="AC64" s="2918"/>
      <c r="AD64" s="2918"/>
      <c r="AE64" s="2918"/>
      <c r="AF64" s="2918"/>
      <c r="AG64" s="2918"/>
      <c r="AH64" s="2918"/>
      <c r="AI64" s="2918"/>
      <c r="AJ64" s="2918"/>
      <c r="AK64" s="2918"/>
      <c r="AL64" s="2918"/>
      <c r="AM64" s="2918"/>
      <c r="AN64" s="2918"/>
      <c r="AO64" s="2918"/>
      <c r="AP64" s="2918"/>
      <c r="AQ64" s="2918"/>
      <c r="AR64" s="2918"/>
      <c r="AS64" s="2918"/>
      <c r="AT64" s="2918"/>
      <c r="AU64" s="2918"/>
      <c r="AV64" s="2918"/>
      <c r="AW64" s="2919"/>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6" t="s">
        <v>1929</v>
      </c>
      <c r="C68" s="2777"/>
      <c r="D68" s="2777"/>
      <c r="E68" s="2777"/>
      <c r="F68" s="2777"/>
      <c r="G68" s="2777"/>
      <c r="H68" s="2777"/>
      <c r="I68" s="2777"/>
      <c r="J68" s="2777"/>
      <c r="K68" s="2777"/>
      <c r="L68" s="2777"/>
      <c r="M68" s="2777"/>
      <c r="N68" s="2777"/>
      <c r="O68" s="2777"/>
      <c r="P68" s="2777"/>
      <c r="Q68" s="2777"/>
      <c r="R68" s="2777"/>
      <c r="S68" s="2777"/>
      <c r="T68" s="2777"/>
      <c r="U68" s="2777"/>
      <c r="V68" s="2777"/>
      <c r="W68" s="2777"/>
      <c r="X68" s="2777"/>
      <c r="Y68" s="2777"/>
      <c r="Z68" s="2777"/>
      <c r="AA68" s="2778"/>
      <c r="AB68" s="1706"/>
      <c r="AC68" s="2875" t="s">
        <v>1930</v>
      </c>
      <c r="AD68" s="2876"/>
      <c r="AE68" s="2876"/>
      <c r="AF68" s="2876"/>
      <c r="AG68" s="2876"/>
      <c r="AH68" s="2876"/>
      <c r="AI68" s="2876"/>
      <c r="AJ68" s="2876"/>
      <c r="AK68" s="2876"/>
      <c r="AL68" s="2876"/>
      <c r="AM68" s="2876"/>
      <c r="AN68" s="2876"/>
      <c r="AO68" s="2876"/>
      <c r="AP68" s="2876"/>
      <c r="AQ68" s="2876"/>
      <c r="AR68" s="2876"/>
      <c r="AS68" s="2876"/>
      <c r="AT68" s="2876"/>
      <c r="AU68" s="2876"/>
      <c r="AV68" s="2908" t="s">
        <v>1890</v>
      </c>
      <c r="AW68" s="2908"/>
      <c r="AX68" s="2908"/>
      <c r="AY68" s="2908"/>
      <c r="AZ68" s="2908"/>
      <c r="BA68" s="2908"/>
      <c r="BB68" s="2908"/>
      <c r="BC68" s="2909"/>
      <c r="BD68" s="1706"/>
      <c r="BE68" s="1712"/>
    </row>
    <row r="69" spans="1:57" ht="15.75" customHeight="1" thickBot="1">
      <c r="A69" s="1706"/>
      <c r="B69" s="2910" t="s">
        <v>1931</v>
      </c>
      <c r="C69" s="2883"/>
      <c r="D69" s="2883"/>
      <c r="E69" s="2883"/>
      <c r="F69" s="2883"/>
      <c r="G69" s="2883"/>
      <c r="H69" s="2883"/>
      <c r="I69" s="2883"/>
      <c r="J69" s="2883"/>
      <c r="K69" s="2883"/>
      <c r="L69" s="2883"/>
      <c r="M69" s="2883"/>
      <c r="N69" s="2883"/>
      <c r="O69" s="2911" t="s">
        <v>1932</v>
      </c>
      <c r="P69" s="2708"/>
      <c r="Q69" s="2708"/>
      <c r="R69" s="2708"/>
      <c r="S69" s="2708"/>
      <c r="T69" s="2708"/>
      <c r="U69" s="2708"/>
      <c r="V69" s="2708"/>
      <c r="W69" s="2708"/>
      <c r="X69" s="2708"/>
      <c r="Y69" s="2708"/>
      <c r="Z69" s="2708"/>
      <c r="AA69" s="2709"/>
      <c r="AB69" s="1706"/>
      <c r="AC69" s="2650" t="s">
        <v>1933</v>
      </c>
      <c r="AD69" s="2651"/>
      <c r="AE69" s="2651"/>
      <c r="AF69" s="2651"/>
      <c r="AG69" s="2651"/>
      <c r="AH69" s="2651"/>
      <c r="AI69" s="2651"/>
      <c r="AJ69" s="2651"/>
      <c r="AK69" s="2651"/>
      <c r="AL69" s="2651"/>
      <c r="AM69" s="2651"/>
      <c r="AN69" s="2651"/>
      <c r="AO69" s="2651"/>
      <c r="AP69" s="2651"/>
      <c r="AQ69" s="2651"/>
      <c r="AR69" s="2651"/>
      <c r="AS69" s="2651"/>
      <c r="AT69" s="2651"/>
      <c r="AU69" s="2651"/>
      <c r="AV69" s="2755">
        <v>44563</v>
      </c>
      <c r="AW69" s="2754"/>
      <c r="AX69" s="2754"/>
      <c r="AY69" s="2754"/>
      <c r="AZ69" s="2754"/>
      <c r="BA69" s="2754"/>
      <c r="BB69" s="2754"/>
      <c r="BC69" s="2912"/>
      <c r="BD69" s="1706"/>
      <c r="BE69" s="1712"/>
    </row>
    <row r="70" spans="1:57" ht="15.75" customHeight="1">
      <c r="A70" s="1706"/>
      <c r="B70" s="2904"/>
      <c r="C70" s="2905"/>
      <c r="D70" s="2905"/>
      <c r="E70" s="2905"/>
      <c r="F70" s="2905"/>
      <c r="G70" s="2905"/>
      <c r="H70" s="2905"/>
      <c r="I70" s="2905"/>
      <c r="J70" s="2905"/>
      <c r="K70" s="2905"/>
      <c r="L70" s="2905"/>
      <c r="M70" s="2905"/>
      <c r="N70" s="2905"/>
      <c r="O70" s="2894">
        <v>1</v>
      </c>
      <c r="P70" s="2894"/>
      <c r="Q70" s="2894"/>
      <c r="R70" s="2894"/>
      <c r="S70" s="2894"/>
      <c r="T70" s="2894"/>
      <c r="U70" s="2894"/>
      <c r="V70" s="2894"/>
      <c r="W70" s="2894"/>
      <c r="X70" s="2894"/>
      <c r="Y70" s="2894"/>
      <c r="Z70" s="2894"/>
      <c r="AA70" s="2895"/>
      <c r="AB70" s="1706"/>
      <c r="AC70" s="2906" t="s">
        <v>1934</v>
      </c>
      <c r="AD70" s="2907"/>
      <c r="AE70" s="2907"/>
      <c r="AF70" s="2862"/>
      <c r="AG70" s="2862"/>
      <c r="AH70" s="2862"/>
      <c r="AI70" s="2862"/>
      <c r="AJ70" s="2862"/>
      <c r="AK70" s="2862"/>
      <c r="AL70" s="2862"/>
      <c r="AM70" s="2862"/>
      <c r="AN70" s="2862"/>
      <c r="AO70" s="2862"/>
      <c r="AP70" s="2862"/>
      <c r="AQ70" s="2862"/>
      <c r="AR70" s="2862"/>
      <c r="AS70" s="2862"/>
      <c r="AT70" s="2862"/>
      <c r="AU70" s="2863"/>
      <c r="AV70" s="1706"/>
      <c r="AW70" s="1706"/>
      <c r="AX70" s="1706"/>
      <c r="AY70" s="1706"/>
      <c r="AZ70" s="1706"/>
      <c r="BA70" s="1706"/>
      <c r="BB70" s="1706"/>
      <c r="BC70" s="1706"/>
      <c r="BD70" s="1706"/>
      <c r="BE70" s="1712"/>
    </row>
    <row r="71" spans="1:57" ht="15.75" customHeight="1" thickBot="1">
      <c r="A71" s="1706"/>
      <c r="B71" s="2893"/>
      <c r="C71" s="2722"/>
      <c r="D71" s="2722"/>
      <c r="E71" s="2722"/>
      <c r="F71" s="2722"/>
      <c r="G71" s="2722"/>
      <c r="H71" s="2722"/>
      <c r="I71" s="2722"/>
      <c r="J71" s="2722"/>
      <c r="K71" s="2722"/>
      <c r="L71" s="2722"/>
      <c r="M71" s="2722"/>
      <c r="N71" s="2722"/>
      <c r="O71" s="2894"/>
      <c r="P71" s="2894"/>
      <c r="Q71" s="2894"/>
      <c r="R71" s="2894"/>
      <c r="S71" s="2894"/>
      <c r="T71" s="2894"/>
      <c r="U71" s="2894"/>
      <c r="V71" s="2894"/>
      <c r="W71" s="2894"/>
      <c r="X71" s="2894"/>
      <c r="Y71" s="2894"/>
      <c r="Z71" s="2894"/>
      <c r="AA71" s="2895"/>
      <c r="AB71" s="1706"/>
      <c r="AC71" s="2658" t="s">
        <v>1935</v>
      </c>
      <c r="AD71" s="2659"/>
      <c r="AE71" s="2659"/>
      <c r="AF71" s="2859"/>
      <c r="AG71" s="2859"/>
      <c r="AH71" s="2859"/>
      <c r="AI71" s="2859"/>
      <c r="AJ71" s="2859"/>
      <c r="AK71" s="2859"/>
      <c r="AL71" s="2859"/>
      <c r="AM71" s="2859"/>
      <c r="AN71" s="2859"/>
      <c r="AO71" s="2859"/>
      <c r="AP71" s="2859"/>
      <c r="AQ71" s="2859"/>
      <c r="AR71" s="2859"/>
      <c r="AS71" s="2859"/>
      <c r="AT71" s="2859"/>
      <c r="AU71" s="2860"/>
      <c r="AV71" s="1706"/>
      <c r="AW71" s="1706"/>
      <c r="AX71" s="1706"/>
      <c r="AY71" s="1706"/>
      <c r="AZ71" s="1706"/>
      <c r="BA71" s="1706"/>
      <c r="BB71" s="1706"/>
      <c r="BC71" s="1706"/>
      <c r="BD71" s="1706"/>
      <c r="BE71" s="1712"/>
    </row>
    <row r="72" spans="1:57" ht="15.75" customHeight="1">
      <c r="A72" s="1706"/>
      <c r="B72" s="2893"/>
      <c r="C72" s="2722"/>
      <c r="D72" s="2722"/>
      <c r="E72" s="2722"/>
      <c r="F72" s="2722"/>
      <c r="G72" s="2722"/>
      <c r="H72" s="2722"/>
      <c r="I72" s="2722"/>
      <c r="J72" s="2722"/>
      <c r="K72" s="2722"/>
      <c r="L72" s="2722"/>
      <c r="M72" s="2722"/>
      <c r="N72" s="2722"/>
      <c r="O72" s="2894"/>
      <c r="P72" s="2894"/>
      <c r="Q72" s="2894"/>
      <c r="R72" s="2894"/>
      <c r="S72" s="2894"/>
      <c r="T72" s="2894"/>
      <c r="U72" s="2894"/>
      <c r="V72" s="2894"/>
      <c r="W72" s="2894"/>
      <c r="X72" s="2894"/>
      <c r="Y72" s="2894"/>
      <c r="Z72" s="2894"/>
      <c r="AA72" s="2895"/>
      <c r="AB72" s="1706"/>
      <c r="AC72" s="2896" t="s">
        <v>1936</v>
      </c>
      <c r="AD72" s="2881"/>
      <c r="AE72" s="2881"/>
      <c r="AF72" s="2881"/>
      <c r="AG72" s="2881"/>
      <c r="AH72" s="2881"/>
      <c r="AI72" s="2881"/>
      <c r="AJ72" s="2881"/>
      <c r="AK72" s="2881"/>
      <c r="AL72" s="2881"/>
      <c r="AM72" s="2881"/>
      <c r="AN72" s="2881"/>
      <c r="AO72" s="2881"/>
      <c r="AP72" s="2881"/>
      <c r="AQ72" s="2881"/>
      <c r="AR72" s="2881"/>
      <c r="AS72" s="2881"/>
      <c r="AT72" s="2881"/>
      <c r="AU72" s="2881"/>
      <c r="AV72" s="2881"/>
      <c r="AW72" s="2881"/>
      <c r="AX72" s="2881"/>
      <c r="AY72" s="2881"/>
      <c r="AZ72" s="2881"/>
      <c r="BA72" s="2881"/>
      <c r="BB72" s="2881"/>
      <c r="BC72" s="2882"/>
      <c r="BD72" s="1706"/>
      <c r="BE72" s="1712"/>
    </row>
    <row r="73" spans="1:57" ht="15.75" customHeight="1">
      <c r="A73" s="1706"/>
      <c r="B73" s="2893"/>
      <c r="C73" s="2722"/>
      <c r="D73" s="2722"/>
      <c r="E73" s="2722"/>
      <c r="F73" s="2722"/>
      <c r="G73" s="2722"/>
      <c r="H73" s="2722"/>
      <c r="I73" s="2722"/>
      <c r="J73" s="2722"/>
      <c r="K73" s="2722"/>
      <c r="L73" s="2722"/>
      <c r="M73" s="2722"/>
      <c r="N73" s="2722"/>
      <c r="O73" s="2894"/>
      <c r="P73" s="2894"/>
      <c r="Q73" s="2894"/>
      <c r="R73" s="2894"/>
      <c r="S73" s="2894"/>
      <c r="T73" s="2894"/>
      <c r="U73" s="2894"/>
      <c r="V73" s="2894"/>
      <c r="W73" s="2894"/>
      <c r="X73" s="2894"/>
      <c r="Y73" s="2894"/>
      <c r="Z73" s="2894"/>
      <c r="AA73" s="2895"/>
      <c r="AB73" s="1706"/>
      <c r="AC73" s="2839" t="s">
        <v>2319</v>
      </c>
      <c r="AD73" s="2840"/>
      <c r="AE73" s="2840"/>
      <c r="AF73" s="2840"/>
      <c r="AG73" s="2840"/>
      <c r="AH73" s="2840"/>
      <c r="AI73" s="2840"/>
      <c r="AJ73" s="2840"/>
      <c r="AK73" s="2840"/>
      <c r="AL73" s="2840"/>
      <c r="AM73" s="2840"/>
      <c r="AN73" s="2840"/>
      <c r="AO73" s="2840"/>
      <c r="AP73" s="2840"/>
      <c r="AQ73" s="2840"/>
      <c r="AR73" s="2840"/>
      <c r="AS73" s="2840"/>
      <c r="AT73" s="2840"/>
      <c r="AU73" s="2840"/>
      <c r="AV73" s="2840"/>
      <c r="AW73" s="2840"/>
      <c r="AX73" s="2840"/>
      <c r="AY73" s="2840"/>
      <c r="AZ73" s="2840"/>
      <c r="BA73" s="2840"/>
      <c r="BB73" s="2840"/>
      <c r="BC73" s="2841"/>
      <c r="BD73" s="1706"/>
      <c r="BE73" s="1712"/>
    </row>
    <row r="74" spans="1:57" ht="15.75" customHeight="1" thickBot="1">
      <c r="A74" s="1706"/>
      <c r="B74" s="2893"/>
      <c r="C74" s="2722"/>
      <c r="D74" s="2722"/>
      <c r="E74" s="2722"/>
      <c r="F74" s="2722"/>
      <c r="G74" s="2722"/>
      <c r="H74" s="2722"/>
      <c r="I74" s="2722"/>
      <c r="J74" s="2722"/>
      <c r="K74" s="2722"/>
      <c r="L74" s="2722"/>
      <c r="M74" s="2722"/>
      <c r="N74" s="2722"/>
      <c r="O74" s="2897"/>
      <c r="P74" s="2897"/>
      <c r="Q74" s="2897"/>
      <c r="R74" s="2897"/>
      <c r="S74" s="2897"/>
      <c r="T74" s="2897"/>
      <c r="U74" s="2897"/>
      <c r="V74" s="2897"/>
      <c r="W74" s="2897"/>
      <c r="X74" s="2897"/>
      <c r="Y74" s="2897"/>
      <c r="Z74" s="2897"/>
      <c r="AA74" s="2898"/>
      <c r="AB74" s="1706"/>
      <c r="AC74" s="2839"/>
      <c r="AD74" s="2840"/>
      <c r="AE74" s="2840"/>
      <c r="AF74" s="2840"/>
      <c r="AG74" s="2840"/>
      <c r="AH74" s="2840"/>
      <c r="AI74" s="2840"/>
      <c r="AJ74" s="2840"/>
      <c r="AK74" s="2840"/>
      <c r="AL74" s="2840"/>
      <c r="AM74" s="2840"/>
      <c r="AN74" s="2840"/>
      <c r="AO74" s="2840"/>
      <c r="AP74" s="2840"/>
      <c r="AQ74" s="2840"/>
      <c r="AR74" s="2840"/>
      <c r="AS74" s="2840"/>
      <c r="AT74" s="2840"/>
      <c r="AU74" s="2840"/>
      <c r="AV74" s="2840"/>
      <c r="AW74" s="2840"/>
      <c r="AX74" s="2840"/>
      <c r="AY74" s="2840"/>
      <c r="AZ74" s="2840"/>
      <c r="BA74" s="2840"/>
      <c r="BB74" s="2840"/>
      <c r="BC74" s="2841"/>
      <c r="BD74" s="1706"/>
      <c r="BE74" s="1712"/>
    </row>
    <row r="75" spans="1:57" ht="15.75" customHeight="1" thickTop="1" thickBot="1">
      <c r="A75" s="1706"/>
      <c r="B75" s="2899" t="s">
        <v>129</v>
      </c>
      <c r="C75" s="2900"/>
      <c r="D75" s="2900"/>
      <c r="E75" s="2900"/>
      <c r="F75" s="2900"/>
      <c r="G75" s="2900"/>
      <c r="H75" s="2900"/>
      <c r="I75" s="2900"/>
      <c r="J75" s="2900"/>
      <c r="K75" s="2900"/>
      <c r="L75" s="2900"/>
      <c r="M75" s="2900"/>
      <c r="N75" s="2900"/>
      <c r="O75" s="2901">
        <f>SUM(O70:AA74)</f>
        <v>1</v>
      </c>
      <c r="P75" s="2902"/>
      <c r="Q75" s="2902"/>
      <c r="R75" s="2902"/>
      <c r="S75" s="2902"/>
      <c r="T75" s="2902"/>
      <c r="U75" s="2902"/>
      <c r="V75" s="2902"/>
      <c r="W75" s="2902"/>
      <c r="X75" s="2902"/>
      <c r="Y75" s="2902"/>
      <c r="Z75" s="2902"/>
      <c r="AA75" s="2903"/>
      <c r="AB75" s="1706"/>
      <c r="AC75" s="2839"/>
      <c r="AD75" s="2840"/>
      <c r="AE75" s="2840"/>
      <c r="AF75" s="2840"/>
      <c r="AG75" s="2840"/>
      <c r="AH75" s="2840"/>
      <c r="AI75" s="2840"/>
      <c r="AJ75" s="2840"/>
      <c r="AK75" s="2840"/>
      <c r="AL75" s="2840"/>
      <c r="AM75" s="2840"/>
      <c r="AN75" s="2840"/>
      <c r="AO75" s="2840"/>
      <c r="AP75" s="2840"/>
      <c r="AQ75" s="2840"/>
      <c r="AR75" s="2840"/>
      <c r="AS75" s="2840"/>
      <c r="AT75" s="2840"/>
      <c r="AU75" s="2840"/>
      <c r="AV75" s="2840"/>
      <c r="AW75" s="2840"/>
      <c r="AX75" s="2840"/>
      <c r="AY75" s="2840"/>
      <c r="AZ75" s="2840"/>
      <c r="BA75" s="2840"/>
      <c r="BB75" s="2840"/>
      <c r="BC75" s="284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9"/>
      <c r="AD76" s="2840"/>
      <c r="AE76" s="2840"/>
      <c r="AF76" s="2840"/>
      <c r="AG76" s="2840"/>
      <c r="AH76" s="2840"/>
      <c r="AI76" s="2840"/>
      <c r="AJ76" s="2840"/>
      <c r="AK76" s="2840"/>
      <c r="AL76" s="2840"/>
      <c r="AM76" s="2840"/>
      <c r="AN76" s="2840"/>
      <c r="AO76" s="2840"/>
      <c r="AP76" s="2840"/>
      <c r="AQ76" s="2840"/>
      <c r="AR76" s="2840"/>
      <c r="AS76" s="2840"/>
      <c r="AT76" s="2840"/>
      <c r="AU76" s="2840"/>
      <c r="AV76" s="2840"/>
      <c r="AW76" s="2840"/>
      <c r="AX76" s="2840"/>
      <c r="AY76" s="2840"/>
      <c r="AZ76" s="2840"/>
      <c r="BA76" s="2840"/>
      <c r="BB76" s="2840"/>
      <c r="BC76" s="2841"/>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2"/>
      <c r="AD77" s="2843"/>
      <c r="AE77" s="2843"/>
      <c r="AF77" s="2843"/>
      <c r="AG77" s="2843"/>
      <c r="AH77" s="2843"/>
      <c r="AI77" s="2843"/>
      <c r="AJ77" s="2843"/>
      <c r="AK77" s="2843"/>
      <c r="AL77" s="2843"/>
      <c r="AM77" s="2843"/>
      <c r="AN77" s="2843"/>
      <c r="AO77" s="2843"/>
      <c r="AP77" s="2843"/>
      <c r="AQ77" s="2843"/>
      <c r="AR77" s="2843"/>
      <c r="AS77" s="2843"/>
      <c r="AT77" s="2843"/>
      <c r="AU77" s="2843"/>
      <c r="AV77" s="2843"/>
      <c r="AW77" s="2843"/>
      <c r="AX77" s="2843"/>
      <c r="AY77" s="2843"/>
      <c r="AZ77" s="2843"/>
      <c r="BA77" s="2843"/>
      <c r="BB77" s="2843"/>
      <c r="BC77" s="284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9" t="s">
        <v>2301</v>
      </c>
      <c r="C79" s="2890"/>
      <c r="D79" s="2890"/>
      <c r="E79" s="2890"/>
      <c r="F79" s="2890"/>
      <c r="G79" s="2890"/>
      <c r="H79" s="2890"/>
      <c r="I79" s="2890"/>
      <c r="J79" s="2890"/>
      <c r="K79" s="2890"/>
      <c r="L79" s="2890"/>
      <c r="M79" s="2890"/>
      <c r="N79" s="2890"/>
      <c r="O79" s="2890"/>
      <c r="P79" s="2890"/>
      <c r="Q79" s="2890"/>
      <c r="R79" s="2890"/>
      <c r="S79" s="2890"/>
      <c r="T79" s="2890"/>
      <c r="U79" s="2890"/>
      <c r="V79" s="2890"/>
      <c r="W79" s="2890"/>
      <c r="X79" s="2890"/>
      <c r="Y79" s="2890"/>
      <c r="Z79" s="2890"/>
      <c r="AA79" s="2890"/>
      <c r="AB79" s="2890"/>
      <c r="AC79" s="2890"/>
      <c r="AD79" s="2890"/>
      <c r="AE79" s="2890"/>
      <c r="AF79" s="2890"/>
      <c r="AG79" s="2890"/>
      <c r="AH79" s="2891"/>
      <c r="AI79" s="1706"/>
      <c r="AJ79" s="2865" t="s">
        <v>2320</v>
      </c>
      <c r="AK79" s="2866"/>
      <c r="AL79" s="2866"/>
      <c r="AM79" s="2866"/>
      <c r="AN79" s="2866"/>
      <c r="AO79" s="2866"/>
      <c r="AP79" s="2866"/>
      <c r="AQ79" s="2866"/>
      <c r="AR79" s="2866"/>
      <c r="AS79" s="2866"/>
      <c r="AT79" s="2866"/>
      <c r="AU79" s="2866"/>
      <c r="AV79" s="2866"/>
      <c r="AW79" s="2866"/>
      <c r="AX79" s="2866"/>
      <c r="AY79" s="2808" t="s">
        <v>1890</v>
      </c>
      <c r="AZ79" s="2808"/>
      <c r="BA79" s="2808"/>
      <c r="BB79" s="2809"/>
      <c r="BC79" s="1706"/>
      <c r="BD79" s="1706"/>
      <c r="BE79" s="1712"/>
    </row>
    <row r="80" spans="1:57" ht="15.75" customHeight="1">
      <c r="A80" s="1706"/>
      <c r="B80" s="2738"/>
      <c r="C80" s="2739"/>
      <c r="D80" s="2739"/>
      <c r="E80" s="2739"/>
      <c r="F80" s="2739"/>
      <c r="G80" s="2739"/>
      <c r="H80" s="2740"/>
      <c r="I80" s="2875" t="s">
        <v>1938</v>
      </c>
      <c r="J80" s="2876"/>
      <c r="K80" s="2876"/>
      <c r="L80" s="2876"/>
      <c r="M80" s="2876"/>
      <c r="N80" s="2876"/>
      <c r="O80" s="2876" t="s">
        <v>1939</v>
      </c>
      <c r="P80" s="2876"/>
      <c r="Q80" s="2876"/>
      <c r="R80" s="2876"/>
      <c r="S80" s="2876"/>
      <c r="T80" s="2876"/>
      <c r="U80" s="2876"/>
      <c r="V80" s="2879" t="s">
        <v>2321</v>
      </c>
      <c r="W80" s="2879"/>
      <c r="X80" s="2879"/>
      <c r="Y80" s="2879"/>
      <c r="Z80" s="2879"/>
      <c r="AA80" s="2879"/>
      <c r="AB80" s="2881" t="s">
        <v>1940</v>
      </c>
      <c r="AC80" s="2881"/>
      <c r="AD80" s="2881"/>
      <c r="AE80" s="2881"/>
      <c r="AF80" s="2881"/>
      <c r="AG80" s="2881"/>
      <c r="AH80" s="2882"/>
      <c r="AI80" s="1706"/>
      <c r="AJ80" s="2867"/>
      <c r="AK80" s="2868"/>
      <c r="AL80" s="2868"/>
      <c r="AM80" s="2868"/>
      <c r="AN80" s="2868"/>
      <c r="AO80" s="2868"/>
      <c r="AP80" s="2868"/>
      <c r="AQ80" s="2868"/>
      <c r="AR80" s="2868"/>
      <c r="AS80" s="2868"/>
      <c r="AT80" s="2868"/>
      <c r="AU80" s="2868"/>
      <c r="AV80" s="2868"/>
      <c r="AW80" s="2868"/>
      <c r="AX80" s="2868"/>
      <c r="AY80" s="2871"/>
      <c r="AZ80" s="2871"/>
      <c r="BA80" s="2871"/>
      <c r="BB80" s="2872"/>
      <c r="BC80" s="1706"/>
      <c r="BD80" s="1706"/>
      <c r="BE80" s="1712"/>
    </row>
    <row r="81" spans="1:57" ht="15.75" customHeight="1" thickBot="1">
      <c r="A81" s="1706"/>
      <c r="B81" s="2790"/>
      <c r="C81" s="2791"/>
      <c r="D81" s="2791"/>
      <c r="E81" s="2791"/>
      <c r="F81" s="2791"/>
      <c r="G81" s="2791"/>
      <c r="H81" s="2892"/>
      <c r="I81" s="2877"/>
      <c r="J81" s="2878"/>
      <c r="K81" s="2878"/>
      <c r="L81" s="2878"/>
      <c r="M81" s="2878"/>
      <c r="N81" s="2878"/>
      <c r="O81" s="2878"/>
      <c r="P81" s="2878"/>
      <c r="Q81" s="2878"/>
      <c r="R81" s="2878"/>
      <c r="S81" s="2878"/>
      <c r="T81" s="2878"/>
      <c r="U81" s="2878"/>
      <c r="V81" s="2880"/>
      <c r="W81" s="2880"/>
      <c r="X81" s="2880"/>
      <c r="Y81" s="2880"/>
      <c r="Z81" s="2880"/>
      <c r="AA81" s="2880"/>
      <c r="AB81" s="2883"/>
      <c r="AC81" s="2883"/>
      <c r="AD81" s="2883"/>
      <c r="AE81" s="2883"/>
      <c r="AF81" s="2883"/>
      <c r="AG81" s="2883"/>
      <c r="AH81" s="2884"/>
      <c r="AI81" s="1706"/>
      <c r="AJ81" s="2867"/>
      <c r="AK81" s="2868"/>
      <c r="AL81" s="2868"/>
      <c r="AM81" s="2868"/>
      <c r="AN81" s="2868"/>
      <c r="AO81" s="2868"/>
      <c r="AP81" s="2868"/>
      <c r="AQ81" s="2868"/>
      <c r="AR81" s="2868"/>
      <c r="AS81" s="2868"/>
      <c r="AT81" s="2868"/>
      <c r="AU81" s="2868"/>
      <c r="AV81" s="2868"/>
      <c r="AW81" s="2868"/>
      <c r="AX81" s="2868"/>
      <c r="AY81" s="2871"/>
      <c r="AZ81" s="2871"/>
      <c r="BA81" s="2871"/>
      <c r="BB81" s="2872"/>
      <c r="BC81" s="1706"/>
      <c r="BD81" s="1706"/>
      <c r="BE81" s="1712"/>
    </row>
    <row r="82" spans="1:57" ht="15.75" customHeight="1" thickBot="1">
      <c r="A82" s="1706"/>
      <c r="B82" s="2732" t="s">
        <v>2302</v>
      </c>
      <c r="C82" s="2733"/>
      <c r="D82" s="2733"/>
      <c r="E82" s="2733"/>
      <c r="F82" s="2733"/>
      <c r="G82" s="2733"/>
      <c r="H82" s="2734"/>
      <c r="I82" s="2864"/>
      <c r="J82" s="2846"/>
      <c r="K82" s="2846"/>
      <c r="L82" s="2846"/>
      <c r="M82" s="2846"/>
      <c r="N82" s="2846"/>
      <c r="O82" s="2846"/>
      <c r="P82" s="2846"/>
      <c r="Q82" s="2846"/>
      <c r="R82" s="2846"/>
      <c r="S82" s="2846"/>
      <c r="T82" s="2846"/>
      <c r="U82" s="2846"/>
      <c r="V82" s="2846"/>
      <c r="W82" s="2846"/>
      <c r="X82" s="2846"/>
      <c r="Y82" s="2846"/>
      <c r="Z82" s="2846"/>
      <c r="AA82" s="2861"/>
      <c r="AB82" s="2887"/>
      <c r="AC82" s="2887"/>
      <c r="AD82" s="2887"/>
      <c r="AE82" s="2887"/>
      <c r="AF82" s="2887"/>
      <c r="AG82" s="2887"/>
      <c r="AH82" s="2888"/>
      <c r="AI82" s="1706"/>
      <c r="AJ82" s="2869"/>
      <c r="AK82" s="2870"/>
      <c r="AL82" s="2870"/>
      <c r="AM82" s="2870"/>
      <c r="AN82" s="2870"/>
      <c r="AO82" s="2870"/>
      <c r="AP82" s="2870"/>
      <c r="AQ82" s="2870"/>
      <c r="AR82" s="2870"/>
      <c r="AS82" s="2870"/>
      <c r="AT82" s="2870"/>
      <c r="AU82" s="2870"/>
      <c r="AV82" s="2870"/>
      <c r="AW82" s="2870"/>
      <c r="AX82" s="2870"/>
      <c r="AY82" s="2873"/>
      <c r="AZ82" s="2873"/>
      <c r="BA82" s="2873"/>
      <c r="BB82" s="2874"/>
      <c r="BC82" s="1706"/>
      <c r="BD82" s="1706"/>
      <c r="BE82" s="1712"/>
    </row>
    <row r="83" spans="1:57" ht="15.75" customHeight="1" thickBot="1">
      <c r="A83" s="1706"/>
      <c r="B83" s="2732" t="s">
        <v>2303</v>
      </c>
      <c r="C83" s="2733"/>
      <c r="D83" s="2733"/>
      <c r="E83" s="2733"/>
      <c r="F83" s="2733"/>
      <c r="G83" s="2733"/>
      <c r="H83" s="2734"/>
      <c r="I83" s="2864"/>
      <c r="J83" s="2846"/>
      <c r="K83" s="2846"/>
      <c r="L83" s="2846"/>
      <c r="M83" s="2846"/>
      <c r="N83" s="2846"/>
      <c r="O83" s="2846"/>
      <c r="P83" s="2846"/>
      <c r="Q83" s="2846"/>
      <c r="R83" s="2846"/>
      <c r="S83" s="2846"/>
      <c r="T83" s="2846"/>
      <c r="U83" s="2846"/>
      <c r="V83" s="2846"/>
      <c r="W83" s="2846"/>
      <c r="X83" s="2846"/>
      <c r="Y83" s="2846"/>
      <c r="Z83" s="2846"/>
      <c r="AA83" s="2861"/>
      <c r="AB83" s="2887"/>
      <c r="AC83" s="2887"/>
      <c r="AD83" s="2887"/>
      <c r="AE83" s="2887"/>
      <c r="AF83" s="2887"/>
      <c r="AG83" s="2887"/>
      <c r="AH83" s="2888"/>
      <c r="AI83" s="1706"/>
      <c r="AJ83" s="2848" t="s">
        <v>2322</v>
      </c>
      <c r="AK83" s="2849"/>
      <c r="AL83" s="2849"/>
      <c r="AM83" s="2849"/>
      <c r="AN83" s="2849"/>
      <c r="AO83" s="2849"/>
      <c r="AP83" s="2849"/>
      <c r="AQ83" s="2849"/>
      <c r="AR83" s="2849"/>
      <c r="AS83" s="2849"/>
      <c r="AT83" s="2849"/>
      <c r="AU83" s="2849"/>
      <c r="AV83" s="2849"/>
      <c r="AW83" s="2849"/>
      <c r="AX83" s="2849"/>
      <c r="AY83" s="2849"/>
      <c r="AZ83" s="2849"/>
      <c r="BA83" s="2849"/>
      <c r="BB83" s="2850"/>
      <c r="BC83" s="1706"/>
      <c r="BD83" s="1706"/>
      <c r="BE83" s="1712"/>
    </row>
    <row r="84" spans="1:57" ht="15.75" customHeight="1" thickBot="1">
      <c r="A84" s="1706"/>
      <c r="B84" s="2854" t="s">
        <v>1941</v>
      </c>
      <c r="C84" s="2855"/>
      <c r="D84" s="2855"/>
      <c r="E84" s="2855"/>
      <c r="F84" s="2855"/>
      <c r="G84" s="2855"/>
      <c r="H84" s="2885"/>
      <c r="I84" s="2857"/>
      <c r="J84" s="2827"/>
      <c r="K84" s="2827"/>
      <c r="L84" s="2827"/>
      <c r="M84" s="2827"/>
      <c r="N84" s="2827"/>
      <c r="O84" s="2827"/>
      <c r="P84" s="2827"/>
      <c r="Q84" s="2827"/>
      <c r="R84" s="2827"/>
      <c r="S84" s="2827"/>
      <c r="T84" s="2827"/>
      <c r="U84" s="2827"/>
      <c r="V84" s="2827"/>
      <c r="W84" s="2827"/>
      <c r="X84" s="2827"/>
      <c r="Y84" s="2827"/>
      <c r="Z84" s="2827"/>
      <c r="AA84" s="2858"/>
      <c r="AB84" s="2827"/>
      <c r="AC84" s="2827"/>
      <c r="AD84" s="2827"/>
      <c r="AE84" s="2827"/>
      <c r="AF84" s="2827"/>
      <c r="AG84" s="2827"/>
      <c r="AH84" s="2886"/>
      <c r="AI84" s="1706"/>
      <c r="AJ84" s="2851"/>
      <c r="AK84" s="2852"/>
      <c r="AL84" s="2852"/>
      <c r="AM84" s="2852"/>
      <c r="AN84" s="2852"/>
      <c r="AO84" s="2852"/>
      <c r="AP84" s="2852"/>
      <c r="AQ84" s="2852"/>
      <c r="AR84" s="2852"/>
      <c r="AS84" s="2852"/>
      <c r="AT84" s="2852"/>
      <c r="AU84" s="2852"/>
      <c r="AV84" s="2852"/>
      <c r="AW84" s="2852"/>
      <c r="AX84" s="2852"/>
      <c r="AY84" s="2852"/>
      <c r="AZ84" s="2852"/>
      <c r="BA84" s="2852"/>
      <c r="BB84" s="2853"/>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8" t="s">
        <v>1943</v>
      </c>
      <c r="C88" s="2739"/>
      <c r="D88" s="2739"/>
      <c r="E88" s="2739"/>
      <c r="F88" s="2739"/>
      <c r="G88" s="2739"/>
      <c r="H88" s="2739"/>
      <c r="I88" s="2739"/>
      <c r="J88" s="2739"/>
      <c r="K88" s="2739"/>
      <c r="L88" s="2739"/>
      <c r="M88" s="2739"/>
      <c r="N88" s="2739"/>
      <c r="O88" s="2739"/>
      <c r="P88" s="2739"/>
      <c r="Q88" s="2739"/>
      <c r="R88" s="2739"/>
      <c r="S88" s="2739"/>
      <c r="T88" s="2739"/>
      <c r="U88" s="2739"/>
      <c r="V88" s="2739"/>
      <c r="W88" s="2739"/>
      <c r="X88" s="2739"/>
      <c r="Y88" s="2739"/>
      <c r="Z88" s="2739"/>
      <c r="AA88" s="2739"/>
      <c r="AB88" s="2739"/>
      <c r="AC88" s="2739"/>
      <c r="AD88" s="2739"/>
      <c r="AE88" s="2739"/>
      <c r="AF88" s="2739"/>
      <c r="AG88" s="2739"/>
      <c r="AH88" s="2740"/>
      <c r="AI88" s="1706"/>
      <c r="AJ88" s="2865" t="s">
        <v>2323</v>
      </c>
      <c r="AK88" s="2866"/>
      <c r="AL88" s="2866"/>
      <c r="AM88" s="2866"/>
      <c r="AN88" s="2866"/>
      <c r="AO88" s="2866"/>
      <c r="AP88" s="2866"/>
      <c r="AQ88" s="2866"/>
      <c r="AR88" s="2866"/>
      <c r="AS88" s="2866"/>
      <c r="AT88" s="2866"/>
      <c r="AU88" s="2866"/>
      <c r="AV88" s="2866"/>
      <c r="AW88" s="2866"/>
      <c r="AX88" s="2866"/>
      <c r="AY88" s="2808" t="s">
        <v>1890</v>
      </c>
      <c r="AZ88" s="2808"/>
      <c r="BA88" s="2808"/>
      <c r="BB88" s="2809"/>
      <c r="BC88" s="1706"/>
      <c r="BD88" s="1706"/>
      <c r="BE88" s="1712"/>
    </row>
    <row r="89" spans="1:57" ht="16.5" customHeight="1">
      <c r="A89" s="1706"/>
      <c r="B89" s="2738"/>
      <c r="C89" s="2739"/>
      <c r="D89" s="2739"/>
      <c r="E89" s="2739"/>
      <c r="F89" s="2739"/>
      <c r="G89" s="2739"/>
      <c r="H89" s="2739"/>
      <c r="I89" s="2875" t="s">
        <v>1938</v>
      </c>
      <c r="J89" s="2876"/>
      <c r="K89" s="2876"/>
      <c r="L89" s="2876"/>
      <c r="M89" s="2876"/>
      <c r="N89" s="2876"/>
      <c r="O89" s="2876" t="s">
        <v>1939</v>
      </c>
      <c r="P89" s="2876"/>
      <c r="Q89" s="2876"/>
      <c r="R89" s="2876"/>
      <c r="S89" s="2876"/>
      <c r="T89" s="2876"/>
      <c r="U89" s="2876"/>
      <c r="V89" s="2879" t="s">
        <v>2321</v>
      </c>
      <c r="W89" s="2879"/>
      <c r="X89" s="2879"/>
      <c r="Y89" s="2879"/>
      <c r="Z89" s="2879"/>
      <c r="AA89" s="2879"/>
      <c r="AB89" s="2881" t="s">
        <v>1940</v>
      </c>
      <c r="AC89" s="2881"/>
      <c r="AD89" s="2881"/>
      <c r="AE89" s="2881"/>
      <c r="AF89" s="2881"/>
      <c r="AG89" s="2881"/>
      <c r="AH89" s="2882"/>
      <c r="AI89" s="1706"/>
      <c r="AJ89" s="2867"/>
      <c r="AK89" s="2868"/>
      <c r="AL89" s="2868"/>
      <c r="AM89" s="2868"/>
      <c r="AN89" s="2868"/>
      <c r="AO89" s="2868"/>
      <c r="AP89" s="2868"/>
      <c r="AQ89" s="2868"/>
      <c r="AR89" s="2868"/>
      <c r="AS89" s="2868"/>
      <c r="AT89" s="2868"/>
      <c r="AU89" s="2868"/>
      <c r="AV89" s="2868"/>
      <c r="AW89" s="2868"/>
      <c r="AX89" s="2868"/>
      <c r="AY89" s="2871"/>
      <c r="AZ89" s="2871"/>
      <c r="BA89" s="2871"/>
      <c r="BB89" s="2872"/>
      <c r="BC89" s="1706"/>
      <c r="BD89" s="1706"/>
      <c r="BE89" s="1712"/>
    </row>
    <row r="90" spans="1:57" ht="16.5" customHeight="1" thickBot="1">
      <c r="A90" s="1706"/>
      <c r="B90" s="2790"/>
      <c r="C90" s="2791"/>
      <c r="D90" s="2791"/>
      <c r="E90" s="2791"/>
      <c r="F90" s="2791"/>
      <c r="G90" s="2791"/>
      <c r="H90" s="2791"/>
      <c r="I90" s="2877"/>
      <c r="J90" s="2878"/>
      <c r="K90" s="2878"/>
      <c r="L90" s="2878"/>
      <c r="M90" s="2878"/>
      <c r="N90" s="2878"/>
      <c r="O90" s="2878"/>
      <c r="P90" s="2878"/>
      <c r="Q90" s="2878"/>
      <c r="R90" s="2878"/>
      <c r="S90" s="2878"/>
      <c r="T90" s="2878"/>
      <c r="U90" s="2878"/>
      <c r="V90" s="2880"/>
      <c r="W90" s="2880"/>
      <c r="X90" s="2880"/>
      <c r="Y90" s="2880"/>
      <c r="Z90" s="2880"/>
      <c r="AA90" s="2880"/>
      <c r="AB90" s="2883"/>
      <c r="AC90" s="2883"/>
      <c r="AD90" s="2883"/>
      <c r="AE90" s="2883"/>
      <c r="AF90" s="2883"/>
      <c r="AG90" s="2883"/>
      <c r="AH90" s="2884"/>
      <c r="AI90" s="1706"/>
      <c r="AJ90" s="2867"/>
      <c r="AK90" s="2868"/>
      <c r="AL90" s="2868"/>
      <c r="AM90" s="2868"/>
      <c r="AN90" s="2868"/>
      <c r="AO90" s="2868"/>
      <c r="AP90" s="2868"/>
      <c r="AQ90" s="2868"/>
      <c r="AR90" s="2868"/>
      <c r="AS90" s="2868"/>
      <c r="AT90" s="2868"/>
      <c r="AU90" s="2868"/>
      <c r="AV90" s="2868"/>
      <c r="AW90" s="2868"/>
      <c r="AX90" s="2868"/>
      <c r="AY90" s="2871"/>
      <c r="AZ90" s="2871"/>
      <c r="BA90" s="2871"/>
      <c r="BB90" s="2872"/>
      <c r="BC90" s="1706"/>
      <c r="BD90" s="1706"/>
      <c r="BE90" s="1712"/>
    </row>
    <row r="91" spans="1:57" ht="15.75" customHeight="1" thickBot="1">
      <c r="A91" s="1706"/>
      <c r="B91" s="2732" t="s">
        <v>2302</v>
      </c>
      <c r="C91" s="2733"/>
      <c r="D91" s="2733"/>
      <c r="E91" s="2733"/>
      <c r="F91" s="2733"/>
      <c r="G91" s="2733"/>
      <c r="H91" s="2733"/>
      <c r="I91" s="2864"/>
      <c r="J91" s="2846"/>
      <c r="K91" s="2846"/>
      <c r="L91" s="2846"/>
      <c r="M91" s="2846"/>
      <c r="N91" s="2846"/>
      <c r="O91" s="2846"/>
      <c r="P91" s="2846"/>
      <c r="Q91" s="2846"/>
      <c r="R91" s="2846"/>
      <c r="S91" s="2846"/>
      <c r="T91" s="2846"/>
      <c r="U91" s="2846"/>
      <c r="V91" s="2846"/>
      <c r="W91" s="2846"/>
      <c r="X91" s="2846"/>
      <c r="Y91" s="2846"/>
      <c r="Z91" s="2846"/>
      <c r="AA91" s="2861"/>
      <c r="AB91" s="2862"/>
      <c r="AC91" s="2862"/>
      <c r="AD91" s="2862"/>
      <c r="AE91" s="2862"/>
      <c r="AF91" s="2862"/>
      <c r="AG91" s="2862"/>
      <c r="AH91" s="2863"/>
      <c r="AI91" s="1706"/>
      <c r="AJ91" s="2869"/>
      <c r="AK91" s="2870"/>
      <c r="AL91" s="2870"/>
      <c r="AM91" s="2870"/>
      <c r="AN91" s="2870"/>
      <c r="AO91" s="2870"/>
      <c r="AP91" s="2870"/>
      <c r="AQ91" s="2870"/>
      <c r="AR91" s="2870"/>
      <c r="AS91" s="2870"/>
      <c r="AT91" s="2870"/>
      <c r="AU91" s="2870"/>
      <c r="AV91" s="2870"/>
      <c r="AW91" s="2870"/>
      <c r="AX91" s="2870"/>
      <c r="AY91" s="2873"/>
      <c r="AZ91" s="2873"/>
      <c r="BA91" s="2873"/>
      <c r="BB91" s="2874"/>
      <c r="BC91" s="1706"/>
      <c r="BD91" s="1706"/>
      <c r="BE91" s="1712"/>
    </row>
    <row r="92" spans="1:57" ht="15.75" customHeight="1" thickBot="1">
      <c r="A92" s="1706"/>
      <c r="B92" s="2732" t="s">
        <v>2303</v>
      </c>
      <c r="C92" s="2733"/>
      <c r="D92" s="2733"/>
      <c r="E92" s="2733"/>
      <c r="F92" s="2733"/>
      <c r="G92" s="2733"/>
      <c r="H92" s="2733"/>
      <c r="I92" s="2864"/>
      <c r="J92" s="2846"/>
      <c r="K92" s="2846"/>
      <c r="L92" s="2846"/>
      <c r="M92" s="2846"/>
      <c r="N92" s="2846"/>
      <c r="O92" s="2846"/>
      <c r="P92" s="2846"/>
      <c r="Q92" s="2846"/>
      <c r="R92" s="2846"/>
      <c r="S92" s="2846"/>
      <c r="T92" s="2846"/>
      <c r="U92" s="2846"/>
      <c r="V92" s="2846"/>
      <c r="W92" s="2846"/>
      <c r="X92" s="2846"/>
      <c r="Y92" s="2846"/>
      <c r="Z92" s="2846"/>
      <c r="AA92" s="2861"/>
      <c r="AB92" s="2862"/>
      <c r="AC92" s="2862"/>
      <c r="AD92" s="2862"/>
      <c r="AE92" s="2862"/>
      <c r="AF92" s="2862"/>
      <c r="AG92" s="2862"/>
      <c r="AH92" s="2863"/>
      <c r="AI92" s="1706"/>
      <c r="AJ92" s="2848" t="s">
        <v>2322</v>
      </c>
      <c r="AK92" s="2849"/>
      <c r="AL92" s="2849"/>
      <c r="AM92" s="2849"/>
      <c r="AN92" s="2849"/>
      <c r="AO92" s="2849"/>
      <c r="AP92" s="2849"/>
      <c r="AQ92" s="2849"/>
      <c r="AR92" s="2849"/>
      <c r="AS92" s="2849"/>
      <c r="AT92" s="2849"/>
      <c r="AU92" s="2849"/>
      <c r="AV92" s="2849"/>
      <c r="AW92" s="2849"/>
      <c r="AX92" s="2849"/>
      <c r="AY92" s="2849"/>
      <c r="AZ92" s="2849"/>
      <c r="BA92" s="2849"/>
      <c r="BB92" s="2850"/>
      <c r="BC92" s="1706"/>
      <c r="BD92" s="1706"/>
      <c r="BE92" s="1712"/>
    </row>
    <row r="93" spans="1:57" ht="15.75" customHeight="1" thickBot="1">
      <c r="A93" s="1706"/>
      <c r="B93" s="2854" t="s">
        <v>1941</v>
      </c>
      <c r="C93" s="2855"/>
      <c r="D93" s="2855"/>
      <c r="E93" s="2855"/>
      <c r="F93" s="2855"/>
      <c r="G93" s="2855"/>
      <c r="H93" s="2856"/>
      <c r="I93" s="2857"/>
      <c r="J93" s="2827"/>
      <c r="K93" s="2827"/>
      <c r="L93" s="2827"/>
      <c r="M93" s="2827"/>
      <c r="N93" s="2827"/>
      <c r="O93" s="2827"/>
      <c r="P93" s="2827"/>
      <c r="Q93" s="2827"/>
      <c r="R93" s="2827"/>
      <c r="S93" s="2827"/>
      <c r="T93" s="2827"/>
      <c r="U93" s="2827"/>
      <c r="V93" s="2827"/>
      <c r="W93" s="2827"/>
      <c r="X93" s="2827"/>
      <c r="Y93" s="2827"/>
      <c r="Z93" s="2827"/>
      <c r="AA93" s="2858"/>
      <c r="AB93" s="2859"/>
      <c r="AC93" s="2859"/>
      <c r="AD93" s="2859"/>
      <c r="AE93" s="2859"/>
      <c r="AF93" s="2859"/>
      <c r="AG93" s="2859"/>
      <c r="AH93" s="2860"/>
      <c r="AI93" s="1706"/>
      <c r="AJ93" s="2851"/>
      <c r="AK93" s="2852"/>
      <c r="AL93" s="2852"/>
      <c r="AM93" s="2852"/>
      <c r="AN93" s="2852"/>
      <c r="AO93" s="2852"/>
      <c r="AP93" s="2852"/>
      <c r="AQ93" s="2852"/>
      <c r="AR93" s="2852"/>
      <c r="AS93" s="2852"/>
      <c r="AT93" s="2852"/>
      <c r="AU93" s="2852"/>
      <c r="AV93" s="2852"/>
      <c r="AW93" s="2852"/>
      <c r="AX93" s="2852"/>
      <c r="AY93" s="2852"/>
      <c r="AZ93" s="2852"/>
      <c r="BA93" s="2852"/>
      <c r="BB93" s="2853"/>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0" t="s">
        <v>2304</v>
      </c>
      <c r="Y96" s="2831"/>
      <c r="Z96" s="2831"/>
      <c r="AA96" s="2831"/>
      <c r="AB96" s="2831"/>
      <c r="AC96" s="2831"/>
      <c r="AD96" s="2831"/>
      <c r="AE96" s="2831"/>
      <c r="AF96" s="2831"/>
      <c r="AG96" s="2831"/>
      <c r="AH96" s="2831"/>
      <c r="AI96" s="2831"/>
      <c r="AJ96" s="2831"/>
      <c r="AK96" s="2831"/>
      <c r="AL96" s="2831"/>
      <c r="AM96" s="2831"/>
      <c r="AN96" s="2831"/>
      <c r="AO96" s="2831"/>
      <c r="AP96" s="2831"/>
      <c r="AQ96" s="2831"/>
      <c r="AR96" s="2831"/>
      <c r="AS96" s="2831"/>
      <c r="AT96" s="2831"/>
      <c r="AU96" s="2831"/>
      <c r="AV96" s="2831"/>
      <c r="AW96" s="2831"/>
      <c r="AX96" s="2831"/>
      <c r="AY96" s="2831"/>
      <c r="AZ96" s="2831"/>
      <c r="BA96" s="2831"/>
      <c r="BB96" s="2831"/>
      <c r="BC96" s="2831"/>
      <c r="BD96" s="2832"/>
      <c r="BE96" s="1712"/>
    </row>
    <row r="97" spans="1:57" ht="15.75" customHeight="1" thickBot="1">
      <c r="A97" s="1706"/>
      <c r="B97" s="2732" t="s">
        <v>1781</v>
      </c>
      <c r="C97" s="2733"/>
      <c r="D97" s="2733"/>
      <c r="E97" s="2733"/>
      <c r="F97" s="2733"/>
      <c r="G97" s="2733"/>
      <c r="H97" s="2733"/>
      <c r="I97" s="2733"/>
      <c r="J97" s="2733"/>
      <c r="K97" s="2733"/>
      <c r="L97" s="2733"/>
      <c r="M97" s="2733"/>
      <c r="N97" s="2733"/>
      <c r="O97" s="2733"/>
      <c r="P97" s="2733"/>
      <c r="Q97" s="2733"/>
      <c r="R97" s="2733"/>
      <c r="S97" s="2733"/>
      <c r="T97" s="2733"/>
      <c r="U97" s="2734"/>
      <c r="V97" s="1706"/>
      <c r="W97" s="1706"/>
      <c r="X97" s="2833"/>
      <c r="Y97" s="2834"/>
      <c r="Z97" s="2834"/>
      <c r="AA97" s="2834"/>
      <c r="AB97" s="2834"/>
      <c r="AC97" s="2834"/>
      <c r="AD97" s="2834"/>
      <c r="AE97" s="2834"/>
      <c r="AF97" s="2834"/>
      <c r="AG97" s="2834"/>
      <c r="AH97" s="2834"/>
      <c r="AI97" s="2834"/>
      <c r="AJ97" s="2834"/>
      <c r="AK97" s="2834"/>
      <c r="AL97" s="2834"/>
      <c r="AM97" s="2834"/>
      <c r="AN97" s="2834"/>
      <c r="AO97" s="2834"/>
      <c r="AP97" s="2834"/>
      <c r="AQ97" s="2834"/>
      <c r="AR97" s="2834"/>
      <c r="AS97" s="2834"/>
      <c r="AT97" s="2834"/>
      <c r="AU97" s="2834"/>
      <c r="AV97" s="2834"/>
      <c r="AW97" s="2834"/>
      <c r="AX97" s="2834"/>
      <c r="AY97" s="2834"/>
      <c r="AZ97" s="2834"/>
      <c r="BA97" s="2834"/>
      <c r="BB97" s="2834"/>
      <c r="BC97" s="2834"/>
      <c r="BD97" s="2835"/>
      <c r="BE97" s="1712"/>
    </row>
    <row r="98" spans="1:57" ht="15.75" customHeight="1" thickBot="1">
      <c r="A98" s="1706"/>
      <c r="B98" s="2732"/>
      <c r="C98" s="2733"/>
      <c r="D98" s="2733"/>
      <c r="E98" s="2733"/>
      <c r="F98" s="2733"/>
      <c r="G98" s="2733"/>
      <c r="H98" s="2734"/>
      <c r="I98" s="2732" t="s">
        <v>2305</v>
      </c>
      <c r="J98" s="2733"/>
      <c r="K98" s="2733"/>
      <c r="L98" s="2733"/>
      <c r="M98" s="2733"/>
      <c r="N98" s="2734"/>
      <c r="O98" s="2836" t="s">
        <v>2306</v>
      </c>
      <c r="P98" s="2837"/>
      <c r="Q98" s="2837"/>
      <c r="R98" s="2837"/>
      <c r="S98" s="2837"/>
      <c r="T98" s="2837"/>
      <c r="U98" s="2838"/>
      <c r="V98" s="1706"/>
      <c r="W98" s="1706"/>
      <c r="X98" s="2839" t="s">
        <v>2319</v>
      </c>
      <c r="Y98" s="2840"/>
      <c r="Z98" s="2840"/>
      <c r="AA98" s="2840"/>
      <c r="AB98" s="2840"/>
      <c r="AC98" s="2840"/>
      <c r="AD98" s="2840"/>
      <c r="AE98" s="2840"/>
      <c r="AF98" s="2840"/>
      <c r="AG98" s="2840"/>
      <c r="AH98" s="2840"/>
      <c r="AI98" s="2840"/>
      <c r="AJ98" s="2840"/>
      <c r="AK98" s="2840"/>
      <c r="AL98" s="2840"/>
      <c r="AM98" s="2840"/>
      <c r="AN98" s="2840"/>
      <c r="AO98" s="2840"/>
      <c r="AP98" s="2840"/>
      <c r="AQ98" s="2840"/>
      <c r="AR98" s="2840"/>
      <c r="AS98" s="2840"/>
      <c r="AT98" s="2840"/>
      <c r="AU98" s="2840"/>
      <c r="AV98" s="2840"/>
      <c r="AW98" s="2840"/>
      <c r="AX98" s="2840"/>
      <c r="AY98" s="2840"/>
      <c r="AZ98" s="2840"/>
      <c r="BA98" s="2840"/>
      <c r="BB98" s="2840"/>
      <c r="BC98" s="2840"/>
      <c r="BD98" s="2841"/>
      <c r="BE98" s="1712"/>
    </row>
    <row r="99" spans="1:57" ht="15.75" customHeight="1" thickBot="1">
      <c r="A99" s="1706"/>
      <c r="B99" s="2770" t="s">
        <v>2307</v>
      </c>
      <c r="C99" s="2771"/>
      <c r="D99" s="2771"/>
      <c r="E99" s="2771"/>
      <c r="F99" s="2771"/>
      <c r="G99" s="2771"/>
      <c r="H99" s="2772"/>
      <c r="I99" s="2845"/>
      <c r="J99" s="2846"/>
      <c r="K99" s="2846"/>
      <c r="L99" s="2846"/>
      <c r="M99" s="2846"/>
      <c r="N99" s="2846"/>
      <c r="O99" s="2846"/>
      <c r="P99" s="2846"/>
      <c r="Q99" s="2846"/>
      <c r="R99" s="2846"/>
      <c r="S99" s="2846"/>
      <c r="T99" s="2846"/>
      <c r="U99" s="2847"/>
      <c r="V99" s="1706"/>
      <c r="W99" s="1706"/>
      <c r="X99" s="2839"/>
      <c r="Y99" s="2840"/>
      <c r="Z99" s="2840"/>
      <c r="AA99" s="2840"/>
      <c r="AB99" s="2840"/>
      <c r="AC99" s="2840"/>
      <c r="AD99" s="2840"/>
      <c r="AE99" s="2840"/>
      <c r="AF99" s="2840"/>
      <c r="AG99" s="2840"/>
      <c r="AH99" s="2840"/>
      <c r="AI99" s="2840"/>
      <c r="AJ99" s="2840"/>
      <c r="AK99" s="2840"/>
      <c r="AL99" s="2840"/>
      <c r="AM99" s="2840"/>
      <c r="AN99" s="2840"/>
      <c r="AO99" s="2840"/>
      <c r="AP99" s="2840"/>
      <c r="AQ99" s="2840"/>
      <c r="AR99" s="2840"/>
      <c r="AS99" s="2840"/>
      <c r="AT99" s="2840"/>
      <c r="AU99" s="2840"/>
      <c r="AV99" s="2840"/>
      <c r="AW99" s="2840"/>
      <c r="AX99" s="2840"/>
      <c r="AY99" s="2840"/>
      <c r="AZ99" s="2840"/>
      <c r="BA99" s="2840"/>
      <c r="BB99" s="2840"/>
      <c r="BC99" s="2840"/>
      <c r="BD99" s="2841"/>
      <c r="BE99" s="1712"/>
    </row>
    <row r="100" spans="1:57" ht="15.75" customHeight="1" thickBot="1">
      <c r="A100" s="1706"/>
      <c r="B100" s="2770" t="s">
        <v>2308</v>
      </c>
      <c r="C100" s="2771"/>
      <c r="D100" s="2771"/>
      <c r="E100" s="2771"/>
      <c r="F100" s="2771"/>
      <c r="G100" s="2771"/>
      <c r="H100" s="2772"/>
      <c r="I100" s="2826"/>
      <c r="J100" s="2827"/>
      <c r="K100" s="2827"/>
      <c r="L100" s="2827"/>
      <c r="M100" s="2827"/>
      <c r="N100" s="2827"/>
      <c r="O100" s="2828"/>
      <c r="P100" s="2828"/>
      <c r="Q100" s="2828"/>
      <c r="R100" s="2828"/>
      <c r="S100" s="2828"/>
      <c r="T100" s="2828"/>
      <c r="U100" s="2829"/>
      <c r="V100" s="1706"/>
      <c r="W100" s="1706"/>
      <c r="X100" s="2839"/>
      <c r="Y100" s="2840"/>
      <c r="Z100" s="2840"/>
      <c r="AA100" s="2840"/>
      <c r="AB100" s="2840"/>
      <c r="AC100" s="2840"/>
      <c r="AD100" s="2840"/>
      <c r="AE100" s="2840"/>
      <c r="AF100" s="2840"/>
      <c r="AG100" s="2840"/>
      <c r="AH100" s="2840"/>
      <c r="AI100" s="2840"/>
      <c r="AJ100" s="2840"/>
      <c r="AK100" s="2840"/>
      <c r="AL100" s="2840"/>
      <c r="AM100" s="2840"/>
      <c r="AN100" s="2840"/>
      <c r="AO100" s="2840"/>
      <c r="AP100" s="2840"/>
      <c r="AQ100" s="2840"/>
      <c r="AR100" s="2840"/>
      <c r="AS100" s="2840"/>
      <c r="AT100" s="2840"/>
      <c r="AU100" s="2840"/>
      <c r="AV100" s="2840"/>
      <c r="AW100" s="2840"/>
      <c r="AX100" s="2840"/>
      <c r="AY100" s="2840"/>
      <c r="AZ100" s="2840"/>
      <c r="BA100" s="2840"/>
      <c r="BB100" s="2840"/>
      <c r="BC100" s="2840"/>
      <c r="BD100" s="284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9"/>
      <c r="Y101" s="2840"/>
      <c r="Z101" s="2840"/>
      <c r="AA101" s="2840"/>
      <c r="AB101" s="2840"/>
      <c r="AC101" s="2840"/>
      <c r="AD101" s="2840"/>
      <c r="AE101" s="2840"/>
      <c r="AF101" s="2840"/>
      <c r="AG101" s="2840"/>
      <c r="AH101" s="2840"/>
      <c r="AI101" s="2840"/>
      <c r="AJ101" s="2840"/>
      <c r="AK101" s="2840"/>
      <c r="AL101" s="2840"/>
      <c r="AM101" s="2840"/>
      <c r="AN101" s="2840"/>
      <c r="AO101" s="2840"/>
      <c r="AP101" s="2840"/>
      <c r="AQ101" s="2840"/>
      <c r="AR101" s="2840"/>
      <c r="AS101" s="2840"/>
      <c r="AT101" s="2840"/>
      <c r="AU101" s="2840"/>
      <c r="AV101" s="2840"/>
      <c r="AW101" s="2840"/>
      <c r="AX101" s="2840"/>
      <c r="AY101" s="2840"/>
      <c r="AZ101" s="2840"/>
      <c r="BA101" s="2840"/>
      <c r="BB101" s="2840"/>
      <c r="BC101" s="2840"/>
      <c r="BD101" s="2841"/>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9"/>
      <c r="Y102" s="2840"/>
      <c r="Z102" s="2840"/>
      <c r="AA102" s="2840"/>
      <c r="AB102" s="2840"/>
      <c r="AC102" s="2840"/>
      <c r="AD102" s="2840"/>
      <c r="AE102" s="2840"/>
      <c r="AF102" s="2840"/>
      <c r="AG102" s="2840"/>
      <c r="AH102" s="2840"/>
      <c r="AI102" s="2840"/>
      <c r="AJ102" s="2840"/>
      <c r="AK102" s="2840"/>
      <c r="AL102" s="2840"/>
      <c r="AM102" s="2840"/>
      <c r="AN102" s="2840"/>
      <c r="AO102" s="2840"/>
      <c r="AP102" s="2840"/>
      <c r="AQ102" s="2840"/>
      <c r="AR102" s="2840"/>
      <c r="AS102" s="2840"/>
      <c r="AT102" s="2840"/>
      <c r="AU102" s="2840"/>
      <c r="AV102" s="2840"/>
      <c r="AW102" s="2840"/>
      <c r="AX102" s="2840"/>
      <c r="AY102" s="2840"/>
      <c r="AZ102" s="2840"/>
      <c r="BA102" s="2840"/>
      <c r="BB102" s="2840"/>
      <c r="BC102" s="2840"/>
      <c r="BD102" s="284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9"/>
      <c r="Y103" s="2840"/>
      <c r="Z103" s="2840"/>
      <c r="AA103" s="2840"/>
      <c r="AB103" s="2840"/>
      <c r="AC103" s="2840"/>
      <c r="AD103" s="2840"/>
      <c r="AE103" s="2840"/>
      <c r="AF103" s="2840"/>
      <c r="AG103" s="2840"/>
      <c r="AH103" s="2840"/>
      <c r="AI103" s="2840"/>
      <c r="AJ103" s="2840"/>
      <c r="AK103" s="2840"/>
      <c r="AL103" s="2840"/>
      <c r="AM103" s="2840"/>
      <c r="AN103" s="2840"/>
      <c r="AO103" s="2840"/>
      <c r="AP103" s="2840"/>
      <c r="AQ103" s="2840"/>
      <c r="AR103" s="2840"/>
      <c r="AS103" s="2840"/>
      <c r="AT103" s="2840"/>
      <c r="AU103" s="2840"/>
      <c r="AV103" s="2840"/>
      <c r="AW103" s="2840"/>
      <c r="AX103" s="2840"/>
      <c r="AY103" s="2840"/>
      <c r="AZ103" s="2840"/>
      <c r="BA103" s="2840"/>
      <c r="BB103" s="2840"/>
      <c r="BC103" s="2840"/>
      <c r="BD103" s="2841"/>
      <c r="BE103" s="1712"/>
    </row>
    <row r="104" spans="1:57" ht="15.75" customHeight="1">
      <c r="A104" s="1706"/>
      <c r="B104" s="2776" t="s">
        <v>1946</v>
      </c>
      <c r="C104" s="2777"/>
      <c r="D104" s="2777"/>
      <c r="E104" s="2777"/>
      <c r="F104" s="2777"/>
      <c r="G104" s="2777"/>
      <c r="H104" s="2777"/>
      <c r="I104" s="2777"/>
      <c r="J104" s="2777"/>
      <c r="K104" s="2777"/>
      <c r="L104" s="2777"/>
      <c r="M104" s="2777"/>
      <c r="N104" s="2777"/>
      <c r="O104" s="2777"/>
      <c r="P104" s="2777"/>
      <c r="Q104" s="2777"/>
      <c r="R104" s="2777"/>
      <c r="S104" s="2777"/>
      <c r="T104" s="2777"/>
      <c r="U104" s="2825"/>
      <c r="V104" s="1706"/>
      <c r="W104" s="1706"/>
      <c r="X104" s="2839"/>
      <c r="Y104" s="2840"/>
      <c r="Z104" s="2840"/>
      <c r="AA104" s="2840"/>
      <c r="AB104" s="2840"/>
      <c r="AC104" s="2840"/>
      <c r="AD104" s="2840"/>
      <c r="AE104" s="2840"/>
      <c r="AF104" s="2840"/>
      <c r="AG104" s="2840"/>
      <c r="AH104" s="2840"/>
      <c r="AI104" s="2840"/>
      <c r="AJ104" s="2840"/>
      <c r="AK104" s="2840"/>
      <c r="AL104" s="2840"/>
      <c r="AM104" s="2840"/>
      <c r="AN104" s="2840"/>
      <c r="AO104" s="2840"/>
      <c r="AP104" s="2840"/>
      <c r="AQ104" s="2840"/>
      <c r="AR104" s="2840"/>
      <c r="AS104" s="2840"/>
      <c r="AT104" s="2840"/>
      <c r="AU104" s="2840"/>
      <c r="AV104" s="2840"/>
      <c r="AW104" s="2840"/>
      <c r="AX104" s="2840"/>
      <c r="AY104" s="2840"/>
      <c r="AZ104" s="2840"/>
      <c r="BA104" s="2840"/>
      <c r="BB104" s="2840"/>
      <c r="BC104" s="2840"/>
      <c r="BD104" s="2841"/>
      <c r="BE104" s="1712"/>
    </row>
    <row r="105" spans="1:57" ht="15.75" customHeight="1">
      <c r="A105" s="1706"/>
      <c r="B105" s="2787"/>
      <c r="C105" s="2788"/>
      <c r="D105" s="2788"/>
      <c r="E105" s="2788"/>
      <c r="F105" s="2788"/>
      <c r="G105" s="2788"/>
      <c r="H105" s="2789"/>
      <c r="I105" s="2793" t="s">
        <v>1939</v>
      </c>
      <c r="J105" s="2794"/>
      <c r="K105" s="2794"/>
      <c r="L105" s="2794"/>
      <c r="M105" s="2794"/>
      <c r="N105" s="2794"/>
      <c r="O105" s="2795"/>
      <c r="P105" s="2799" t="s">
        <v>2321</v>
      </c>
      <c r="Q105" s="2800"/>
      <c r="R105" s="2800"/>
      <c r="S105" s="2800"/>
      <c r="T105" s="2800"/>
      <c r="U105" s="2801"/>
      <c r="V105" s="1706"/>
      <c r="W105" s="1706"/>
      <c r="X105" s="2839"/>
      <c r="Y105" s="2840"/>
      <c r="Z105" s="2840"/>
      <c r="AA105" s="2840"/>
      <c r="AB105" s="2840"/>
      <c r="AC105" s="2840"/>
      <c r="AD105" s="2840"/>
      <c r="AE105" s="2840"/>
      <c r="AF105" s="2840"/>
      <c r="AG105" s="2840"/>
      <c r="AH105" s="2840"/>
      <c r="AI105" s="2840"/>
      <c r="AJ105" s="2840"/>
      <c r="AK105" s="2840"/>
      <c r="AL105" s="2840"/>
      <c r="AM105" s="2840"/>
      <c r="AN105" s="2840"/>
      <c r="AO105" s="2840"/>
      <c r="AP105" s="2840"/>
      <c r="AQ105" s="2840"/>
      <c r="AR105" s="2840"/>
      <c r="AS105" s="2840"/>
      <c r="AT105" s="2840"/>
      <c r="AU105" s="2840"/>
      <c r="AV105" s="2840"/>
      <c r="AW105" s="2840"/>
      <c r="AX105" s="2840"/>
      <c r="AY105" s="2840"/>
      <c r="AZ105" s="2840"/>
      <c r="BA105" s="2840"/>
      <c r="BB105" s="2840"/>
      <c r="BC105" s="2840"/>
      <c r="BD105" s="2841"/>
      <c r="BE105" s="1712"/>
    </row>
    <row r="106" spans="1:57" ht="15.75" customHeight="1" thickBot="1">
      <c r="A106" s="1706"/>
      <c r="B106" s="2790"/>
      <c r="C106" s="2791"/>
      <c r="D106" s="2791"/>
      <c r="E106" s="2791"/>
      <c r="F106" s="2791"/>
      <c r="G106" s="2791"/>
      <c r="H106" s="2792"/>
      <c r="I106" s="2796"/>
      <c r="J106" s="2797"/>
      <c r="K106" s="2797"/>
      <c r="L106" s="2797"/>
      <c r="M106" s="2797"/>
      <c r="N106" s="2797"/>
      <c r="O106" s="2798"/>
      <c r="P106" s="2802"/>
      <c r="Q106" s="2803"/>
      <c r="R106" s="2803"/>
      <c r="S106" s="2803"/>
      <c r="T106" s="2803"/>
      <c r="U106" s="2804"/>
      <c r="V106" s="1706"/>
      <c r="W106" s="1706"/>
      <c r="X106" s="2839"/>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0"/>
      <c r="AY106" s="2840"/>
      <c r="AZ106" s="2840"/>
      <c r="BA106" s="2840"/>
      <c r="BB106" s="2840"/>
      <c r="BC106" s="2840"/>
      <c r="BD106" s="2841"/>
      <c r="BE106" s="1712"/>
    </row>
    <row r="107" spans="1:57" ht="15.75" customHeight="1" thickBot="1">
      <c r="A107" s="1706"/>
      <c r="B107" s="2770" t="s">
        <v>2307</v>
      </c>
      <c r="C107" s="2771"/>
      <c r="D107" s="2771"/>
      <c r="E107" s="2771"/>
      <c r="F107" s="2771"/>
      <c r="G107" s="2771"/>
      <c r="H107" s="2772"/>
      <c r="I107" s="2773"/>
      <c r="J107" s="2774"/>
      <c r="K107" s="2774"/>
      <c r="L107" s="2774"/>
      <c r="M107" s="2774"/>
      <c r="N107" s="2774"/>
      <c r="O107" s="2775"/>
      <c r="P107" s="2773"/>
      <c r="Q107" s="2774"/>
      <c r="R107" s="2774"/>
      <c r="S107" s="2774"/>
      <c r="T107" s="2774"/>
      <c r="U107" s="2775"/>
      <c r="V107" s="1706"/>
      <c r="W107" s="1706"/>
      <c r="X107" s="2839"/>
      <c r="Y107" s="2840"/>
      <c r="Z107" s="2840"/>
      <c r="AA107" s="2840"/>
      <c r="AB107" s="2840"/>
      <c r="AC107" s="2840"/>
      <c r="AD107" s="2840"/>
      <c r="AE107" s="2840"/>
      <c r="AF107" s="2840"/>
      <c r="AG107" s="2840"/>
      <c r="AH107" s="2840"/>
      <c r="AI107" s="2840"/>
      <c r="AJ107" s="2840"/>
      <c r="AK107" s="2840"/>
      <c r="AL107" s="2840"/>
      <c r="AM107" s="2840"/>
      <c r="AN107" s="2840"/>
      <c r="AO107" s="2840"/>
      <c r="AP107" s="2840"/>
      <c r="AQ107" s="2840"/>
      <c r="AR107" s="2840"/>
      <c r="AS107" s="2840"/>
      <c r="AT107" s="2840"/>
      <c r="AU107" s="2840"/>
      <c r="AV107" s="2840"/>
      <c r="AW107" s="2840"/>
      <c r="AX107" s="2840"/>
      <c r="AY107" s="2840"/>
      <c r="AZ107" s="2840"/>
      <c r="BA107" s="2840"/>
      <c r="BB107" s="2840"/>
      <c r="BC107" s="2840"/>
      <c r="BD107" s="2841"/>
      <c r="BE107" s="1712"/>
    </row>
    <row r="108" spans="1:57" ht="15.75" customHeight="1" thickBot="1">
      <c r="A108" s="1706"/>
      <c r="B108" s="2770" t="s">
        <v>2308</v>
      </c>
      <c r="C108" s="2771"/>
      <c r="D108" s="2771"/>
      <c r="E108" s="2771"/>
      <c r="F108" s="2771"/>
      <c r="G108" s="2771"/>
      <c r="H108" s="2772"/>
      <c r="I108" s="2773"/>
      <c r="J108" s="2774"/>
      <c r="K108" s="2774"/>
      <c r="L108" s="2774"/>
      <c r="M108" s="2774"/>
      <c r="N108" s="2774"/>
      <c r="O108" s="2775"/>
      <c r="P108" s="2773"/>
      <c r="Q108" s="2774"/>
      <c r="R108" s="2774"/>
      <c r="S108" s="2774"/>
      <c r="T108" s="2774"/>
      <c r="U108" s="2775"/>
      <c r="V108" s="1706"/>
      <c r="W108" s="1706"/>
      <c r="X108" s="2842"/>
      <c r="Y108" s="2843"/>
      <c r="Z108" s="2843"/>
      <c r="AA108" s="2843"/>
      <c r="AB108" s="2843"/>
      <c r="AC108" s="2843"/>
      <c r="AD108" s="2843"/>
      <c r="AE108" s="2843"/>
      <c r="AF108" s="2843"/>
      <c r="AG108" s="2843"/>
      <c r="AH108" s="2843"/>
      <c r="AI108" s="2843"/>
      <c r="AJ108" s="2843"/>
      <c r="AK108" s="2843"/>
      <c r="AL108" s="2843"/>
      <c r="AM108" s="2843"/>
      <c r="AN108" s="2843"/>
      <c r="AO108" s="2843"/>
      <c r="AP108" s="2843"/>
      <c r="AQ108" s="2843"/>
      <c r="AR108" s="2843"/>
      <c r="AS108" s="2843"/>
      <c r="AT108" s="2843"/>
      <c r="AU108" s="2843"/>
      <c r="AV108" s="2843"/>
      <c r="AW108" s="2843"/>
      <c r="AX108" s="2843"/>
      <c r="AY108" s="2843"/>
      <c r="AZ108" s="2843"/>
      <c r="BA108" s="2843"/>
      <c r="BB108" s="2843"/>
      <c r="BC108" s="2843"/>
      <c r="BD108" s="284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5" t="s">
        <v>1947</v>
      </c>
      <c r="C110" s="2806"/>
      <c r="D110" s="2806"/>
      <c r="E110" s="2806"/>
      <c r="F110" s="2806"/>
      <c r="G110" s="2806"/>
      <c r="H110" s="2806"/>
      <c r="I110" s="2806"/>
      <c r="J110" s="2806"/>
      <c r="K110" s="2806"/>
      <c r="L110" s="2806"/>
      <c r="M110" s="2806"/>
      <c r="N110" s="2806"/>
      <c r="O110" s="2806"/>
      <c r="P110" s="2806"/>
      <c r="Q110" s="2806"/>
      <c r="R110" s="2807"/>
      <c r="S110" s="2807"/>
      <c r="T110" s="2807"/>
      <c r="U110" s="2807"/>
      <c r="V110" s="2807"/>
      <c r="W110" s="2807"/>
      <c r="X110" s="2807"/>
      <c r="Y110" s="2807"/>
      <c r="Z110" s="2807"/>
      <c r="AA110" s="2807"/>
      <c r="AB110" s="2807"/>
      <c r="AC110" s="2807"/>
      <c r="AD110" s="2807"/>
      <c r="AE110" s="2807"/>
      <c r="AF110" s="2807"/>
      <c r="AG110" s="2808" t="s">
        <v>1890</v>
      </c>
      <c r="AH110" s="2808"/>
      <c r="AI110" s="2808"/>
      <c r="AJ110" s="2809"/>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0" t="s">
        <v>1948</v>
      </c>
      <c r="C111" s="2811"/>
      <c r="D111" s="2811"/>
      <c r="E111" s="2811"/>
      <c r="F111" s="2811"/>
      <c r="G111" s="2811"/>
      <c r="H111" s="2811"/>
      <c r="I111" s="2811"/>
      <c r="J111" s="2811"/>
      <c r="K111" s="2811"/>
      <c r="L111" s="2811"/>
      <c r="M111" s="2811"/>
      <c r="N111" s="2811"/>
      <c r="O111" s="2811"/>
      <c r="P111" s="2811"/>
      <c r="Q111" s="2812"/>
      <c r="R111" s="2813" t="s">
        <v>2324</v>
      </c>
      <c r="S111" s="2814"/>
      <c r="T111" s="2814"/>
      <c r="U111" s="2814"/>
      <c r="V111" s="2814"/>
      <c r="W111" s="2814"/>
      <c r="X111" s="2814"/>
      <c r="Y111" s="2814"/>
      <c r="Z111" s="2814"/>
      <c r="AA111" s="2814"/>
      <c r="AB111" s="2814"/>
      <c r="AC111" s="2814"/>
      <c r="AD111" s="2814"/>
      <c r="AE111" s="2814"/>
      <c r="AF111" s="2814"/>
      <c r="AG111" s="2814"/>
      <c r="AH111" s="2814"/>
      <c r="AI111" s="2814"/>
      <c r="AJ111" s="2814"/>
      <c r="AK111" s="2814"/>
      <c r="AL111" s="2814"/>
      <c r="AM111" s="2814"/>
      <c r="AN111" s="2814"/>
      <c r="AO111" s="2814"/>
      <c r="AP111" s="2814"/>
      <c r="AQ111" s="2814"/>
      <c r="AR111" s="2814"/>
      <c r="AS111" s="2814"/>
      <c r="AT111" s="2814"/>
      <c r="AU111" s="2814"/>
      <c r="AV111" s="2814"/>
      <c r="AW111" s="2814"/>
      <c r="AX111" s="2815"/>
      <c r="AY111" s="1706"/>
      <c r="AZ111" s="1706"/>
      <c r="BA111" s="1706"/>
      <c r="BB111" s="1706"/>
      <c r="BC111" s="1706" t="s">
        <v>256</v>
      </c>
      <c r="BD111" s="1706"/>
      <c r="BE111" s="1712"/>
    </row>
    <row r="112" spans="1:57" ht="15.75" customHeight="1">
      <c r="A112" s="1706"/>
      <c r="B112" s="2816" t="s">
        <v>2325</v>
      </c>
      <c r="C112" s="2817"/>
      <c r="D112" s="2817"/>
      <c r="E112" s="2817"/>
      <c r="F112" s="2817"/>
      <c r="G112" s="2817"/>
      <c r="H112" s="2817"/>
      <c r="I112" s="2817"/>
      <c r="J112" s="2817"/>
      <c r="K112" s="2817"/>
      <c r="L112" s="2817"/>
      <c r="M112" s="2817"/>
      <c r="N112" s="2817"/>
      <c r="O112" s="2817"/>
      <c r="P112" s="2817"/>
      <c r="Q112" s="2817"/>
      <c r="R112" s="2817"/>
      <c r="S112" s="2817"/>
      <c r="T112" s="2817"/>
      <c r="U112" s="2817"/>
      <c r="V112" s="2817"/>
      <c r="W112" s="2817"/>
      <c r="X112" s="2817"/>
      <c r="Y112" s="2817"/>
      <c r="Z112" s="2817"/>
      <c r="AA112" s="2817"/>
      <c r="AB112" s="2817"/>
      <c r="AC112" s="2817"/>
      <c r="AD112" s="2817"/>
      <c r="AE112" s="2817"/>
      <c r="AF112" s="2817"/>
      <c r="AG112" s="2817"/>
      <c r="AH112" s="2817"/>
      <c r="AI112" s="2817"/>
      <c r="AJ112" s="2817"/>
      <c r="AK112" s="2817"/>
      <c r="AL112" s="2817"/>
      <c r="AM112" s="2817"/>
      <c r="AN112" s="2817"/>
      <c r="AO112" s="2817"/>
      <c r="AP112" s="2817"/>
      <c r="AQ112" s="2817"/>
      <c r="AR112" s="2817"/>
      <c r="AS112" s="2817"/>
      <c r="AT112" s="2817"/>
      <c r="AU112" s="2817"/>
      <c r="AV112" s="2817"/>
      <c r="AW112" s="2817"/>
      <c r="AX112" s="2818"/>
      <c r="AY112" s="1706"/>
      <c r="AZ112" s="1706"/>
      <c r="BA112" s="1706"/>
      <c r="BB112" s="1706"/>
      <c r="BC112" s="1706"/>
      <c r="BD112" s="1706"/>
      <c r="BE112" s="1712"/>
    </row>
    <row r="113" spans="1:57" ht="15.75" customHeight="1">
      <c r="A113" s="1706"/>
      <c r="B113" s="2819"/>
      <c r="C113" s="2820"/>
      <c r="D113" s="2820"/>
      <c r="E113" s="2820"/>
      <c r="F113" s="2820"/>
      <c r="G113" s="2820"/>
      <c r="H113" s="2820"/>
      <c r="I113" s="2820"/>
      <c r="J113" s="2820"/>
      <c r="K113" s="2820"/>
      <c r="L113" s="2820"/>
      <c r="M113" s="2820"/>
      <c r="N113" s="2820"/>
      <c r="O113" s="2820"/>
      <c r="P113" s="2820"/>
      <c r="Q113" s="2820"/>
      <c r="R113" s="2820"/>
      <c r="S113" s="2820"/>
      <c r="T113" s="2820"/>
      <c r="U113" s="2820"/>
      <c r="V113" s="2820"/>
      <c r="W113" s="2820"/>
      <c r="X113" s="2820"/>
      <c r="Y113" s="2820"/>
      <c r="Z113" s="2820"/>
      <c r="AA113" s="2820"/>
      <c r="AB113" s="2820"/>
      <c r="AC113" s="2820"/>
      <c r="AD113" s="2820"/>
      <c r="AE113" s="2820"/>
      <c r="AF113" s="2820"/>
      <c r="AG113" s="2820"/>
      <c r="AH113" s="2820"/>
      <c r="AI113" s="2820"/>
      <c r="AJ113" s="2820"/>
      <c r="AK113" s="2820"/>
      <c r="AL113" s="2820"/>
      <c r="AM113" s="2820"/>
      <c r="AN113" s="2820"/>
      <c r="AO113" s="2820"/>
      <c r="AP113" s="2820"/>
      <c r="AQ113" s="2820"/>
      <c r="AR113" s="2820"/>
      <c r="AS113" s="2820"/>
      <c r="AT113" s="2820"/>
      <c r="AU113" s="2820"/>
      <c r="AV113" s="2820"/>
      <c r="AW113" s="2820"/>
      <c r="AX113" s="2821"/>
      <c r="AY113" s="1706"/>
      <c r="AZ113" s="1706"/>
      <c r="BA113" s="1706"/>
      <c r="BB113" s="1706"/>
      <c r="BC113" s="1706"/>
      <c r="BD113" s="1706"/>
      <c r="BE113" s="1712"/>
    </row>
    <row r="114" spans="1:57" ht="15.75" customHeight="1">
      <c r="A114" s="1706"/>
      <c r="B114" s="2819"/>
      <c r="C114" s="2820"/>
      <c r="D114" s="2820"/>
      <c r="E114" s="2820"/>
      <c r="F114" s="2820"/>
      <c r="G114" s="2820"/>
      <c r="H114" s="2820"/>
      <c r="I114" s="2820"/>
      <c r="J114" s="2820"/>
      <c r="K114" s="2820"/>
      <c r="L114" s="2820"/>
      <c r="M114" s="2820"/>
      <c r="N114" s="2820"/>
      <c r="O114" s="2820"/>
      <c r="P114" s="2820"/>
      <c r="Q114" s="2820"/>
      <c r="R114" s="2820"/>
      <c r="S114" s="2820"/>
      <c r="T114" s="2820"/>
      <c r="U114" s="2820"/>
      <c r="V114" s="2820"/>
      <c r="W114" s="2820"/>
      <c r="X114" s="2820"/>
      <c r="Y114" s="2820"/>
      <c r="Z114" s="2820"/>
      <c r="AA114" s="2820"/>
      <c r="AB114" s="2820"/>
      <c r="AC114" s="2820"/>
      <c r="AD114" s="2820"/>
      <c r="AE114" s="2820"/>
      <c r="AF114" s="2820"/>
      <c r="AG114" s="2820"/>
      <c r="AH114" s="2820"/>
      <c r="AI114" s="2820"/>
      <c r="AJ114" s="2820"/>
      <c r="AK114" s="2820"/>
      <c r="AL114" s="2820"/>
      <c r="AM114" s="2820"/>
      <c r="AN114" s="2820"/>
      <c r="AO114" s="2820"/>
      <c r="AP114" s="2820"/>
      <c r="AQ114" s="2820"/>
      <c r="AR114" s="2820"/>
      <c r="AS114" s="2820"/>
      <c r="AT114" s="2820"/>
      <c r="AU114" s="2820"/>
      <c r="AV114" s="2820"/>
      <c r="AW114" s="2820"/>
      <c r="AX114" s="2821"/>
      <c r="AY114" s="1706"/>
      <c r="AZ114" s="1706"/>
      <c r="BA114" s="1706"/>
      <c r="BB114" s="1706"/>
      <c r="BC114" s="1706"/>
      <c r="BD114" s="1706"/>
      <c r="BE114" s="1712"/>
    </row>
    <row r="115" spans="1:57" ht="15.75" customHeight="1">
      <c r="A115" s="1706"/>
      <c r="B115" s="2819"/>
      <c r="C115" s="2820"/>
      <c r="D115" s="2820"/>
      <c r="E115" s="2820"/>
      <c r="F115" s="2820"/>
      <c r="G115" s="2820"/>
      <c r="H115" s="2820"/>
      <c r="I115" s="2820"/>
      <c r="J115" s="2820"/>
      <c r="K115" s="2820"/>
      <c r="L115" s="2820"/>
      <c r="M115" s="2820"/>
      <c r="N115" s="2820"/>
      <c r="O115" s="2820"/>
      <c r="P115" s="2820"/>
      <c r="Q115" s="2820"/>
      <c r="R115" s="2820"/>
      <c r="S115" s="2820"/>
      <c r="T115" s="2820"/>
      <c r="U115" s="2820"/>
      <c r="V115" s="2820"/>
      <c r="W115" s="2820"/>
      <c r="X115" s="2820"/>
      <c r="Y115" s="2820"/>
      <c r="Z115" s="2820"/>
      <c r="AA115" s="2820"/>
      <c r="AB115" s="2820"/>
      <c r="AC115" s="2820"/>
      <c r="AD115" s="2820"/>
      <c r="AE115" s="2820"/>
      <c r="AF115" s="2820"/>
      <c r="AG115" s="2820"/>
      <c r="AH115" s="2820"/>
      <c r="AI115" s="2820"/>
      <c r="AJ115" s="2820"/>
      <c r="AK115" s="2820"/>
      <c r="AL115" s="2820"/>
      <c r="AM115" s="2820"/>
      <c r="AN115" s="2820"/>
      <c r="AO115" s="2820"/>
      <c r="AP115" s="2820"/>
      <c r="AQ115" s="2820"/>
      <c r="AR115" s="2820"/>
      <c r="AS115" s="2820"/>
      <c r="AT115" s="2820"/>
      <c r="AU115" s="2820"/>
      <c r="AV115" s="2820"/>
      <c r="AW115" s="2820"/>
      <c r="AX115" s="2821"/>
      <c r="AY115" s="1706"/>
      <c r="AZ115" s="1706"/>
      <c r="BA115" s="1706"/>
      <c r="BB115" s="1706"/>
      <c r="BC115" s="1706"/>
      <c r="BD115" s="1706"/>
      <c r="BE115" s="1712"/>
    </row>
    <row r="116" spans="1:57" ht="15.75" customHeight="1">
      <c r="A116" s="1706"/>
      <c r="B116" s="2819"/>
      <c r="C116" s="2820"/>
      <c r="D116" s="2820"/>
      <c r="E116" s="2820"/>
      <c r="F116" s="2820"/>
      <c r="G116" s="2820"/>
      <c r="H116" s="2820"/>
      <c r="I116" s="2820"/>
      <c r="J116" s="2820"/>
      <c r="K116" s="2820"/>
      <c r="L116" s="2820"/>
      <c r="M116" s="2820"/>
      <c r="N116" s="2820"/>
      <c r="O116" s="2820"/>
      <c r="P116" s="2820"/>
      <c r="Q116" s="2820"/>
      <c r="R116" s="2820"/>
      <c r="S116" s="2820"/>
      <c r="T116" s="2820"/>
      <c r="U116" s="2820"/>
      <c r="V116" s="2820"/>
      <c r="W116" s="2820"/>
      <c r="X116" s="2820"/>
      <c r="Y116" s="2820"/>
      <c r="Z116" s="2820"/>
      <c r="AA116" s="2820"/>
      <c r="AB116" s="2820"/>
      <c r="AC116" s="2820"/>
      <c r="AD116" s="2820"/>
      <c r="AE116" s="2820"/>
      <c r="AF116" s="2820"/>
      <c r="AG116" s="2820"/>
      <c r="AH116" s="2820"/>
      <c r="AI116" s="2820"/>
      <c r="AJ116" s="2820"/>
      <c r="AK116" s="2820"/>
      <c r="AL116" s="2820"/>
      <c r="AM116" s="2820"/>
      <c r="AN116" s="2820"/>
      <c r="AO116" s="2820"/>
      <c r="AP116" s="2820"/>
      <c r="AQ116" s="2820"/>
      <c r="AR116" s="2820"/>
      <c r="AS116" s="2820"/>
      <c r="AT116" s="2820"/>
      <c r="AU116" s="2820"/>
      <c r="AV116" s="2820"/>
      <c r="AW116" s="2820"/>
      <c r="AX116" s="2821"/>
      <c r="AY116" s="1706"/>
      <c r="AZ116" s="1706"/>
      <c r="BA116" s="1706"/>
      <c r="BB116" s="1706"/>
      <c r="BC116" s="1706"/>
      <c r="BD116" s="1706"/>
      <c r="BE116" s="1712"/>
    </row>
    <row r="117" spans="1:57" ht="15.75" customHeight="1">
      <c r="A117" s="1706"/>
      <c r="B117" s="2819"/>
      <c r="C117" s="2820"/>
      <c r="D117" s="2820"/>
      <c r="E117" s="2820"/>
      <c r="F117" s="2820"/>
      <c r="G117" s="2820"/>
      <c r="H117" s="2820"/>
      <c r="I117" s="2820"/>
      <c r="J117" s="2820"/>
      <c r="K117" s="2820"/>
      <c r="L117" s="2820"/>
      <c r="M117" s="2820"/>
      <c r="N117" s="2820"/>
      <c r="O117" s="2820"/>
      <c r="P117" s="2820"/>
      <c r="Q117" s="2820"/>
      <c r="R117" s="2820"/>
      <c r="S117" s="2820"/>
      <c r="T117" s="2820"/>
      <c r="U117" s="2820"/>
      <c r="V117" s="2820"/>
      <c r="W117" s="2820"/>
      <c r="X117" s="2820"/>
      <c r="Y117" s="2820"/>
      <c r="Z117" s="2820"/>
      <c r="AA117" s="2820"/>
      <c r="AB117" s="2820"/>
      <c r="AC117" s="2820"/>
      <c r="AD117" s="2820"/>
      <c r="AE117" s="2820"/>
      <c r="AF117" s="2820"/>
      <c r="AG117" s="2820"/>
      <c r="AH117" s="2820"/>
      <c r="AI117" s="2820"/>
      <c r="AJ117" s="2820"/>
      <c r="AK117" s="2820"/>
      <c r="AL117" s="2820"/>
      <c r="AM117" s="2820"/>
      <c r="AN117" s="2820"/>
      <c r="AO117" s="2820"/>
      <c r="AP117" s="2820"/>
      <c r="AQ117" s="2820"/>
      <c r="AR117" s="2820"/>
      <c r="AS117" s="2820"/>
      <c r="AT117" s="2820"/>
      <c r="AU117" s="2820"/>
      <c r="AV117" s="2820"/>
      <c r="AW117" s="2820"/>
      <c r="AX117" s="2821"/>
      <c r="AY117" s="1706"/>
      <c r="AZ117" s="1706"/>
      <c r="BA117" s="1706"/>
      <c r="BB117" s="1706"/>
      <c r="BC117" s="1706"/>
      <c r="BD117" s="1706"/>
      <c r="BE117" s="1712"/>
    </row>
    <row r="118" spans="1:57" ht="15.75" customHeight="1">
      <c r="A118" s="1706"/>
      <c r="B118" s="2819"/>
      <c r="C118" s="2820"/>
      <c r="D118" s="2820"/>
      <c r="E118" s="2820"/>
      <c r="F118" s="2820"/>
      <c r="G118" s="2820"/>
      <c r="H118" s="2820"/>
      <c r="I118" s="2820"/>
      <c r="J118" s="2820"/>
      <c r="K118" s="2820"/>
      <c r="L118" s="2820"/>
      <c r="M118" s="2820"/>
      <c r="N118" s="2820"/>
      <c r="O118" s="2820"/>
      <c r="P118" s="2820"/>
      <c r="Q118" s="2820"/>
      <c r="R118" s="2820"/>
      <c r="S118" s="2820"/>
      <c r="T118" s="2820"/>
      <c r="U118" s="2820"/>
      <c r="V118" s="2820"/>
      <c r="W118" s="2820"/>
      <c r="X118" s="2820"/>
      <c r="Y118" s="2820"/>
      <c r="Z118" s="2820"/>
      <c r="AA118" s="2820"/>
      <c r="AB118" s="2820"/>
      <c r="AC118" s="2820"/>
      <c r="AD118" s="2820"/>
      <c r="AE118" s="2820"/>
      <c r="AF118" s="2820"/>
      <c r="AG118" s="2820"/>
      <c r="AH118" s="2820"/>
      <c r="AI118" s="2820"/>
      <c r="AJ118" s="2820"/>
      <c r="AK118" s="2820"/>
      <c r="AL118" s="2820"/>
      <c r="AM118" s="2820"/>
      <c r="AN118" s="2820"/>
      <c r="AO118" s="2820"/>
      <c r="AP118" s="2820"/>
      <c r="AQ118" s="2820"/>
      <c r="AR118" s="2820"/>
      <c r="AS118" s="2820"/>
      <c r="AT118" s="2820"/>
      <c r="AU118" s="2820"/>
      <c r="AV118" s="2820"/>
      <c r="AW118" s="2820"/>
      <c r="AX118" s="2821"/>
      <c r="AY118" s="1706"/>
      <c r="AZ118" s="1706"/>
      <c r="BA118" s="1706"/>
      <c r="BB118" s="1706"/>
      <c r="BC118" s="1706"/>
      <c r="BD118" s="1706"/>
      <c r="BE118" s="1712"/>
    </row>
    <row r="119" spans="1:57" ht="15.75" customHeight="1">
      <c r="A119" s="1706"/>
      <c r="B119" s="2819"/>
      <c r="C119" s="2820"/>
      <c r="D119" s="2820"/>
      <c r="E119" s="2820"/>
      <c r="F119" s="2820"/>
      <c r="G119" s="2820"/>
      <c r="H119" s="2820"/>
      <c r="I119" s="2820"/>
      <c r="J119" s="2820"/>
      <c r="K119" s="2820"/>
      <c r="L119" s="2820"/>
      <c r="M119" s="2820"/>
      <c r="N119" s="2820"/>
      <c r="O119" s="2820"/>
      <c r="P119" s="2820"/>
      <c r="Q119" s="2820"/>
      <c r="R119" s="2820"/>
      <c r="S119" s="2820"/>
      <c r="T119" s="2820"/>
      <c r="U119" s="2820"/>
      <c r="V119" s="2820"/>
      <c r="W119" s="2820"/>
      <c r="X119" s="2820"/>
      <c r="Y119" s="2820"/>
      <c r="Z119" s="2820"/>
      <c r="AA119" s="2820"/>
      <c r="AB119" s="2820"/>
      <c r="AC119" s="2820"/>
      <c r="AD119" s="2820"/>
      <c r="AE119" s="2820"/>
      <c r="AF119" s="2820"/>
      <c r="AG119" s="2820"/>
      <c r="AH119" s="2820"/>
      <c r="AI119" s="2820"/>
      <c r="AJ119" s="2820"/>
      <c r="AK119" s="2820"/>
      <c r="AL119" s="2820"/>
      <c r="AM119" s="2820"/>
      <c r="AN119" s="2820"/>
      <c r="AO119" s="2820"/>
      <c r="AP119" s="2820"/>
      <c r="AQ119" s="2820"/>
      <c r="AR119" s="2820"/>
      <c r="AS119" s="2820"/>
      <c r="AT119" s="2820"/>
      <c r="AU119" s="2820"/>
      <c r="AV119" s="2820"/>
      <c r="AW119" s="2820"/>
      <c r="AX119" s="2821"/>
      <c r="AY119" s="1706"/>
      <c r="AZ119" s="1706"/>
      <c r="BA119" s="1706"/>
      <c r="BB119" s="1706"/>
      <c r="BC119" s="1706"/>
      <c r="BD119" s="1706"/>
      <c r="BE119" s="1712"/>
    </row>
    <row r="120" spans="1:57" ht="15.75" customHeight="1">
      <c r="A120" s="1706"/>
      <c r="B120" s="2819"/>
      <c r="C120" s="2820"/>
      <c r="D120" s="2820"/>
      <c r="E120" s="2820"/>
      <c r="F120" s="2820"/>
      <c r="G120" s="2820"/>
      <c r="H120" s="2820"/>
      <c r="I120" s="2820"/>
      <c r="J120" s="2820"/>
      <c r="K120" s="2820"/>
      <c r="L120" s="2820"/>
      <c r="M120" s="2820"/>
      <c r="N120" s="2820"/>
      <c r="O120" s="2820"/>
      <c r="P120" s="2820"/>
      <c r="Q120" s="2820"/>
      <c r="R120" s="2820"/>
      <c r="S120" s="2820"/>
      <c r="T120" s="2820"/>
      <c r="U120" s="2820"/>
      <c r="V120" s="2820"/>
      <c r="W120" s="2820"/>
      <c r="X120" s="2820"/>
      <c r="Y120" s="2820"/>
      <c r="Z120" s="2820"/>
      <c r="AA120" s="2820"/>
      <c r="AB120" s="2820"/>
      <c r="AC120" s="2820"/>
      <c r="AD120" s="2820"/>
      <c r="AE120" s="2820"/>
      <c r="AF120" s="2820"/>
      <c r="AG120" s="2820"/>
      <c r="AH120" s="2820"/>
      <c r="AI120" s="2820"/>
      <c r="AJ120" s="2820"/>
      <c r="AK120" s="2820"/>
      <c r="AL120" s="2820"/>
      <c r="AM120" s="2820"/>
      <c r="AN120" s="2820"/>
      <c r="AO120" s="2820"/>
      <c r="AP120" s="2820"/>
      <c r="AQ120" s="2820"/>
      <c r="AR120" s="2820"/>
      <c r="AS120" s="2820"/>
      <c r="AT120" s="2820"/>
      <c r="AU120" s="2820"/>
      <c r="AV120" s="2820"/>
      <c r="AW120" s="2820"/>
      <c r="AX120" s="2821"/>
      <c r="AY120" s="1706"/>
      <c r="AZ120" s="1706"/>
      <c r="BA120" s="1706"/>
      <c r="BB120" s="1706"/>
      <c r="BC120" s="1706"/>
      <c r="BD120" s="1706"/>
      <c r="BE120" s="1712"/>
    </row>
    <row r="121" spans="1:57" ht="15.75" customHeight="1" thickBot="1">
      <c r="A121" s="1706"/>
      <c r="B121" s="2822"/>
      <c r="C121" s="2823"/>
      <c r="D121" s="2823"/>
      <c r="E121" s="2823"/>
      <c r="F121" s="2823"/>
      <c r="G121" s="2823"/>
      <c r="H121" s="2823"/>
      <c r="I121" s="2823"/>
      <c r="J121" s="2823"/>
      <c r="K121" s="2823"/>
      <c r="L121" s="2823"/>
      <c r="M121" s="2823"/>
      <c r="N121" s="2823"/>
      <c r="O121" s="2823"/>
      <c r="P121" s="2823"/>
      <c r="Q121" s="2823"/>
      <c r="R121" s="2823"/>
      <c r="S121" s="2823"/>
      <c r="T121" s="2823"/>
      <c r="U121" s="2823"/>
      <c r="V121" s="2823"/>
      <c r="W121" s="2823"/>
      <c r="X121" s="2823"/>
      <c r="Y121" s="2823"/>
      <c r="Z121" s="2823"/>
      <c r="AA121" s="2823"/>
      <c r="AB121" s="2823"/>
      <c r="AC121" s="2823"/>
      <c r="AD121" s="2823"/>
      <c r="AE121" s="2823"/>
      <c r="AF121" s="2823"/>
      <c r="AG121" s="2823"/>
      <c r="AH121" s="2823"/>
      <c r="AI121" s="2823"/>
      <c r="AJ121" s="2823"/>
      <c r="AK121" s="2823"/>
      <c r="AL121" s="2823"/>
      <c r="AM121" s="2823"/>
      <c r="AN121" s="2823"/>
      <c r="AO121" s="2823"/>
      <c r="AP121" s="2823"/>
      <c r="AQ121" s="2823"/>
      <c r="AR121" s="2823"/>
      <c r="AS121" s="2823"/>
      <c r="AT121" s="2823"/>
      <c r="AU121" s="2823"/>
      <c r="AV121" s="2823"/>
      <c r="AW121" s="2823"/>
      <c r="AX121" s="2824"/>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2326</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6" t="s">
        <v>1950</v>
      </c>
      <c r="C125" s="2777"/>
      <c r="D125" s="2777"/>
      <c r="E125" s="2777"/>
      <c r="F125" s="2777"/>
      <c r="G125" s="2777"/>
      <c r="H125" s="2777"/>
      <c r="I125" s="2777"/>
      <c r="J125" s="2777"/>
      <c r="K125" s="2777"/>
      <c r="L125" s="2777"/>
      <c r="M125" s="2777"/>
      <c r="N125" s="2777"/>
      <c r="O125" s="2777"/>
      <c r="P125" s="2777"/>
      <c r="Q125" s="2777"/>
      <c r="R125" s="2777"/>
      <c r="S125" s="2777"/>
      <c r="T125" s="2777"/>
      <c r="U125" s="2825"/>
      <c r="V125" s="1706"/>
      <c r="W125" s="1708"/>
      <c r="X125" s="2776" t="s">
        <v>2327</v>
      </c>
      <c r="Y125" s="2777"/>
      <c r="Z125" s="2777"/>
      <c r="AA125" s="2777"/>
      <c r="AB125" s="2777"/>
      <c r="AC125" s="2777"/>
      <c r="AD125" s="2777"/>
      <c r="AE125" s="2777"/>
      <c r="AF125" s="2777"/>
      <c r="AG125" s="2777"/>
      <c r="AH125" s="2777"/>
      <c r="AI125" s="2777"/>
      <c r="AJ125" s="2777"/>
      <c r="AK125" s="2777"/>
      <c r="AL125" s="2777"/>
      <c r="AM125" s="2777"/>
      <c r="AN125" s="2777"/>
      <c r="AO125" s="2777"/>
      <c r="AP125" s="2777"/>
      <c r="AQ125" s="2825"/>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7"/>
      <c r="C126" s="2788"/>
      <c r="D126" s="2788"/>
      <c r="E126" s="2788"/>
      <c r="F126" s="2788"/>
      <c r="G126" s="2788"/>
      <c r="H126" s="2789"/>
      <c r="I126" s="2793" t="s">
        <v>1939</v>
      </c>
      <c r="J126" s="2794"/>
      <c r="K126" s="2794"/>
      <c r="L126" s="2794"/>
      <c r="M126" s="2794"/>
      <c r="N126" s="2794"/>
      <c r="O126" s="2795"/>
      <c r="P126" s="2799" t="s">
        <v>2328</v>
      </c>
      <c r="Q126" s="2800"/>
      <c r="R126" s="2800"/>
      <c r="S126" s="2800"/>
      <c r="T126" s="2800"/>
      <c r="U126" s="2801"/>
      <c r="V126" s="1706"/>
      <c r="W126" s="1706"/>
      <c r="X126" s="2787"/>
      <c r="Y126" s="2788"/>
      <c r="Z126" s="2788"/>
      <c r="AA126" s="2788"/>
      <c r="AB126" s="2788"/>
      <c r="AC126" s="2788"/>
      <c r="AD126" s="2789"/>
      <c r="AE126" s="2793" t="s">
        <v>1939</v>
      </c>
      <c r="AF126" s="2794"/>
      <c r="AG126" s="2794"/>
      <c r="AH126" s="2794"/>
      <c r="AI126" s="2794"/>
      <c r="AJ126" s="2794"/>
      <c r="AK126" s="2795"/>
      <c r="AL126" s="2799" t="s">
        <v>2321</v>
      </c>
      <c r="AM126" s="2800"/>
      <c r="AN126" s="2800"/>
      <c r="AO126" s="2800"/>
      <c r="AP126" s="2800"/>
      <c r="AQ126" s="2801"/>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0"/>
      <c r="C127" s="2791"/>
      <c r="D127" s="2791"/>
      <c r="E127" s="2791"/>
      <c r="F127" s="2791"/>
      <c r="G127" s="2791"/>
      <c r="H127" s="2792"/>
      <c r="I127" s="2796"/>
      <c r="J127" s="2797"/>
      <c r="K127" s="2797"/>
      <c r="L127" s="2797"/>
      <c r="M127" s="2797"/>
      <c r="N127" s="2797"/>
      <c r="O127" s="2798"/>
      <c r="P127" s="2802"/>
      <c r="Q127" s="2803"/>
      <c r="R127" s="2803"/>
      <c r="S127" s="2803"/>
      <c r="T127" s="2803"/>
      <c r="U127" s="2804"/>
      <c r="V127" s="1706"/>
      <c r="W127" s="1706"/>
      <c r="X127" s="2790"/>
      <c r="Y127" s="2791"/>
      <c r="Z127" s="2791"/>
      <c r="AA127" s="2791"/>
      <c r="AB127" s="2791"/>
      <c r="AC127" s="2791"/>
      <c r="AD127" s="2792"/>
      <c r="AE127" s="2796"/>
      <c r="AF127" s="2797"/>
      <c r="AG127" s="2797"/>
      <c r="AH127" s="2797"/>
      <c r="AI127" s="2797"/>
      <c r="AJ127" s="2797"/>
      <c r="AK127" s="2798"/>
      <c r="AL127" s="2802"/>
      <c r="AM127" s="2803"/>
      <c r="AN127" s="2803"/>
      <c r="AO127" s="2803"/>
      <c r="AP127" s="2803"/>
      <c r="AQ127" s="2804"/>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0" t="s">
        <v>2307</v>
      </c>
      <c r="C128" s="2771"/>
      <c r="D128" s="2771"/>
      <c r="E128" s="2771"/>
      <c r="F128" s="2771"/>
      <c r="G128" s="2771"/>
      <c r="H128" s="2772"/>
      <c r="I128" s="2773"/>
      <c r="J128" s="2774"/>
      <c r="K128" s="2774"/>
      <c r="L128" s="2774"/>
      <c r="M128" s="2774"/>
      <c r="N128" s="2774"/>
      <c r="O128" s="2775"/>
      <c r="P128" s="2773"/>
      <c r="Q128" s="2774"/>
      <c r="R128" s="2774"/>
      <c r="S128" s="2774"/>
      <c r="T128" s="2774"/>
      <c r="U128" s="2775"/>
      <c r="V128" s="1706"/>
      <c r="W128" s="1706"/>
      <c r="X128" s="2770" t="s">
        <v>2307</v>
      </c>
      <c r="Y128" s="2771"/>
      <c r="Z128" s="2771"/>
      <c r="AA128" s="2771"/>
      <c r="AB128" s="2771"/>
      <c r="AC128" s="2771"/>
      <c r="AD128" s="2772"/>
      <c r="AE128" s="2773"/>
      <c r="AF128" s="2774"/>
      <c r="AG128" s="2774"/>
      <c r="AH128" s="2774"/>
      <c r="AI128" s="2774"/>
      <c r="AJ128" s="2774"/>
      <c r="AK128" s="2775"/>
      <c r="AL128" s="2773"/>
      <c r="AM128" s="2774"/>
      <c r="AN128" s="2774"/>
      <c r="AO128" s="2774"/>
      <c r="AP128" s="2774"/>
      <c r="AQ128" s="277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0" t="s">
        <v>2308</v>
      </c>
      <c r="C129" s="2771"/>
      <c r="D129" s="2771"/>
      <c r="E129" s="2771"/>
      <c r="F129" s="2771"/>
      <c r="G129" s="2771"/>
      <c r="H129" s="2772"/>
      <c r="I129" s="2773"/>
      <c r="J129" s="2774"/>
      <c r="K129" s="2774"/>
      <c r="L129" s="2774"/>
      <c r="M129" s="2774"/>
      <c r="N129" s="2774"/>
      <c r="O129" s="2775"/>
      <c r="P129" s="2773"/>
      <c r="Q129" s="2774"/>
      <c r="R129" s="2774"/>
      <c r="S129" s="2774"/>
      <c r="T129" s="2774"/>
      <c r="U129" s="277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6" t="s">
        <v>2309</v>
      </c>
      <c r="D131" s="2777"/>
      <c r="E131" s="2777"/>
      <c r="F131" s="2777"/>
      <c r="G131" s="2777"/>
      <c r="H131" s="2777"/>
      <c r="I131" s="2777"/>
      <c r="J131" s="2777"/>
      <c r="K131" s="2777"/>
      <c r="L131" s="2777"/>
      <c r="M131" s="2777"/>
      <c r="N131" s="2777"/>
      <c r="O131" s="2777"/>
      <c r="P131" s="2777"/>
      <c r="Q131" s="2777"/>
      <c r="R131" s="2777"/>
      <c r="S131" s="2777"/>
      <c r="T131" s="2777"/>
      <c r="U131" s="2777"/>
      <c r="V131" s="2777"/>
      <c r="W131" s="2777"/>
      <c r="X131" s="2777"/>
      <c r="Y131" s="2777"/>
      <c r="Z131" s="2777"/>
      <c r="AA131" s="2777"/>
      <c r="AB131" s="2777"/>
      <c r="AC131" s="2777"/>
      <c r="AD131" s="2777"/>
      <c r="AE131" s="2777"/>
      <c r="AF131" s="2777"/>
      <c r="AG131" s="277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0" t="s">
        <v>1951</v>
      </c>
      <c r="D132" s="2701"/>
      <c r="E132" s="2701"/>
      <c r="F132" s="2701"/>
      <c r="G132" s="2701"/>
      <c r="H132" s="2701"/>
      <c r="I132" s="2701"/>
      <c r="J132" s="2701"/>
      <c r="K132" s="2701"/>
      <c r="L132" s="2701"/>
      <c r="M132" s="2701"/>
      <c r="N132" s="2701"/>
      <c r="O132" s="2701"/>
      <c r="P132" s="2779"/>
      <c r="Q132" s="2780" t="s">
        <v>1952</v>
      </c>
      <c r="R132" s="2701"/>
      <c r="S132" s="2779"/>
      <c r="T132" s="2781" t="s">
        <v>2310</v>
      </c>
      <c r="U132" s="2782"/>
      <c r="V132" s="2782"/>
      <c r="W132" s="2782"/>
      <c r="X132" s="2782"/>
      <c r="Y132" s="2782"/>
      <c r="Z132" s="2782"/>
      <c r="AA132" s="2783"/>
      <c r="AB132" s="2784" t="s">
        <v>1953</v>
      </c>
      <c r="AC132" s="2785"/>
      <c r="AD132" s="2785"/>
      <c r="AE132" s="2785"/>
      <c r="AF132" s="2785"/>
      <c r="AG132" s="278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8" t="s">
        <v>1954</v>
      </c>
      <c r="D133" s="2689"/>
      <c r="E133" s="2689"/>
      <c r="F133" s="2689"/>
      <c r="G133" s="2689"/>
      <c r="H133" s="2689"/>
      <c r="I133" s="2689"/>
      <c r="J133" s="2689"/>
      <c r="K133" s="2689"/>
      <c r="L133" s="2689"/>
      <c r="M133" s="2689"/>
      <c r="N133" s="2689"/>
      <c r="O133" s="2689"/>
      <c r="P133" s="2705"/>
      <c r="Q133" s="2762">
        <v>55</v>
      </c>
      <c r="R133" s="2763"/>
      <c r="S133" s="2764"/>
      <c r="T133" s="2765"/>
      <c r="U133" s="2766"/>
      <c r="V133" s="2766"/>
      <c r="W133" s="2766"/>
      <c r="X133" s="2766"/>
      <c r="Y133" s="2766"/>
      <c r="Z133" s="2766"/>
      <c r="AA133" s="276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8" t="s">
        <v>1955</v>
      </c>
      <c r="D134" s="2689"/>
      <c r="E134" s="2689"/>
      <c r="F134" s="2689"/>
      <c r="G134" s="2689"/>
      <c r="H134" s="2689"/>
      <c r="I134" s="2689"/>
      <c r="J134" s="2689"/>
      <c r="K134" s="2689"/>
      <c r="L134" s="2689"/>
      <c r="M134" s="2689"/>
      <c r="N134" s="2689"/>
      <c r="O134" s="2689"/>
      <c r="P134" s="2705"/>
      <c r="Q134" s="2762">
        <v>55</v>
      </c>
      <c r="R134" s="2763"/>
      <c r="S134" s="2764"/>
      <c r="T134" s="2768"/>
      <c r="U134" s="2769"/>
      <c r="V134" s="2769"/>
      <c r="W134" s="2769"/>
      <c r="X134" s="2769"/>
      <c r="Y134" s="2769"/>
      <c r="Z134" s="2769"/>
      <c r="AA134" s="276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8" t="s">
        <v>1956</v>
      </c>
      <c r="D135" s="2689"/>
      <c r="E135" s="2689"/>
      <c r="F135" s="2689"/>
      <c r="G135" s="2689"/>
      <c r="H135" s="2689"/>
      <c r="I135" s="2689"/>
      <c r="J135" s="2689"/>
      <c r="K135" s="2689"/>
      <c r="L135" s="2689"/>
      <c r="M135" s="2689"/>
      <c r="N135" s="2689"/>
      <c r="O135" s="2689"/>
      <c r="P135" s="2705"/>
      <c r="Q135" s="2762">
        <v>55</v>
      </c>
      <c r="R135" s="2763"/>
      <c r="S135" s="2764"/>
      <c r="T135" s="2765"/>
      <c r="U135" s="2766"/>
      <c r="V135" s="2766"/>
      <c r="W135" s="2766"/>
      <c r="X135" s="2766"/>
      <c r="Y135" s="2766"/>
      <c r="Z135" s="2766"/>
      <c r="AA135" s="276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8" t="s">
        <v>1919</v>
      </c>
      <c r="D136" s="2689"/>
      <c r="E136" s="2689"/>
      <c r="F136" s="2689"/>
      <c r="G136" s="2689"/>
      <c r="H136" s="2689"/>
      <c r="I136" s="2689"/>
      <c r="J136" s="2689"/>
      <c r="K136" s="2689"/>
      <c r="L136" s="2689"/>
      <c r="M136" s="2689"/>
      <c r="N136" s="2689"/>
      <c r="O136" s="2689"/>
      <c r="P136" s="2705"/>
      <c r="Q136" s="2762">
        <v>55</v>
      </c>
      <c r="R136" s="2763"/>
      <c r="S136" s="2764"/>
      <c r="T136" s="2765"/>
      <c r="U136" s="2766"/>
      <c r="V136" s="2766"/>
      <c r="W136" s="2766"/>
      <c r="X136" s="2766"/>
      <c r="Y136" s="2766"/>
      <c r="Z136" s="2766"/>
      <c r="AA136" s="2767"/>
      <c r="AB136" s="2759">
        <v>0</v>
      </c>
      <c r="AC136" s="2760"/>
      <c r="AD136" s="2760"/>
      <c r="AE136" s="2760"/>
      <c r="AF136" s="2760"/>
      <c r="AG136" s="276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7" t="s">
        <v>175</v>
      </c>
      <c r="D137" s="2748"/>
      <c r="E137" s="2748"/>
      <c r="F137" s="2679" t="s">
        <v>1957</v>
      </c>
      <c r="G137" s="2679"/>
      <c r="H137" s="2679"/>
      <c r="I137" s="2679"/>
      <c r="J137" s="2679"/>
      <c r="K137" s="2679"/>
      <c r="L137" s="2679"/>
      <c r="M137" s="2679"/>
      <c r="N137" s="2679"/>
      <c r="O137" s="2679"/>
      <c r="P137" s="2679"/>
      <c r="Q137" s="2749">
        <v>55</v>
      </c>
      <c r="R137" s="2749"/>
      <c r="S137" s="2749"/>
      <c r="T137" s="2750"/>
      <c r="U137" s="2750"/>
      <c r="V137" s="2750"/>
      <c r="W137" s="2750"/>
      <c r="X137" s="2750"/>
      <c r="Y137" s="2750"/>
      <c r="Z137" s="2750"/>
      <c r="AA137" s="2750"/>
      <c r="AB137" s="2751">
        <v>0</v>
      </c>
      <c r="AC137" s="2752"/>
      <c r="AD137" s="2752"/>
      <c r="AE137" s="2752"/>
      <c r="AF137" s="2752"/>
      <c r="AG137" s="275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7" t="s">
        <v>175</v>
      </c>
      <c r="D138" s="2748"/>
      <c r="E138" s="2748"/>
      <c r="F138" s="2679" t="s">
        <v>1957</v>
      </c>
      <c r="G138" s="2679"/>
      <c r="H138" s="2679"/>
      <c r="I138" s="2679"/>
      <c r="J138" s="2679"/>
      <c r="K138" s="2679"/>
      <c r="L138" s="2679"/>
      <c r="M138" s="2679"/>
      <c r="N138" s="2679"/>
      <c r="O138" s="2679"/>
      <c r="P138" s="2679"/>
      <c r="Q138" s="2749">
        <v>55</v>
      </c>
      <c r="R138" s="2749"/>
      <c r="S138" s="2749"/>
      <c r="T138" s="2750"/>
      <c r="U138" s="2750"/>
      <c r="V138" s="2750"/>
      <c r="W138" s="2750"/>
      <c r="X138" s="2750"/>
      <c r="Y138" s="2750"/>
      <c r="Z138" s="2750"/>
      <c r="AA138" s="2750"/>
      <c r="AB138" s="2751">
        <v>0</v>
      </c>
      <c r="AC138" s="2752"/>
      <c r="AD138" s="2752"/>
      <c r="AE138" s="2752"/>
      <c r="AF138" s="2752"/>
      <c r="AG138" s="2753"/>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7" t="s">
        <v>175</v>
      </c>
      <c r="D139" s="2748"/>
      <c r="E139" s="2748"/>
      <c r="F139" s="2670" t="s">
        <v>1957</v>
      </c>
      <c r="G139" s="2670"/>
      <c r="H139" s="2670"/>
      <c r="I139" s="2670"/>
      <c r="J139" s="2670"/>
      <c r="K139" s="2670"/>
      <c r="L139" s="2670"/>
      <c r="M139" s="2670"/>
      <c r="N139" s="2670"/>
      <c r="O139" s="2670"/>
      <c r="P139" s="2670"/>
      <c r="Q139" s="2754">
        <v>55</v>
      </c>
      <c r="R139" s="2754"/>
      <c r="S139" s="2754"/>
      <c r="T139" s="2755"/>
      <c r="U139" s="2755"/>
      <c r="V139" s="2755"/>
      <c r="W139" s="2755"/>
      <c r="X139" s="2755"/>
      <c r="Y139" s="2755"/>
      <c r="Z139" s="2755"/>
      <c r="AA139" s="2755"/>
      <c r="AB139" s="2756">
        <v>0</v>
      </c>
      <c r="AC139" s="2757"/>
      <c r="AD139" s="2757"/>
      <c r="AE139" s="2757"/>
      <c r="AF139" s="2757"/>
      <c r="AG139" s="275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2" t="s">
        <v>1958</v>
      </c>
      <c r="D141" s="2733"/>
      <c r="E141" s="2733"/>
      <c r="F141" s="2733"/>
      <c r="G141" s="2733"/>
      <c r="H141" s="2733"/>
      <c r="I141" s="2733"/>
      <c r="J141" s="2733"/>
      <c r="K141" s="2733"/>
      <c r="L141" s="2733"/>
      <c r="M141" s="2733"/>
      <c r="N141" s="2734"/>
      <c r="O141" s="1706"/>
      <c r="P141" s="2735" t="s">
        <v>1959</v>
      </c>
      <c r="Q141" s="2736"/>
      <c r="R141" s="2736"/>
      <c r="S141" s="2736"/>
      <c r="T141" s="2736"/>
      <c r="U141" s="2736"/>
      <c r="V141" s="2736"/>
      <c r="W141" s="2736"/>
      <c r="X141" s="2736"/>
      <c r="Y141" s="2736"/>
      <c r="Z141" s="2736"/>
      <c r="AA141" s="2736"/>
      <c r="AB141" s="2736"/>
      <c r="AC141" s="2736"/>
      <c r="AD141" s="2736"/>
      <c r="AE141" s="2736"/>
      <c r="AF141" s="2736"/>
      <c r="AG141" s="2736"/>
      <c r="AH141" s="2736"/>
      <c r="AI141" s="2736"/>
      <c r="AJ141" s="2736"/>
      <c r="AK141" s="2736"/>
      <c r="AL141" s="2736"/>
      <c r="AM141" s="2736"/>
      <c r="AN141" s="2736"/>
      <c r="AO141" s="273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8" t="s">
        <v>1960</v>
      </c>
      <c r="D142" s="2739"/>
      <c r="E142" s="2739"/>
      <c r="F142" s="2739"/>
      <c r="G142" s="2739"/>
      <c r="H142" s="2740"/>
      <c r="I142" s="2738" t="s">
        <v>1961</v>
      </c>
      <c r="J142" s="2739"/>
      <c r="K142" s="2739"/>
      <c r="L142" s="2739"/>
      <c r="M142" s="2739"/>
      <c r="N142" s="2740"/>
      <c r="O142" s="1706"/>
      <c r="P142" s="2741" t="s">
        <v>2319</v>
      </c>
      <c r="Q142" s="2742"/>
      <c r="R142" s="2742"/>
      <c r="S142" s="2742"/>
      <c r="T142" s="2742"/>
      <c r="U142" s="2742"/>
      <c r="V142" s="2742"/>
      <c r="W142" s="2742"/>
      <c r="X142" s="2742"/>
      <c r="Y142" s="2742"/>
      <c r="Z142" s="2742"/>
      <c r="AA142" s="2742"/>
      <c r="AB142" s="2742"/>
      <c r="AC142" s="2742"/>
      <c r="AD142" s="2742"/>
      <c r="AE142" s="2742"/>
      <c r="AF142" s="2742"/>
      <c r="AG142" s="2742"/>
      <c r="AH142" s="2742"/>
      <c r="AI142" s="2742"/>
      <c r="AJ142" s="2742"/>
      <c r="AK142" s="2742"/>
      <c r="AL142" s="2742"/>
      <c r="AM142" s="2742"/>
      <c r="AN142" s="2742"/>
      <c r="AO142" s="2743"/>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2"/>
      <c r="D143" s="2722"/>
      <c r="E143" s="2722"/>
      <c r="F143" s="2722"/>
      <c r="G143" s="2722"/>
      <c r="H143" s="2722"/>
      <c r="I143" s="2723"/>
      <c r="J143" s="2723"/>
      <c r="K143" s="2723"/>
      <c r="L143" s="2723"/>
      <c r="M143" s="2723"/>
      <c r="N143" s="2723"/>
      <c r="O143" s="1706"/>
      <c r="P143" s="2741"/>
      <c r="Q143" s="2742"/>
      <c r="R143" s="2742"/>
      <c r="S143" s="2742"/>
      <c r="T143" s="2742"/>
      <c r="U143" s="2742"/>
      <c r="V143" s="2742"/>
      <c r="W143" s="2742"/>
      <c r="X143" s="2742"/>
      <c r="Y143" s="2742"/>
      <c r="Z143" s="2742"/>
      <c r="AA143" s="2742"/>
      <c r="AB143" s="2742"/>
      <c r="AC143" s="2742"/>
      <c r="AD143" s="2742"/>
      <c r="AE143" s="2742"/>
      <c r="AF143" s="2742"/>
      <c r="AG143" s="2742"/>
      <c r="AH143" s="2742"/>
      <c r="AI143" s="2742"/>
      <c r="AJ143" s="2742"/>
      <c r="AK143" s="2742"/>
      <c r="AL143" s="2742"/>
      <c r="AM143" s="2742"/>
      <c r="AN143" s="2742"/>
      <c r="AO143" s="2743"/>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2"/>
      <c r="D144" s="2722"/>
      <c r="E144" s="2722"/>
      <c r="F144" s="2722"/>
      <c r="G144" s="2722"/>
      <c r="H144" s="2722"/>
      <c r="I144" s="2723"/>
      <c r="J144" s="2723"/>
      <c r="K144" s="2723"/>
      <c r="L144" s="2723"/>
      <c r="M144" s="2723"/>
      <c r="N144" s="2723"/>
      <c r="O144" s="1706"/>
      <c r="P144" s="2741"/>
      <c r="Q144" s="2742"/>
      <c r="R144" s="2742"/>
      <c r="S144" s="2742"/>
      <c r="T144" s="2742"/>
      <c r="U144" s="2742"/>
      <c r="V144" s="2742"/>
      <c r="W144" s="2742"/>
      <c r="X144" s="2742"/>
      <c r="Y144" s="2742"/>
      <c r="Z144" s="2742"/>
      <c r="AA144" s="2742"/>
      <c r="AB144" s="2742"/>
      <c r="AC144" s="2742"/>
      <c r="AD144" s="2742"/>
      <c r="AE144" s="2742"/>
      <c r="AF144" s="2742"/>
      <c r="AG144" s="2742"/>
      <c r="AH144" s="2742"/>
      <c r="AI144" s="2742"/>
      <c r="AJ144" s="2742"/>
      <c r="AK144" s="2742"/>
      <c r="AL144" s="2742"/>
      <c r="AM144" s="2742"/>
      <c r="AN144" s="2742"/>
      <c r="AO144" s="2743"/>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2"/>
      <c r="D145" s="2722"/>
      <c r="E145" s="2722"/>
      <c r="F145" s="2722"/>
      <c r="G145" s="2722"/>
      <c r="H145" s="2722"/>
      <c r="I145" s="2723"/>
      <c r="J145" s="2723"/>
      <c r="K145" s="2723"/>
      <c r="L145" s="2723"/>
      <c r="M145" s="2723"/>
      <c r="N145" s="2723"/>
      <c r="O145" s="1706"/>
      <c r="P145" s="2741"/>
      <c r="Q145" s="2742"/>
      <c r="R145" s="2742"/>
      <c r="S145" s="2742"/>
      <c r="T145" s="2742"/>
      <c r="U145" s="2742"/>
      <c r="V145" s="2742"/>
      <c r="W145" s="2742"/>
      <c r="X145" s="2742"/>
      <c r="Y145" s="2742"/>
      <c r="Z145" s="2742"/>
      <c r="AA145" s="2742"/>
      <c r="AB145" s="2742"/>
      <c r="AC145" s="2742"/>
      <c r="AD145" s="2742"/>
      <c r="AE145" s="2742"/>
      <c r="AF145" s="2742"/>
      <c r="AG145" s="2742"/>
      <c r="AH145" s="2742"/>
      <c r="AI145" s="2742"/>
      <c r="AJ145" s="2742"/>
      <c r="AK145" s="2742"/>
      <c r="AL145" s="2742"/>
      <c r="AM145" s="2742"/>
      <c r="AN145" s="2742"/>
      <c r="AO145" s="2743"/>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2"/>
      <c r="D146" s="2722"/>
      <c r="E146" s="2722"/>
      <c r="F146" s="2722"/>
      <c r="G146" s="2722"/>
      <c r="H146" s="2722"/>
      <c r="I146" s="2723"/>
      <c r="J146" s="2723"/>
      <c r="K146" s="2723"/>
      <c r="L146" s="2723"/>
      <c r="M146" s="2723"/>
      <c r="N146" s="2723"/>
      <c r="O146" s="1706"/>
      <c r="P146" s="2741"/>
      <c r="Q146" s="2742"/>
      <c r="R146" s="2742"/>
      <c r="S146" s="2742"/>
      <c r="T146" s="2742"/>
      <c r="U146" s="2742"/>
      <c r="V146" s="2742"/>
      <c r="W146" s="2742"/>
      <c r="X146" s="2742"/>
      <c r="Y146" s="2742"/>
      <c r="Z146" s="2742"/>
      <c r="AA146" s="2742"/>
      <c r="AB146" s="2742"/>
      <c r="AC146" s="2742"/>
      <c r="AD146" s="2742"/>
      <c r="AE146" s="2742"/>
      <c r="AF146" s="2742"/>
      <c r="AG146" s="2742"/>
      <c r="AH146" s="2742"/>
      <c r="AI146" s="2742"/>
      <c r="AJ146" s="2742"/>
      <c r="AK146" s="2742"/>
      <c r="AL146" s="2742"/>
      <c r="AM146" s="2742"/>
      <c r="AN146" s="2742"/>
      <c r="AO146" s="2743"/>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2"/>
      <c r="D147" s="2722"/>
      <c r="E147" s="2722"/>
      <c r="F147" s="2722"/>
      <c r="G147" s="2722"/>
      <c r="H147" s="2722"/>
      <c r="I147" s="2723"/>
      <c r="J147" s="2723"/>
      <c r="K147" s="2723"/>
      <c r="L147" s="2723"/>
      <c r="M147" s="2723"/>
      <c r="N147" s="2723"/>
      <c r="O147" s="1706"/>
      <c r="P147" s="2741"/>
      <c r="Q147" s="2742"/>
      <c r="R147" s="2742"/>
      <c r="S147" s="2742"/>
      <c r="T147" s="2742"/>
      <c r="U147" s="2742"/>
      <c r="V147" s="2742"/>
      <c r="W147" s="2742"/>
      <c r="X147" s="2742"/>
      <c r="Y147" s="2742"/>
      <c r="Z147" s="2742"/>
      <c r="AA147" s="2742"/>
      <c r="AB147" s="2742"/>
      <c r="AC147" s="2742"/>
      <c r="AD147" s="2742"/>
      <c r="AE147" s="2742"/>
      <c r="AF147" s="2742"/>
      <c r="AG147" s="2742"/>
      <c r="AH147" s="2742"/>
      <c r="AI147" s="2742"/>
      <c r="AJ147" s="2742"/>
      <c r="AK147" s="2742"/>
      <c r="AL147" s="2742"/>
      <c r="AM147" s="2742"/>
      <c r="AN147" s="2742"/>
      <c r="AO147" s="2743"/>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2"/>
      <c r="D148" s="2722"/>
      <c r="E148" s="2722"/>
      <c r="F148" s="2722"/>
      <c r="G148" s="2722"/>
      <c r="H148" s="2722"/>
      <c r="I148" s="2723"/>
      <c r="J148" s="2723"/>
      <c r="K148" s="2723"/>
      <c r="L148" s="2723"/>
      <c r="M148" s="2723"/>
      <c r="N148" s="2723"/>
      <c r="O148" s="1706"/>
      <c r="P148" s="2741"/>
      <c r="Q148" s="2742"/>
      <c r="R148" s="2742"/>
      <c r="S148" s="2742"/>
      <c r="T148" s="2742"/>
      <c r="U148" s="2742"/>
      <c r="V148" s="2742"/>
      <c r="W148" s="2742"/>
      <c r="X148" s="2742"/>
      <c r="Y148" s="2742"/>
      <c r="Z148" s="2742"/>
      <c r="AA148" s="2742"/>
      <c r="AB148" s="2742"/>
      <c r="AC148" s="2742"/>
      <c r="AD148" s="2742"/>
      <c r="AE148" s="2742"/>
      <c r="AF148" s="2742"/>
      <c r="AG148" s="2742"/>
      <c r="AH148" s="2742"/>
      <c r="AI148" s="2742"/>
      <c r="AJ148" s="2742"/>
      <c r="AK148" s="2742"/>
      <c r="AL148" s="2742"/>
      <c r="AM148" s="2742"/>
      <c r="AN148" s="2742"/>
      <c r="AO148" s="2743"/>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2"/>
      <c r="D149" s="2722"/>
      <c r="E149" s="2722"/>
      <c r="F149" s="2722"/>
      <c r="G149" s="2722"/>
      <c r="H149" s="2722"/>
      <c r="I149" s="2723"/>
      <c r="J149" s="2723"/>
      <c r="K149" s="2723"/>
      <c r="L149" s="2723"/>
      <c r="M149" s="2723"/>
      <c r="N149" s="2723"/>
      <c r="O149" s="1706"/>
      <c r="P149" s="2744"/>
      <c r="Q149" s="2745"/>
      <c r="R149" s="2745"/>
      <c r="S149" s="2745"/>
      <c r="T149" s="2745"/>
      <c r="U149" s="2745"/>
      <c r="V149" s="2745"/>
      <c r="W149" s="2745"/>
      <c r="X149" s="2745"/>
      <c r="Y149" s="2745"/>
      <c r="Z149" s="2745"/>
      <c r="AA149" s="2745"/>
      <c r="AB149" s="2745"/>
      <c r="AC149" s="2745"/>
      <c r="AD149" s="2745"/>
      <c r="AE149" s="2745"/>
      <c r="AF149" s="2745"/>
      <c r="AG149" s="2745"/>
      <c r="AH149" s="2745"/>
      <c r="AI149" s="2745"/>
      <c r="AJ149" s="2745"/>
      <c r="AK149" s="2745"/>
      <c r="AL149" s="2745"/>
      <c r="AM149" s="2745"/>
      <c r="AN149" s="2745"/>
      <c r="AO149" s="274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4"/>
      <c r="D153" s="2725"/>
      <c r="E153" s="2725"/>
      <c r="F153" s="2725"/>
      <c r="G153" s="2725"/>
      <c r="H153" s="2725"/>
      <c r="I153" s="2725"/>
      <c r="J153" s="2725"/>
      <c r="K153" s="2725"/>
      <c r="L153" s="2725"/>
      <c r="M153" s="2726"/>
      <c r="N153" s="2727" t="s">
        <v>1962</v>
      </c>
      <c r="O153" s="2727"/>
      <c r="P153" s="2727"/>
      <c r="Q153" s="2727"/>
      <c r="R153" s="2727"/>
      <c r="S153" s="2727"/>
      <c r="T153" s="2728"/>
      <c r="U153" s="2729" t="s">
        <v>1951</v>
      </c>
      <c r="V153" s="2730"/>
      <c r="W153" s="2730"/>
      <c r="X153" s="2730"/>
      <c r="Y153" s="2730"/>
      <c r="Z153" s="2730"/>
      <c r="AA153" s="2730"/>
      <c r="AB153" s="2730"/>
      <c r="AC153" s="2730"/>
      <c r="AD153" s="2730"/>
      <c r="AE153" s="2731"/>
      <c r="AF153" s="1706"/>
      <c r="AG153" s="1706"/>
      <c r="AH153" s="2691" t="s">
        <v>1963</v>
      </c>
      <c r="AI153" s="2692"/>
      <c r="AJ153" s="2692"/>
      <c r="AK153" s="2692"/>
      <c r="AL153" s="2692"/>
      <c r="AM153" s="2692"/>
      <c r="AN153" s="2692"/>
      <c r="AO153" s="2692"/>
      <c r="AP153" s="2692"/>
      <c r="AQ153" s="2692"/>
      <c r="AR153" s="2692"/>
      <c r="AS153" s="2706">
        <v>6500000</v>
      </c>
      <c r="AT153" s="2706"/>
      <c r="AU153" s="2706"/>
      <c r="AV153" s="2706"/>
      <c r="AW153" s="2706"/>
      <c r="AX153" s="1706"/>
      <c r="AY153" s="1706"/>
      <c r="AZ153" s="1706"/>
      <c r="BA153" s="1706"/>
      <c r="BB153" s="1706"/>
      <c r="BC153" s="1706"/>
      <c r="BD153" s="1706"/>
      <c r="BE153" s="1712"/>
    </row>
    <row r="154" spans="1:57" ht="15.75" customHeight="1">
      <c r="A154" s="1706"/>
      <c r="B154" s="1706"/>
      <c r="C154" s="2700" t="s">
        <v>1964</v>
      </c>
      <c r="D154" s="2701"/>
      <c r="E154" s="2701"/>
      <c r="F154" s="2701"/>
      <c r="G154" s="2701"/>
      <c r="H154" s="2701"/>
      <c r="I154" s="2701"/>
      <c r="J154" s="2701"/>
      <c r="K154" s="2701"/>
      <c r="L154" s="2701"/>
      <c r="M154" s="2702"/>
      <c r="N154" s="2703">
        <f>'Sources and Uses Budget'!B105</f>
        <v>81690220.524317399</v>
      </c>
      <c r="O154" s="2703"/>
      <c r="P154" s="2703"/>
      <c r="Q154" s="2703"/>
      <c r="R154" s="2703"/>
      <c r="S154" s="2703"/>
      <c r="T154" s="2704"/>
      <c r="U154" s="2713"/>
      <c r="V154" s="2714"/>
      <c r="W154" s="2714"/>
      <c r="X154" s="2714"/>
      <c r="Y154" s="2714"/>
      <c r="Z154" s="2714"/>
      <c r="AA154" s="2714"/>
      <c r="AB154" s="2714"/>
      <c r="AC154" s="2714"/>
      <c r="AD154" s="2714"/>
      <c r="AE154" s="2719"/>
      <c r="AF154" s="1706"/>
      <c r="AG154" s="1706"/>
      <c r="AH154" s="2720" t="s">
        <v>1965</v>
      </c>
      <c r="AI154" s="2721"/>
      <c r="AJ154" s="2721"/>
      <c r="AK154" s="2721"/>
      <c r="AL154" s="2721"/>
      <c r="AM154" s="2721"/>
      <c r="AN154" s="2721"/>
      <c r="AO154" s="2721"/>
      <c r="AP154" s="2721"/>
      <c r="AQ154" s="2721"/>
      <c r="AR154" s="2721"/>
      <c r="AS154" s="2706">
        <v>0</v>
      </c>
      <c r="AT154" s="2706"/>
      <c r="AU154" s="2706"/>
      <c r="AV154" s="2706"/>
      <c r="AW154" s="2706"/>
      <c r="AX154" s="1706"/>
      <c r="AY154" s="1706"/>
      <c r="AZ154" s="1706"/>
      <c r="BA154" s="1706"/>
      <c r="BB154" s="1706"/>
      <c r="BC154" s="1706"/>
      <c r="BD154" s="1706"/>
      <c r="BE154" s="1712"/>
    </row>
    <row r="155" spans="1:57" ht="15.75" customHeight="1">
      <c r="A155" s="1706"/>
      <c r="B155" s="1706"/>
      <c r="C155" s="2700" t="s">
        <v>1966</v>
      </c>
      <c r="D155" s="2701"/>
      <c r="E155" s="2701"/>
      <c r="F155" s="2701"/>
      <c r="G155" s="2701"/>
      <c r="H155" s="2701"/>
      <c r="I155" s="2701"/>
      <c r="J155" s="2701"/>
      <c r="K155" s="2701"/>
      <c r="L155" s="2701"/>
      <c r="M155" s="2702"/>
      <c r="N155" s="2703">
        <f>N154/J29</f>
        <v>600663.38620821619</v>
      </c>
      <c r="O155" s="2703"/>
      <c r="P155" s="2703"/>
      <c r="Q155" s="2703"/>
      <c r="R155" s="2703"/>
      <c r="S155" s="2703"/>
      <c r="T155" s="2704"/>
      <c r="U155" s="1729"/>
      <c r="V155" s="1729"/>
      <c r="W155" s="1729"/>
      <c r="X155" s="1729"/>
      <c r="Y155" s="1729"/>
      <c r="Z155" s="1729"/>
      <c r="AA155" s="1729"/>
      <c r="AB155" s="1729"/>
      <c r="AC155" s="1729"/>
      <c r="AD155" s="1729"/>
      <c r="AE155" s="1730"/>
      <c r="AF155" s="1706"/>
      <c r="AG155" s="1706"/>
      <c r="AH155" s="2688" t="s">
        <v>1967</v>
      </c>
      <c r="AI155" s="2689"/>
      <c r="AJ155" s="2689"/>
      <c r="AK155" s="2689"/>
      <c r="AL155" s="2689"/>
      <c r="AM155" s="2689"/>
      <c r="AN155" s="2689"/>
      <c r="AO155" s="2689"/>
      <c r="AP155" s="2689"/>
      <c r="AQ155" s="2689"/>
      <c r="AR155" s="2705"/>
      <c r="AS155" s="2706">
        <v>2500000</v>
      </c>
      <c r="AT155" s="2706"/>
      <c r="AU155" s="2706"/>
      <c r="AV155" s="2706"/>
      <c r="AW155" s="2706"/>
      <c r="AX155" s="1706"/>
      <c r="AY155" s="1706"/>
      <c r="AZ155" s="1706"/>
      <c r="BA155" s="1706"/>
      <c r="BB155" s="1706"/>
      <c r="BC155" s="1706"/>
      <c r="BD155" s="1706"/>
      <c r="BE155" s="1712"/>
    </row>
    <row r="156" spans="1:57" ht="15.75" customHeight="1">
      <c r="A156" s="1706"/>
      <c r="B156" s="1706"/>
      <c r="C156" s="2707" t="s">
        <v>1968</v>
      </c>
      <c r="D156" s="2708"/>
      <c r="E156" s="2708"/>
      <c r="F156" s="2708"/>
      <c r="G156" s="2708"/>
      <c r="H156" s="2708"/>
      <c r="I156" s="2708"/>
      <c r="J156" s="2708"/>
      <c r="K156" s="2708"/>
      <c r="L156" s="2708"/>
      <c r="M156" s="2709"/>
      <c r="N156" s="2710">
        <v>0</v>
      </c>
      <c r="O156" s="2710"/>
      <c r="P156" s="2710"/>
      <c r="Q156" s="2710"/>
      <c r="R156" s="2710"/>
      <c r="S156" s="2710"/>
      <c r="T156" s="2711"/>
      <c r="U156" s="2677"/>
      <c r="V156" s="2678"/>
      <c r="W156" s="2678"/>
      <c r="X156" s="2678"/>
      <c r="Y156" s="2678"/>
      <c r="Z156" s="2678"/>
      <c r="AA156" s="2678"/>
      <c r="AB156" s="2678"/>
      <c r="AC156" s="2678"/>
      <c r="AD156" s="2678"/>
      <c r="AE156" s="2712"/>
      <c r="AF156" s="1706"/>
      <c r="AG156" s="1706"/>
      <c r="AH156" s="2713"/>
      <c r="AI156" s="2714"/>
      <c r="AJ156" s="2714"/>
      <c r="AK156" s="2714"/>
      <c r="AL156" s="2714"/>
      <c r="AM156" s="2714"/>
      <c r="AN156" s="2714"/>
      <c r="AO156" s="2714"/>
      <c r="AP156" s="2714"/>
      <c r="AQ156" s="2714"/>
      <c r="AR156" s="2715"/>
      <c r="AS156" s="2716"/>
      <c r="AT156" s="2717"/>
      <c r="AU156" s="2717"/>
      <c r="AV156" s="2717"/>
      <c r="AW156" s="2718"/>
      <c r="AX156" s="1706"/>
      <c r="AY156" s="1706"/>
      <c r="AZ156" s="1706"/>
      <c r="BA156" s="1706"/>
      <c r="BB156" s="1706"/>
      <c r="BC156" s="1706"/>
      <c r="BD156" s="1706"/>
      <c r="BE156" s="1712"/>
    </row>
    <row r="157" spans="1:57" ht="15.75" customHeight="1" thickBot="1">
      <c r="A157" s="1706"/>
      <c r="B157" s="1706"/>
      <c r="C157" s="2688" t="s">
        <v>1969</v>
      </c>
      <c r="D157" s="2689"/>
      <c r="E157" s="2689"/>
      <c r="F157" s="2689"/>
      <c r="G157" s="2689"/>
      <c r="H157" s="2689"/>
      <c r="I157" s="2689"/>
      <c r="J157" s="2689"/>
      <c r="K157" s="2689"/>
      <c r="L157" s="2689"/>
      <c r="M157" s="2690"/>
      <c r="N157" s="2695">
        <f>SUM('Sources and Uses Budget'!B85:B86)</f>
        <v>3138555</v>
      </c>
      <c r="O157" s="2695"/>
      <c r="P157" s="2695"/>
      <c r="Q157" s="2695"/>
      <c r="R157" s="2695"/>
      <c r="S157" s="2695"/>
      <c r="T157" s="2696"/>
      <c r="U157" s="2683"/>
      <c r="V157" s="2684"/>
      <c r="W157" s="2684"/>
      <c r="X157" s="2684"/>
      <c r="Y157" s="2684"/>
      <c r="Z157" s="2684"/>
      <c r="AA157" s="2684"/>
      <c r="AB157" s="2684"/>
      <c r="AC157" s="2684"/>
      <c r="AD157" s="2684"/>
      <c r="AE157" s="2685"/>
      <c r="AF157" s="1706"/>
      <c r="AG157" s="1706"/>
      <c r="AH157" s="2697" t="s">
        <v>2329</v>
      </c>
      <c r="AI157" s="2698"/>
      <c r="AJ157" s="2698"/>
      <c r="AK157" s="2698"/>
      <c r="AL157" s="2698"/>
      <c r="AM157" s="2698"/>
      <c r="AN157" s="2698"/>
      <c r="AO157" s="2698"/>
      <c r="AP157" s="2698"/>
      <c r="AQ157" s="2698"/>
      <c r="AR157" s="2698"/>
      <c r="AS157" s="2699">
        <f>SUM(AS153:AW155)</f>
        <v>9000000</v>
      </c>
      <c r="AT157" s="2699"/>
      <c r="AU157" s="2699"/>
      <c r="AV157" s="2699"/>
      <c r="AW157" s="2699"/>
      <c r="AX157" s="1706"/>
      <c r="AY157" s="1706"/>
      <c r="AZ157" s="1706"/>
      <c r="BA157" s="1706"/>
      <c r="BB157" s="1706"/>
      <c r="BC157" s="1706"/>
      <c r="BD157" s="1706"/>
      <c r="BE157" s="1712"/>
    </row>
    <row r="158" spans="1:57" ht="15.75" customHeight="1" thickBot="1">
      <c r="A158" s="1706"/>
      <c r="B158" s="1706"/>
      <c r="C158" s="2688" t="s">
        <v>1971</v>
      </c>
      <c r="D158" s="2689"/>
      <c r="E158" s="2689"/>
      <c r="F158" s="2689"/>
      <c r="G158" s="2689"/>
      <c r="H158" s="2689"/>
      <c r="I158" s="2689"/>
      <c r="J158" s="2689"/>
      <c r="K158" s="2689"/>
      <c r="L158" s="2689"/>
      <c r="M158" s="2690"/>
      <c r="N158" s="2695">
        <f>'Sources and Uses Budget'!B8</f>
        <v>12572000</v>
      </c>
      <c r="O158" s="2695"/>
      <c r="P158" s="2695"/>
      <c r="Q158" s="2695"/>
      <c r="R158" s="2695"/>
      <c r="S158" s="2695"/>
      <c r="T158" s="2696"/>
      <c r="U158" s="2683"/>
      <c r="V158" s="2684"/>
      <c r="W158" s="2684"/>
      <c r="X158" s="2684"/>
      <c r="Y158" s="2684"/>
      <c r="Z158" s="2684"/>
      <c r="AA158" s="2684"/>
      <c r="AB158" s="2684"/>
      <c r="AC158" s="2684"/>
      <c r="AD158" s="2684"/>
      <c r="AE158" s="2685"/>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8" t="s">
        <v>1972</v>
      </c>
      <c r="D159" s="2689"/>
      <c r="E159" s="2689"/>
      <c r="F159" s="2689"/>
      <c r="G159" s="2689"/>
      <c r="H159" s="2689"/>
      <c r="I159" s="2689"/>
      <c r="J159" s="2689"/>
      <c r="K159" s="2689"/>
      <c r="L159" s="2689"/>
      <c r="M159" s="2690"/>
      <c r="N159" s="2681">
        <v>0</v>
      </c>
      <c r="O159" s="2681"/>
      <c r="P159" s="2681"/>
      <c r="Q159" s="2681"/>
      <c r="R159" s="2681"/>
      <c r="S159" s="2681"/>
      <c r="T159" s="2682"/>
      <c r="U159" s="2683"/>
      <c r="V159" s="2684"/>
      <c r="W159" s="2684"/>
      <c r="X159" s="2684"/>
      <c r="Y159" s="2684"/>
      <c r="Z159" s="2684"/>
      <c r="AA159" s="2684"/>
      <c r="AB159" s="2684"/>
      <c r="AC159" s="2684"/>
      <c r="AD159" s="2684"/>
      <c r="AE159" s="2685"/>
      <c r="AF159" s="1706"/>
      <c r="AG159" s="1706"/>
      <c r="AH159" s="2691" t="s">
        <v>2330</v>
      </c>
      <c r="AI159" s="2692"/>
      <c r="AJ159" s="2692"/>
      <c r="AK159" s="2692"/>
      <c r="AL159" s="2692"/>
      <c r="AM159" s="2692"/>
      <c r="AN159" s="2692"/>
      <c r="AO159" s="2692"/>
      <c r="AP159" s="2692"/>
      <c r="AQ159" s="2692"/>
      <c r="AR159" s="2692"/>
      <c r="AS159" s="2693" t="s">
        <v>2331</v>
      </c>
      <c r="AT159" s="2693"/>
      <c r="AU159" s="2693"/>
      <c r="AV159" s="2693"/>
      <c r="AW159" s="2693"/>
      <c r="AX159" s="2693"/>
      <c r="AY159" s="2693" t="s">
        <v>2332</v>
      </c>
      <c r="AZ159" s="2693"/>
      <c r="BA159" s="2693"/>
      <c r="BB159" s="2693"/>
      <c r="BC159" s="2693"/>
      <c r="BD159" s="2694"/>
      <c r="BE159" s="1712"/>
    </row>
    <row r="160" spans="1:57" ht="15.75" customHeight="1">
      <c r="A160" s="1706"/>
      <c r="B160" s="1706"/>
      <c r="C160" s="2688" t="s">
        <v>1965</v>
      </c>
      <c r="D160" s="2689"/>
      <c r="E160" s="2689"/>
      <c r="F160" s="2689"/>
      <c r="G160" s="2689"/>
      <c r="H160" s="2689"/>
      <c r="I160" s="2689"/>
      <c r="J160" s="2689"/>
      <c r="K160" s="2689"/>
      <c r="L160" s="2689"/>
      <c r="M160" s="2690"/>
      <c r="N160" s="2681">
        <v>0</v>
      </c>
      <c r="O160" s="2681"/>
      <c r="P160" s="2681"/>
      <c r="Q160" s="2681"/>
      <c r="R160" s="2681"/>
      <c r="S160" s="2681"/>
      <c r="T160" s="2682"/>
      <c r="U160" s="2683"/>
      <c r="V160" s="2684"/>
      <c r="W160" s="2684"/>
      <c r="X160" s="2684"/>
      <c r="Y160" s="2684"/>
      <c r="Z160" s="2684"/>
      <c r="AA160" s="2684"/>
      <c r="AB160" s="2684"/>
      <c r="AC160" s="2684"/>
      <c r="AD160" s="2684"/>
      <c r="AE160" s="2685"/>
      <c r="AF160" s="1706"/>
      <c r="AG160" s="1706"/>
      <c r="AH160" s="2654" t="s">
        <v>2333</v>
      </c>
      <c r="AI160" s="2655"/>
      <c r="AJ160" s="2655"/>
      <c r="AK160" s="2655"/>
      <c r="AL160" s="2655"/>
      <c r="AM160" s="2655"/>
      <c r="AN160" s="2655"/>
      <c r="AO160" s="2655"/>
      <c r="AP160" s="2655"/>
      <c r="AQ160" s="2655"/>
      <c r="AR160" s="2655"/>
      <c r="AS160" s="2656">
        <v>1000000</v>
      </c>
      <c r="AT160" s="2656"/>
      <c r="AU160" s="2656"/>
      <c r="AV160" s="2656"/>
      <c r="AW160" s="2656"/>
      <c r="AX160" s="2656"/>
      <c r="AY160" s="2656">
        <v>500000</v>
      </c>
      <c r="AZ160" s="2656"/>
      <c r="BA160" s="2656"/>
      <c r="BB160" s="2656"/>
      <c r="BC160" s="2656"/>
      <c r="BD160" s="2657"/>
      <c r="BE160" s="1712"/>
    </row>
    <row r="161" spans="1:57" ht="15.75" customHeight="1">
      <c r="A161" s="1706"/>
      <c r="B161" s="1706"/>
      <c r="C161" s="2686" t="s">
        <v>306</v>
      </c>
      <c r="D161" s="2687"/>
      <c r="E161" s="2679" t="s">
        <v>1957</v>
      </c>
      <c r="F161" s="2679"/>
      <c r="G161" s="2679"/>
      <c r="H161" s="2679"/>
      <c r="I161" s="2679"/>
      <c r="J161" s="2679"/>
      <c r="K161" s="2679"/>
      <c r="L161" s="2679"/>
      <c r="M161" s="2680"/>
      <c r="N161" s="2681">
        <v>0</v>
      </c>
      <c r="O161" s="2681"/>
      <c r="P161" s="2681"/>
      <c r="Q161" s="2681"/>
      <c r="R161" s="2681"/>
      <c r="S161" s="2681"/>
      <c r="T161" s="2682"/>
      <c r="U161" s="2683"/>
      <c r="V161" s="2684"/>
      <c r="W161" s="2684"/>
      <c r="X161" s="2684"/>
      <c r="Y161" s="2684"/>
      <c r="Z161" s="2684"/>
      <c r="AA161" s="2684"/>
      <c r="AB161" s="2684"/>
      <c r="AC161" s="2684"/>
      <c r="AD161" s="2684"/>
      <c r="AE161" s="2685"/>
      <c r="AF161" s="1706"/>
      <c r="AG161" s="1706"/>
      <c r="AH161" s="2654" t="s">
        <v>2334</v>
      </c>
      <c r="AI161" s="2655"/>
      <c r="AJ161" s="2655"/>
      <c r="AK161" s="2655"/>
      <c r="AL161" s="2655"/>
      <c r="AM161" s="2655"/>
      <c r="AN161" s="2655"/>
      <c r="AO161" s="2655"/>
      <c r="AP161" s="2655"/>
      <c r="AQ161" s="2655"/>
      <c r="AR161" s="2655"/>
      <c r="AS161" s="2656">
        <v>2000000</v>
      </c>
      <c r="AT161" s="2656"/>
      <c r="AU161" s="2656"/>
      <c r="AV161" s="2656"/>
      <c r="AW161" s="2656"/>
      <c r="AX161" s="2656"/>
      <c r="AY161" s="2656">
        <v>250000</v>
      </c>
      <c r="AZ161" s="2656"/>
      <c r="BA161" s="2656"/>
      <c r="BB161" s="2656"/>
      <c r="BC161" s="2656"/>
      <c r="BD161" s="2657"/>
      <c r="BE161" s="1712"/>
    </row>
    <row r="162" spans="1:57" ht="15.75" customHeight="1">
      <c r="A162" s="1706"/>
      <c r="B162" s="1706"/>
      <c r="C162" s="2677" t="s">
        <v>306</v>
      </c>
      <c r="D162" s="2678"/>
      <c r="E162" s="2679" t="s">
        <v>1957</v>
      </c>
      <c r="F162" s="2679"/>
      <c r="G162" s="2679"/>
      <c r="H162" s="2679"/>
      <c r="I162" s="2679"/>
      <c r="J162" s="2679"/>
      <c r="K162" s="2679"/>
      <c r="L162" s="2679"/>
      <c r="M162" s="2680"/>
      <c r="N162" s="2681">
        <v>0</v>
      </c>
      <c r="O162" s="2681"/>
      <c r="P162" s="2681"/>
      <c r="Q162" s="2681"/>
      <c r="R162" s="2681"/>
      <c r="S162" s="2681"/>
      <c r="T162" s="2682"/>
      <c r="U162" s="2683"/>
      <c r="V162" s="2684"/>
      <c r="W162" s="2684"/>
      <c r="X162" s="2684"/>
      <c r="Y162" s="2684"/>
      <c r="Z162" s="2684"/>
      <c r="AA162" s="2684"/>
      <c r="AB162" s="2684"/>
      <c r="AC162" s="2684"/>
      <c r="AD162" s="2684"/>
      <c r="AE162" s="2685"/>
      <c r="AF162" s="1706"/>
      <c r="AG162" s="1706"/>
      <c r="AH162" s="2654" t="s">
        <v>2335</v>
      </c>
      <c r="AI162" s="2655"/>
      <c r="AJ162" s="2655"/>
      <c r="AK162" s="2655"/>
      <c r="AL162" s="2655"/>
      <c r="AM162" s="2655"/>
      <c r="AN162" s="2655"/>
      <c r="AO162" s="2655"/>
      <c r="AP162" s="2655"/>
      <c r="AQ162" s="2655"/>
      <c r="AR162" s="2655"/>
      <c r="AS162" s="2656">
        <v>25000000</v>
      </c>
      <c r="AT162" s="2656"/>
      <c r="AU162" s="2656"/>
      <c r="AV162" s="2656"/>
      <c r="AW162" s="2656"/>
      <c r="AX162" s="2656"/>
      <c r="AY162" s="2656">
        <v>1500000</v>
      </c>
      <c r="AZ162" s="2656"/>
      <c r="BA162" s="2656"/>
      <c r="BB162" s="2656"/>
      <c r="BC162" s="2656"/>
      <c r="BD162" s="2657"/>
      <c r="BE162" s="1712"/>
    </row>
    <row r="163" spans="1:57" ht="15.75" customHeight="1" thickBot="1">
      <c r="A163" s="1706"/>
      <c r="B163" s="1706"/>
      <c r="C163" s="2668" t="s">
        <v>306</v>
      </c>
      <c r="D163" s="2669"/>
      <c r="E163" s="2670" t="s">
        <v>1957</v>
      </c>
      <c r="F163" s="2670"/>
      <c r="G163" s="2670"/>
      <c r="H163" s="2670"/>
      <c r="I163" s="2670"/>
      <c r="J163" s="2670"/>
      <c r="K163" s="2670"/>
      <c r="L163" s="2670"/>
      <c r="M163" s="2671"/>
      <c r="N163" s="2672">
        <v>0</v>
      </c>
      <c r="O163" s="2672"/>
      <c r="P163" s="2672"/>
      <c r="Q163" s="2672"/>
      <c r="R163" s="2672"/>
      <c r="S163" s="2672"/>
      <c r="T163" s="2673"/>
      <c r="U163" s="2674"/>
      <c r="V163" s="2675"/>
      <c r="W163" s="2675"/>
      <c r="X163" s="2675"/>
      <c r="Y163" s="2675"/>
      <c r="Z163" s="2675"/>
      <c r="AA163" s="2675"/>
      <c r="AB163" s="2675"/>
      <c r="AC163" s="2675"/>
      <c r="AD163" s="2675"/>
      <c r="AE163" s="2676"/>
      <c r="AF163" s="1706"/>
      <c r="AG163" s="1706"/>
      <c r="AH163" s="2654" t="s">
        <v>2336</v>
      </c>
      <c r="AI163" s="2655"/>
      <c r="AJ163" s="2655"/>
      <c r="AK163" s="2655"/>
      <c r="AL163" s="2655"/>
      <c r="AM163" s="2655"/>
      <c r="AN163" s="2655"/>
      <c r="AO163" s="2655"/>
      <c r="AP163" s="2655"/>
      <c r="AQ163" s="2655"/>
      <c r="AR163" s="2655"/>
      <c r="AS163" s="2656">
        <v>1500000</v>
      </c>
      <c r="AT163" s="2656"/>
      <c r="AU163" s="2656"/>
      <c r="AV163" s="2656"/>
      <c r="AW163" s="2656"/>
      <c r="AX163" s="2656"/>
      <c r="AY163" s="2656">
        <v>250000</v>
      </c>
      <c r="AZ163" s="2656"/>
      <c r="BA163" s="2656"/>
      <c r="BB163" s="2656"/>
      <c r="BC163" s="2656"/>
      <c r="BD163" s="2657"/>
      <c r="BE163" s="1712"/>
    </row>
    <row r="164" spans="1:57" ht="15.75" customHeight="1">
      <c r="A164" s="1706"/>
      <c r="B164" s="1706"/>
      <c r="C164" s="2662" t="s">
        <v>1973</v>
      </c>
      <c r="D164" s="2663"/>
      <c r="E164" s="2663"/>
      <c r="F164" s="2663"/>
      <c r="G164" s="2663"/>
      <c r="H164" s="2663"/>
      <c r="I164" s="2663"/>
      <c r="J164" s="2663"/>
      <c r="K164" s="2663"/>
      <c r="L164" s="2663"/>
      <c r="M164" s="2664"/>
      <c r="N164" s="2665">
        <f>SUM(N156:T163)</f>
        <v>15710555</v>
      </c>
      <c r="O164" s="2666"/>
      <c r="P164" s="2666"/>
      <c r="Q164" s="2666"/>
      <c r="R164" s="2666"/>
      <c r="S164" s="2666"/>
      <c r="T164" s="2667"/>
      <c r="U164" s="1706"/>
      <c r="V164" s="1706"/>
      <c r="W164" s="1706"/>
      <c r="X164" s="1706"/>
      <c r="Y164" s="1706"/>
      <c r="Z164" s="1706"/>
      <c r="AA164" s="1706"/>
      <c r="AB164" s="1706"/>
      <c r="AC164" s="1706"/>
      <c r="AD164" s="1706"/>
      <c r="AE164" s="1706"/>
      <c r="AF164" s="1706"/>
      <c r="AG164" s="1706"/>
      <c r="AH164" s="2654" t="s">
        <v>2337</v>
      </c>
      <c r="AI164" s="2655"/>
      <c r="AJ164" s="2655"/>
      <c r="AK164" s="2655"/>
      <c r="AL164" s="2655"/>
      <c r="AM164" s="2655"/>
      <c r="AN164" s="2655"/>
      <c r="AO164" s="2655"/>
      <c r="AP164" s="2655"/>
      <c r="AQ164" s="2655"/>
      <c r="AR164" s="2655"/>
      <c r="AS164" s="2656">
        <v>500000</v>
      </c>
      <c r="AT164" s="2656"/>
      <c r="AU164" s="2656"/>
      <c r="AV164" s="2656"/>
      <c r="AW164" s="2656"/>
      <c r="AX164" s="2656"/>
      <c r="AY164" s="2656">
        <v>0</v>
      </c>
      <c r="AZ164" s="2656"/>
      <c r="BA164" s="2656"/>
      <c r="BB164" s="2656"/>
      <c r="BC164" s="2656"/>
      <c r="BD164" s="2657"/>
      <c r="BE164" s="1712"/>
    </row>
    <row r="165" spans="1:57" ht="15.75" customHeight="1" thickBot="1">
      <c r="A165" s="1706"/>
      <c r="B165" s="1706"/>
      <c r="C165" s="2650" t="s">
        <v>1974</v>
      </c>
      <c r="D165" s="2651"/>
      <c r="E165" s="2651"/>
      <c r="F165" s="2651"/>
      <c r="G165" s="2651"/>
      <c r="H165" s="2651"/>
      <c r="I165" s="2651"/>
      <c r="J165" s="2651"/>
      <c r="K165" s="2651"/>
      <c r="L165" s="2651"/>
      <c r="M165" s="2651"/>
      <c r="N165" s="2652">
        <f>(N154-N164)/J29</f>
        <v>485144.59944351029</v>
      </c>
      <c r="O165" s="2652"/>
      <c r="P165" s="2652"/>
      <c r="Q165" s="2652"/>
      <c r="R165" s="2652"/>
      <c r="S165" s="2652"/>
      <c r="T165" s="2653"/>
      <c r="U165" s="1713"/>
      <c r="V165" s="1706"/>
      <c r="W165" s="1706"/>
      <c r="X165" s="1706"/>
      <c r="Y165" s="1706"/>
      <c r="Z165" s="1706"/>
      <c r="AA165" s="1706"/>
      <c r="AB165" s="1706"/>
      <c r="AC165" s="1706"/>
      <c r="AD165" s="1706"/>
      <c r="AE165" s="1706"/>
      <c r="AF165" s="1706"/>
      <c r="AG165" s="1706"/>
      <c r="AH165" s="2654" t="s">
        <v>2338</v>
      </c>
      <c r="AI165" s="2655"/>
      <c r="AJ165" s="2655"/>
      <c r="AK165" s="2655"/>
      <c r="AL165" s="2655"/>
      <c r="AM165" s="2655"/>
      <c r="AN165" s="2655"/>
      <c r="AO165" s="2655"/>
      <c r="AP165" s="2655"/>
      <c r="AQ165" s="2655"/>
      <c r="AR165" s="2655"/>
      <c r="AS165" s="2656">
        <v>0</v>
      </c>
      <c r="AT165" s="2656"/>
      <c r="AU165" s="2656"/>
      <c r="AV165" s="2656"/>
      <c r="AW165" s="2656"/>
      <c r="AX165" s="2656"/>
      <c r="AY165" s="2656">
        <v>0</v>
      </c>
      <c r="AZ165" s="2656"/>
      <c r="BA165" s="2656"/>
      <c r="BB165" s="2656"/>
      <c r="BC165" s="2656"/>
      <c r="BD165" s="2657"/>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8" t="s">
        <v>1970</v>
      </c>
      <c r="AI166" s="2659"/>
      <c r="AJ166" s="2659"/>
      <c r="AK166" s="2659"/>
      <c r="AL166" s="2659"/>
      <c r="AM166" s="2659"/>
      <c r="AN166" s="2659"/>
      <c r="AO166" s="2659"/>
      <c r="AP166" s="2659"/>
      <c r="AQ166" s="2659"/>
      <c r="AR166" s="2659"/>
      <c r="AS166" s="2660">
        <f>SUM(AS160:AX165)</f>
        <v>30000000</v>
      </c>
      <c r="AT166" s="2660"/>
      <c r="AU166" s="2660"/>
      <c r="AV166" s="2660"/>
      <c r="AW166" s="2660"/>
      <c r="AX166" s="2660"/>
      <c r="AY166" s="2660">
        <f>SUM(AY160:BD165)</f>
        <v>2500000</v>
      </c>
      <c r="AZ166" s="2660"/>
      <c r="BA166" s="2660"/>
      <c r="BB166" s="2660"/>
      <c r="BC166" s="2660"/>
      <c r="BD166" s="2661"/>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7" t="s">
        <v>1975</v>
      </c>
      <c r="C168" s="2638"/>
      <c r="D168" s="2638"/>
      <c r="E168" s="2638"/>
      <c r="F168" s="2638"/>
      <c r="G168" s="2638"/>
      <c r="H168" s="2638"/>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38"/>
      <c r="AD168" s="2638"/>
      <c r="AE168" s="2638"/>
      <c r="AF168" s="2638"/>
      <c r="AG168" s="2638"/>
      <c r="AH168" s="2638"/>
      <c r="AI168" s="2638"/>
      <c r="AJ168" s="2638"/>
      <c r="AK168" s="2638"/>
      <c r="AL168" s="2638"/>
      <c r="AM168" s="2638"/>
      <c r="AN168" s="2638"/>
      <c r="AO168" s="2638"/>
      <c r="AP168" s="2638"/>
      <c r="AQ168" s="2638"/>
      <c r="AR168" s="2638"/>
      <c r="AS168" s="2638"/>
      <c r="AT168" s="2638"/>
      <c r="AU168" s="2638"/>
      <c r="AV168" s="2638"/>
      <c r="AW168" s="2638"/>
      <c r="AX168" s="2638"/>
      <c r="AY168" s="2638"/>
      <c r="AZ168" s="2638"/>
      <c r="BA168" s="2638"/>
      <c r="BB168" s="2638"/>
      <c r="BC168" s="2638"/>
      <c r="BD168" s="2639"/>
      <c r="BE168" s="1712"/>
    </row>
    <row r="169" spans="1:57" ht="15.75" customHeight="1">
      <c r="A169" s="1706"/>
      <c r="B169" s="2640"/>
      <c r="C169" s="2641"/>
      <c r="D169" s="2641"/>
      <c r="E169" s="2641"/>
      <c r="F169" s="2641"/>
      <c r="G169" s="2641"/>
      <c r="H169" s="2641"/>
      <c r="I169" s="2641"/>
      <c r="J169" s="2641"/>
      <c r="K169" s="2641"/>
      <c r="L169" s="2641"/>
      <c r="M169" s="2641"/>
      <c r="N169" s="2641"/>
      <c r="O169" s="2641"/>
      <c r="P169" s="2641"/>
      <c r="Q169" s="2641"/>
      <c r="R169" s="2641"/>
      <c r="S169" s="2641"/>
      <c r="T169" s="2641"/>
      <c r="U169" s="2641"/>
      <c r="V169" s="2641"/>
      <c r="W169" s="2641"/>
      <c r="X169" s="2641"/>
      <c r="Y169" s="2641"/>
      <c r="Z169" s="2641"/>
      <c r="AA169" s="2641"/>
      <c r="AB169" s="2641"/>
      <c r="AC169" s="2641"/>
      <c r="AD169" s="2641"/>
      <c r="AE169" s="2641"/>
      <c r="AF169" s="2641"/>
      <c r="AG169" s="2641"/>
      <c r="AH169" s="2641"/>
      <c r="AI169" s="2641"/>
      <c r="AJ169" s="2641"/>
      <c r="AK169" s="2641"/>
      <c r="AL169" s="2641"/>
      <c r="AM169" s="2641"/>
      <c r="AN169" s="2641"/>
      <c r="AO169" s="2641"/>
      <c r="AP169" s="2641"/>
      <c r="AQ169" s="2641"/>
      <c r="AR169" s="2641"/>
      <c r="AS169" s="2641"/>
      <c r="AT169" s="2641"/>
      <c r="AU169" s="2641"/>
      <c r="AV169" s="2641"/>
      <c r="AW169" s="2641"/>
      <c r="AX169" s="2641"/>
      <c r="AY169" s="2641"/>
      <c r="AZ169" s="2641"/>
      <c r="BA169" s="2641"/>
      <c r="BB169" s="2641"/>
      <c r="BC169" s="2641"/>
      <c r="BD169" s="2642"/>
      <c r="BE169" s="1712"/>
    </row>
    <row r="170" spans="1:57" ht="15.75" customHeight="1">
      <c r="A170" s="1706"/>
      <c r="B170" s="2643" t="s">
        <v>1976</v>
      </c>
      <c r="C170" s="2644"/>
      <c r="D170" s="2644"/>
      <c r="E170" s="2644"/>
      <c r="F170" s="2644"/>
      <c r="G170" s="2644"/>
      <c r="H170" s="2644"/>
      <c r="I170" s="2644"/>
      <c r="J170" s="2644"/>
      <c r="K170" s="2644"/>
      <c r="L170" s="2644"/>
      <c r="M170" s="2644"/>
      <c r="N170" s="2644"/>
      <c r="O170" s="2644"/>
      <c r="P170" s="2644"/>
      <c r="Q170" s="2644"/>
      <c r="R170" s="2644"/>
      <c r="S170" s="2644"/>
      <c r="T170" s="2644"/>
      <c r="U170" s="2644"/>
      <c r="V170" s="2644"/>
      <c r="W170" s="2644"/>
      <c r="X170" s="2644"/>
      <c r="Y170" s="2644"/>
      <c r="Z170" s="2644"/>
      <c r="AA170" s="2644"/>
      <c r="AB170" s="2644"/>
      <c r="AC170" s="2644"/>
      <c r="AD170" s="2644"/>
      <c r="AE170" s="2644"/>
      <c r="AF170" s="2644"/>
      <c r="AG170" s="2644"/>
      <c r="AH170" s="2644"/>
      <c r="AI170" s="2644"/>
      <c r="AJ170" s="2644"/>
      <c r="AK170" s="2644"/>
      <c r="AL170" s="2644"/>
      <c r="AM170" s="2644"/>
      <c r="AN170" s="2644"/>
      <c r="AO170" s="2644"/>
      <c r="AP170" s="2644"/>
      <c r="AQ170" s="2644"/>
      <c r="AR170" s="2644"/>
      <c r="AS170" s="2644"/>
      <c r="AT170" s="2644"/>
      <c r="AU170" s="2644"/>
      <c r="AV170" s="2644"/>
      <c r="AW170" s="2644"/>
      <c r="AX170" s="2644"/>
      <c r="AY170" s="2644"/>
      <c r="AZ170" s="2644"/>
      <c r="BA170" s="2644"/>
      <c r="BB170" s="2644"/>
      <c r="BC170" s="2644"/>
      <c r="BD170" s="2645"/>
      <c r="BE170" s="1712"/>
    </row>
    <row r="171" spans="1:57" ht="15.75" customHeight="1">
      <c r="A171" s="1706"/>
      <c r="B171" s="2643" t="s">
        <v>1977</v>
      </c>
      <c r="C171" s="2644"/>
      <c r="D171" s="2644"/>
      <c r="E171" s="2644"/>
      <c r="F171" s="2644"/>
      <c r="G171" s="2644"/>
      <c r="H171" s="2644"/>
      <c r="I171" s="2644"/>
      <c r="J171" s="2644"/>
      <c r="K171" s="2644"/>
      <c r="L171" s="2644"/>
      <c r="M171" s="2644"/>
      <c r="N171" s="2644"/>
      <c r="O171" s="2644"/>
      <c r="P171" s="2644"/>
      <c r="Q171" s="2644"/>
      <c r="R171" s="2644"/>
      <c r="S171" s="2644"/>
      <c r="T171" s="2644"/>
      <c r="U171" s="2644"/>
      <c r="V171" s="2644"/>
      <c r="W171" s="2644"/>
      <c r="X171" s="2644"/>
      <c r="Y171" s="2644"/>
      <c r="Z171" s="2644"/>
      <c r="AA171" s="2644"/>
      <c r="AB171" s="2644"/>
      <c r="AC171" s="2644"/>
      <c r="AD171" s="2644"/>
      <c r="AE171" s="2644"/>
      <c r="AF171" s="2644"/>
      <c r="AG171" s="2644"/>
      <c r="AH171" s="2644"/>
      <c r="AI171" s="2644"/>
      <c r="AJ171" s="2644"/>
      <c r="AK171" s="2644"/>
      <c r="AL171" s="2644"/>
      <c r="AM171" s="2644"/>
      <c r="AN171" s="2644"/>
      <c r="AO171" s="2644"/>
      <c r="AP171" s="2644"/>
      <c r="AQ171" s="2644"/>
      <c r="AR171" s="2644"/>
      <c r="AS171" s="2644"/>
      <c r="AT171" s="2644"/>
      <c r="AU171" s="2644"/>
      <c r="AV171" s="2644"/>
      <c r="AW171" s="2644"/>
      <c r="AX171" s="2644"/>
      <c r="AY171" s="2644"/>
      <c r="AZ171" s="2644"/>
      <c r="BA171" s="2644"/>
      <c r="BB171" s="2644"/>
      <c r="BC171" s="2644"/>
      <c r="BD171" s="264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6" t="s">
        <v>1978</v>
      </c>
      <c r="C173" s="2647"/>
      <c r="D173" s="2647"/>
      <c r="E173" s="2647"/>
      <c r="F173" s="2647"/>
      <c r="G173" s="2647"/>
      <c r="H173" s="2647"/>
      <c r="I173" s="2647"/>
      <c r="J173" s="2647"/>
      <c r="K173" s="2647"/>
      <c r="L173" s="2647"/>
      <c r="M173" s="2647"/>
      <c r="N173" s="2647"/>
      <c r="O173" s="2647"/>
      <c r="P173" s="2647"/>
      <c r="Q173" s="2647"/>
      <c r="R173" s="2647"/>
      <c r="S173" s="2647"/>
      <c r="T173" s="2647"/>
      <c r="U173" s="2647"/>
      <c r="V173" s="2647"/>
      <c r="W173" s="2647"/>
      <c r="X173" s="2647"/>
      <c r="Y173" s="2647"/>
      <c r="Z173" s="2647"/>
      <c r="AA173" s="2647"/>
      <c r="AB173" s="2647"/>
      <c r="AC173" s="2647"/>
      <c r="AD173" s="2647"/>
      <c r="AE173" s="2647"/>
      <c r="AF173" s="2647"/>
      <c r="AG173" s="2647"/>
      <c r="AH173" s="2647"/>
      <c r="AI173" s="2647"/>
      <c r="AJ173" s="2647"/>
      <c r="AK173" s="2647"/>
      <c r="AL173" s="2647"/>
      <c r="AM173" s="2647"/>
      <c r="AN173" s="2647"/>
      <c r="AO173" s="2647"/>
      <c r="AP173" s="2647"/>
      <c r="AQ173" s="2647"/>
      <c r="AR173" s="2647"/>
      <c r="AS173" s="2647"/>
      <c r="AT173" s="2647"/>
      <c r="AU173" s="2647"/>
      <c r="AV173" s="2647"/>
      <c r="AW173" s="2647"/>
      <c r="AX173" s="2647"/>
      <c r="AY173" s="2647"/>
      <c r="AZ173" s="2647"/>
      <c r="BA173" s="2647"/>
      <c r="BB173" s="2647"/>
      <c r="BC173" s="2647"/>
      <c r="BD173" s="264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9" t="s">
        <v>1980</v>
      </c>
      <c r="I177" s="2649"/>
      <c r="J177" s="2649"/>
      <c r="K177" s="2649"/>
      <c r="L177" s="2649"/>
      <c r="M177" s="2649"/>
      <c r="N177" s="2649"/>
      <c r="O177" s="2649"/>
      <c r="P177" s="2649"/>
      <c r="Q177" s="2649"/>
      <c r="R177" s="2649"/>
      <c r="S177" s="2649"/>
      <c r="T177" s="2649"/>
      <c r="U177" s="2649"/>
      <c r="V177" s="2649"/>
      <c r="W177" s="2649"/>
      <c r="X177" s="2649"/>
      <c r="Y177" s="2649"/>
      <c r="Z177" s="2649"/>
      <c r="AA177" s="2649"/>
      <c r="AB177" s="2649"/>
      <c r="AC177" s="2649"/>
      <c r="AD177" s="2649"/>
      <c r="AE177" s="2649"/>
      <c r="AF177" s="2649"/>
      <c r="AG177" s="2649"/>
      <c r="AH177" s="2649"/>
      <c r="AI177" s="2649"/>
      <c r="AJ177" s="2649"/>
      <c r="AK177" s="2649"/>
      <c r="AL177" s="2649"/>
      <c r="AM177" s="2649"/>
      <c r="AN177" s="2649"/>
      <c r="AO177" s="2649"/>
      <c r="AP177" s="2649"/>
      <c r="AQ177" s="2649"/>
      <c r="AR177" s="2649"/>
      <c r="AS177" s="2649"/>
      <c r="AT177" s="2649"/>
      <c r="AU177" s="2649"/>
      <c r="AV177" s="2649"/>
      <c r="AW177" s="2649"/>
      <c r="AX177" s="2649"/>
      <c r="AY177" s="264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6" t="s">
        <v>2312</v>
      </c>
      <c r="I179" s="2636"/>
      <c r="J179" s="2636"/>
      <c r="K179" s="2636"/>
      <c r="L179" s="2636"/>
      <c r="M179" s="2636"/>
      <c r="N179" s="2636"/>
      <c r="O179" s="2636"/>
      <c r="P179" s="2636"/>
      <c r="Q179" s="2636"/>
      <c r="R179" s="2636"/>
      <c r="S179" s="2636"/>
      <c r="T179" s="2636"/>
      <c r="U179" s="2636"/>
      <c r="V179" s="2636"/>
      <c r="W179" s="2636"/>
      <c r="X179" s="2636"/>
      <c r="Y179" s="2636"/>
      <c r="Z179" s="2636"/>
      <c r="AA179" s="2636"/>
      <c r="AB179" s="2636"/>
      <c r="AC179" s="2636"/>
      <c r="AD179" s="2636"/>
      <c r="AE179" s="2636"/>
      <c r="AF179" s="2636"/>
      <c r="AG179" s="2636"/>
      <c r="AH179" s="2636"/>
      <c r="AI179" s="2636"/>
      <c r="AJ179" s="2636"/>
      <c r="AK179" s="2636"/>
      <c r="AL179" s="2636"/>
      <c r="AM179" s="2636"/>
      <c r="AN179" s="2636"/>
      <c r="AO179" s="2636"/>
      <c r="AP179" s="2636"/>
      <c r="AQ179" s="2636"/>
      <c r="AR179" s="2636"/>
      <c r="AS179" s="2636"/>
      <c r="AT179" s="2636"/>
      <c r="AU179" s="2636"/>
      <c r="AV179" s="2636"/>
      <c r="AW179" s="2636"/>
      <c r="AX179" s="2636"/>
      <c r="AY179" s="2636"/>
      <c r="AZ179" s="2636"/>
      <c r="BA179" s="1706"/>
      <c r="BB179" s="1706"/>
      <c r="BC179" s="1706"/>
      <c r="BD179" s="1712"/>
      <c r="BE179" s="1712"/>
    </row>
    <row r="180" spans="1:57" ht="15.75" customHeight="1">
      <c r="A180" s="1706"/>
      <c r="B180" s="1705"/>
      <c r="C180" s="1706"/>
      <c r="D180" s="1706"/>
      <c r="E180" s="1706"/>
      <c r="F180" s="1706"/>
      <c r="G180" s="1706"/>
      <c r="H180" s="2636"/>
      <c r="I180" s="2636"/>
      <c r="J180" s="2636"/>
      <c r="K180" s="2636"/>
      <c r="L180" s="2636"/>
      <c r="M180" s="2636"/>
      <c r="N180" s="2636"/>
      <c r="O180" s="2636"/>
      <c r="P180" s="2636"/>
      <c r="Q180" s="2636"/>
      <c r="R180" s="2636"/>
      <c r="S180" s="2636"/>
      <c r="T180" s="2636"/>
      <c r="U180" s="2636"/>
      <c r="V180" s="2636"/>
      <c r="W180" s="2636"/>
      <c r="X180" s="2636"/>
      <c r="Y180" s="2636"/>
      <c r="Z180" s="2636"/>
      <c r="AA180" s="2636"/>
      <c r="AB180" s="2636"/>
      <c r="AC180" s="2636"/>
      <c r="AD180" s="2636"/>
      <c r="AE180" s="2636"/>
      <c r="AF180" s="2636"/>
      <c r="AG180" s="2636"/>
      <c r="AH180" s="2636"/>
      <c r="AI180" s="2636"/>
      <c r="AJ180" s="2636"/>
      <c r="AK180" s="2636"/>
      <c r="AL180" s="2636"/>
      <c r="AM180" s="2636"/>
      <c r="AN180" s="2636"/>
      <c r="AO180" s="2636"/>
      <c r="AP180" s="2636"/>
      <c r="AQ180" s="2636"/>
      <c r="AR180" s="2636"/>
      <c r="AS180" s="2636"/>
      <c r="AT180" s="2636"/>
      <c r="AU180" s="2636"/>
      <c r="AV180" s="2636"/>
      <c r="AW180" s="2636"/>
      <c r="AX180" s="2636"/>
      <c r="AY180" s="2636"/>
      <c r="AZ180" s="2636"/>
      <c r="BA180" s="1706"/>
      <c r="BB180" s="1706"/>
      <c r="BC180" s="1706"/>
      <c r="BD180" s="1712"/>
      <c r="BE180" s="1712"/>
    </row>
    <row r="181" spans="1:57" ht="15.75" customHeight="1">
      <c r="A181" s="1706"/>
      <c r="B181" s="1705"/>
      <c r="C181" s="1706"/>
      <c r="D181" s="1706"/>
      <c r="E181" s="1706"/>
      <c r="F181" s="1706"/>
      <c r="G181" s="1706"/>
      <c r="H181" s="2636"/>
      <c r="I181" s="2636"/>
      <c r="J181" s="2636"/>
      <c r="K181" s="2636"/>
      <c r="L181" s="2636"/>
      <c r="M181" s="2636"/>
      <c r="N181" s="2636"/>
      <c r="O181" s="2636"/>
      <c r="P181" s="2636"/>
      <c r="Q181" s="2636"/>
      <c r="R181" s="2636"/>
      <c r="S181" s="2636"/>
      <c r="T181" s="2636"/>
      <c r="U181" s="2636"/>
      <c r="V181" s="2636"/>
      <c r="W181" s="2636"/>
      <c r="X181" s="2636"/>
      <c r="Y181" s="2636"/>
      <c r="Z181" s="2636"/>
      <c r="AA181" s="2636"/>
      <c r="AB181" s="2636"/>
      <c r="AC181" s="2636"/>
      <c r="AD181" s="2636"/>
      <c r="AE181" s="2636"/>
      <c r="AF181" s="2636"/>
      <c r="AG181" s="2636"/>
      <c r="AH181" s="2636"/>
      <c r="AI181" s="2636"/>
      <c r="AJ181" s="2636"/>
      <c r="AK181" s="2636"/>
      <c r="AL181" s="2636"/>
      <c r="AM181" s="2636"/>
      <c r="AN181" s="2636"/>
      <c r="AO181" s="2636"/>
      <c r="AP181" s="2636"/>
      <c r="AQ181" s="2636"/>
      <c r="AR181" s="2636"/>
      <c r="AS181" s="2636"/>
      <c r="AT181" s="2636"/>
      <c r="AU181" s="2636"/>
      <c r="AV181" s="2636"/>
      <c r="AW181" s="2636"/>
      <c r="AX181" s="2636"/>
      <c r="AY181" s="2636"/>
      <c r="AZ181" s="2636"/>
      <c r="BA181" s="1706"/>
      <c r="BB181" s="1706"/>
      <c r="BC181" s="1706"/>
      <c r="BD181" s="1712"/>
      <c r="BE181" s="1712"/>
    </row>
    <row r="182" spans="1:57" ht="15.75" customHeight="1">
      <c r="A182" s="1706"/>
      <c r="B182" s="1705"/>
      <c r="C182" s="1706"/>
      <c r="D182" s="1706"/>
      <c r="E182" s="1706"/>
      <c r="F182" s="1706"/>
      <c r="G182" s="1706"/>
      <c r="H182" s="2636"/>
      <c r="I182" s="2636"/>
      <c r="J182" s="2636"/>
      <c r="K182" s="2636"/>
      <c r="L182" s="2636"/>
      <c r="M182" s="2636"/>
      <c r="N182" s="2636"/>
      <c r="O182" s="2636"/>
      <c r="P182" s="2636"/>
      <c r="Q182" s="2636"/>
      <c r="R182" s="2636"/>
      <c r="S182" s="2636"/>
      <c r="T182" s="2636"/>
      <c r="U182" s="2636"/>
      <c r="V182" s="2636"/>
      <c r="W182" s="2636"/>
      <c r="X182" s="2636"/>
      <c r="Y182" s="2636"/>
      <c r="Z182" s="2636"/>
      <c r="AA182" s="2636"/>
      <c r="AB182" s="2636"/>
      <c r="AC182" s="2636"/>
      <c r="AD182" s="2636"/>
      <c r="AE182" s="2636"/>
      <c r="AF182" s="2636"/>
      <c r="AG182" s="2636"/>
      <c r="AH182" s="2636"/>
      <c r="AI182" s="2636"/>
      <c r="AJ182" s="2636"/>
      <c r="AK182" s="2636"/>
      <c r="AL182" s="2636"/>
      <c r="AM182" s="2636"/>
      <c r="AN182" s="2636"/>
      <c r="AO182" s="2636"/>
      <c r="AP182" s="2636"/>
      <c r="AQ182" s="2636"/>
      <c r="AR182" s="2636"/>
      <c r="AS182" s="2636"/>
      <c r="AT182" s="2636"/>
      <c r="AU182" s="2636"/>
      <c r="AV182" s="2636"/>
      <c r="AW182" s="2636"/>
      <c r="AX182" s="2636"/>
      <c r="AY182" s="2636"/>
      <c r="AZ182" s="263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5" t="s">
        <v>1981</v>
      </c>
      <c r="I184" s="2635"/>
      <c r="J184" s="2635"/>
      <c r="K184" s="2635"/>
      <c r="L184" s="2635"/>
      <c r="M184" s="2635"/>
      <c r="N184" s="2635"/>
      <c r="O184" s="2635"/>
      <c r="P184" s="2635"/>
      <c r="Q184" s="2635"/>
      <c r="R184" s="2635"/>
      <c r="S184" s="2635"/>
      <c r="T184" s="2635"/>
      <c r="U184" s="2635"/>
      <c r="V184" s="2635"/>
      <c r="W184" s="2635"/>
      <c r="X184" s="2635"/>
      <c r="Y184" s="2635"/>
      <c r="Z184" s="2635"/>
      <c r="AA184" s="2635"/>
      <c r="AB184" s="2635"/>
      <c r="AC184" s="2635"/>
      <c r="AD184" s="2635"/>
      <c r="AE184" s="2635"/>
      <c r="AF184" s="2635"/>
      <c r="AG184" s="2635"/>
      <c r="AH184" s="2635"/>
      <c r="AI184" s="2635"/>
      <c r="AJ184" s="2635"/>
      <c r="AK184" s="2635"/>
      <c r="AL184" s="2635"/>
      <c r="AM184" s="2635"/>
      <c r="AN184" s="2635"/>
      <c r="AO184" s="2635"/>
      <c r="AP184" s="2635"/>
      <c r="AQ184" s="2635"/>
      <c r="AR184" s="2635"/>
      <c r="AS184" s="2635"/>
      <c r="AT184" s="2635"/>
      <c r="AU184" s="2635"/>
      <c r="AV184" s="2635"/>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9" t="s">
        <v>1982</v>
      </c>
      <c r="I186" s="2629"/>
      <c r="J186" s="2629"/>
      <c r="K186" s="2629"/>
      <c r="L186" s="1718"/>
      <c r="M186" s="1718"/>
      <c r="N186" s="1718"/>
      <c r="O186" s="1718"/>
      <c r="P186" s="1718"/>
      <c r="Q186" s="1718"/>
      <c r="R186" s="1718"/>
      <c r="S186" s="2630"/>
      <c r="T186" s="2631"/>
      <c r="U186" s="2631"/>
      <c r="V186" s="2631"/>
      <c r="W186" s="2631"/>
      <c r="X186" s="2631"/>
      <c r="Y186" s="2631"/>
      <c r="Z186" s="2631"/>
      <c r="AA186" s="2631"/>
      <c r="AB186" s="2631"/>
      <c r="AC186" s="2631"/>
      <c r="AD186" s="2631"/>
      <c r="AE186" s="2631"/>
      <c r="AF186" s="2631"/>
      <c r="AG186" s="2631"/>
      <c r="AH186" s="2631"/>
      <c r="AI186" s="2631"/>
      <c r="AJ186" s="2632"/>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9" t="s">
        <v>1983</v>
      </c>
      <c r="I188" s="2629"/>
      <c r="J188" s="2629"/>
      <c r="K188" s="1738"/>
      <c r="L188" s="1718"/>
      <c r="M188" s="1718"/>
      <c r="N188" s="1718"/>
      <c r="O188" s="1718"/>
      <c r="P188" s="1718"/>
      <c r="Q188" s="1718"/>
      <c r="R188" s="1718"/>
      <c r="S188" s="2630"/>
      <c r="T188" s="2631"/>
      <c r="U188" s="2631"/>
      <c r="V188" s="2631"/>
      <c r="W188" s="2631"/>
      <c r="X188" s="2631"/>
      <c r="Y188" s="2631"/>
      <c r="Z188" s="2631"/>
      <c r="AA188" s="2631"/>
      <c r="AB188" s="2631"/>
      <c r="AC188" s="2631"/>
      <c r="AD188" s="2631"/>
      <c r="AE188" s="2631"/>
      <c r="AF188" s="2631"/>
      <c r="AG188" s="2631"/>
      <c r="AH188" s="2631"/>
      <c r="AI188" s="2631"/>
      <c r="AJ188" s="2632"/>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9" t="s">
        <v>459</v>
      </c>
      <c r="I190" s="2629"/>
      <c r="J190" s="1738"/>
      <c r="K190" s="1738"/>
      <c r="L190" s="1718"/>
      <c r="M190" s="1718"/>
      <c r="N190" s="1718"/>
      <c r="O190" s="1718"/>
      <c r="P190" s="1718"/>
      <c r="Q190" s="1718"/>
      <c r="R190" s="1718"/>
      <c r="S190" s="2630"/>
      <c r="T190" s="2631"/>
      <c r="U190" s="2631"/>
      <c r="V190" s="2631"/>
      <c r="W190" s="2631"/>
      <c r="X190" s="2631"/>
      <c r="Y190" s="2631"/>
      <c r="Z190" s="2631"/>
      <c r="AA190" s="2631"/>
      <c r="AB190" s="2631"/>
      <c r="AC190" s="2631"/>
      <c r="AD190" s="2631"/>
      <c r="AE190" s="2631"/>
      <c r="AF190" s="2631"/>
      <c r="AG190" s="2631"/>
      <c r="AH190" s="2631"/>
      <c r="AI190" s="2631"/>
      <c r="AJ190" s="2632"/>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3" t="s">
        <v>1984</v>
      </c>
      <c r="I192" s="2633"/>
      <c r="J192" s="2633"/>
      <c r="K192" s="2633"/>
      <c r="L192" s="2633"/>
      <c r="M192" s="2633"/>
      <c r="N192" s="2633"/>
      <c r="O192" s="2633"/>
      <c r="P192" s="1718"/>
      <c r="Q192" s="1718"/>
      <c r="R192" s="1718"/>
      <c r="S192" s="2630"/>
      <c r="T192" s="2631"/>
      <c r="U192" s="2631"/>
      <c r="V192" s="2631"/>
      <c r="W192" s="2631"/>
      <c r="X192" s="2631"/>
      <c r="Y192" s="2631"/>
      <c r="Z192" s="2631"/>
      <c r="AA192" s="2631"/>
      <c r="AB192" s="2631"/>
      <c r="AC192" s="2631"/>
      <c r="AD192" s="2631"/>
      <c r="AE192" s="2631"/>
      <c r="AF192" s="2631"/>
      <c r="AG192" s="2631"/>
      <c r="AH192" s="2631"/>
      <c r="AI192" s="2631"/>
      <c r="AJ192" s="2632"/>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4" t="s">
        <v>1985</v>
      </c>
      <c r="I194" s="2634"/>
      <c r="J194" s="1718"/>
      <c r="K194" s="1718"/>
      <c r="L194" s="1718"/>
      <c r="M194" s="1718"/>
      <c r="N194" s="1718"/>
      <c r="O194" s="1718"/>
      <c r="P194" s="1718"/>
      <c r="Q194" s="1718"/>
      <c r="R194" s="1718"/>
      <c r="S194" s="2630"/>
      <c r="T194" s="2631"/>
      <c r="U194" s="2631"/>
      <c r="V194" s="2631"/>
      <c r="W194" s="2631"/>
      <c r="X194" s="2631"/>
      <c r="Y194" s="2631"/>
      <c r="Z194" s="2631"/>
      <c r="AA194" s="2631"/>
      <c r="AB194" s="2631"/>
      <c r="AC194" s="2631"/>
      <c r="AD194" s="2631"/>
      <c r="AE194" s="2631"/>
      <c r="AF194" s="2631"/>
      <c r="AG194" s="2631"/>
      <c r="AH194" s="2631"/>
      <c r="AI194" s="2631"/>
      <c r="AJ194" s="2632"/>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78" zoomScaleNormal="100" zoomScaleSheetLayoutView="100" workbookViewId="0">
      <selection activeCell="C533" sqref="C533:D533"/>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13" t="s">
        <v>1496</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row>
    <row r="2" spans="1:42" s="917" customFormat="1" ht="12.75" customHeight="1"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1" t="s">
        <v>1501</v>
      </c>
      <c r="AF7" s="3091"/>
      <c r="AG7" s="3091"/>
      <c r="AH7" s="3091"/>
      <c r="AI7" s="3091"/>
      <c r="AJ7" s="3091"/>
      <c r="AK7" s="3091"/>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2474</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2468</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1" t="s">
        <v>617</v>
      </c>
      <c r="C13" s="3081"/>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5"/>
      <c r="AH13" s="3115"/>
      <c r="AI13" s="3115"/>
      <c r="AJ13" s="3116"/>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1" t="s">
        <v>617</v>
      </c>
      <c r="C16" s="3081"/>
      <c r="D16" s="930"/>
      <c r="E16" s="3092" t="s">
        <v>1503</v>
      </c>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3094"/>
      <c r="AK16" s="923"/>
      <c r="AL16" s="923"/>
      <c r="AM16" s="923"/>
      <c r="AN16" s="919"/>
      <c r="AO16" s="933">
        <f>IF($B25="yes",20,0)</f>
        <v>0</v>
      </c>
      <c r="AP16" s="51"/>
    </row>
    <row r="17" spans="1:42" s="920" customFormat="1" ht="12.75" customHeight="1">
      <c r="A17" s="923"/>
      <c r="B17" s="923"/>
      <c r="C17" s="923"/>
      <c r="D17" s="934"/>
      <c r="E17" s="3095"/>
      <c r="F17" s="3096"/>
      <c r="G17" s="3096"/>
      <c r="H17" s="3096"/>
      <c r="I17" s="3096"/>
      <c r="J17" s="3096"/>
      <c r="K17" s="3096"/>
      <c r="L17" s="3096"/>
      <c r="M17" s="3096"/>
      <c r="N17" s="3096"/>
      <c r="O17" s="3096"/>
      <c r="P17" s="3096"/>
      <c r="Q17" s="3096"/>
      <c r="R17" s="3096"/>
      <c r="S17" s="3096"/>
      <c r="T17" s="3096"/>
      <c r="U17" s="3096"/>
      <c r="V17" s="3096"/>
      <c r="W17" s="3096"/>
      <c r="X17" s="3096"/>
      <c r="Y17" s="3096"/>
      <c r="Z17" s="3096"/>
      <c r="AA17" s="3096"/>
      <c r="AB17" s="3096"/>
      <c r="AC17" s="3096"/>
      <c r="AD17" s="3096"/>
      <c r="AE17" s="3096"/>
      <c r="AF17" s="3096"/>
      <c r="AG17" s="3096"/>
      <c r="AH17" s="3096"/>
      <c r="AI17" s="3096"/>
      <c r="AJ17" s="3097"/>
      <c r="AK17" s="923"/>
      <c r="AL17" s="923"/>
      <c r="AM17" s="923"/>
      <c r="AN17" s="919"/>
      <c r="AO17" s="920">
        <f>IF(SUM(AO13:AO16)&gt;20,20,(SUM(AO13:AO16)))</f>
        <v>0</v>
      </c>
      <c r="AP17" s="920" t="s">
        <v>1504</v>
      </c>
    </row>
    <row r="18" spans="1:42" s="920" customFormat="1" ht="12.75" customHeight="1">
      <c r="A18" s="923"/>
      <c r="B18" s="923"/>
      <c r="C18" s="923"/>
      <c r="D18" s="934"/>
      <c r="E18" s="3095"/>
      <c r="F18" s="3096"/>
      <c r="G18" s="3096"/>
      <c r="H18" s="3096"/>
      <c r="I18" s="3096"/>
      <c r="J18" s="3096"/>
      <c r="K18" s="3096"/>
      <c r="L18" s="3096"/>
      <c r="M18" s="3096"/>
      <c r="N18" s="3096"/>
      <c r="O18" s="3096"/>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097"/>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6"/>
      <c r="F20" s="3127"/>
      <c r="G20" s="3127"/>
      <c r="H20" s="3127"/>
      <c r="I20" s="3127"/>
      <c r="J20" s="3127"/>
      <c r="K20" s="3127"/>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1" t="s">
        <v>617</v>
      </c>
      <c r="C22" s="3081"/>
      <c r="D22" s="930"/>
      <c r="E22" s="3120" t="s">
        <v>1506</v>
      </c>
      <c r="F22" s="3121"/>
      <c r="G22" s="3121"/>
      <c r="H22" s="3121"/>
      <c r="I22" s="3121"/>
      <c r="J22" s="3121"/>
      <c r="K22" s="3121"/>
      <c r="L22" s="3121"/>
      <c r="M22" s="3121"/>
      <c r="N22" s="3121"/>
      <c r="O22" s="3121"/>
      <c r="P22" s="3121"/>
      <c r="Q22" s="3121"/>
      <c r="R22" s="3121"/>
      <c r="S22" s="3121"/>
      <c r="T22" s="3121"/>
      <c r="U22" s="3121"/>
      <c r="V22" s="3121"/>
      <c r="W22" s="3121"/>
      <c r="X22" s="3121"/>
      <c r="Y22" s="3121"/>
      <c r="Z22" s="3121"/>
      <c r="AA22" s="3121"/>
      <c r="AB22" s="3121"/>
      <c r="AC22" s="3121"/>
      <c r="AD22" s="3121"/>
      <c r="AE22" s="3121"/>
      <c r="AF22" s="3121"/>
      <c r="AG22" s="3121"/>
      <c r="AH22" s="3121"/>
      <c r="AI22" s="3121"/>
      <c r="AJ22" s="3122"/>
      <c r="AK22" s="923"/>
      <c r="AL22" s="923"/>
      <c r="AM22" s="923"/>
      <c r="AN22" s="919"/>
      <c r="AO22" s="920">
        <f>IF(SUM(AO20:AO21)&gt;14,14,SUM(AO20:AO21))</f>
        <v>0</v>
      </c>
      <c r="AP22" s="920" t="s">
        <v>1504</v>
      </c>
    </row>
    <row r="23" spans="1:42" s="920" customFormat="1" ht="12.75" customHeight="1">
      <c r="A23" s="923"/>
      <c r="B23" s="923"/>
      <c r="C23" s="923"/>
      <c r="D23" s="933"/>
      <c r="E23" s="3123"/>
      <c r="F23" s="3124"/>
      <c r="G23" s="3124"/>
      <c r="H23" s="3124"/>
      <c r="I23" s="3124"/>
      <c r="J23" s="3124"/>
      <c r="K23" s="3124"/>
      <c r="L23" s="3124"/>
      <c r="M23" s="3124"/>
      <c r="N23" s="3124"/>
      <c r="O23" s="3124"/>
      <c r="P23" s="3124"/>
      <c r="Q23" s="3124"/>
      <c r="R23" s="3124"/>
      <c r="S23" s="3124"/>
      <c r="T23" s="3124"/>
      <c r="U23" s="3124"/>
      <c r="V23" s="3124"/>
      <c r="W23" s="3124"/>
      <c r="X23" s="3124"/>
      <c r="Y23" s="3124"/>
      <c r="Z23" s="3124"/>
      <c r="AA23" s="3124"/>
      <c r="AB23" s="3124"/>
      <c r="AC23" s="3124"/>
      <c r="AD23" s="3124"/>
      <c r="AE23" s="3124"/>
      <c r="AF23" s="3124"/>
      <c r="AG23" s="3124"/>
      <c r="AH23" s="3124"/>
      <c r="AI23" s="3124"/>
      <c r="AJ23" s="312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1" t="s">
        <v>617</v>
      </c>
      <c r="C25" s="3081"/>
      <c r="D25" s="930"/>
      <c r="E25" s="3082" t="s">
        <v>2498</v>
      </c>
      <c r="F25" s="3083"/>
      <c r="G25" s="3083"/>
      <c r="H25" s="3083"/>
      <c r="I25" s="3083"/>
      <c r="J25" s="3083"/>
      <c r="K25" s="3083"/>
      <c r="L25" s="3083"/>
      <c r="M25" s="3083"/>
      <c r="N25" s="3083"/>
      <c r="O25" s="3083"/>
      <c r="P25" s="3083"/>
      <c r="Q25" s="3083"/>
      <c r="R25" s="3083"/>
      <c r="S25" s="3083"/>
      <c r="T25" s="3083"/>
      <c r="U25" s="3083"/>
      <c r="V25" s="3083"/>
      <c r="W25" s="3083"/>
      <c r="X25" s="3083"/>
      <c r="Y25" s="3083"/>
      <c r="Z25" s="3083"/>
      <c r="AA25" s="3083"/>
      <c r="AB25" s="3083"/>
      <c r="AC25" s="3083"/>
      <c r="AD25" s="3083"/>
      <c r="AE25" s="3083"/>
      <c r="AF25" s="3083"/>
      <c r="AG25" s="3083"/>
      <c r="AH25" s="3083"/>
      <c r="AI25" s="3083"/>
      <c r="AJ25" s="3084"/>
      <c r="AK25" s="923"/>
      <c r="AL25" s="923"/>
      <c r="AM25" s="923"/>
      <c r="AN25" s="919"/>
      <c r="AO25" s="920">
        <f>IF(AO24&gt;6,6,AO24)</f>
        <v>0</v>
      </c>
      <c r="AP25" s="920" t="s">
        <v>1504</v>
      </c>
    </row>
    <row r="26" spans="1:42" s="920" customFormat="1" ht="12.75" customHeight="1">
      <c r="A26" s="923"/>
      <c r="B26" s="923"/>
      <c r="C26" s="923"/>
      <c r="D26" s="933"/>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2469</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81" t="s">
        <v>617</v>
      </c>
      <c r="C30" s="3081"/>
      <c r="D30" s="930"/>
      <c r="E30" s="3120" t="s">
        <v>2470</v>
      </c>
      <c r="F30" s="3121"/>
      <c r="G30" s="3121"/>
      <c r="H30" s="3121"/>
      <c r="I30" s="3121"/>
      <c r="J30" s="3121"/>
      <c r="K30" s="3121"/>
      <c r="L30" s="3121"/>
      <c r="M30" s="3121"/>
      <c r="N30" s="3121"/>
      <c r="O30" s="3121"/>
      <c r="P30" s="3121"/>
      <c r="Q30" s="3121"/>
      <c r="R30" s="3121"/>
      <c r="S30" s="3121"/>
      <c r="T30" s="3121"/>
      <c r="U30" s="3121"/>
      <c r="V30" s="3121"/>
      <c r="W30" s="3121"/>
      <c r="X30" s="3121"/>
      <c r="Y30" s="3121"/>
      <c r="Z30" s="3121"/>
      <c r="AA30" s="3121"/>
      <c r="AB30" s="3121"/>
      <c r="AC30" s="3121"/>
      <c r="AD30" s="3121"/>
      <c r="AE30" s="3121"/>
      <c r="AF30" s="3121"/>
      <c r="AG30" s="3121"/>
      <c r="AH30" s="3121"/>
      <c r="AI30" s="3121"/>
      <c r="AJ30" s="3122"/>
      <c r="AK30" s="923"/>
      <c r="AL30" s="923"/>
      <c r="AM30" s="923"/>
      <c r="AN30" s="919"/>
      <c r="AO30" s="933"/>
    </row>
    <row r="31" spans="1:42" s="920" customFormat="1" ht="12.75" customHeight="1">
      <c r="A31" s="923"/>
      <c r="B31" s="923"/>
      <c r="C31" s="923"/>
      <c r="E31" s="3123"/>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c r="AD31" s="3124"/>
      <c r="AE31" s="3124"/>
      <c r="AF31" s="3124"/>
      <c r="AG31" s="3124"/>
      <c r="AH31" s="3124"/>
      <c r="AI31" s="3124"/>
      <c r="AJ31" s="312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81" t="s">
        <v>617</v>
      </c>
      <c r="C33" s="3081"/>
      <c r="D33" s="930"/>
      <c r="E33" s="3082" t="s">
        <v>2471</v>
      </c>
      <c r="F33" s="3083"/>
      <c r="G33" s="3083"/>
      <c r="H33" s="3083"/>
      <c r="I33" s="3083"/>
      <c r="J33" s="3083"/>
      <c r="K33" s="3083"/>
      <c r="L33" s="3083"/>
      <c r="M33" s="3083"/>
      <c r="N33" s="3083"/>
      <c r="O33" s="3083"/>
      <c r="P33" s="3083"/>
      <c r="Q33" s="3083"/>
      <c r="R33" s="3083"/>
      <c r="S33" s="3083"/>
      <c r="T33" s="3083"/>
      <c r="U33" s="3083"/>
      <c r="V33" s="3083"/>
      <c r="W33" s="3083"/>
      <c r="X33" s="3083"/>
      <c r="Y33" s="3083"/>
      <c r="Z33" s="3083"/>
      <c r="AA33" s="3083"/>
      <c r="AB33" s="3083"/>
      <c r="AC33" s="3083"/>
      <c r="AD33" s="3083"/>
      <c r="AE33" s="3083"/>
      <c r="AF33" s="3083"/>
      <c r="AG33" s="3083"/>
      <c r="AH33" s="3083"/>
      <c r="AI33" s="3083"/>
      <c r="AJ33" s="3084"/>
      <c r="AK33" s="923"/>
      <c r="AL33" s="923"/>
      <c r="AM33" s="923"/>
      <c r="AN33" s="919"/>
    </row>
    <row r="34" spans="1:41" s="920" customFormat="1" ht="12.75" customHeight="1">
      <c r="A34" s="923"/>
      <c r="B34" s="923"/>
      <c r="C34" s="923"/>
      <c r="E34" s="3088"/>
      <c r="F34" s="3089"/>
      <c r="G34" s="3089"/>
      <c r="H34" s="3089"/>
      <c r="I34" s="3089"/>
      <c r="J34" s="3089"/>
      <c r="K34" s="3089"/>
      <c r="L34" s="3089"/>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90"/>
      <c r="AK34" s="923"/>
      <c r="AL34" s="923"/>
      <c r="AM34" s="923"/>
      <c r="AN34" s="919"/>
    </row>
    <row r="35" spans="1:41" s="920" customFormat="1" ht="12.75" customHeight="1">
      <c r="A35" s="923"/>
      <c r="B35" s="923"/>
      <c r="C35" s="923"/>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2473</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81" t="s">
        <v>617</v>
      </c>
      <c r="C39" s="3081"/>
      <c r="D39" s="1891"/>
      <c r="E39" s="3082" t="s">
        <v>2472</v>
      </c>
      <c r="F39" s="3083"/>
      <c r="G39" s="3083"/>
      <c r="H39" s="3083"/>
      <c r="I39" s="3083"/>
      <c r="J39" s="3083"/>
      <c r="K39" s="3083"/>
      <c r="L39" s="3083"/>
      <c r="M39" s="3083"/>
      <c r="N39" s="3083"/>
      <c r="O39" s="3083"/>
      <c r="P39" s="3083"/>
      <c r="Q39" s="3083"/>
      <c r="R39" s="3083"/>
      <c r="S39" s="3083"/>
      <c r="T39" s="3083"/>
      <c r="U39" s="3083"/>
      <c r="V39" s="3083"/>
      <c r="W39" s="3083"/>
      <c r="X39" s="3083"/>
      <c r="Y39" s="3083"/>
      <c r="Z39" s="3083"/>
      <c r="AA39" s="3083"/>
      <c r="AB39" s="3083"/>
      <c r="AC39" s="3083"/>
      <c r="AD39" s="3083"/>
      <c r="AE39" s="3083"/>
      <c r="AF39" s="3083"/>
      <c r="AG39" s="3083"/>
      <c r="AH39" s="3083"/>
      <c r="AI39" s="3083"/>
      <c r="AJ39" s="3084"/>
      <c r="AK39" s="1891"/>
      <c r="AL39" s="923"/>
      <c r="AM39" s="923"/>
      <c r="AN39" s="919"/>
    </row>
    <row r="40" spans="1:41" s="920" customFormat="1" ht="12.75" customHeight="1">
      <c r="A40" s="923"/>
      <c r="B40" s="923"/>
      <c r="C40" s="923"/>
      <c r="E40" s="3088"/>
      <c r="F40" s="3089"/>
      <c r="G40" s="3089"/>
      <c r="H40" s="3089"/>
      <c r="I40" s="3089"/>
      <c r="J40" s="3089"/>
      <c r="K40" s="3089"/>
      <c r="L40" s="3089"/>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90"/>
      <c r="AK40" s="923"/>
      <c r="AL40" s="923"/>
      <c r="AM40" s="923"/>
      <c r="AN40" s="919"/>
    </row>
    <row r="41" spans="1:41" s="920" customFormat="1" ht="12.75" customHeight="1">
      <c r="A41" s="923"/>
      <c r="D41" s="930"/>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2475</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2476</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1" t="s">
        <v>617</v>
      </c>
      <c r="C46" s="3081"/>
      <c r="D46" s="923"/>
      <c r="E46" s="3082" t="s">
        <v>2477</v>
      </c>
      <c r="F46" s="3083"/>
      <c r="G46" s="3083"/>
      <c r="H46" s="3083"/>
      <c r="I46" s="3083"/>
      <c r="J46" s="3083"/>
      <c r="K46" s="3083"/>
      <c r="L46" s="3083"/>
      <c r="M46" s="3083"/>
      <c r="N46" s="3083"/>
      <c r="O46" s="3083"/>
      <c r="P46" s="3083"/>
      <c r="Q46" s="3083"/>
      <c r="R46" s="3083"/>
      <c r="S46" s="3083"/>
      <c r="T46" s="3083"/>
      <c r="U46" s="3083"/>
      <c r="V46" s="3083"/>
      <c r="W46" s="3083"/>
      <c r="X46" s="3083"/>
      <c r="Y46" s="3083"/>
      <c r="Z46" s="3083"/>
      <c r="AA46" s="3083"/>
      <c r="AB46" s="3083"/>
      <c r="AC46" s="3083"/>
      <c r="AD46" s="3083"/>
      <c r="AE46" s="3083"/>
      <c r="AF46" s="3083"/>
      <c r="AG46" s="3083"/>
      <c r="AH46" s="3083"/>
      <c r="AI46" s="3083"/>
      <c r="AJ46" s="3084"/>
      <c r="AK46" s="923"/>
      <c r="AL46" s="923"/>
      <c r="AM46" s="923"/>
      <c r="AN46" s="919"/>
      <c r="AO46" s="942"/>
    </row>
    <row r="47" spans="1:41" s="920" customFormat="1" ht="12.75" customHeight="1">
      <c r="A47" s="923"/>
      <c r="D47" s="930"/>
      <c r="E47" s="3088"/>
      <c r="F47" s="3089"/>
      <c r="G47" s="3089"/>
      <c r="H47" s="3089"/>
      <c r="I47" s="3089"/>
      <c r="J47" s="3089"/>
      <c r="K47" s="3089"/>
      <c r="L47" s="3089"/>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90"/>
      <c r="AK47" s="923"/>
      <c r="AL47" s="923"/>
      <c r="AM47" s="923"/>
      <c r="AN47" s="919"/>
      <c r="AO47" s="942"/>
    </row>
    <row r="48" spans="1:41" s="920" customFormat="1" ht="12.75" customHeight="1">
      <c r="A48" s="923"/>
      <c r="D48" s="923"/>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1" t="s">
        <v>617</v>
      </c>
      <c r="C50" s="3081"/>
      <c r="D50" s="923"/>
      <c r="E50" s="3102" t="s">
        <v>2478</v>
      </c>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4"/>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1" t="s">
        <v>617</v>
      </c>
      <c r="C52" s="3081"/>
      <c r="D52" s="923"/>
      <c r="E52" s="3082" t="s">
        <v>2479</v>
      </c>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3083"/>
      <c r="AB52" s="3083"/>
      <c r="AC52" s="3083"/>
      <c r="AD52" s="3083"/>
      <c r="AE52" s="3083"/>
      <c r="AF52" s="3083"/>
      <c r="AG52" s="3083"/>
      <c r="AH52" s="3083"/>
      <c r="AI52" s="3083"/>
      <c r="AJ52" s="3084"/>
      <c r="AK52" s="923"/>
      <c r="AL52" s="923"/>
      <c r="AM52" s="923"/>
      <c r="AN52" s="919"/>
    </row>
    <row r="53" spans="1:50" s="920" customFormat="1" ht="12.75" customHeight="1">
      <c r="A53" s="923"/>
      <c r="B53" s="930"/>
      <c r="C53" s="930"/>
      <c r="D53" s="930"/>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17">
        <f>AO36</f>
        <v>0</v>
      </c>
      <c r="AL56" s="3118"/>
      <c r="AM56" s="3119"/>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1" t="s">
        <v>1510</v>
      </c>
      <c r="AF59" s="3091"/>
      <c r="AG59" s="3091"/>
      <c r="AH59" s="3091"/>
      <c r="AI59" s="3091"/>
      <c r="AJ59" s="3091"/>
      <c r="AK59" s="3091"/>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1" t="s">
        <v>617</v>
      </c>
      <c r="C62" s="3081"/>
      <c r="D62" s="930" t="s">
        <v>1511</v>
      </c>
      <c r="E62" s="3092" t="s">
        <v>2480</v>
      </c>
      <c r="F62" s="3093"/>
      <c r="G62" s="3093"/>
      <c r="H62" s="3093"/>
      <c r="I62" s="3093"/>
      <c r="J62" s="3093"/>
      <c r="K62" s="3093"/>
      <c r="L62" s="3093"/>
      <c r="M62" s="3093"/>
      <c r="N62" s="3093"/>
      <c r="O62" s="3093"/>
      <c r="P62" s="3093"/>
      <c r="Q62" s="3093"/>
      <c r="R62" s="3093"/>
      <c r="S62" s="3093"/>
      <c r="T62" s="3093"/>
      <c r="U62" s="3093"/>
      <c r="V62" s="3093"/>
      <c r="W62" s="3093"/>
      <c r="X62" s="3093"/>
      <c r="Y62" s="3093"/>
      <c r="Z62" s="3093"/>
      <c r="AA62" s="3093"/>
      <c r="AB62" s="3093"/>
      <c r="AC62" s="3093"/>
      <c r="AD62" s="3093"/>
      <c r="AE62" s="3093"/>
      <c r="AF62" s="3093"/>
      <c r="AG62" s="3093"/>
      <c r="AH62" s="3093"/>
      <c r="AI62" s="3093"/>
      <c r="AJ62" s="3094"/>
      <c r="AK62" s="926"/>
      <c r="AL62" s="923"/>
      <c r="AM62" s="923"/>
      <c r="AN62" s="919"/>
      <c r="AO62" s="933">
        <f>IF($B62="yes",10,0)</f>
        <v>0</v>
      </c>
    </row>
    <row r="63" spans="1:50" s="920" customFormat="1" ht="12.75" customHeight="1">
      <c r="A63" s="921"/>
      <c r="B63" s="923"/>
      <c r="C63" s="923"/>
      <c r="D63" s="934"/>
      <c r="E63" s="3095"/>
      <c r="F63" s="3096"/>
      <c r="G63" s="3096"/>
      <c r="H63" s="3096"/>
      <c r="I63" s="3096"/>
      <c r="J63" s="3096"/>
      <c r="K63" s="3096"/>
      <c r="L63" s="3096"/>
      <c r="M63" s="3096"/>
      <c r="N63" s="3096"/>
      <c r="O63" s="3096"/>
      <c r="P63" s="3096"/>
      <c r="Q63" s="3096"/>
      <c r="R63" s="3096"/>
      <c r="S63" s="3096"/>
      <c r="T63" s="3096"/>
      <c r="U63" s="3096"/>
      <c r="V63" s="3096"/>
      <c r="W63" s="3096"/>
      <c r="X63" s="3096"/>
      <c r="Y63" s="3096"/>
      <c r="Z63" s="3096"/>
      <c r="AA63" s="3096"/>
      <c r="AB63" s="3096"/>
      <c r="AC63" s="3096"/>
      <c r="AD63" s="3096"/>
      <c r="AE63" s="3096"/>
      <c r="AF63" s="3096"/>
      <c r="AG63" s="3096"/>
      <c r="AH63" s="3096"/>
      <c r="AI63" s="3096"/>
      <c r="AJ63" s="3097"/>
      <c r="AK63" s="926"/>
      <c r="AL63" s="923"/>
      <c r="AM63" s="923"/>
      <c r="AN63" s="919"/>
      <c r="AO63" s="933">
        <f>IF($B68="yes",10,0)</f>
        <v>10</v>
      </c>
    </row>
    <row r="64" spans="1:50" s="920" customFormat="1" ht="12.75" customHeight="1">
      <c r="A64" s="921"/>
      <c r="B64" s="923"/>
      <c r="C64" s="923"/>
      <c r="D64" s="934"/>
      <c r="E64" s="3095"/>
      <c r="F64" s="3096"/>
      <c r="G64" s="3096"/>
      <c r="H64" s="3096"/>
      <c r="I64" s="3096"/>
      <c r="J64" s="3096"/>
      <c r="K64" s="3096"/>
      <c r="L64" s="3096"/>
      <c r="M64" s="3096"/>
      <c r="N64" s="3096"/>
      <c r="O64" s="3096"/>
      <c r="P64" s="3096"/>
      <c r="Q64" s="3096"/>
      <c r="R64" s="3096"/>
      <c r="S64" s="3096"/>
      <c r="T64" s="3096"/>
      <c r="U64" s="3096"/>
      <c r="V64" s="3096"/>
      <c r="W64" s="3096"/>
      <c r="X64" s="3096"/>
      <c r="Y64" s="3096"/>
      <c r="Z64" s="3096"/>
      <c r="AA64" s="3096"/>
      <c r="AB64" s="3096"/>
      <c r="AC64" s="3096"/>
      <c r="AD64" s="3096"/>
      <c r="AE64" s="3096"/>
      <c r="AF64" s="3096"/>
      <c r="AG64" s="3096"/>
      <c r="AH64" s="3096"/>
      <c r="AI64" s="3096"/>
      <c r="AJ64" s="3097"/>
      <c r="AK64" s="926"/>
      <c r="AL64" s="923"/>
      <c r="AM64" s="923"/>
      <c r="AN64" s="919"/>
      <c r="AO64" s="933">
        <f>IF($B75="yes",10,0)</f>
        <v>0</v>
      </c>
    </row>
    <row r="65" spans="1:42" s="920" customFormat="1" ht="12.75" customHeight="1">
      <c r="A65" s="921"/>
      <c r="B65" s="923"/>
      <c r="C65" s="923"/>
      <c r="D65" s="934"/>
      <c r="E65" s="3095"/>
      <c r="F65" s="3096"/>
      <c r="G65" s="3096"/>
      <c r="H65" s="3096"/>
      <c r="I65" s="3096"/>
      <c r="J65" s="3096"/>
      <c r="K65" s="3096"/>
      <c r="L65" s="3096"/>
      <c r="M65" s="3096"/>
      <c r="N65" s="3096"/>
      <c r="O65" s="3096"/>
      <c r="P65" s="3096"/>
      <c r="Q65" s="3096"/>
      <c r="R65" s="3096"/>
      <c r="S65" s="3096"/>
      <c r="T65" s="3096"/>
      <c r="U65" s="3096"/>
      <c r="V65" s="3096"/>
      <c r="W65" s="3096"/>
      <c r="X65" s="3096"/>
      <c r="Y65" s="3096"/>
      <c r="Z65" s="3096"/>
      <c r="AA65" s="3096"/>
      <c r="AB65" s="3096"/>
      <c r="AC65" s="3096"/>
      <c r="AD65" s="3096"/>
      <c r="AE65" s="3096"/>
      <c r="AF65" s="3096"/>
      <c r="AG65" s="3096"/>
      <c r="AH65" s="3096"/>
      <c r="AI65" s="3096"/>
      <c r="AJ65" s="3097"/>
      <c r="AK65" s="1888"/>
      <c r="AL65" s="923"/>
      <c r="AM65" s="923"/>
      <c r="AN65" s="919"/>
      <c r="AO65" s="920">
        <f>IF(SUM(AO62:AO64)&gt;10,10,(SUM(AO62:AO64)))</f>
        <v>10</v>
      </c>
      <c r="AP65" s="958" t="s">
        <v>1512</v>
      </c>
    </row>
    <row r="66" spans="1:42" s="920" customFormat="1" ht="12.75" customHeight="1">
      <c r="A66" s="921"/>
      <c r="B66" s="923"/>
      <c r="C66" s="923"/>
      <c r="D66" s="934"/>
      <c r="E66" s="3098"/>
      <c r="F66" s="3099"/>
      <c r="G66" s="3099"/>
      <c r="H66" s="3099"/>
      <c r="I66" s="3099"/>
      <c r="J66" s="3099"/>
      <c r="K66" s="3099"/>
      <c r="L66" s="3099"/>
      <c r="M66" s="3099"/>
      <c r="N66" s="3099"/>
      <c r="O66" s="3099"/>
      <c r="P66" s="3099"/>
      <c r="Q66" s="3099"/>
      <c r="R66" s="3099"/>
      <c r="S66" s="3099"/>
      <c r="T66" s="3099"/>
      <c r="U66" s="3099"/>
      <c r="V66" s="3099"/>
      <c r="W66" s="3099"/>
      <c r="X66" s="3099"/>
      <c r="Y66" s="3099"/>
      <c r="Z66" s="3099"/>
      <c r="AA66" s="3099"/>
      <c r="AB66" s="3099"/>
      <c r="AC66" s="3099"/>
      <c r="AD66" s="3099"/>
      <c r="AE66" s="3099"/>
      <c r="AF66" s="3099"/>
      <c r="AG66" s="3099"/>
      <c r="AH66" s="3099"/>
      <c r="AI66" s="3099"/>
      <c r="AJ66" s="3100"/>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1" t="s">
        <v>570</v>
      </c>
      <c r="C68" s="3081"/>
      <c r="D68" s="930" t="s">
        <v>1513</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1" t="s">
        <v>570</v>
      </c>
      <c r="F69" s="3081"/>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9" t="s">
        <v>617</v>
      </c>
      <c r="F70" s="3080"/>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9" t="s">
        <v>617</v>
      </c>
      <c r="F71" s="3080"/>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1" t="s">
        <v>570</v>
      </c>
      <c r="F73" s="3081"/>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1" t="s">
        <v>617</v>
      </c>
      <c r="C75" s="3081"/>
      <c r="D75" s="930" t="s">
        <v>1516</v>
      </c>
      <c r="E75" s="3082" t="s">
        <v>2054</v>
      </c>
      <c r="F75" s="3083"/>
      <c r="G75" s="3083"/>
      <c r="H75" s="3083"/>
      <c r="I75" s="3083"/>
      <c r="J75" s="3083"/>
      <c r="K75" s="3083"/>
      <c r="L75" s="3083"/>
      <c r="M75" s="3083"/>
      <c r="N75" s="3083"/>
      <c r="O75" s="3083"/>
      <c r="P75" s="3083"/>
      <c r="Q75" s="3083"/>
      <c r="R75" s="3083"/>
      <c r="S75" s="3083"/>
      <c r="T75" s="3083"/>
      <c r="U75" s="3083"/>
      <c r="V75" s="3083"/>
      <c r="W75" s="3083"/>
      <c r="X75" s="3083"/>
      <c r="Y75" s="3083"/>
      <c r="Z75" s="3083"/>
      <c r="AA75" s="3083"/>
      <c r="AB75" s="3083"/>
      <c r="AC75" s="3083"/>
      <c r="AD75" s="3083"/>
      <c r="AE75" s="3083"/>
      <c r="AF75" s="3083"/>
      <c r="AG75" s="3083"/>
      <c r="AH75" s="3083"/>
      <c r="AI75" s="3083"/>
      <c r="AJ75" s="3084"/>
      <c r="AK75" s="926"/>
      <c r="AL75" s="923"/>
      <c r="AM75" s="923"/>
      <c r="AN75" s="919"/>
    </row>
    <row r="76" spans="1:42" s="920" customFormat="1" ht="12.75" customHeight="1">
      <c r="A76" s="921"/>
      <c r="B76" s="923"/>
      <c r="C76" s="923"/>
      <c r="D76" s="933"/>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17">
        <f>IF(AK56&gt;0,0,AO65)</f>
        <v>10</v>
      </c>
      <c r="AL78" s="3118"/>
      <c r="AM78" s="3119"/>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1" t="s">
        <v>1501</v>
      </c>
      <c r="AF81" s="3091"/>
      <c r="AG81" s="3091"/>
      <c r="AH81" s="3091"/>
      <c r="AI81" s="3091"/>
      <c r="AJ81" s="3091"/>
      <c r="AK81" s="3091"/>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1" t="s">
        <v>617</v>
      </c>
      <c r="C84" s="3081"/>
      <c r="D84" s="930" t="s">
        <v>1511</v>
      </c>
      <c r="E84" s="3107" t="s">
        <v>1521</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926"/>
      <c r="AL84" s="923"/>
      <c r="AM84" s="923"/>
      <c r="AN84" s="919"/>
    </row>
    <row r="85" spans="1:43" s="920" customFormat="1" ht="12.75" customHeight="1">
      <c r="A85" s="921"/>
      <c r="B85" s="922"/>
      <c r="C85" s="922"/>
      <c r="D85" s="922"/>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5">
        <f>Application!AC753</f>
        <v>0.59703703703703703</v>
      </c>
      <c r="F87" s="3076"/>
      <c r="G87" s="3076"/>
      <c r="H87" s="3076"/>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7">
        <f>0.6-ROUNDUP(E87,2)</f>
        <v>0</v>
      </c>
      <c r="F88" s="3078"/>
      <c r="G88" s="3078"/>
      <c r="H88" s="3078"/>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5">
        <f>IF(E88*200&gt;20,20,E88*200)</f>
        <v>0</v>
      </c>
      <c r="F89" s="3106"/>
      <c r="G89" s="3106"/>
      <c r="H89" s="3106"/>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1" t="s">
        <v>570</v>
      </c>
      <c r="C92" s="3081"/>
      <c r="D92" s="930" t="s">
        <v>1513</v>
      </c>
      <c r="E92" s="3107" t="s">
        <v>2039</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926"/>
      <c r="AL92" s="923"/>
      <c r="AM92" s="923"/>
      <c r="AN92" s="919"/>
    </row>
    <row r="93" spans="1:43" s="920" customFormat="1" ht="12.75" customHeight="1">
      <c r="A93" s="921"/>
      <c r="B93" s="922"/>
      <c r="C93" s="922"/>
      <c r="D93" s="922"/>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926"/>
      <c r="AL93" s="923"/>
      <c r="AM93" s="923"/>
      <c r="AN93" s="919"/>
    </row>
    <row r="94" spans="1:43" s="920" customFormat="1" ht="12.75" customHeight="1">
      <c r="A94" s="921"/>
      <c r="B94" s="922"/>
      <c r="C94" s="922"/>
      <c r="D94" s="922"/>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926"/>
      <c r="AL94" s="923"/>
      <c r="AM94" s="923"/>
      <c r="AN94" s="919"/>
    </row>
    <row r="95" spans="1:43" s="920" customFormat="1" ht="12.75" customHeight="1">
      <c r="A95" s="921"/>
      <c r="B95" s="922"/>
      <c r="C95" s="922"/>
      <c r="D95" s="922"/>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5">
        <f>Application!AC753</f>
        <v>0.59703703703703703</v>
      </c>
      <c r="F97" s="3076"/>
      <c r="G97" s="3076"/>
      <c r="H97" s="3076"/>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5">
        <f ca="1">SUMIF(Application!AC728:AG752,0.2,Application!G728:J752)/Application!G753+SUMIF(Application!AC728:AG752,0.25,Application!G728:J752)/Application!G753+SUMIF(Application!AC728:AG752,0.3,Application!G728:J752)/Application!G753</f>
        <v>0.1111111111111111</v>
      </c>
      <c r="F98" s="3076"/>
      <c r="G98" s="3076"/>
      <c r="H98" s="3076"/>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5">
        <f ca="1">SUMIF(Application!AC728:AG752,0.35,Application!G728:J752)/Application!G753+SUMIF(Application!AC728:AG752,0.4,Application!G728:J752)/Application!G753+SUMIF(Application!AC728:AG752,0.45,Application!G728:J752)/Application!G753+SUMIF(Application!AC728:AG752,0.5,Application!G728:J752)/Application!G753</f>
        <v>0.1111111111111111</v>
      </c>
      <c r="F99" s="3076"/>
      <c r="G99" s="3076"/>
      <c r="H99" s="3076"/>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6">
        <f ca="1">IF(AND(E97&lt;=0.6,E98&gt;=0.1,OR(E99&gt;=0.1,E98&gt;=0.2)),20,0)</f>
        <v>20</v>
      </c>
      <c r="F100" s="3137"/>
      <c r="G100" s="3137"/>
      <c r="H100" s="3137"/>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17">
        <f ca="1">MAX(AP89,AP100)</f>
        <v>20</v>
      </c>
      <c r="AL103" s="3118"/>
      <c r="AM103" s="3119"/>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1" t="s">
        <v>1510</v>
      </c>
      <c r="AF106" s="3091"/>
      <c r="AG106" s="3091"/>
      <c r="AH106" s="3091"/>
      <c r="AI106" s="3091"/>
      <c r="AJ106" s="3091"/>
      <c r="AK106" s="3091"/>
      <c r="AL106" s="923"/>
      <c r="AM106" s="923"/>
      <c r="AN106" s="919"/>
      <c r="AO106" s="920" t="str">
        <f>Application!B728</f>
        <v>1 Bedroom</v>
      </c>
      <c r="AQ106" s="920">
        <f>Application!O728</f>
        <v>1749</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1379</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1135</v>
      </c>
    </row>
    <row r="109" spans="1:49" s="920" customFormat="1" ht="12.75" customHeight="1">
      <c r="A109" s="923"/>
      <c r="B109" s="3081" t="s">
        <v>570</v>
      </c>
      <c r="C109" s="3081"/>
      <c r="D109" s="930" t="s">
        <v>1511</v>
      </c>
      <c r="E109" s="3107" t="s">
        <v>2174</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923"/>
      <c r="AL109" s="923"/>
      <c r="AM109" s="923"/>
      <c r="AN109" s="919"/>
      <c r="AO109" s="920" t="str">
        <f>Application!B731</f>
        <v>1 Bedroom</v>
      </c>
      <c r="AQ109" s="920">
        <f>Application!O731</f>
        <v>647</v>
      </c>
      <c r="AU109" s="920" t="s">
        <v>2156</v>
      </c>
      <c r="AV109" s="1609" t="s">
        <v>2157</v>
      </c>
      <c r="AW109" s="920" t="s">
        <v>2158</v>
      </c>
    </row>
    <row r="110" spans="1:49" s="920" customFormat="1" ht="12.75" customHeight="1">
      <c r="A110" s="923"/>
      <c r="B110" s="922"/>
      <c r="C110" s="922"/>
      <c r="D110" s="922"/>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923"/>
      <c r="AL110" s="923"/>
      <c r="AM110" s="923"/>
      <c r="AN110" s="919"/>
      <c r="AO110" s="920" t="str">
        <f>Application!B732</f>
        <v>2 Bedrooms</v>
      </c>
      <c r="AQ110" s="920">
        <f>Application!O732</f>
        <v>2228</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923"/>
      <c r="AL111" s="923"/>
      <c r="AM111" s="923"/>
      <c r="AN111" s="919"/>
      <c r="AO111" s="920" t="str">
        <f>Application!B733</f>
        <v>2 Bedrooms</v>
      </c>
      <c r="AQ111" s="920">
        <f>Application!O733</f>
        <v>1642</v>
      </c>
      <c r="AU111" s="1612" t="str">
        <f>J118</f>
        <v>1-bedroom</v>
      </c>
      <c r="AV111" s="920">
        <f t="array" ref="AV111">SUM(IF(Application!B728:F752="1 Bedroom",Application!G728:J752))</f>
        <v>63</v>
      </c>
      <c r="AW111" s="1647">
        <f>AV111/AV116</f>
        <v>0.46666666666666667</v>
      </c>
    </row>
    <row r="112" spans="1:49" s="920" customFormat="1" ht="12.75" customHeight="1">
      <c r="A112" s="923"/>
      <c r="B112" s="922"/>
      <c r="C112" s="922"/>
      <c r="D112" s="922"/>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923"/>
      <c r="AL112" s="923"/>
      <c r="AM112" s="923"/>
      <c r="AN112" s="919"/>
      <c r="AO112" s="920" t="str">
        <f>Application!B734</f>
        <v>2 Bedrooms</v>
      </c>
      <c r="AQ112" s="920">
        <f>Application!O734</f>
        <v>1349</v>
      </c>
      <c r="AU112" s="1612" t="str">
        <f>O118</f>
        <v>2-bedroom</v>
      </c>
      <c r="AV112" s="920">
        <f t="array" ref="AV112">SUM(IF(Application!B728:F752="2 Bedrooms",Application!G728:J752))</f>
        <v>37</v>
      </c>
      <c r="AW112" s="1647">
        <f>AV112/AV116</f>
        <v>0.27407407407407408</v>
      </c>
    </row>
    <row r="113" spans="1:52" s="920" customFormat="1" ht="12.75" customHeight="1">
      <c r="A113" s="923"/>
      <c r="B113" s="922"/>
      <c r="C113" s="922"/>
      <c r="D113" s="922"/>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923"/>
      <c r="AL113" s="923"/>
      <c r="AM113" s="923"/>
      <c r="AN113" s="919"/>
      <c r="AO113" s="920" t="str">
        <f>Application!B735</f>
        <v>2 Bedrooms</v>
      </c>
      <c r="AQ113" s="920">
        <f>Application!O735</f>
        <v>764</v>
      </c>
      <c r="AU113" s="1612" t="str">
        <f>T118</f>
        <v>3-bedroom</v>
      </c>
      <c r="AV113" s="920">
        <f t="array" ref="AV113">SUM(IF(Application!B728:F752="3 Bedrooms",Application!G728:J752))</f>
        <v>35</v>
      </c>
      <c r="AW113" s="1647">
        <f>AV113/AV116</f>
        <v>0.25925925925925924</v>
      </c>
    </row>
    <row r="114" spans="1:52" s="920" customFormat="1" ht="12.75" customHeight="1">
      <c r="A114" s="923"/>
      <c r="B114" s="922"/>
      <c r="C114" s="922"/>
      <c r="D114" s="922"/>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923"/>
      <c r="AL114" s="923"/>
      <c r="AM114" s="923"/>
      <c r="AN114" s="919"/>
      <c r="AO114" s="920" t="str">
        <f>Application!B736</f>
        <v>3 Bedrooms</v>
      </c>
      <c r="AQ114" s="920">
        <f>Application!O736</f>
        <v>2562</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923"/>
      <c r="AL115" s="923"/>
      <c r="AM115" s="923"/>
      <c r="AN115" s="919"/>
      <c r="AO115" s="920" t="str">
        <f>Application!B737</f>
        <v>3 Bedrooms</v>
      </c>
      <c r="AQ115" s="920">
        <f>Application!O737</f>
        <v>1885</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923"/>
      <c r="AL116" s="923"/>
      <c r="AM116" s="923"/>
      <c r="AN116" s="919"/>
      <c r="AO116" s="920" t="str">
        <f>Application!B738</f>
        <v>3 Bedrooms</v>
      </c>
      <c r="AQ116" s="920">
        <f>Application!O738</f>
        <v>1546</v>
      </c>
      <c r="AV116" s="920">
        <f>SUM(AV110:AV115)</f>
        <v>135</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870</v>
      </c>
    </row>
    <row r="118" spans="1:52" s="920" customFormat="1" ht="12.75" customHeight="1">
      <c r="A118" s="923"/>
      <c r="B118" s="922"/>
      <c r="C118" s="923"/>
      <c r="D118" s="923"/>
      <c r="E118" s="3075" t="s">
        <v>1793</v>
      </c>
      <c r="F118" s="3076"/>
      <c r="G118" s="3076"/>
      <c r="H118" s="3076"/>
      <c r="I118" s="1372"/>
      <c r="J118" s="3076" t="s">
        <v>1838</v>
      </c>
      <c r="K118" s="3076"/>
      <c r="L118" s="3076"/>
      <c r="M118" s="3076"/>
      <c r="N118" s="1372"/>
      <c r="O118" s="3076" t="s">
        <v>1839</v>
      </c>
      <c r="P118" s="3076"/>
      <c r="Q118" s="3076"/>
      <c r="R118" s="3076"/>
      <c r="S118" s="1372"/>
      <c r="T118" s="3076" t="s">
        <v>1530</v>
      </c>
      <c r="U118" s="3076"/>
      <c r="V118" s="3076"/>
      <c r="W118" s="3076"/>
      <c r="X118" s="1372"/>
      <c r="Y118" s="3076" t="s">
        <v>1840</v>
      </c>
      <c r="Z118" s="3076"/>
      <c r="AA118" s="3076"/>
      <c r="AB118" s="3076"/>
      <c r="AC118" s="1372"/>
      <c r="AD118" s="3076" t="s">
        <v>1841</v>
      </c>
      <c r="AE118" s="3076"/>
      <c r="AF118" s="3076"/>
      <c r="AG118" s="3076"/>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38"/>
      <c r="F121" s="3139"/>
      <c r="G121" s="3139"/>
      <c r="H121" s="3139"/>
      <c r="I121" s="1374"/>
      <c r="J121" s="3139">
        <v>2348</v>
      </c>
      <c r="K121" s="3139"/>
      <c r="L121" s="3139"/>
      <c r="M121" s="3139"/>
      <c r="N121" s="1374"/>
      <c r="O121" s="3139">
        <v>3141</v>
      </c>
      <c r="P121" s="3139"/>
      <c r="Q121" s="3139"/>
      <c r="R121" s="3139"/>
      <c r="S121" s="1374"/>
      <c r="T121" s="3139">
        <v>3707</v>
      </c>
      <c r="U121" s="3139"/>
      <c r="V121" s="3139"/>
      <c r="W121" s="3139"/>
      <c r="X121" s="1374"/>
      <c r="Y121" s="3139"/>
      <c r="Z121" s="3139"/>
      <c r="AA121" s="3139"/>
      <c r="AB121" s="3139"/>
      <c r="AC121" s="1374"/>
      <c r="AD121" s="3139"/>
      <c r="AE121" s="3139"/>
      <c r="AF121" s="3139"/>
      <c r="AG121" s="3139"/>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1">
        <f>Application!DX663</f>
        <v>0</v>
      </c>
      <c r="F124" s="3132"/>
      <c r="G124" s="3132"/>
      <c r="H124" s="3132"/>
      <c r="I124" s="1374"/>
      <c r="J124" s="3132">
        <f>Application!EC663</f>
        <v>1341.031746031746</v>
      </c>
      <c r="K124" s="3132"/>
      <c r="L124" s="3132"/>
      <c r="M124" s="3132"/>
      <c r="N124" s="1374"/>
      <c r="O124" s="3132">
        <f>Application!EH663</f>
        <v>1642.1081081081081</v>
      </c>
      <c r="P124" s="3132"/>
      <c r="Q124" s="3132"/>
      <c r="R124" s="3132"/>
      <c r="S124" s="1378"/>
      <c r="T124" s="3132">
        <f>Application!EM663</f>
        <v>1884.9999999999998</v>
      </c>
      <c r="U124" s="3132"/>
      <c r="V124" s="3132"/>
      <c r="W124" s="3132"/>
      <c r="X124" s="1378"/>
      <c r="Y124" s="3132">
        <f>Application!ER663</f>
        <v>0</v>
      </c>
      <c r="Z124" s="3132"/>
      <c r="AA124" s="3132"/>
      <c r="AB124" s="3132"/>
      <c r="AC124" s="1378"/>
      <c r="AD124" s="3132">
        <f>Application!EW663</f>
        <v>0</v>
      </c>
      <c r="AE124" s="3132"/>
      <c r="AF124" s="3132"/>
      <c r="AG124" s="3132"/>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43" t="e">
        <f>(E121-E124)/E121</f>
        <v>#DIV/0!</v>
      </c>
      <c r="F127" s="3344"/>
      <c r="G127" s="3344"/>
      <c r="H127" s="3345"/>
      <c r="I127" s="961"/>
      <c r="J127" s="3343">
        <f>(J121-J124)/J121</f>
        <v>0.42886211838511668</v>
      </c>
      <c r="K127" s="3344"/>
      <c r="L127" s="3344"/>
      <c r="M127" s="3345"/>
      <c r="N127" s="961"/>
      <c r="O127" s="3343">
        <f>(O121-O124)/O121</f>
        <v>0.47720213049725946</v>
      </c>
      <c r="P127" s="3344"/>
      <c r="Q127" s="3344"/>
      <c r="R127" s="3345"/>
      <c r="S127" s="961"/>
      <c r="T127" s="3343">
        <f>(T121-T124)/T121</f>
        <v>0.49150256271917997</v>
      </c>
      <c r="U127" s="3344"/>
      <c r="V127" s="3344"/>
      <c r="W127" s="3345"/>
      <c r="X127" s="961"/>
      <c r="Y127" s="3343" t="e">
        <f>(Y121-Y124)/Y121</f>
        <v>#DIV/0!</v>
      </c>
      <c r="Z127" s="3344"/>
      <c r="AA127" s="3344"/>
      <c r="AB127" s="3345"/>
      <c r="AC127" s="961"/>
      <c r="AD127" s="3343" t="e">
        <f>(AD121-AD124)/AD121</f>
        <v>#DIV/0!</v>
      </c>
      <c r="AE127" s="3344"/>
      <c r="AF127" s="3344"/>
      <c r="AG127" s="3345"/>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33" t="e">
        <f>IF(((E127-0.1)*AW110)&gt;0,((E127-0.1)*AW110),0)</f>
        <v>#DIV/0!</v>
      </c>
      <c r="F130" s="3134"/>
      <c r="G130" s="3134"/>
      <c r="H130" s="3135"/>
      <c r="I130" s="961"/>
      <c r="J130" s="3133">
        <f>IF(((J127-0.1)*AW111)&gt;0,((J127-0.1)*AW111),0)</f>
        <v>0.15346898857972113</v>
      </c>
      <c r="K130" s="3134"/>
      <c r="L130" s="3134"/>
      <c r="M130" s="3135"/>
      <c r="N130" s="961"/>
      <c r="O130" s="3133">
        <f>IF(((O127-0.1)*AW112)&gt;0,((O127-0.1)*AW112),0)</f>
        <v>0.10338132465480446</v>
      </c>
      <c r="P130" s="3134"/>
      <c r="Q130" s="3134"/>
      <c r="R130" s="3135"/>
      <c r="S130" s="961"/>
      <c r="T130" s="3133">
        <f>IF(((T127-0.1)*AW113)&gt;0,((T127-0.1)*AW113),0)</f>
        <v>0.10150066440867628</v>
      </c>
      <c r="U130" s="3134"/>
      <c r="V130" s="3134"/>
      <c r="W130" s="3135"/>
      <c r="X130" s="961"/>
      <c r="Y130" s="3133" t="e">
        <f>IF(((Y127-0.1)*AW114)&gt;0,((Y127-0.1)*AW114),0)</f>
        <v>#DIV/0!</v>
      </c>
      <c r="Z130" s="3134"/>
      <c r="AA130" s="3134"/>
      <c r="AB130" s="3135"/>
      <c r="AC130" s="961"/>
      <c r="AD130" s="3133" t="e">
        <f>IF(((AD127-0.1)*AW115)&gt;0,((AD127-0.1)*AW115),0)</f>
        <v>#DIV/0!</v>
      </c>
      <c r="AE130" s="3134"/>
      <c r="AF130" s="3134"/>
      <c r="AG130" s="3135"/>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43">
        <f>ROUNDDOWN(SUMIF(E130:AG130,"&gt;0"),2)</f>
        <v>0.35</v>
      </c>
      <c r="F132" s="3344"/>
      <c r="G132" s="3344"/>
      <c r="H132" s="3345"/>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7">
        <f>IF((E132*100)&gt;10,10,E132*100)</f>
        <v>10</v>
      </c>
      <c r="F133" s="3118"/>
      <c r="G133" s="3118"/>
      <c r="H133" s="3119"/>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17">
        <f>E133</f>
        <v>10</v>
      </c>
      <c r="AL137" s="3118"/>
      <c r="AM137" s="3119"/>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91" t="s">
        <v>1510</v>
      </c>
      <c r="AF140" s="3091"/>
      <c r="AG140" s="3091"/>
      <c r="AH140" s="3091"/>
      <c r="AI140" s="3091"/>
      <c r="AJ140" s="3091"/>
      <c r="AK140" s="3091"/>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9" t="s">
        <v>1534</v>
      </c>
      <c r="AG142" s="3129"/>
      <c r="AH142" s="3129"/>
      <c r="AI142" s="3129"/>
      <c r="AJ142" s="3129"/>
      <c r="AK142" s="3129"/>
      <c r="AL142" s="3129"/>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0" t="s">
        <v>2615</v>
      </c>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56" t="s">
        <v>1537</v>
      </c>
      <c r="C147" s="3156"/>
      <c r="D147" s="3156"/>
      <c r="E147" s="3156"/>
      <c r="F147" s="3156"/>
      <c r="G147" s="3156"/>
      <c r="H147" s="3156"/>
      <c r="I147" s="3156"/>
      <c r="J147" s="3156"/>
      <c r="K147" s="3156"/>
      <c r="L147" s="3156"/>
      <c r="M147" s="3156"/>
      <c r="N147" s="3156"/>
      <c r="O147" s="3156"/>
      <c r="P147" s="3156"/>
      <c r="Q147" s="3156"/>
      <c r="R147" s="3156"/>
      <c r="S147" s="3156"/>
      <c r="T147" s="3156"/>
      <c r="U147" s="3156"/>
      <c r="V147" s="3156"/>
      <c r="W147" s="3156"/>
      <c r="X147" s="3156"/>
      <c r="Y147" s="3156"/>
      <c r="Z147" s="3156"/>
      <c r="AA147" s="3156"/>
      <c r="AB147" s="3156"/>
      <c r="AC147" s="3156"/>
      <c r="AD147" s="3156"/>
      <c r="AE147" s="3156"/>
      <c r="AF147" s="3156"/>
      <c r="AG147" s="3156"/>
      <c r="AH147" s="3156"/>
      <c r="AI147" s="3156"/>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2481</v>
      </c>
      <c r="AP148" s="985">
        <v>7</v>
      </c>
    </row>
    <row r="149" spans="1:42" s="917" customFormat="1" ht="12.75" customHeight="1">
      <c r="A149" s="986"/>
      <c r="B149" s="922" t="s">
        <v>1538</v>
      </c>
      <c r="AB149" s="3157" t="s">
        <v>617</v>
      </c>
      <c r="AC149" s="315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56" t="s">
        <v>1539</v>
      </c>
      <c r="C152" s="3156"/>
      <c r="D152" s="3156"/>
      <c r="E152" s="3156"/>
      <c r="F152" s="3156"/>
      <c r="G152" s="3156"/>
      <c r="H152" s="3156"/>
      <c r="I152" s="3156"/>
      <c r="J152" s="3156"/>
      <c r="K152" s="3156"/>
      <c r="L152" s="3156"/>
      <c r="M152" s="3156"/>
      <c r="N152" s="3156"/>
      <c r="O152" s="3156"/>
      <c r="P152" s="3156"/>
      <c r="Q152" s="3156"/>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59">
        <f>IF($AB$149="N/A",VLOOKUP($B$147,$AO$145:$AP$148,2,FALSE),VLOOKUP($B$152,$AO$150:$AP$153,2,FALSE))</f>
        <v>7</v>
      </c>
      <c r="AK155" s="315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9" t="s">
        <v>1548</v>
      </c>
      <c r="AG157" s="3129"/>
      <c r="AH157" s="3129"/>
      <c r="AI157" s="3129"/>
      <c r="AJ157" s="3129"/>
      <c r="AK157" s="3129"/>
      <c r="AL157" s="3129"/>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6" t="s">
        <v>1546</v>
      </c>
      <c r="D159" s="3156"/>
      <c r="E159" s="3156"/>
      <c r="F159" s="3156"/>
      <c r="G159" s="3156"/>
      <c r="H159" s="3156"/>
      <c r="I159" s="3156"/>
      <c r="J159" s="3156"/>
      <c r="K159" s="3156"/>
      <c r="L159" s="3156"/>
      <c r="M159" s="3156"/>
      <c r="N159" s="3156"/>
      <c r="O159" s="3156"/>
      <c r="P159" s="3156"/>
      <c r="Q159" s="3156"/>
      <c r="R159" s="3156"/>
      <c r="S159" s="3156"/>
      <c r="T159" s="3156"/>
      <c r="U159" s="3156"/>
      <c r="V159" s="3156"/>
      <c r="W159" s="3156"/>
      <c r="X159" s="3156"/>
      <c r="Y159" s="3156"/>
      <c r="Z159" s="3156"/>
      <c r="AA159" s="3156"/>
      <c r="AB159" s="3156"/>
      <c r="AC159" s="3156"/>
      <c r="AD159" s="3156"/>
      <c r="AE159" s="3156"/>
      <c r="AF159" s="3156"/>
      <c r="AG159" s="3156"/>
      <c r="AH159" s="3156"/>
      <c r="AI159" s="3156"/>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7" t="s">
        <v>617</v>
      </c>
      <c r="AD161" s="3157"/>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56" t="s">
        <v>1539</v>
      </c>
      <c r="D163" s="3156"/>
      <c r="E163" s="3156"/>
      <c r="F163" s="3156"/>
      <c r="G163" s="3156"/>
      <c r="H163" s="3156"/>
      <c r="I163" s="3156"/>
      <c r="J163" s="3156"/>
      <c r="K163" s="3156"/>
      <c r="L163" s="3156"/>
      <c r="M163" s="3156"/>
      <c r="N163" s="3156"/>
      <c r="O163" s="3156"/>
      <c r="P163" s="3156"/>
      <c r="Q163" s="3156"/>
      <c r="R163" s="3156"/>
      <c r="S163" s="3156"/>
      <c r="T163" s="3156"/>
      <c r="U163" s="3156"/>
      <c r="V163" s="3156"/>
      <c r="W163" s="3156"/>
      <c r="X163" s="3156"/>
      <c r="Y163" s="3156"/>
      <c r="Z163" s="3156"/>
      <c r="AA163" s="3156"/>
      <c r="AB163" s="3156"/>
      <c r="AC163" s="3156"/>
      <c r="AD163" s="3156"/>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30" t="s">
        <v>2702</v>
      </c>
      <c r="D167" s="3130"/>
      <c r="E167" s="3130"/>
      <c r="F167" s="3130"/>
      <c r="G167" s="3130"/>
      <c r="H167" s="3130"/>
      <c r="I167" s="3130"/>
      <c r="J167" s="3130"/>
      <c r="K167" s="3130"/>
      <c r="L167" s="3130"/>
      <c r="M167" s="3130"/>
      <c r="N167" s="3130"/>
      <c r="O167" s="3130"/>
      <c r="P167" s="3130"/>
      <c r="Q167" s="3130"/>
      <c r="R167" s="3130"/>
      <c r="S167" s="3130"/>
      <c r="T167" s="3130"/>
      <c r="U167" s="3130"/>
      <c r="V167" s="3130"/>
      <c r="W167" s="3130"/>
      <c r="X167" s="3130"/>
      <c r="Y167" s="3130"/>
      <c r="Z167" s="3130"/>
      <c r="AA167" s="3130"/>
      <c r="AB167" s="3130"/>
      <c r="AC167" s="3130"/>
      <c r="AD167" s="3130"/>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58">
        <f>IF($AC$161="N/A",VLOOKUP($C$159,$AO$159:$AP$162,2,FALSE),VLOOKUP($C$163,$AO$166:$AP$168,2,FALSE))</f>
        <v>3</v>
      </c>
      <c r="AK169" s="315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17">
        <f>$AJ$155+$AJ$169</f>
        <v>10</v>
      </c>
      <c r="AL172" s="3118"/>
      <c r="AM172" s="3119"/>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3" t="s">
        <v>1510</v>
      </c>
      <c r="AF175" s="3153"/>
      <c r="AG175" s="3153"/>
      <c r="AH175" s="3153"/>
      <c r="AI175" s="3153"/>
      <c r="AJ175" s="3153"/>
      <c r="AK175" s="3153"/>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54" t="s">
        <v>1123</v>
      </c>
      <c r="C177" s="3154"/>
      <c r="D177" s="3154"/>
      <c r="E177" s="3154"/>
      <c r="F177" s="3154"/>
      <c r="G177" s="3154"/>
      <c r="H177" s="3154"/>
      <c r="I177" s="3154"/>
      <c r="J177" s="3154"/>
      <c r="K177" s="3154"/>
      <c r="L177" s="3154"/>
      <c r="M177" s="3154"/>
      <c r="N177" s="3154"/>
      <c r="O177" s="3154"/>
      <c r="P177" s="3154"/>
      <c r="Q177" s="3154"/>
      <c r="R177" s="3154"/>
      <c r="S177" s="3154"/>
      <c r="T177" s="3154"/>
      <c r="U177" s="3154"/>
      <c r="V177" s="3154"/>
      <c r="W177" s="3154"/>
      <c r="X177" s="3154"/>
      <c r="Y177" s="3154"/>
      <c r="Z177" s="3154"/>
      <c r="AA177" s="3154"/>
      <c r="AB177" s="3154"/>
      <c r="AC177" s="3154"/>
      <c r="AD177" s="1013"/>
      <c r="AE177" s="1013"/>
      <c r="AF177" s="3129" t="s">
        <v>1559</v>
      </c>
      <c r="AG177" s="3129"/>
      <c r="AH177" s="3129"/>
      <c r="AI177" s="3129"/>
      <c r="AJ177" s="3129"/>
      <c r="AK177" s="3129"/>
      <c r="AL177" s="3129"/>
      <c r="AN177" s="990"/>
      <c r="AP177" s="933" t="s">
        <v>1125</v>
      </c>
      <c r="AQ177" s="933">
        <v>10</v>
      </c>
    </row>
    <row r="178" spans="1:45" s="933" customFormat="1" ht="12.75" customHeight="1">
      <c r="A178" s="917"/>
      <c r="B178" s="3155" t="s">
        <v>2040</v>
      </c>
      <c r="C178" s="3155"/>
      <c r="D178" s="3155"/>
      <c r="E178" s="3155"/>
      <c r="F178" s="3155"/>
      <c r="G178" s="3155"/>
      <c r="H178" s="3155"/>
      <c r="I178" s="3155"/>
      <c r="J178" s="3155"/>
      <c r="K178" s="3155"/>
      <c r="L178" s="3155"/>
      <c r="M178" s="3155"/>
      <c r="N178" s="3155"/>
      <c r="O178" s="3155"/>
      <c r="P178" s="3155"/>
      <c r="Q178" s="3155"/>
      <c r="R178" s="3155"/>
      <c r="S178" s="3155"/>
      <c r="T178" s="3130" t="s">
        <v>617</v>
      </c>
      <c r="U178" s="3130"/>
      <c r="V178" s="3130"/>
      <c r="W178" s="3130"/>
      <c r="X178" s="3130"/>
      <c r="Y178" s="3130"/>
      <c r="Z178" s="3130"/>
      <c r="AA178" s="3130"/>
      <c r="AB178" s="3130"/>
      <c r="AC178" s="3130"/>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65">
        <f>IF(AK78&gt;0,VLOOKUP($B$177,AP174:AQ181,2,FALSE),0)</f>
        <v>10</v>
      </c>
      <c r="AL180" s="3166"/>
      <c r="AM180" s="3167"/>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3" t="s">
        <v>1568</v>
      </c>
      <c r="AF183" s="3153"/>
      <c r="AG183" s="3153"/>
      <c r="AH183" s="3153"/>
      <c r="AI183" s="3153"/>
      <c r="AJ183" s="3153"/>
      <c r="AK183" s="3153"/>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41" t="str">
        <f>+Application!C639</f>
        <v>IHTF County of San Diego/sub loan</v>
      </c>
      <c r="C188" s="3141"/>
      <c r="D188" s="3141"/>
      <c r="E188" s="3141"/>
      <c r="F188" s="3141"/>
      <c r="G188" s="3141"/>
      <c r="H188" s="3141"/>
      <c r="I188" s="3141"/>
      <c r="J188" s="3141"/>
      <c r="K188" s="3141"/>
      <c r="L188" s="3141"/>
      <c r="M188" s="3141"/>
      <c r="N188" s="3141"/>
      <c r="O188" s="3141"/>
      <c r="P188" s="3141"/>
      <c r="Q188" s="3141"/>
      <c r="R188" s="3141"/>
      <c r="S188" s="3141"/>
      <c r="T188" s="3141"/>
      <c r="U188" s="3141"/>
      <c r="V188" s="3141"/>
      <c r="W188" s="3141"/>
      <c r="X188" s="3141"/>
      <c r="Y188" s="3141"/>
      <c r="Z188" s="3141"/>
      <c r="AA188" s="3141"/>
      <c r="AB188" s="3141"/>
      <c r="AC188" s="1350"/>
      <c r="AD188" s="3142">
        <f>+Application!AO639</f>
        <v>4000000</v>
      </c>
      <c r="AE188" s="3142"/>
      <c r="AF188" s="3142"/>
      <c r="AG188" s="3142"/>
      <c r="AH188" s="3142"/>
      <c r="AI188" s="3142"/>
      <c r="AJ188" s="3142"/>
      <c r="AK188" s="1014"/>
    </row>
    <row r="189" spans="1:45">
      <c r="A189" s="1006"/>
      <c r="B189" s="3141" t="str">
        <f>+Application!C640</f>
        <v>County of San Diego/land value note</v>
      </c>
      <c r="C189" s="3141"/>
      <c r="D189" s="3141"/>
      <c r="E189" s="3141"/>
      <c r="F189" s="3141"/>
      <c r="G189" s="3141"/>
      <c r="H189" s="3141"/>
      <c r="I189" s="3141"/>
      <c r="J189" s="3141"/>
      <c r="K189" s="3141"/>
      <c r="L189" s="3141"/>
      <c r="M189" s="3141"/>
      <c r="N189" s="3141"/>
      <c r="O189" s="3141"/>
      <c r="P189" s="3141"/>
      <c r="Q189" s="3141"/>
      <c r="R189" s="3141"/>
      <c r="S189" s="3141"/>
      <c r="T189" s="3141"/>
      <c r="U189" s="3141"/>
      <c r="V189" s="3141"/>
      <c r="W189" s="3141"/>
      <c r="X189" s="3141"/>
      <c r="Y189" s="3141"/>
      <c r="Z189" s="3141"/>
      <c r="AA189" s="3141"/>
      <c r="AB189" s="3141"/>
      <c r="AC189" s="1350"/>
      <c r="AD189" s="3142">
        <f>+Application!AO640</f>
        <v>12510000</v>
      </c>
      <c r="AE189" s="3142"/>
      <c r="AF189" s="3142"/>
      <c r="AG189" s="3142"/>
      <c r="AH189" s="3142"/>
      <c r="AI189" s="3142"/>
      <c r="AJ189" s="3142"/>
      <c r="AK189" s="1014"/>
    </row>
    <row r="190" spans="1:45">
      <c r="A190" s="1006"/>
      <c r="B190" s="3141"/>
      <c r="C190" s="3141"/>
      <c r="D190" s="3141"/>
      <c r="E190" s="3141"/>
      <c r="F190" s="3141"/>
      <c r="G190" s="3141"/>
      <c r="H190" s="3141"/>
      <c r="I190" s="3141"/>
      <c r="J190" s="3141"/>
      <c r="K190" s="3141"/>
      <c r="L190" s="3141"/>
      <c r="M190" s="3141"/>
      <c r="N190" s="3141"/>
      <c r="O190" s="3141"/>
      <c r="P190" s="3141"/>
      <c r="Q190" s="3141"/>
      <c r="R190" s="3141"/>
      <c r="S190" s="3141"/>
      <c r="T190" s="3141"/>
      <c r="U190" s="3141"/>
      <c r="V190" s="3141"/>
      <c r="W190" s="3141"/>
      <c r="X190" s="3141"/>
      <c r="Y190" s="3141"/>
      <c r="Z190" s="3141"/>
      <c r="AA190" s="3141"/>
      <c r="AB190" s="3141"/>
      <c r="AC190" s="1350"/>
      <c r="AD190" s="3142"/>
      <c r="AE190" s="3142"/>
      <c r="AF190" s="3142"/>
      <c r="AG190" s="3142"/>
      <c r="AH190" s="3142"/>
      <c r="AI190" s="3142"/>
      <c r="AJ190" s="3142"/>
      <c r="AK190" s="1014"/>
    </row>
    <row r="191" spans="1:45">
      <c r="A191" s="1006"/>
      <c r="B191" s="3141"/>
      <c r="C191" s="3141"/>
      <c r="D191" s="3141"/>
      <c r="E191" s="3141"/>
      <c r="F191" s="3141"/>
      <c r="G191" s="3141"/>
      <c r="H191" s="3141"/>
      <c r="I191" s="3141"/>
      <c r="J191" s="3141"/>
      <c r="K191" s="3141"/>
      <c r="L191" s="3141"/>
      <c r="M191" s="3141"/>
      <c r="N191" s="3141"/>
      <c r="O191" s="3141"/>
      <c r="P191" s="3141"/>
      <c r="Q191" s="3141"/>
      <c r="R191" s="3141"/>
      <c r="S191" s="3141"/>
      <c r="T191" s="3141"/>
      <c r="U191" s="3141"/>
      <c r="V191" s="3141"/>
      <c r="W191" s="3141"/>
      <c r="X191" s="3141"/>
      <c r="Y191" s="3141"/>
      <c r="Z191" s="3141"/>
      <c r="AA191" s="3141"/>
      <c r="AB191" s="3141"/>
      <c r="AC191" s="1350"/>
      <c r="AD191" s="3142"/>
      <c r="AE191" s="3142"/>
      <c r="AF191" s="3142"/>
      <c r="AG191" s="3142"/>
      <c r="AH191" s="3142"/>
      <c r="AI191" s="3142"/>
      <c r="AJ191" s="3142"/>
      <c r="AK191" s="1014"/>
    </row>
    <row r="192" spans="1:45">
      <c r="A192" s="1006"/>
      <c r="B192" s="3141"/>
      <c r="C192" s="3141"/>
      <c r="D192" s="3141"/>
      <c r="E192" s="3141"/>
      <c r="F192" s="3141"/>
      <c r="G192" s="3141"/>
      <c r="H192" s="3141"/>
      <c r="I192" s="3141"/>
      <c r="J192" s="3141"/>
      <c r="K192" s="3141"/>
      <c r="L192" s="3141"/>
      <c r="M192" s="3141"/>
      <c r="N192" s="3141"/>
      <c r="O192" s="3141"/>
      <c r="P192" s="3141"/>
      <c r="Q192" s="3141"/>
      <c r="R192" s="3141"/>
      <c r="S192" s="3141"/>
      <c r="T192" s="3141"/>
      <c r="U192" s="3141"/>
      <c r="V192" s="3141"/>
      <c r="W192" s="3141"/>
      <c r="X192" s="3141"/>
      <c r="Y192" s="3141"/>
      <c r="Z192" s="3141"/>
      <c r="AA192" s="3141"/>
      <c r="AB192" s="3141"/>
      <c r="AC192" s="1350"/>
      <c r="AD192" s="3142"/>
      <c r="AE192" s="3142"/>
      <c r="AF192" s="3142"/>
      <c r="AG192" s="3142"/>
      <c r="AH192" s="3142"/>
      <c r="AI192" s="3142"/>
      <c r="AJ192" s="3142"/>
      <c r="AK192" s="1014"/>
    </row>
    <row r="193" spans="1:37">
      <c r="A193" s="1006"/>
      <c r="B193" s="3141"/>
      <c r="C193" s="3141"/>
      <c r="D193" s="3141"/>
      <c r="E193" s="3141"/>
      <c r="F193" s="3141"/>
      <c r="G193" s="3141"/>
      <c r="H193" s="3141"/>
      <c r="I193" s="3141"/>
      <c r="J193" s="3141"/>
      <c r="K193" s="3141"/>
      <c r="L193" s="3141"/>
      <c r="M193" s="3141"/>
      <c r="N193" s="3141"/>
      <c r="O193" s="3141"/>
      <c r="P193" s="3141"/>
      <c r="Q193" s="3141"/>
      <c r="R193" s="3141"/>
      <c r="S193" s="3141"/>
      <c r="T193" s="3141"/>
      <c r="U193" s="3141"/>
      <c r="V193" s="3141"/>
      <c r="W193" s="3141"/>
      <c r="X193" s="3141"/>
      <c r="Y193" s="3141"/>
      <c r="Z193" s="3141"/>
      <c r="AA193" s="3141"/>
      <c r="AB193" s="3141"/>
      <c r="AC193" s="1350"/>
      <c r="AD193" s="3142"/>
      <c r="AE193" s="3142"/>
      <c r="AF193" s="3142"/>
      <c r="AG193" s="3142"/>
      <c r="AH193" s="3142"/>
      <c r="AI193" s="3142"/>
      <c r="AJ193" s="3142"/>
      <c r="AK193" s="1014"/>
    </row>
    <row r="194" spans="1:37">
      <c r="A194" s="1006"/>
      <c r="B194" s="3141"/>
      <c r="C194" s="3141"/>
      <c r="D194" s="3141"/>
      <c r="E194" s="3141"/>
      <c r="F194" s="3141"/>
      <c r="G194" s="3141"/>
      <c r="H194" s="3141"/>
      <c r="I194" s="3141"/>
      <c r="J194" s="3141"/>
      <c r="K194" s="3141"/>
      <c r="L194" s="3141"/>
      <c r="M194" s="3141"/>
      <c r="N194" s="3141"/>
      <c r="O194" s="3141"/>
      <c r="P194" s="3141"/>
      <c r="Q194" s="3141"/>
      <c r="R194" s="3141"/>
      <c r="S194" s="3141"/>
      <c r="T194" s="3141"/>
      <c r="U194" s="3141"/>
      <c r="V194" s="3141"/>
      <c r="W194" s="3141"/>
      <c r="X194" s="3141"/>
      <c r="Y194" s="3141"/>
      <c r="Z194" s="3141"/>
      <c r="AA194" s="3141"/>
      <c r="AB194" s="3141"/>
      <c r="AC194" s="1350"/>
      <c r="AD194" s="3142"/>
      <c r="AE194" s="3142"/>
      <c r="AF194" s="3142"/>
      <c r="AG194" s="3142"/>
      <c r="AH194" s="3142"/>
      <c r="AI194" s="3142"/>
      <c r="AJ194" s="3142"/>
      <c r="AK194" s="1014"/>
    </row>
    <row r="195" spans="1:37">
      <c r="A195" s="1006"/>
      <c r="B195" s="3141"/>
      <c r="C195" s="3141"/>
      <c r="D195" s="3141"/>
      <c r="E195" s="3141"/>
      <c r="F195" s="3141"/>
      <c r="G195" s="3141"/>
      <c r="H195" s="3141"/>
      <c r="I195" s="3141"/>
      <c r="J195" s="3141"/>
      <c r="K195" s="3141"/>
      <c r="L195" s="3141"/>
      <c r="M195" s="3141"/>
      <c r="N195" s="3141"/>
      <c r="O195" s="3141"/>
      <c r="P195" s="3141"/>
      <c r="Q195" s="3141"/>
      <c r="R195" s="3141"/>
      <c r="S195" s="3141"/>
      <c r="T195" s="3141"/>
      <c r="U195" s="3141"/>
      <c r="V195" s="3141"/>
      <c r="W195" s="3141"/>
      <c r="X195" s="3141"/>
      <c r="Y195" s="3141"/>
      <c r="Z195" s="3141"/>
      <c r="AA195" s="3141"/>
      <c r="AB195" s="3141"/>
      <c r="AC195" s="1350"/>
      <c r="AD195" s="3142"/>
      <c r="AE195" s="3142"/>
      <c r="AF195" s="3142"/>
      <c r="AG195" s="3142"/>
      <c r="AH195" s="3142"/>
      <c r="AI195" s="3142"/>
      <c r="AJ195" s="3142"/>
      <c r="AK195" s="1014"/>
    </row>
    <row r="196" spans="1:37">
      <c r="A196" s="1006"/>
      <c r="B196" s="3141"/>
      <c r="C196" s="3141"/>
      <c r="D196" s="3141"/>
      <c r="E196" s="3141"/>
      <c r="F196" s="3141"/>
      <c r="G196" s="3141"/>
      <c r="H196" s="3141"/>
      <c r="I196" s="3141"/>
      <c r="J196" s="3141"/>
      <c r="K196" s="3141"/>
      <c r="L196" s="3141"/>
      <c r="M196" s="3141"/>
      <c r="N196" s="3141"/>
      <c r="O196" s="3141"/>
      <c r="P196" s="3141"/>
      <c r="Q196" s="3141"/>
      <c r="R196" s="3141"/>
      <c r="S196" s="3141"/>
      <c r="T196" s="3141"/>
      <c r="U196" s="3141"/>
      <c r="V196" s="3141"/>
      <c r="W196" s="3141"/>
      <c r="X196" s="3141"/>
      <c r="Y196" s="3141"/>
      <c r="Z196" s="3141"/>
      <c r="AA196" s="3141"/>
      <c r="AB196" s="3141"/>
      <c r="AC196" s="1350"/>
      <c r="AD196" s="3142"/>
      <c r="AE196" s="3142"/>
      <c r="AF196" s="3142"/>
      <c r="AG196" s="3142"/>
      <c r="AH196" s="3142"/>
      <c r="AI196" s="3142"/>
      <c r="AJ196" s="3142"/>
      <c r="AK196" s="1014"/>
    </row>
    <row r="197" spans="1:37">
      <c r="A197" s="1006"/>
      <c r="B197" s="3141"/>
      <c r="C197" s="3141"/>
      <c r="D197" s="3141"/>
      <c r="E197" s="3141"/>
      <c r="F197" s="3141"/>
      <c r="G197" s="3141"/>
      <c r="H197" s="3141"/>
      <c r="I197" s="3141"/>
      <c r="J197" s="3141"/>
      <c r="K197" s="3141"/>
      <c r="L197" s="3141"/>
      <c r="M197" s="3141"/>
      <c r="N197" s="3141"/>
      <c r="O197" s="3141"/>
      <c r="P197" s="3141"/>
      <c r="Q197" s="3141"/>
      <c r="R197" s="3141"/>
      <c r="S197" s="3141"/>
      <c r="T197" s="3141"/>
      <c r="U197" s="3141"/>
      <c r="V197" s="3141"/>
      <c r="W197" s="3141"/>
      <c r="X197" s="3141"/>
      <c r="Y197" s="3141"/>
      <c r="Z197" s="3141"/>
      <c r="AA197" s="3141"/>
      <c r="AB197" s="3141"/>
      <c r="AC197" s="1350"/>
      <c r="AD197" s="3142"/>
      <c r="AE197" s="3142"/>
      <c r="AF197" s="3142"/>
      <c r="AG197" s="3142"/>
      <c r="AH197" s="3142"/>
      <c r="AI197" s="3142"/>
      <c r="AJ197" s="3142"/>
      <c r="AK197" s="1014"/>
    </row>
    <row r="198" spans="1:37">
      <c r="A198" s="1006"/>
      <c r="B198" s="3313" t="s">
        <v>1832</v>
      </c>
      <c r="C198" s="3313"/>
      <c r="D198" s="3313"/>
      <c r="E198" s="3313"/>
      <c r="F198" s="3313"/>
      <c r="G198" s="3313"/>
      <c r="H198" s="3313"/>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917"/>
      <c r="AD198" s="3172">
        <f>AB249</f>
        <v>0</v>
      </c>
      <c r="AE198" s="3172"/>
      <c r="AF198" s="3172"/>
      <c r="AG198" s="3172"/>
      <c r="AH198" s="3172"/>
      <c r="AI198" s="3172"/>
      <c r="AJ198" s="3172"/>
      <c r="AK198" s="1014"/>
    </row>
    <row r="199" spans="1:37">
      <c r="A199" s="1006"/>
      <c r="B199" s="3311" t="s">
        <v>1795</v>
      </c>
      <c r="C199" s="3311"/>
      <c r="D199" s="3311"/>
      <c r="E199" s="3311"/>
      <c r="F199" s="3311"/>
      <c r="G199" s="3311"/>
      <c r="H199" s="3311"/>
      <c r="I199" s="3311"/>
      <c r="J199" s="3311"/>
      <c r="K199" s="3311"/>
      <c r="L199" s="3311"/>
      <c r="M199" s="3311"/>
      <c r="N199" s="3311"/>
      <c r="O199" s="3311"/>
      <c r="P199" s="3311"/>
      <c r="Q199" s="3311"/>
      <c r="R199" s="3311"/>
      <c r="S199" s="3311"/>
      <c r="T199" s="3311"/>
      <c r="U199" s="3311"/>
      <c r="V199" s="3311"/>
      <c r="W199" s="3311"/>
      <c r="X199" s="3311"/>
      <c r="Y199" s="3311"/>
      <c r="Z199" s="3311"/>
      <c r="AA199" s="3311"/>
      <c r="AB199" s="3311"/>
      <c r="AC199" s="1350"/>
      <c r="AD199" s="3173">
        <f>'Sources and Uses Budget'!B15</f>
        <v>0</v>
      </c>
      <c r="AE199" s="3173"/>
      <c r="AF199" s="3173"/>
      <c r="AG199" s="3173"/>
      <c r="AH199" s="3173"/>
      <c r="AI199" s="3173"/>
      <c r="AJ199" s="3173"/>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77">
        <f>SUM(AD188:AJ198)-AD199</f>
        <v>16510000</v>
      </c>
      <c r="AE200" s="3177"/>
      <c r="AF200" s="3177"/>
      <c r="AG200" s="3177"/>
      <c r="AH200" s="3177"/>
      <c r="AI200" s="3177"/>
      <c r="AJ200" s="317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2488</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5" t="s">
        <v>1812</v>
      </c>
      <c r="J211" s="3145"/>
      <c r="K211" s="3145"/>
      <c r="L211" s="981"/>
      <c r="M211" s="981"/>
      <c r="N211" s="981"/>
      <c r="O211" s="981"/>
      <c r="P211" s="981"/>
      <c r="Q211" s="981"/>
      <c r="R211" s="981"/>
      <c r="S211" s="981"/>
      <c r="T211" s="3347" t="s">
        <v>1806</v>
      </c>
      <c r="U211" s="3347"/>
      <c r="V211" s="3347"/>
      <c r="W211" s="3347"/>
      <c r="X211" s="3347"/>
      <c r="Y211" s="3347"/>
      <c r="Z211" s="1354"/>
      <c r="AA211" s="1355"/>
      <c r="AB211" s="3160" t="s">
        <v>1807</v>
      </c>
      <c r="AC211" s="3160"/>
      <c r="AD211" s="3160"/>
      <c r="AE211" s="3160"/>
      <c r="AF211" s="3160"/>
      <c r="AG211" s="3160"/>
      <c r="AH211" s="1324"/>
      <c r="AI211" s="1324"/>
      <c r="AJ211" s="1324"/>
      <c r="AK211" s="1014"/>
    </row>
    <row r="212" spans="1:37">
      <c r="A212" s="1006"/>
      <c r="B212" s="3143" t="s">
        <v>1792</v>
      </c>
      <c r="C212" s="3143"/>
      <c r="D212" s="3143"/>
      <c r="E212" s="3143"/>
      <c r="F212" s="3143"/>
      <c r="G212" s="3143"/>
      <c r="I212" s="3144" t="s">
        <v>1813</v>
      </c>
      <c r="J212" s="3144"/>
      <c r="K212" s="3144"/>
      <c r="L212" s="1643"/>
      <c r="N212" s="3150" t="s">
        <v>1808</v>
      </c>
      <c r="O212" s="3150"/>
      <c r="P212" s="3150"/>
      <c r="Q212" s="3150"/>
      <c r="R212" s="3150"/>
      <c r="T212" s="3150" t="s">
        <v>1809</v>
      </c>
      <c r="U212" s="3150"/>
      <c r="V212" s="3150"/>
      <c r="W212" s="3150"/>
      <c r="X212" s="3150"/>
      <c r="Y212" s="3150"/>
      <c r="Z212" s="1356"/>
      <c r="AA212" s="1355"/>
      <c r="AB212" s="3314" t="s">
        <v>1810</v>
      </c>
      <c r="AC212" s="3314"/>
      <c r="AD212" s="3314"/>
      <c r="AE212" s="3314"/>
      <c r="AF212" s="3314"/>
      <c r="AG212" s="3314"/>
      <c r="AH212" s="1324"/>
      <c r="AI212" s="1324"/>
      <c r="AJ212" s="1324"/>
      <c r="AK212" s="1014"/>
    </row>
    <row r="213" spans="1:37">
      <c r="A213" s="1006"/>
      <c r="B213" s="3147" t="s">
        <v>1348</v>
      </c>
      <c r="C213" s="3147"/>
      <c r="D213" s="3147"/>
      <c r="E213" s="3147"/>
      <c r="F213" s="3147"/>
      <c r="G213" s="3147"/>
      <c r="H213" s="1358"/>
      <c r="I213" s="3146"/>
      <c r="J213" s="3146"/>
      <c r="K213" s="3146"/>
      <c r="L213" s="1643"/>
      <c r="N213" s="3151"/>
      <c r="O213" s="3151"/>
      <c r="P213" s="3151"/>
      <c r="Q213" s="3151"/>
      <c r="R213" s="3151"/>
      <c r="T213" s="3312"/>
      <c r="U213" s="3312"/>
      <c r="V213" s="3312"/>
      <c r="W213" s="3312"/>
      <c r="X213" s="3312"/>
      <c r="Y213" s="3312"/>
      <c r="Z213" s="1357"/>
      <c r="AA213" s="1357"/>
      <c r="AB213" s="3148">
        <f t="shared" ref="AB213:AB222" si="0">MAX(($T213-$N213)*$I213*12,0)</f>
        <v>0</v>
      </c>
      <c r="AC213" s="3148"/>
      <c r="AD213" s="3148"/>
      <c r="AE213" s="3148"/>
      <c r="AF213" s="3148"/>
      <c r="AG213" s="3148"/>
      <c r="AH213" s="1324"/>
      <c r="AI213" s="1324"/>
      <c r="AJ213" s="1324"/>
      <c r="AK213" s="1014"/>
    </row>
    <row r="214" spans="1:37">
      <c r="A214" s="1006"/>
      <c r="B214" s="3147" t="s">
        <v>1348</v>
      </c>
      <c r="C214" s="3147"/>
      <c r="D214" s="3147"/>
      <c r="E214" s="3147"/>
      <c r="F214" s="3147"/>
      <c r="G214" s="3147"/>
      <c r="I214" s="3146"/>
      <c r="J214" s="3146"/>
      <c r="K214" s="3146"/>
      <c r="L214" s="1643"/>
      <c r="N214" s="3151"/>
      <c r="O214" s="3151"/>
      <c r="P214" s="3151"/>
      <c r="Q214" s="3151"/>
      <c r="R214" s="3151"/>
      <c r="T214" s="3312"/>
      <c r="U214" s="3312"/>
      <c r="V214" s="3312"/>
      <c r="W214" s="3312"/>
      <c r="X214" s="3312"/>
      <c r="Y214" s="3312"/>
      <c r="Z214" s="1357"/>
      <c r="AA214" s="1357"/>
      <c r="AB214" s="3148">
        <f t="shared" si="0"/>
        <v>0</v>
      </c>
      <c r="AC214" s="3148"/>
      <c r="AD214" s="3148"/>
      <c r="AE214" s="3148"/>
      <c r="AF214" s="3148"/>
      <c r="AG214" s="3148"/>
      <c r="AH214" s="1324"/>
      <c r="AI214" s="1324"/>
      <c r="AJ214" s="1324"/>
      <c r="AK214" s="1014"/>
    </row>
    <row r="215" spans="1:37">
      <c r="A215" s="1006"/>
      <c r="B215" s="3147" t="s">
        <v>1348</v>
      </c>
      <c r="C215" s="3147"/>
      <c r="D215" s="3147"/>
      <c r="E215" s="3147"/>
      <c r="F215" s="3147"/>
      <c r="G215" s="3147"/>
      <c r="I215" s="3146"/>
      <c r="J215" s="3146"/>
      <c r="K215" s="3146"/>
      <c r="L215" s="1643"/>
      <c r="N215" s="3151"/>
      <c r="O215" s="3151"/>
      <c r="P215" s="3151"/>
      <c r="Q215" s="3151"/>
      <c r="R215" s="3151"/>
      <c r="T215" s="3312"/>
      <c r="U215" s="3312"/>
      <c r="V215" s="3312"/>
      <c r="W215" s="3312"/>
      <c r="X215" s="3312"/>
      <c r="Y215" s="3312"/>
      <c r="Z215" s="1357"/>
      <c r="AA215" s="1357"/>
      <c r="AB215" s="3148">
        <f t="shared" si="0"/>
        <v>0</v>
      </c>
      <c r="AC215" s="3148"/>
      <c r="AD215" s="3148"/>
      <c r="AE215" s="3148"/>
      <c r="AF215" s="3148"/>
      <c r="AG215" s="3148"/>
      <c r="AH215" s="1324"/>
      <c r="AI215" s="1324"/>
      <c r="AJ215" s="1324"/>
      <c r="AK215" s="1014"/>
    </row>
    <row r="216" spans="1:37">
      <c r="A216" s="1006"/>
      <c r="B216" s="3147" t="s">
        <v>1348</v>
      </c>
      <c r="C216" s="3147"/>
      <c r="D216" s="3147"/>
      <c r="E216" s="3147"/>
      <c r="F216" s="3147"/>
      <c r="G216" s="3147"/>
      <c r="I216" s="3146"/>
      <c r="J216" s="3146"/>
      <c r="K216" s="3146"/>
      <c r="L216" s="1643"/>
      <c r="N216" s="3151"/>
      <c r="O216" s="3151"/>
      <c r="P216" s="3151"/>
      <c r="Q216" s="3151"/>
      <c r="R216" s="3151"/>
      <c r="T216" s="3312"/>
      <c r="U216" s="3312"/>
      <c r="V216" s="3312"/>
      <c r="W216" s="3312"/>
      <c r="X216" s="3312"/>
      <c r="Y216" s="3312"/>
      <c r="Z216" s="1357"/>
      <c r="AA216" s="1357"/>
      <c r="AB216" s="3148">
        <f t="shared" si="0"/>
        <v>0</v>
      </c>
      <c r="AC216" s="3148"/>
      <c r="AD216" s="3148"/>
      <c r="AE216" s="3148"/>
      <c r="AF216" s="3148"/>
      <c r="AG216" s="3148"/>
      <c r="AH216" s="1324"/>
      <c r="AI216" s="1324"/>
      <c r="AJ216" s="1324"/>
      <c r="AK216" s="1014"/>
    </row>
    <row r="217" spans="1:37">
      <c r="A217" s="1006"/>
      <c r="B217" s="3147" t="s">
        <v>1348</v>
      </c>
      <c r="C217" s="3147"/>
      <c r="D217" s="3147"/>
      <c r="E217" s="3147"/>
      <c r="F217" s="3147"/>
      <c r="G217" s="3147"/>
      <c r="I217" s="3146"/>
      <c r="J217" s="3146"/>
      <c r="K217" s="3146"/>
      <c r="L217" s="1655"/>
      <c r="N217" s="3151"/>
      <c r="O217" s="3151"/>
      <c r="P217" s="3151"/>
      <c r="Q217" s="3151"/>
      <c r="R217" s="3151"/>
      <c r="T217" s="3312"/>
      <c r="U217" s="3312"/>
      <c r="V217" s="3312"/>
      <c r="W217" s="3312"/>
      <c r="X217" s="3312"/>
      <c r="Y217" s="3312"/>
      <c r="Z217" s="1357"/>
      <c r="AA217" s="1357"/>
      <c r="AB217" s="3148">
        <f t="shared" si="0"/>
        <v>0</v>
      </c>
      <c r="AC217" s="3148"/>
      <c r="AD217" s="3148"/>
      <c r="AE217" s="3148"/>
      <c r="AF217" s="3148"/>
      <c r="AG217" s="3148"/>
      <c r="AH217" s="1324"/>
      <c r="AI217" s="1324"/>
      <c r="AJ217" s="1324"/>
      <c r="AK217" s="1014"/>
    </row>
    <row r="218" spans="1:37">
      <c r="A218" s="1006"/>
      <c r="B218" s="3147" t="s">
        <v>1348</v>
      </c>
      <c r="C218" s="3147"/>
      <c r="D218" s="3147"/>
      <c r="E218" s="3147"/>
      <c r="F218" s="3147"/>
      <c r="G218" s="3147"/>
      <c r="I218" s="3146"/>
      <c r="J218" s="3146"/>
      <c r="K218" s="3146"/>
      <c r="L218" s="1655"/>
      <c r="N218" s="3151"/>
      <c r="O218" s="3151"/>
      <c r="P218" s="3151"/>
      <c r="Q218" s="3151"/>
      <c r="R218" s="3151"/>
      <c r="T218" s="3312"/>
      <c r="U218" s="3312"/>
      <c r="V218" s="3312"/>
      <c r="W218" s="3312"/>
      <c r="X218" s="3312"/>
      <c r="Y218" s="3312"/>
      <c r="Z218" s="1357"/>
      <c r="AA218" s="1357"/>
      <c r="AB218" s="3148">
        <f t="shared" si="0"/>
        <v>0</v>
      </c>
      <c r="AC218" s="3148"/>
      <c r="AD218" s="3148"/>
      <c r="AE218" s="3148"/>
      <c r="AF218" s="3148"/>
      <c r="AG218" s="3148"/>
      <c r="AH218" s="1324"/>
      <c r="AI218" s="1324"/>
      <c r="AJ218" s="1324"/>
      <c r="AK218" s="1014"/>
    </row>
    <row r="219" spans="1:37">
      <c r="A219" s="1006"/>
      <c r="B219" s="3147" t="s">
        <v>1348</v>
      </c>
      <c r="C219" s="3147"/>
      <c r="D219" s="3147"/>
      <c r="E219" s="3147"/>
      <c r="F219" s="3147"/>
      <c r="G219" s="3147"/>
      <c r="I219" s="3146"/>
      <c r="J219" s="3146"/>
      <c r="K219" s="3146"/>
      <c r="L219" s="1655"/>
      <c r="N219" s="3151"/>
      <c r="O219" s="3151"/>
      <c r="P219" s="3151"/>
      <c r="Q219" s="3151"/>
      <c r="R219" s="3151"/>
      <c r="T219" s="3312"/>
      <c r="U219" s="3312"/>
      <c r="V219" s="3312"/>
      <c r="W219" s="3312"/>
      <c r="X219" s="3312"/>
      <c r="Y219" s="3312"/>
      <c r="Z219" s="1357"/>
      <c r="AA219" s="1357"/>
      <c r="AB219" s="3148">
        <f t="shared" si="0"/>
        <v>0</v>
      </c>
      <c r="AC219" s="3148"/>
      <c r="AD219" s="3148"/>
      <c r="AE219" s="3148"/>
      <c r="AF219" s="3148"/>
      <c r="AG219" s="3148"/>
      <c r="AH219" s="1324"/>
      <c r="AI219" s="1324"/>
      <c r="AJ219" s="1324"/>
      <c r="AK219" s="1014"/>
    </row>
    <row r="220" spans="1:37">
      <c r="A220" s="1006"/>
      <c r="B220" s="3147" t="s">
        <v>1348</v>
      </c>
      <c r="C220" s="3147"/>
      <c r="D220" s="3147"/>
      <c r="E220" s="3147"/>
      <c r="F220" s="3147"/>
      <c r="G220" s="3147"/>
      <c r="I220" s="3146"/>
      <c r="J220" s="3146"/>
      <c r="K220" s="3146"/>
      <c r="L220" s="1655"/>
      <c r="N220" s="3151"/>
      <c r="O220" s="3151"/>
      <c r="P220" s="3151"/>
      <c r="Q220" s="3151"/>
      <c r="R220" s="3151"/>
      <c r="T220" s="3312"/>
      <c r="U220" s="3312"/>
      <c r="V220" s="3312"/>
      <c r="W220" s="3312"/>
      <c r="X220" s="3312"/>
      <c r="Y220" s="3312"/>
      <c r="Z220" s="1357"/>
      <c r="AA220" s="1357"/>
      <c r="AB220" s="3148">
        <f t="shared" si="0"/>
        <v>0</v>
      </c>
      <c r="AC220" s="3148"/>
      <c r="AD220" s="3148"/>
      <c r="AE220" s="3148"/>
      <c r="AF220" s="3148"/>
      <c r="AG220" s="3148"/>
      <c r="AH220" s="1324"/>
      <c r="AI220" s="1324"/>
      <c r="AJ220" s="1324"/>
      <c r="AK220" s="1014"/>
    </row>
    <row r="221" spans="1:37">
      <c r="A221" s="1006"/>
      <c r="B221" s="3147" t="s">
        <v>1348</v>
      </c>
      <c r="C221" s="3147"/>
      <c r="D221" s="3147"/>
      <c r="E221" s="3147"/>
      <c r="F221" s="3147"/>
      <c r="G221" s="3147"/>
      <c r="I221" s="3146"/>
      <c r="J221" s="3146"/>
      <c r="K221" s="3146"/>
      <c r="L221" s="1655"/>
      <c r="N221" s="3151"/>
      <c r="O221" s="3151"/>
      <c r="P221" s="3151"/>
      <c r="Q221" s="3151"/>
      <c r="R221" s="3151"/>
      <c r="T221" s="3312"/>
      <c r="U221" s="3312"/>
      <c r="V221" s="3312"/>
      <c r="W221" s="3312"/>
      <c r="X221" s="3312"/>
      <c r="Y221" s="3312"/>
      <c r="Z221" s="1357"/>
      <c r="AA221" s="1357"/>
      <c r="AB221" s="3148">
        <f t="shared" si="0"/>
        <v>0</v>
      </c>
      <c r="AC221" s="3148"/>
      <c r="AD221" s="3148"/>
      <c r="AE221" s="3148"/>
      <c r="AF221" s="3148"/>
      <c r="AG221" s="3148"/>
      <c r="AH221" s="1324"/>
      <c r="AI221" s="1324"/>
      <c r="AJ221" s="1324"/>
      <c r="AK221" s="1014"/>
    </row>
    <row r="222" spans="1:37">
      <c r="A222" s="1006"/>
      <c r="B222" s="3147" t="s">
        <v>1348</v>
      </c>
      <c r="C222" s="3147"/>
      <c r="D222" s="3147"/>
      <c r="E222" s="3147"/>
      <c r="F222" s="3147"/>
      <c r="G222" s="3147"/>
      <c r="I222" s="3149"/>
      <c r="J222" s="3149"/>
      <c r="K222" s="3149"/>
      <c r="L222" s="1655"/>
      <c r="N222" s="3151"/>
      <c r="O222" s="3151"/>
      <c r="P222" s="3151"/>
      <c r="Q222" s="3151"/>
      <c r="R222" s="3151"/>
      <c r="T222" s="3312"/>
      <c r="U222" s="3312"/>
      <c r="V222" s="3312"/>
      <c r="W222" s="3312"/>
      <c r="X222" s="3312"/>
      <c r="Y222" s="3312"/>
      <c r="Z222" s="1357"/>
      <c r="AA222" s="1357"/>
      <c r="AB222" s="3322">
        <f t="shared" si="0"/>
        <v>0</v>
      </c>
      <c r="AC222" s="3322"/>
      <c r="AD222" s="3322"/>
      <c r="AE222" s="3322"/>
      <c r="AF222" s="3322"/>
      <c r="AG222" s="3322"/>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48">
        <f>SUM(AB213:AB222)</f>
        <v>0</v>
      </c>
      <c r="AC223" s="3148"/>
      <c r="AD223" s="3148"/>
      <c r="AE223" s="3148"/>
      <c r="AF223" s="3148"/>
      <c r="AG223" s="3148"/>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5"/>
      <c r="AC229" s="3315"/>
      <c r="AD229" s="3315"/>
      <c r="AE229" s="3315"/>
      <c r="AF229" s="3315"/>
      <c r="AG229" s="3315"/>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5"/>
      <c r="AC232" s="3315"/>
      <c r="AD232" s="3315"/>
      <c r="AE232" s="3315"/>
      <c r="AF232" s="3315"/>
      <c r="AG232" s="3315"/>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6"/>
      <c r="AC233" s="3346"/>
      <c r="AD233" s="3346"/>
      <c r="AE233" s="3346"/>
      <c r="AF233" s="3346"/>
      <c r="AG233" s="3346"/>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23">
        <f>IFERROR(AB232/AB233,0)</f>
        <v>0</v>
      </c>
      <c r="AC234" s="3323"/>
      <c r="AD234" s="3323"/>
      <c r="AE234" s="3323"/>
      <c r="AF234" s="3323"/>
      <c r="AG234" s="3323"/>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0">
        <f>MAX(AB229,AB234)</f>
        <v>0</v>
      </c>
      <c r="AC236" s="3310"/>
      <c r="AD236" s="3310"/>
      <c r="AE236" s="3310"/>
      <c r="AF236" s="3310"/>
      <c r="AG236" s="3310"/>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1">
        <f>AB223+AB236</f>
        <v>0</v>
      </c>
      <c r="AC239" s="3161"/>
      <c r="AD239" s="3161"/>
      <c r="AE239" s="3161"/>
      <c r="AF239" s="3161"/>
      <c r="AG239" s="3161"/>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1">
        <v>0.05</v>
      </c>
      <c r="AC240" s="3181"/>
      <c r="AD240" s="3181"/>
      <c r="AE240" s="3181"/>
      <c r="AF240" s="3181"/>
      <c r="AG240" s="318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82">
        <f>AB239-(AB239*AB240)</f>
        <v>0</v>
      </c>
      <c r="AC241" s="3182"/>
      <c r="AD241" s="3182"/>
      <c r="AE241" s="3182"/>
      <c r="AF241" s="3182"/>
      <c r="AG241" s="318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1">
        <f>AB241/AB247</f>
        <v>0</v>
      </c>
      <c r="AC243" s="3161"/>
      <c r="AD243" s="3161"/>
      <c r="AE243" s="3161"/>
      <c r="AF243" s="3161"/>
      <c r="AG243" s="316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0">
        <v>15</v>
      </c>
      <c r="AC245" s="3140"/>
      <c r="AD245" s="3140"/>
      <c r="AE245" s="3140"/>
      <c r="AF245" s="3140"/>
      <c r="AG245" s="314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83">
        <v>0.04</v>
      </c>
      <c r="AC246" s="3183"/>
      <c r="AD246" s="3183"/>
      <c r="AE246" s="3183"/>
      <c r="AF246" s="3183"/>
      <c r="AG246" s="3183"/>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2">
        <v>1.1499999999999999</v>
      </c>
      <c r="AC247" s="3152"/>
      <c r="AD247" s="3152"/>
      <c r="AE247" s="3152"/>
      <c r="AF247" s="3152"/>
      <c r="AG247" s="3152"/>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74">
        <f>PV(AB246/12,AB245*12,-AB243/12, ,0)</f>
        <v>0</v>
      </c>
      <c r="AC249" s="3175"/>
      <c r="AD249" s="3175"/>
      <c r="AE249" s="3175"/>
      <c r="AF249" s="3175"/>
      <c r="AG249" s="3176"/>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8">
        <f>IFERROR(('Sources and Uses Budget'!D105/'Sources and Uses Budget'!B105),0)</f>
        <v>0</v>
      </c>
      <c r="AC255" s="3179"/>
      <c r="AD255" s="3179"/>
      <c r="AE255" s="3179"/>
      <c r="AF255" s="3179"/>
      <c r="AG255" s="318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8">
        <f>AD200*(1-AB255)</f>
        <v>16510000</v>
      </c>
      <c r="AH257" s="3168"/>
      <c r="AI257" s="3168"/>
      <c r="AJ257" s="3168"/>
      <c r="AK257" s="3168"/>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8">
        <f>'Sources and Uses Budget'!C105</f>
        <v>81690220.524317399</v>
      </c>
      <c r="AH258" s="3168"/>
      <c r="AI258" s="3168"/>
      <c r="AJ258" s="3168"/>
      <c r="AK258" s="3168"/>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9">
        <f>ROUNDDOWN(IF(AND(C281="Yes",AK78=10),((AG257*2)/AG258),AG257/AG258),2)</f>
        <v>0.4</v>
      </c>
      <c r="AH259" s="3169"/>
      <c r="AI259" s="3169"/>
      <c r="AJ259" s="3169"/>
      <c r="AK259" s="3169"/>
    </row>
    <row r="260" spans="1:81">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70">
        <f>IFERROR(IF(AG259=0,0,IF((AG259*100)&gt;8,8,(AG259*100))),0)</f>
        <v>8</v>
      </c>
      <c r="AL262" s="3170"/>
      <c r="AM262" s="3171"/>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62" t="s">
        <v>570</v>
      </c>
      <c r="D267" s="3162"/>
      <c r="E267" s="930"/>
      <c r="F267" s="3331" t="s">
        <v>2489</v>
      </c>
      <c r="G267" s="3332"/>
      <c r="H267" s="3332"/>
      <c r="I267" s="3332"/>
      <c r="J267" s="3332"/>
      <c r="K267" s="3332"/>
      <c r="L267" s="3332"/>
      <c r="M267" s="3332"/>
      <c r="N267" s="3332"/>
      <c r="O267" s="3332"/>
      <c r="P267" s="3332"/>
      <c r="Q267" s="3332"/>
      <c r="R267" s="3332"/>
      <c r="S267" s="3332"/>
      <c r="T267" s="3332"/>
      <c r="U267" s="3332"/>
      <c r="V267" s="3332"/>
      <c r="W267" s="3332"/>
      <c r="X267" s="3332"/>
      <c r="Y267" s="3332"/>
      <c r="Z267" s="3332"/>
      <c r="AA267" s="3332"/>
      <c r="AB267" s="3332"/>
      <c r="AC267" s="3332"/>
      <c r="AD267" s="3333"/>
      <c r="AE267" s="933"/>
      <c r="AF267" s="1056"/>
      <c r="AG267" s="3163" t="s">
        <v>1559</v>
      </c>
      <c r="AH267" s="3163"/>
      <c r="AI267" s="3163"/>
      <c r="AJ267" s="3163"/>
      <c r="AK267" s="1016"/>
      <c r="AL267" s="1016"/>
      <c r="AM267" s="1016"/>
      <c r="AN267" s="1051"/>
      <c r="AO267" s="933"/>
      <c r="AS267" s="21"/>
      <c r="AT267" s="21"/>
    </row>
    <row r="268" spans="1:81" ht="13.7" customHeight="1">
      <c r="A268" s="1050"/>
      <c r="B268" s="1055"/>
      <c r="C268" s="1057"/>
      <c r="D268" s="933"/>
      <c r="E268" s="930"/>
      <c r="F268" s="3334"/>
      <c r="G268" s="3335"/>
      <c r="H268" s="3335"/>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35"/>
      <c r="AD268" s="3336"/>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34"/>
      <c r="G269" s="3335"/>
      <c r="H269" s="3335"/>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35"/>
      <c r="AD269" s="3336"/>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34"/>
      <c r="G270" s="3335"/>
      <c r="H270" s="3335"/>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35"/>
      <c r="AD270" s="3336"/>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64"/>
      <c r="D271" s="3164"/>
      <c r="E271" s="930"/>
      <c r="F271" s="3337"/>
      <c r="G271" s="3338"/>
      <c r="H271" s="3338"/>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38"/>
      <c r="AD271" s="3339"/>
      <c r="AE271" s="933"/>
      <c r="AF271" s="1056"/>
      <c r="AG271" s="3163"/>
      <c r="AH271" s="3163"/>
      <c r="AI271" s="3163"/>
      <c r="AJ271" s="3163"/>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70">
        <f>IF($C$267="yes",10,0)</f>
        <v>10</v>
      </c>
      <c r="AL274" s="3170"/>
      <c r="AM274" s="3171"/>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2170</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0" t="s">
        <v>1578</v>
      </c>
      <c r="B281" s="3190"/>
      <c r="C281" s="3157" t="s">
        <v>570</v>
      </c>
      <c r="D281" s="3162"/>
      <c r="E281" s="930"/>
      <c r="F281" s="3191" t="s">
        <v>1579</v>
      </c>
      <c r="G281" s="3192"/>
      <c r="H281" s="3192"/>
      <c r="I281" s="3192"/>
      <c r="J281" s="3192"/>
      <c r="K281" s="3192"/>
      <c r="L281" s="3192"/>
      <c r="M281" s="3192"/>
      <c r="N281" s="3192"/>
      <c r="O281" s="3192"/>
      <c r="P281" s="3192"/>
      <c r="Q281" s="3192"/>
      <c r="R281" s="3192"/>
      <c r="S281" s="3192"/>
      <c r="T281" s="3192"/>
      <c r="U281" s="3192"/>
      <c r="V281" s="3192"/>
      <c r="W281" s="3192"/>
      <c r="X281" s="3192"/>
      <c r="Y281" s="3192"/>
      <c r="Z281" s="3192"/>
      <c r="AA281" s="3192"/>
      <c r="AB281" s="3192"/>
      <c r="AC281" s="3192"/>
      <c r="AD281" s="3193"/>
      <c r="AE281" s="1068"/>
      <c r="AF281" s="933"/>
      <c r="AG281" s="3194" t="s">
        <v>2482</v>
      </c>
      <c r="AH281" s="3194"/>
      <c r="AI281" s="3194"/>
      <c r="AJ281" s="3194"/>
      <c r="AK281" s="3194"/>
      <c r="AL281" s="1016"/>
      <c r="AM281" s="1016"/>
      <c r="AN281" s="110"/>
      <c r="AO281" s="51"/>
      <c r="AP281" s="126"/>
      <c r="AS281" s="1065"/>
      <c r="AT281" s="1065"/>
      <c r="AU281" s="1065"/>
      <c r="AV281" s="1067"/>
      <c r="AW281" s="1067"/>
      <c r="AX281" s="112"/>
      <c r="AY281" s="112"/>
      <c r="AZ281" s="112"/>
      <c r="BA281" s="112"/>
    </row>
    <row r="282" spans="1:53">
      <c r="A282" s="1064"/>
      <c r="B282" s="1055"/>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84"/>
      <c r="G283" s="3185"/>
      <c r="H283" s="3185"/>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85"/>
      <c r="AD283" s="3186"/>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84" t="s">
        <v>2490</v>
      </c>
      <c r="G284" s="3185"/>
      <c r="H284" s="3185"/>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85"/>
      <c r="AD284" s="3186"/>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c r="A285" s="1064"/>
      <c r="B285" s="1055"/>
      <c r="F285" s="3184"/>
      <c r="G285" s="3185"/>
      <c r="H285" s="3185"/>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85"/>
      <c r="AD285" s="318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84" t="s">
        <v>1580</v>
      </c>
      <c r="G286" s="3185"/>
      <c r="H286" s="3185"/>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85"/>
      <c r="AD286" s="318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84"/>
      <c r="G287" s="3185"/>
      <c r="H287" s="3185"/>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85"/>
      <c r="AD287" s="318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84" t="s">
        <v>1581</v>
      </c>
      <c r="G288" s="3185"/>
      <c r="H288" s="3185"/>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85"/>
      <c r="AD288" s="318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7"/>
      <c r="G289" s="3188"/>
      <c r="H289" s="3188"/>
      <c r="I289" s="3188"/>
      <c r="J289" s="3188"/>
      <c r="K289" s="3188"/>
      <c r="L289" s="3188"/>
      <c r="M289" s="3188"/>
      <c r="N289" s="3188"/>
      <c r="O289" s="3188"/>
      <c r="P289" s="3188"/>
      <c r="Q289" s="3188"/>
      <c r="R289" s="3188"/>
      <c r="S289" s="3188"/>
      <c r="T289" s="3188"/>
      <c r="U289" s="3188"/>
      <c r="V289" s="3188"/>
      <c r="W289" s="3188"/>
      <c r="X289" s="3188"/>
      <c r="Y289" s="3188"/>
      <c r="Z289" s="3188"/>
      <c r="AA289" s="3188"/>
      <c r="AB289" s="3188"/>
      <c r="AC289" s="3188"/>
      <c r="AD289" s="318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0" t="s">
        <v>1582</v>
      </c>
      <c r="B291" s="3190"/>
      <c r="C291" s="3162" t="s">
        <v>617</v>
      </c>
      <c r="D291" s="3162"/>
      <c r="E291" s="930"/>
      <c r="F291" s="1072" t="s">
        <v>2483</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88" t="s">
        <v>2484</v>
      </c>
      <c r="G292" s="3089"/>
      <c r="H292" s="3089"/>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89"/>
      <c r="AD292" s="3090"/>
      <c r="AE292" s="934"/>
      <c r="AF292" s="934"/>
      <c r="AG292" s="934"/>
      <c r="AH292" s="934"/>
      <c r="AI292" s="934"/>
      <c r="AJ292" s="933"/>
      <c r="AK292" s="1016"/>
      <c r="AL292" s="1016"/>
      <c r="AM292" s="1016"/>
      <c r="AR292" s="1076"/>
    </row>
    <row r="293" spans="1:60" ht="15" customHeight="1">
      <c r="A293" s="1050"/>
      <c r="B293" s="934"/>
      <c r="C293" s="933"/>
      <c r="D293" s="934"/>
      <c r="E293" s="933"/>
      <c r="F293" s="3088"/>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34"/>
      <c r="AF293" s="934"/>
      <c r="AG293" s="934"/>
      <c r="AH293" s="934"/>
      <c r="AI293" s="934"/>
      <c r="AJ293" s="933"/>
      <c r="AK293" s="1016"/>
      <c r="AL293" s="1016"/>
      <c r="AM293" s="1016"/>
      <c r="AR293" s="1076"/>
    </row>
    <row r="294" spans="1:60">
      <c r="A294" s="1050"/>
      <c r="B294" s="934"/>
      <c r="C294" s="933"/>
      <c r="D294" s="934"/>
      <c r="E294" s="933"/>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90" t="s">
        <v>1585</v>
      </c>
      <c r="B299" s="3190"/>
      <c r="C299" s="3162" t="s">
        <v>617</v>
      </c>
      <c r="D299" s="3162"/>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84" t="s">
        <v>2491</v>
      </c>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4"/>
      <c r="AF300" s="934"/>
      <c r="AG300" s="1002"/>
      <c r="AH300" s="934"/>
      <c r="AI300" s="934"/>
      <c r="AJ300" s="933"/>
      <c r="AK300" s="1016"/>
      <c r="AL300" s="1016"/>
      <c r="AM300" s="1016"/>
      <c r="AN300" s="110"/>
      <c r="AO300" s="51"/>
      <c r="AP300" s="940" t="s">
        <v>1348</v>
      </c>
      <c r="AR300" s="21"/>
    </row>
    <row r="301" spans="1:60" s="21" customFormat="1" hidden="1">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4"/>
      <c r="AF301" s="934"/>
      <c r="AH301" s="934"/>
      <c r="AI301" s="934"/>
      <c r="AJ301" s="1079"/>
      <c r="AK301" s="1050"/>
      <c r="AL301" s="1050"/>
      <c r="AM301" s="1050"/>
      <c r="AN301" s="1080"/>
      <c r="AP301" s="1081" t="s">
        <v>2044</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5" t="s">
        <v>1348</v>
      </c>
      <c r="G305" s="3196"/>
      <c r="H305" s="3196"/>
      <c r="I305" s="3196"/>
      <c r="J305" s="3196"/>
      <c r="K305" s="3196"/>
      <c r="L305" s="3196"/>
      <c r="M305" s="3196"/>
      <c r="N305" s="3196"/>
      <c r="O305" s="3196"/>
      <c r="P305" s="3196"/>
      <c r="Q305" s="3196"/>
      <c r="R305" s="3196"/>
      <c r="S305" s="3196"/>
      <c r="T305" s="3196"/>
      <c r="U305" s="3196"/>
      <c r="V305" s="3196"/>
      <c r="W305" s="3196"/>
      <c r="X305" s="3196"/>
      <c r="Y305" s="3196"/>
      <c r="Z305" s="3196"/>
      <c r="AA305" s="3196"/>
      <c r="AB305" s="3196"/>
      <c r="AC305" s="3196"/>
      <c r="AD305" s="3197"/>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95"/>
      <c r="G306" s="3196"/>
      <c r="H306" s="3196"/>
      <c r="I306" s="3196"/>
      <c r="J306" s="3196"/>
      <c r="K306" s="3196"/>
      <c r="L306" s="3196"/>
      <c r="M306" s="3196"/>
      <c r="N306" s="3196"/>
      <c r="O306" s="3196"/>
      <c r="P306" s="3196"/>
      <c r="Q306" s="3196"/>
      <c r="R306" s="3196"/>
      <c r="S306" s="3196"/>
      <c r="T306" s="3196"/>
      <c r="U306" s="3196"/>
      <c r="V306" s="3196"/>
      <c r="W306" s="3196"/>
      <c r="X306" s="3196"/>
      <c r="Y306" s="3196"/>
      <c r="Z306" s="3196"/>
      <c r="AA306" s="3196"/>
      <c r="AB306" s="3196"/>
      <c r="AC306" s="3196"/>
      <c r="AD306" s="3197"/>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95"/>
      <c r="G307" s="3196"/>
      <c r="H307" s="3196"/>
      <c r="I307" s="3196"/>
      <c r="J307" s="3196"/>
      <c r="K307" s="3196"/>
      <c r="L307" s="3196"/>
      <c r="M307" s="3196"/>
      <c r="N307" s="3196"/>
      <c r="O307" s="3196"/>
      <c r="P307" s="3196"/>
      <c r="Q307" s="3196"/>
      <c r="R307" s="3196"/>
      <c r="S307" s="3196"/>
      <c r="T307" s="3196"/>
      <c r="U307" s="3196"/>
      <c r="V307" s="3196"/>
      <c r="W307" s="3196"/>
      <c r="X307" s="3196"/>
      <c r="Y307" s="3196"/>
      <c r="Z307" s="3196"/>
      <c r="AA307" s="3196"/>
      <c r="AB307" s="3196"/>
      <c r="AC307" s="3196"/>
      <c r="AD307" s="3197"/>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95"/>
      <c r="G308" s="3196"/>
      <c r="H308" s="3196"/>
      <c r="I308" s="3196"/>
      <c r="J308" s="3196"/>
      <c r="K308" s="3196"/>
      <c r="L308" s="3196"/>
      <c r="M308" s="3196"/>
      <c r="N308" s="3196"/>
      <c r="O308" s="3196"/>
      <c r="P308" s="3196"/>
      <c r="Q308" s="3196"/>
      <c r="R308" s="3196"/>
      <c r="S308" s="3196"/>
      <c r="T308" s="3196"/>
      <c r="U308" s="3196"/>
      <c r="V308" s="3196"/>
      <c r="W308" s="3196"/>
      <c r="X308" s="3196"/>
      <c r="Y308" s="3196"/>
      <c r="Z308" s="3196"/>
      <c r="AA308" s="3196"/>
      <c r="AB308" s="3196"/>
      <c r="AC308" s="3196"/>
      <c r="AD308" s="3197"/>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198"/>
      <c r="G309" s="3199"/>
      <c r="H309" s="3199"/>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01" t="s">
        <v>1348</v>
      </c>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01"/>
      <c r="J314" s="3201"/>
      <c r="K314" s="3201"/>
      <c r="L314" s="3201"/>
      <c r="M314" s="3201"/>
      <c r="N314" s="3201"/>
      <c r="O314" s="3201"/>
      <c r="P314" s="3201"/>
      <c r="Q314" s="3201"/>
      <c r="R314" s="3201"/>
      <c r="S314" s="3201"/>
      <c r="T314" s="3201"/>
      <c r="U314" s="3201"/>
      <c r="V314" s="3201"/>
      <c r="W314" s="3201"/>
      <c r="X314" s="3201"/>
      <c r="Y314" s="3201"/>
      <c r="Z314" s="3201"/>
      <c r="AA314" s="3201"/>
      <c r="AB314" s="3201"/>
      <c r="AC314" s="3201"/>
      <c r="AD314" s="3202"/>
      <c r="AE314" s="934"/>
      <c r="AF314" s="934"/>
      <c r="AG314" s="976"/>
      <c r="AH314" s="934"/>
      <c r="AI314" s="934"/>
      <c r="AJ314" s="933"/>
      <c r="AK314" s="1016"/>
      <c r="AL314" s="1016"/>
      <c r="AM314" s="1016"/>
      <c r="AN314" s="110"/>
      <c r="AO314" s="51"/>
      <c r="AP314" s="940" t="s">
        <v>2047</v>
      </c>
      <c r="AR314" s="21"/>
    </row>
    <row r="315" spans="1:60" hidden="1">
      <c r="A315" s="1050"/>
      <c r="B315" s="934"/>
      <c r="C315" s="1083"/>
      <c r="D315" s="1083"/>
      <c r="E315" s="930"/>
      <c r="F315" s="1088"/>
      <c r="G315" s="959"/>
      <c r="H315" s="959"/>
      <c r="I315" s="3201"/>
      <c r="J315" s="3201"/>
      <c r="K315" s="3201"/>
      <c r="L315" s="3201"/>
      <c r="M315" s="3201"/>
      <c r="N315" s="3201"/>
      <c r="O315" s="3201"/>
      <c r="P315" s="3201"/>
      <c r="Q315" s="3201"/>
      <c r="R315" s="3201"/>
      <c r="S315" s="3201"/>
      <c r="T315" s="3201"/>
      <c r="U315" s="3201"/>
      <c r="V315" s="3201"/>
      <c r="W315" s="3201"/>
      <c r="X315" s="3201"/>
      <c r="Y315" s="3201"/>
      <c r="Z315" s="3201"/>
      <c r="AA315" s="3201"/>
      <c r="AB315" s="3201"/>
      <c r="AC315" s="3201"/>
      <c r="AD315" s="3202"/>
      <c r="AE315" s="934"/>
      <c r="AF315" s="934"/>
      <c r="AG315" s="976"/>
      <c r="AH315" s="934"/>
      <c r="AI315" s="934"/>
      <c r="AJ315" s="933"/>
      <c r="AK315" s="1016"/>
      <c r="AL315" s="1016"/>
      <c r="AM315" s="1016"/>
      <c r="AN315" s="110"/>
      <c r="AO315" s="51"/>
      <c r="AP315" s="940" t="s">
        <v>2049</v>
      </c>
      <c r="AR315" s="21"/>
    </row>
    <row r="316" spans="1:60" hidden="1">
      <c r="A316" s="1050"/>
      <c r="B316" s="934"/>
      <c r="C316" s="1083"/>
      <c r="D316" s="1083"/>
      <c r="E316" s="930"/>
      <c r="F316" s="1086"/>
      <c r="G316" s="934"/>
      <c r="H316" s="934"/>
      <c r="I316" s="3203"/>
      <c r="J316" s="3203"/>
      <c r="K316" s="3203"/>
      <c r="L316" s="3203"/>
      <c r="M316" s="3203"/>
      <c r="N316" s="3203"/>
      <c r="O316" s="3203"/>
      <c r="P316" s="3203"/>
      <c r="Q316" s="3203"/>
      <c r="R316" s="3203"/>
      <c r="S316" s="3203"/>
      <c r="T316" s="3203"/>
      <c r="U316" s="3203"/>
      <c r="V316" s="3203"/>
      <c r="W316" s="3203"/>
      <c r="X316" s="3203"/>
      <c r="Y316" s="3203"/>
      <c r="Z316" s="3203"/>
      <c r="AA316" s="3203"/>
      <c r="AB316" s="3203"/>
      <c r="AC316" s="3203"/>
      <c r="AD316" s="3204"/>
      <c r="AE316" s="934"/>
      <c r="AF316" s="934"/>
      <c r="AG316" s="976"/>
      <c r="AH316" s="934"/>
      <c r="AI316" s="934"/>
      <c r="AJ316" s="933"/>
      <c r="AK316" s="1016"/>
      <c r="AL316" s="1016"/>
      <c r="AM316" s="1016"/>
      <c r="AN316" s="110"/>
      <c r="AO316" s="51"/>
      <c r="AP316" s="940" t="s">
        <v>2048</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01" t="s">
        <v>1348</v>
      </c>
      <c r="J318" s="3201"/>
      <c r="K318" s="3201"/>
      <c r="L318" s="3201"/>
      <c r="M318" s="3201"/>
      <c r="N318" s="3201"/>
      <c r="O318" s="3201"/>
      <c r="P318" s="3201"/>
      <c r="Q318" s="3201"/>
      <c r="R318" s="3201"/>
      <c r="S318" s="3201"/>
      <c r="T318" s="3201"/>
      <c r="U318" s="3201"/>
      <c r="V318" s="3201"/>
      <c r="W318" s="3201"/>
      <c r="X318" s="3201"/>
      <c r="Y318" s="3201"/>
      <c r="Z318" s="3201"/>
      <c r="AA318" s="3201"/>
      <c r="AB318" s="3201"/>
      <c r="AC318" s="3201"/>
      <c r="AD318" s="3202"/>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01"/>
      <c r="J319" s="3201"/>
      <c r="K319" s="3201"/>
      <c r="L319" s="3201"/>
      <c r="M319" s="3201"/>
      <c r="N319" s="3201"/>
      <c r="O319" s="3201"/>
      <c r="P319" s="3201"/>
      <c r="Q319" s="3201"/>
      <c r="R319" s="3201"/>
      <c r="S319" s="3201"/>
      <c r="T319" s="3201"/>
      <c r="U319" s="3201"/>
      <c r="V319" s="3201"/>
      <c r="W319" s="3201"/>
      <c r="X319" s="3201"/>
      <c r="Y319" s="3201"/>
      <c r="Z319" s="3201"/>
      <c r="AA319" s="3201"/>
      <c r="AB319" s="3201"/>
      <c r="AC319" s="3201"/>
      <c r="AD319" s="3202"/>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03"/>
      <c r="J320" s="3203"/>
      <c r="K320" s="3203"/>
      <c r="L320" s="3203"/>
      <c r="M320" s="3203"/>
      <c r="N320" s="3203"/>
      <c r="O320" s="3203"/>
      <c r="P320" s="3203"/>
      <c r="Q320" s="3203"/>
      <c r="R320" s="3203"/>
      <c r="S320" s="3203"/>
      <c r="T320" s="3203"/>
      <c r="U320" s="3203"/>
      <c r="V320" s="3203"/>
      <c r="W320" s="3203"/>
      <c r="X320" s="3203"/>
      <c r="Y320" s="3203"/>
      <c r="Z320" s="3203"/>
      <c r="AA320" s="3203"/>
      <c r="AB320" s="3203"/>
      <c r="AC320" s="3203"/>
      <c r="AD320" s="3204"/>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90" t="s">
        <v>1588</v>
      </c>
      <c r="B322" s="3190"/>
      <c r="C322" s="3162" t="s">
        <v>617</v>
      </c>
      <c r="D322" s="3162"/>
      <c r="E322" s="930"/>
      <c r="F322" s="3082" t="s">
        <v>2492</v>
      </c>
      <c r="G322" s="3083"/>
      <c r="H322" s="3083"/>
      <c r="I322" s="3083"/>
      <c r="J322" s="3083"/>
      <c r="K322" s="3083"/>
      <c r="L322" s="3083"/>
      <c r="M322" s="3083"/>
      <c r="N322" s="3083"/>
      <c r="O322" s="3083"/>
      <c r="P322" s="3083"/>
      <c r="Q322" s="3083"/>
      <c r="R322" s="3083"/>
      <c r="S322" s="3083"/>
      <c r="T322" s="3083"/>
      <c r="U322" s="3083"/>
      <c r="V322" s="3083"/>
      <c r="W322" s="3083"/>
      <c r="X322" s="3083"/>
      <c r="Y322" s="3083"/>
      <c r="Z322" s="3083"/>
      <c r="AA322" s="3083"/>
      <c r="AB322" s="3083"/>
      <c r="AC322" s="3083"/>
      <c r="AD322" s="3084"/>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88"/>
      <c r="G323" s="3089"/>
      <c r="H323" s="3089"/>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89"/>
      <c r="AD323" s="3090"/>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8"/>
      <c r="G324" s="3089"/>
      <c r="H324" s="3089"/>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89"/>
      <c r="AD324" s="3090"/>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65">
        <f>AP284</f>
        <v>10</v>
      </c>
      <c r="AL327" s="3166"/>
      <c r="AM327" s="3167"/>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3" t="s">
        <v>1510</v>
      </c>
      <c r="AF330" s="3153"/>
      <c r="AG330" s="3153"/>
      <c r="AH330" s="3153"/>
      <c r="AI330" s="3153"/>
      <c r="AJ330" s="3153"/>
      <c r="AK330" s="3153"/>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5" t="s">
        <v>1654</v>
      </c>
      <c r="D332" s="3205"/>
      <c r="E332" s="3205"/>
      <c r="F332" s="3205"/>
      <c r="G332" s="3205"/>
      <c r="H332" s="3205"/>
      <c r="I332" s="3205"/>
      <c r="J332" s="3205"/>
      <c r="K332" s="3205"/>
      <c r="L332" s="3205"/>
      <c r="M332" s="3205"/>
      <c r="N332" s="3205"/>
      <c r="O332" s="3205"/>
      <c r="P332" s="3205"/>
      <c r="Q332" s="3205"/>
      <c r="R332" s="3205"/>
      <c r="S332" s="3205"/>
      <c r="T332" s="3205"/>
      <c r="U332" s="3205"/>
      <c r="V332" s="3205"/>
      <c r="W332" s="3205"/>
      <c r="X332" s="3205"/>
      <c r="Y332" s="3205"/>
      <c r="Z332" s="3205"/>
      <c r="AA332" s="3205"/>
      <c r="AB332" s="3205"/>
      <c r="AC332" s="3205"/>
      <c r="AD332" s="3205"/>
      <c r="AE332" s="3205"/>
      <c r="AF332" s="3205"/>
      <c r="AG332" s="3205"/>
      <c r="AH332" s="3205"/>
      <c r="AI332" s="3205"/>
      <c r="AJ332" s="3205"/>
      <c r="AK332" s="1017"/>
      <c r="AL332" s="1017"/>
      <c r="AM332" s="1017"/>
      <c r="AN332" s="990"/>
    </row>
    <row r="333" spans="1:60" s="933" customFormat="1" ht="12.75" customHeight="1">
      <c r="A333" s="1017"/>
      <c r="B333" s="1018"/>
      <c r="C333" s="3205"/>
      <c r="D333" s="3205"/>
      <c r="E333" s="3205"/>
      <c r="F333" s="3205"/>
      <c r="G333" s="3205"/>
      <c r="H333" s="3205"/>
      <c r="I333" s="3205"/>
      <c r="J333" s="3205"/>
      <c r="K333" s="3205"/>
      <c r="L333" s="3205"/>
      <c r="M333" s="3205"/>
      <c r="N333" s="3205"/>
      <c r="O333" s="3205"/>
      <c r="P333" s="3205"/>
      <c r="Q333" s="3205"/>
      <c r="R333" s="3205"/>
      <c r="S333" s="3205"/>
      <c r="T333" s="3205"/>
      <c r="U333" s="3205"/>
      <c r="V333" s="3205"/>
      <c r="W333" s="3205"/>
      <c r="X333" s="3205"/>
      <c r="Y333" s="3205"/>
      <c r="Z333" s="3205"/>
      <c r="AA333" s="3205"/>
      <c r="AB333" s="3205"/>
      <c r="AC333" s="3205"/>
      <c r="AD333" s="3205"/>
      <c r="AE333" s="3205"/>
      <c r="AF333" s="3205"/>
      <c r="AG333" s="3205"/>
      <c r="AH333" s="3205"/>
      <c r="AI333" s="3205"/>
      <c r="AJ333" s="3205"/>
      <c r="AK333" s="1017"/>
      <c r="AL333" s="1017"/>
      <c r="AM333" s="1017"/>
      <c r="AN333" s="990"/>
    </row>
    <row r="334" spans="1:60" s="933" customFormat="1" ht="12.75" customHeight="1">
      <c r="A334" s="1017"/>
      <c r="B334" s="1018"/>
      <c r="C334" s="3205"/>
      <c r="D334" s="3205"/>
      <c r="E334" s="3205"/>
      <c r="F334" s="3205"/>
      <c r="G334" s="3205"/>
      <c r="H334" s="3205"/>
      <c r="I334" s="3205"/>
      <c r="J334" s="3205"/>
      <c r="K334" s="3205"/>
      <c r="L334" s="3205"/>
      <c r="M334" s="3205"/>
      <c r="N334" s="3205"/>
      <c r="O334" s="3205"/>
      <c r="P334" s="3205"/>
      <c r="Q334" s="3205"/>
      <c r="R334" s="3205"/>
      <c r="S334" s="3205"/>
      <c r="T334" s="3205"/>
      <c r="U334" s="3205"/>
      <c r="V334" s="3205"/>
      <c r="W334" s="3205"/>
      <c r="X334" s="3205"/>
      <c r="Y334" s="3205"/>
      <c r="Z334" s="3205"/>
      <c r="AA334" s="3205"/>
      <c r="AB334" s="3205"/>
      <c r="AC334" s="3205"/>
      <c r="AD334" s="3205"/>
      <c r="AE334" s="3205"/>
      <c r="AF334" s="3205"/>
      <c r="AG334" s="3205"/>
      <c r="AH334" s="3205"/>
      <c r="AI334" s="3205"/>
      <c r="AJ334" s="3205"/>
      <c r="AK334" s="1017"/>
      <c r="AL334" s="1017"/>
      <c r="AM334" s="1017"/>
      <c r="AN334" s="990"/>
      <c r="AQ334" s="1125"/>
      <c r="AR334" s="992"/>
    </row>
    <row r="335" spans="1:60" s="933" customFormat="1" ht="12.75" customHeight="1">
      <c r="A335" s="1017"/>
      <c r="B335" s="1108"/>
      <c r="C335" s="3205"/>
      <c r="D335" s="3205"/>
      <c r="E335" s="3205"/>
      <c r="F335" s="3205"/>
      <c r="G335" s="3205"/>
      <c r="H335" s="3205"/>
      <c r="I335" s="3205"/>
      <c r="J335" s="3205"/>
      <c r="K335" s="3205"/>
      <c r="L335" s="3205"/>
      <c r="M335" s="3205"/>
      <c r="N335" s="3205"/>
      <c r="O335" s="3205"/>
      <c r="P335" s="3205"/>
      <c r="Q335" s="3205"/>
      <c r="R335" s="3205"/>
      <c r="S335" s="3205"/>
      <c r="T335" s="3205"/>
      <c r="U335" s="3205"/>
      <c r="V335" s="3205"/>
      <c r="W335" s="3205"/>
      <c r="X335" s="3205"/>
      <c r="Y335" s="3205"/>
      <c r="Z335" s="3205"/>
      <c r="AA335" s="3205"/>
      <c r="AB335" s="3205"/>
      <c r="AC335" s="3205"/>
      <c r="AD335" s="3205"/>
      <c r="AE335" s="3205"/>
      <c r="AF335" s="3205"/>
      <c r="AG335" s="3205"/>
      <c r="AH335" s="3205"/>
      <c r="AI335" s="3205"/>
      <c r="AJ335" s="3205"/>
      <c r="AK335" s="1017"/>
      <c r="AL335" s="1017"/>
      <c r="AM335" s="1017"/>
      <c r="AN335" s="990"/>
      <c r="AQ335" s="1125"/>
      <c r="AR335" s="992"/>
    </row>
    <row r="336" spans="1:60" s="933" customFormat="1" ht="12.4" customHeight="1">
      <c r="A336" s="1017"/>
      <c r="B336" s="1108"/>
      <c r="C336" s="3205"/>
      <c r="D336" s="3205"/>
      <c r="E336" s="3205"/>
      <c r="F336" s="3205"/>
      <c r="G336" s="3205"/>
      <c r="H336" s="3205"/>
      <c r="I336" s="3205"/>
      <c r="J336" s="3205"/>
      <c r="K336" s="3205"/>
      <c r="L336" s="3205"/>
      <c r="M336" s="3205"/>
      <c r="N336" s="3205"/>
      <c r="O336" s="3205"/>
      <c r="P336" s="3205"/>
      <c r="Q336" s="3205"/>
      <c r="R336" s="3205"/>
      <c r="S336" s="3205"/>
      <c r="T336" s="3205"/>
      <c r="U336" s="3205"/>
      <c r="V336" s="3205"/>
      <c r="W336" s="3205"/>
      <c r="X336" s="3205"/>
      <c r="Y336" s="3205"/>
      <c r="Z336" s="3205"/>
      <c r="AA336" s="3205"/>
      <c r="AB336" s="3205"/>
      <c r="AC336" s="3205"/>
      <c r="AD336" s="3205"/>
      <c r="AE336" s="3205"/>
      <c r="AF336" s="3205"/>
      <c r="AG336" s="3205"/>
      <c r="AH336" s="3205"/>
      <c r="AI336" s="3205"/>
      <c r="AJ336" s="3205"/>
      <c r="AK336" s="1017"/>
      <c r="AL336" s="1017"/>
      <c r="AM336" s="1017"/>
      <c r="AN336" s="990"/>
      <c r="AQ336" s="1125"/>
      <c r="AR336" s="1125"/>
    </row>
    <row r="337" spans="1:46" s="933" customFormat="1" ht="45.75" customHeight="1">
      <c r="A337" s="1017"/>
      <c r="B337" s="1108"/>
      <c r="C337" s="3205" t="s">
        <v>2588</v>
      </c>
      <c r="D337" s="3205"/>
      <c r="E337" s="3205"/>
      <c r="F337" s="3205"/>
      <c r="G337" s="3205"/>
      <c r="H337" s="3205"/>
      <c r="I337" s="3205"/>
      <c r="J337" s="3205"/>
      <c r="K337" s="3205"/>
      <c r="L337" s="3205"/>
      <c r="M337" s="3205"/>
      <c r="N337" s="3205"/>
      <c r="O337" s="3205"/>
      <c r="P337" s="3205"/>
      <c r="Q337" s="3205"/>
      <c r="R337" s="3205"/>
      <c r="S337" s="3205"/>
      <c r="T337" s="3205"/>
      <c r="U337" s="3205"/>
      <c r="V337" s="3205"/>
      <c r="W337" s="3205"/>
      <c r="X337" s="3205"/>
      <c r="Y337" s="3205"/>
      <c r="Z337" s="3205"/>
      <c r="AA337" s="3205"/>
      <c r="AB337" s="3205"/>
      <c r="AC337" s="3205"/>
      <c r="AD337" s="3205"/>
      <c r="AE337" s="3205"/>
      <c r="AF337" s="3205"/>
      <c r="AG337" s="3205"/>
      <c r="AH337" s="3205"/>
      <c r="AI337" s="3205"/>
      <c r="AJ337" s="3205"/>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5" t="s">
        <v>2181</v>
      </c>
      <c r="D339" s="3205"/>
      <c r="E339" s="3205"/>
      <c r="F339" s="3205"/>
      <c r="G339" s="3205"/>
      <c r="H339" s="3205"/>
      <c r="I339" s="3205"/>
      <c r="J339" s="3205"/>
      <c r="K339" s="3205"/>
      <c r="L339" s="3205"/>
      <c r="M339" s="3205"/>
      <c r="N339" s="3205"/>
      <c r="O339" s="3205"/>
      <c r="P339" s="3205"/>
      <c r="Q339" s="3205"/>
      <c r="R339" s="3205"/>
      <c r="S339" s="3205"/>
      <c r="T339" s="3205"/>
      <c r="U339" s="3205"/>
      <c r="V339" s="3205"/>
      <c r="W339" s="3205"/>
      <c r="X339" s="3205"/>
      <c r="Y339" s="3205"/>
      <c r="Z339" s="3205"/>
      <c r="AA339" s="3205"/>
      <c r="AB339" s="3205"/>
      <c r="AC339" s="3205"/>
      <c r="AD339" s="3205"/>
      <c r="AE339" s="3205"/>
      <c r="AF339" s="3205"/>
      <c r="AG339" s="3205"/>
      <c r="AH339" s="3205"/>
      <c r="AI339" s="3205"/>
      <c r="AJ339" s="3205"/>
      <c r="AK339" s="1017"/>
      <c r="AL339" s="1017"/>
      <c r="AM339" s="1017"/>
      <c r="AN339" s="990"/>
      <c r="AQ339" s="1125"/>
      <c r="AR339" s="1125"/>
    </row>
    <row r="340" spans="1:46" s="933" customFormat="1" ht="30" customHeight="1">
      <c r="A340" s="1017"/>
      <c r="B340" s="1108"/>
      <c r="C340" s="3205"/>
      <c r="D340" s="3205"/>
      <c r="E340" s="3205"/>
      <c r="F340" s="3205"/>
      <c r="G340" s="3205"/>
      <c r="H340" s="3205"/>
      <c r="I340" s="3205"/>
      <c r="J340" s="3205"/>
      <c r="K340" s="3205"/>
      <c r="L340" s="3205"/>
      <c r="M340" s="3205"/>
      <c r="N340" s="3205"/>
      <c r="O340" s="3205"/>
      <c r="P340" s="3205"/>
      <c r="Q340" s="3205"/>
      <c r="R340" s="3205"/>
      <c r="S340" s="3205"/>
      <c r="T340" s="3205"/>
      <c r="U340" s="3205"/>
      <c r="V340" s="3205"/>
      <c r="W340" s="3205"/>
      <c r="X340" s="3205"/>
      <c r="Y340" s="3205"/>
      <c r="Z340" s="3205"/>
      <c r="AA340" s="3205"/>
      <c r="AB340" s="3205"/>
      <c r="AC340" s="3205"/>
      <c r="AD340" s="3205"/>
      <c r="AE340" s="3205"/>
      <c r="AF340" s="3205"/>
      <c r="AG340" s="3205"/>
      <c r="AH340" s="3205"/>
      <c r="AI340" s="3205"/>
      <c r="AJ340" s="3205"/>
      <c r="AK340" s="1017"/>
      <c r="AL340" s="1017"/>
      <c r="AM340" s="1017"/>
      <c r="AN340" s="990"/>
      <c r="AQ340" s="992"/>
      <c r="AR340" s="1125"/>
    </row>
    <row r="341" spans="1:46" s="933" customFormat="1" ht="12.75" customHeight="1">
      <c r="A341" s="1017"/>
      <c r="B341" s="1108"/>
      <c r="C341" s="3205"/>
      <c r="D341" s="3205"/>
      <c r="E341" s="3205"/>
      <c r="F341" s="3205"/>
      <c r="G341" s="3205"/>
      <c r="H341" s="3205"/>
      <c r="I341" s="3205"/>
      <c r="J341" s="3205"/>
      <c r="K341" s="3205"/>
      <c r="L341" s="3205"/>
      <c r="M341" s="3205"/>
      <c r="N341" s="3205"/>
      <c r="O341" s="3205"/>
      <c r="P341" s="3205"/>
      <c r="Q341" s="3205"/>
      <c r="R341" s="3205"/>
      <c r="S341" s="3205"/>
      <c r="T341" s="3205"/>
      <c r="U341" s="3205"/>
      <c r="V341" s="3205"/>
      <c r="W341" s="3205"/>
      <c r="X341" s="3205"/>
      <c r="Y341" s="3205"/>
      <c r="Z341" s="3205"/>
      <c r="AA341" s="3205"/>
      <c r="AB341" s="3205"/>
      <c r="AC341" s="3205"/>
      <c r="AD341" s="3205"/>
      <c r="AE341" s="3205"/>
      <c r="AF341" s="3205"/>
      <c r="AG341" s="3205"/>
      <c r="AH341" s="3205"/>
      <c r="AI341" s="3205"/>
      <c r="AJ341" s="3205"/>
      <c r="AK341" s="1017"/>
      <c r="AL341" s="1017"/>
      <c r="AM341" s="1017"/>
      <c r="AN341" s="990"/>
      <c r="AQ341" s="992"/>
      <c r="AR341" s="1125"/>
    </row>
    <row r="342" spans="1:46" s="933" customFormat="1" ht="12.75" customHeight="1">
      <c r="A342" s="1017"/>
      <c r="B342" s="1108"/>
      <c r="C342" s="3205" t="s">
        <v>1655</v>
      </c>
      <c r="D342" s="3205"/>
      <c r="E342" s="3205"/>
      <c r="F342" s="3205"/>
      <c r="G342" s="3205"/>
      <c r="H342" s="3205"/>
      <c r="I342" s="3205"/>
      <c r="J342" s="3205"/>
      <c r="K342" s="3205"/>
      <c r="L342" s="3205"/>
      <c r="M342" s="3205"/>
      <c r="N342" s="3205"/>
      <c r="O342" s="3205"/>
      <c r="P342" s="3205"/>
      <c r="Q342" s="3205"/>
      <c r="R342" s="3205"/>
      <c r="S342" s="3205"/>
      <c r="T342" s="3205"/>
      <c r="U342" s="3205"/>
      <c r="V342" s="3205"/>
      <c r="W342" s="3205"/>
      <c r="X342" s="3205"/>
      <c r="Y342" s="3205"/>
      <c r="Z342" s="3205"/>
      <c r="AA342" s="3205"/>
      <c r="AB342" s="3205"/>
      <c r="AC342" s="3205"/>
      <c r="AD342" s="3205"/>
      <c r="AE342" s="3205"/>
      <c r="AF342" s="3205"/>
      <c r="AG342" s="3205"/>
      <c r="AH342" s="3205"/>
      <c r="AI342" s="3205"/>
      <c r="AJ342" s="3205"/>
      <c r="AK342" s="1017"/>
      <c r="AL342" s="1017"/>
      <c r="AM342" s="1017"/>
      <c r="AN342" s="990"/>
      <c r="AQ342" s="1125"/>
      <c r="AR342" s="1125"/>
    </row>
    <row r="343" spans="1:46" s="933" customFormat="1" ht="12.75" customHeight="1">
      <c r="A343" s="1017"/>
      <c r="B343" s="1108"/>
      <c r="C343" s="3205"/>
      <c r="D343" s="3205"/>
      <c r="E343" s="3205"/>
      <c r="F343" s="3205"/>
      <c r="G343" s="3205"/>
      <c r="H343" s="3205"/>
      <c r="I343" s="3205"/>
      <c r="J343" s="3205"/>
      <c r="K343" s="3205"/>
      <c r="L343" s="3205"/>
      <c r="M343" s="3205"/>
      <c r="N343" s="3205"/>
      <c r="O343" s="3205"/>
      <c r="P343" s="3205"/>
      <c r="Q343" s="3205"/>
      <c r="R343" s="3205"/>
      <c r="S343" s="3205"/>
      <c r="T343" s="3205"/>
      <c r="U343" s="3205"/>
      <c r="V343" s="3205"/>
      <c r="W343" s="3205"/>
      <c r="X343" s="3205"/>
      <c r="Y343" s="3205"/>
      <c r="Z343" s="3205"/>
      <c r="AA343" s="3205"/>
      <c r="AB343" s="3205"/>
      <c r="AC343" s="3205"/>
      <c r="AD343" s="3205"/>
      <c r="AE343" s="3205"/>
      <c r="AF343" s="3205"/>
      <c r="AG343" s="3205"/>
      <c r="AH343" s="3205"/>
      <c r="AI343" s="3205"/>
      <c r="AJ343" s="3205"/>
      <c r="AK343" s="1017"/>
      <c r="AL343" s="1017"/>
      <c r="AM343" s="1017"/>
      <c r="AN343" s="990"/>
      <c r="AQ343" s="1125"/>
      <c r="AR343" s="1125"/>
    </row>
    <row r="344" spans="1:46" s="933" customFormat="1" ht="13.15" customHeight="1">
      <c r="A344" s="1017"/>
      <c r="B344" s="1108"/>
      <c r="C344" s="3205"/>
      <c r="D344" s="3205"/>
      <c r="E344" s="3205"/>
      <c r="F344" s="3205"/>
      <c r="G344" s="3205"/>
      <c r="H344" s="3205"/>
      <c r="I344" s="3205"/>
      <c r="J344" s="3205"/>
      <c r="K344" s="3205"/>
      <c r="L344" s="3205"/>
      <c r="M344" s="3205"/>
      <c r="N344" s="3205"/>
      <c r="O344" s="3205"/>
      <c r="P344" s="3205"/>
      <c r="Q344" s="3205"/>
      <c r="R344" s="3205"/>
      <c r="S344" s="3205"/>
      <c r="T344" s="3205"/>
      <c r="U344" s="3205"/>
      <c r="V344" s="3205"/>
      <c r="W344" s="3205"/>
      <c r="X344" s="3205"/>
      <c r="Y344" s="3205"/>
      <c r="Z344" s="3205"/>
      <c r="AA344" s="3205"/>
      <c r="AB344" s="3205"/>
      <c r="AC344" s="3205"/>
      <c r="AD344" s="3205"/>
      <c r="AE344" s="3205"/>
      <c r="AF344" s="3205"/>
      <c r="AG344" s="3205"/>
      <c r="AH344" s="3205"/>
      <c r="AI344" s="3205"/>
      <c r="AJ344" s="3205"/>
      <c r="AK344" s="1017"/>
      <c r="AL344" s="1017"/>
      <c r="AM344" s="1017"/>
      <c r="AN344" s="990"/>
      <c r="AQ344" s="1125"/>
      <c r="AR344" s="1125"/>
    </row>
    <row r="345" spans="1:46" s="933" customFormat="1" ht="12.75" customHeight="1">
      <c r="A345" s="1017"/>
      <c r="B345" s="1108"/>
      <c r="C345" s="3205"/>
      <c r="D345" s="3205"/>
      <c r="E345" s="3205"/>
      <c r="F345" s="3205"/>
      <c r="G345" s="3205"/>
      <c r="H345" s="3205"/>
      <c r="I345" s="3205"/>
      <c r="J345" s="3205"/>
      <c r="K345" s="3205"/>
      <c r="L345" s="3205"/>
      <c r="M345" s="3205"/>
      <c r="N345" s="3205"/>
      <c r="O345" s="3205"/>
      <c r="P345" s="3205"/>
      <c r="Q345" s="3205"/>
      <c r="R345" s="3205"/>
      <c r="S345" s="3205"/>
      <c r="T345" s="3205"/>
      <c r="U345" s="3205"/>
      <c r="V345" s="3205"/>
      <c r="W345" s="3205"/>
      <c r="X345" s="3205"/>
      <c r="Y345" s="3205"/>
      <c r="Z345" s="3205"/>
      <c r="AA345" s="3205"/>
      <c r="AB345" s="3205"/>
      <c r="AC345" s="3205"/>
      <c r="AD345" s="3205"/>
      <c r="AE345" s="3205"/>
      <c r="AF345" s="3205"/>
      <c r="AG345" s="3205"/>
      <c r="AH345" s="3205"/>
      <c r="AI345" s="3205"/>
      <c r="AJ345" s="3205"/>
      <c r="AK345" s="1017"/>
      <c r="AL345" s="1017"/>
      <c r="AM345" s="1017"/>
      <c r="AN345" s="990"/>
      <c r="AO345" s="1140"/>
      <c r="AP345" s="1140"/>
      <c r="AQ345" s="1125"/>
      <c r="AR345" s="992"/>
    </row>
    <row r="346" spans="1:46" s="933" customFormat="1" ht="11.85" customHeight="1">
      <c r="A346" s="1017"/>
      <c r="B346" s="1108"/>
      <c r="C346" s="3205"/>
      <c r="D346" s="3205"/>
      <c r="E346" s="3205"/>
      <c r="F346" s="3205"/>
      <c r="G346" s="3205"/>
      <c r="H346" s="3205"/>
      <c r="I346" s="3205"/>
      <c r="J346" s="3205"/>
      <c r="K346" s="3205"/>
      <c r="L346" s="3205"/>
      <c r="M346" s="3205"/>
      <c r="N346" s="3205"/>
      <c r="O346" s="3205"/>
      <c r="P346" s="3205"/>
      <c r="Q346" s="3205"/>
      <c r="R346" s="3205"/>
      <c r="S346" s="3205"/>
      <c r="T346" s="3205"/>
      <c r="U346" s="3205"/>
      <c r="V346" s="3205"/>
      <c r="W346" s="3205"/>
      <c r="X346" s="3205"/>
      <c r="Y346" s="3205"/>
      <c r="Z346" s="3205"/>
      <c r="AA346" s="3205"/>
      <c r="AB346" s="3205"/>
      <c r="AC346" s="3205"/>
      <c r="AD346" s="3205"/>
      <c r="AE346" s="3205"/>
      <c r="AF346" s="3205"/>
      <c r="AG346" s="3205"/>
      <c r="AH346" s="3205"/>
      <c r="AI346" s="3205"/>
      <c r="AJ346" s="3205"/>
      <c r="AK346" s="1017"/>
      <c r="AL346" s="1017"/>
      <c r="AM346" s="1017"/>
      <c r="AN346" s="990"/>
      <c r="AO346" s="1141" t="s">
        <v>117</v>
      </c>
      <c r="AP346" s="1142">
        <f>IF(C370="Yes",5,0)</f>
        <v>0</v>
      </c>
      <c r="AQ346" s="992"/>
      <c r="AR346" s="992"/>
      <c r="AS346" s="922" t="s">
        <v>1656</v>
      </c>
    </row>
    <row r="347" spans="1:46" s="933" customFormat="1" ht="12.75" customHeight="1">
      <c r="A347" s="1017"/>
      <c r="B347" s="1108"/>
      <c r="C347" s="3205"/>
      <c r="D347" s="3205"/>
      <c r="E347" s="3205"/>
      <c r="F347" s="3205"/>
      <c r="G347" s="3205"/>
      <c r="H347" s="3205"/>
      <c r="I347" s="3205"/>
      <c r="J347" s="3205"/>
      <c r="K347" s="3205"/>
      <c r="L347" s="3205"/>
      <c r="M347" s="3205"/>
      <c r="N347" s="3205"/>
      <c r="O347" s="3205"/>
      <c r="P347" s="3205"/>
      <c r="Q347" s="3205"/>
      <c r="R347" s="3205"/>
      <c r="S347" s="3205"/>
      <c r="T347" s="3205"/>
      <c r="U347" s="3205"/>
      <c r="V347" s="3205"/>
      <c r="W347" s="3205"/>
      <c r="X347" s="3205"/>
      <c r="Y347" s="3205"/>
      <c r="Z347" s="3205"/>
      <c r="AA347" s="3205"/>
      <c r="AB347" s="3205"/>
      <c r="AC347" s="3205"/>
      <c r="AD347" s="3205"/>
      <c r="AE347" s="3205"/>
      <c r="AF347" s="3205"/>
      <c r="AG347" s="3205"/>
      <c r="AH347" s="3205"/>
      <c r="AI347" s="3205"/>
      <c r="AJ347" s="3205"/>
      <c r="AK347" s="1017"/>
      <c r="AL347" s="1017"/>
      <c r="AM347" s="1017"/>
      <c r="AN347" s="990"/>
      <c r="AO347" s="1141" t="s">
        <v>118</v>
      </c>
      <c r="AP347" s="1142">
        <f>IF(C378="Yes",5,0)</f>
        <v>0</v>
      </c>
      <c r="AQ347" s="992"/>
      <c r="AR347" s="992"/>
      <c r="AS347" s="3223">
        <f>IF(Application!D210="Non-Targeted",(SUM(AQ355+AQ364)),AS351)</f>
        <v>10</v>
      </c>
      <c r="AT347" s="3223"/>
    </row>
    <row r="348" spans="1:46" s="933" customFormat="1" ht="12.75" customHeight="1">
      <c r="A348" s="1017"/>
      <c r="B348" s="1108"/>
      <c r="C348" s="3205"/>
      <c r="D348" s="3205"/>
      <c r="E348" s="3205"/>
      <c r="F348" s="3205"/>
      <c r="G348" s="3205"/>
      <c r="H348" s="3205"/>
      <c r="I348" s="3205"/>
      <c r="J348" s="3205"/>
      <c r="K348" s="3205"/>
      <c r="L348" s="3205"/>
      <c r="M348" s="3205"/>
      <c r="N348" s="3205"/>
      <c r="O348" s="3205"/>
      <c r="P348" s="3205"/>
      <c r="Q348" s="3205"/>
      <c r="R348" s="3205"/>
      <c r="S348" s="3205"/>
      <c r="T348" s="3205"/>
      <c r="U348" s="3205"/>
      <c r="V348" s="3205"/>
      <c r="W348" s="3205"/>
      <c r="X348" s="3205"/>
      <c r="Y348" s="3205"/>
      <c r="Z348" s="3205"/>
      <c r="AA348" s="3205"/>
      <c r="AB348" s="3205"/>
      <c r="AC348" s="3205"/>
      <c r="AD348" s="3205"/>
      <c r="AE348" s="3205"/>
      <c r="AF348" s="3205"/>
      <c r="AG348" s="3205"/>
      <c r="AH348" s="3205"/>
      <c r="AI348" s="3205"/>
      <c r="AJ348" s="3205"/>
      <c r="AK348" s="1017"/>
      <c r="AL348" s="1017"/>
      <c r="AM348" s="1017"/>
      <c r="AN348" s="990"/>
      <c r="AO348" s="1141" t="s">
        <v>124</v>
      </c>
      <c r="AP348" s="1142">
        <f>IF(C386="Yes",7,0)</f>
        <v>0</v>
      </c>
      <c r="AS348" s="922" t="s">
        <v>1657</v>
      </c>
    </row>
    <row r="349" spans="1:46" s="933" customFormat="1" ht="12.75" customHeight="1">
      <c r="A349" s="1017"/>
      <c r="B349" s="1108"/>
      <c r="C349" s="3205"/>
      <c r="D349" s="3205"/>
      <c r="E349" s="3205"/>
      <c r="F349" s="3205"/>
      <c r="G349" s="3205"/>
      <c r="H349" s="3205"/>
      <c r="I349" s="3205"/>
      <c r="J349" s="3205"/>
      <c r="K349" s="3205"/>
      <c r="L349" s="3205"/>
      <c r="M349" s="3205"/>
      <c r="N349" s="3205"/>
      <c r="O349" s="3205"/>
      <c r="P349" s="3205"/>
      <c r="Q349" s="3205"/>
      <c r="R349" s="3205"/>
      <c r="S349" s="3205"/>
      <c r="T349" s="3205"/>
      <c r="U349" s="3205"/>
      <c r="V349" s="3205"/>
      <c r="W349" s="3205"/>
      <c r="X349" s="3205"/>
      <c r="Y349" s="3205"/>
      <c r="Z349" s="3205"/>
      <c r="AA349" s="3205"/>
      <c r="AB349" s="3205"/>
      <c r="AC349" s="3205"/>
      <c r="AD349" s="3205"/>
      <c r="AE349" s="3205"/>
      <c r="AF349" s="3205"/>
      <c r="AG349" s="3205"/>
      <c r="AH349" s="3205"/>
      <c r="AI349" s="3205"/>
      <c r="AJ349" s="3205"/>
      <c r="AK349" s="1017"/>
      <c r="AL349" s="1017"/>
      <c r="AM349" s="1017"/>
      <c r="AN349" s="990"/>
      <c r="AO349" s="990"/>
      <c r="AP349" s="1142">
        <f>IF(C388="Yes",5,0)</f>
        <v>5</v>
      </c>
      <c r="AS349" s="3223">
        <f>IF(AND(AQ355&gt;0,AQ364&gt;0),(AQ355+AQ364)/2,0)</f>
        <v>0</v>
      </c>
      <c r="AT349" s="3223"/>
    </row>
    <row r="350" spans="1:46" s="933" customFormat="1" ht="12.75" customHeight="1">
      <c r="A350" s="1017"/>
      <c r="B350" s="1108"/>
      <c r="C350" s="3205"/>
      <c r="D350" s="3205"/>
      <c r="E350" s="3205"/>
      <c r="F350" s="3205"/>
      <c r="G350" s="3205"/>
      <c r="H350" s="3205"/>
      <c r="I350" s="3205"/>
      <c r="J350" s="3205"/>
      <c r="K350" s="3205"/>
      <c r="L350" s="3205"/>
      <c r="M350" s="3205"/>
      <c r="N350" s="3205"/>
      <c r="O350" s="3205"/>
      <c r="P350" s="3205"/>
      <c r="Q350" s="3205"/>
      <c r="R350" s="3205"/>
      <c r="S350" s="3205"/>
      <c r="T350" s="3205"/>
      <c r="U350" s="3205"/>
      <c r="V350" s="3205"/>
      <c r="W350" s="3205"/>
      <c r="X350" s="3205"/>
      <c r="Y350" s="3205"/>
      <c r="Z350" s="3205"/>
      <c r="AA350" s="3205"/>
      <c r="AB350" s="3205"/>
      <c r="AC350" s="3205"/>
      <c r="AD350" s="3205"/>
      <c r="AE350" s="3205"/>
      <c r="AF350" s="3205"/>
      <c r="AG350" s="3205"/>
      <c r="AH350" s="3205"/>
      <c r="AI350" s="3205"/>
      <c r="AJ350" s="3205"/>
      <c r="AK350" s="1017"/>
      <c r="AL350" s="1017"/>
      <c r="AM350" s="1017"/>
      <c r="AN350" s="990"/>
      <c r="AO350" s="1141" t="s">
        <v>607</v>
      </c>
      <c r="AP350" s="1142">
        <f>IF(C396="Yes",5,0)</f>
        <v>0</v>
      </c>
      <c r="AQ350" s="992"/>
      <c r="AR350" s="992"/>
      <c r="AS350" s="922" t="s">
        <v>2199</v>
      </c>
    </row>
    <row r="351" spans="1:46" s="933" customFormat="1" ht="12.75" customHeight="1">
      <c r="A351" s="1017"/>
      <c r="B351" s="1108"/>
      <c r="C351" s="3224" t="s">
        <v>1658</v>
      </c>
      <c r="D351" s="3224"/>
      <c r="E351" s="3224"/>
      <c r="F351" s="3224"/>
      <c r="G351" s="3224"/>
      <c r="H351" s="3224"/>
      <c r="I351" s="3224"/>
      <c r="J351" s="3224"/>
      <c r="K351" s="3224"/>
      <c r="L351" s="3224"/>
      <c r="M351" s="3224"/>
      <c r="N351" s="3224"/>
      <c r="O351" s="3224"/>
      <c r="P351" s="3224"/>
      <c r="Q351" s="3224"/>
      <c r="R351" s="3224"/>
      <c r="S351" s="3224"/>
      <c r="T351" s="3224"/>
      <c r="U351" s="3224"/>
      <c r="V351" s="3224"/>
      <c r="W351" s="3224"/>
      <c r="X351" s="3224"/>
      <c r="Y351" s="3224"/>
      <c r="Z351" s="3224"/>
      <c r="AA351" s="3224"/>
      <c r="AB351" s="3224"/>
      <c r="AC351" s="3224"/>
      <c r="AD351" s="3224"/>
      <c r="AE351" s="3224"/>
      <c r="AF351" s="3224"/>
      <c r="AG351" s="3224"/>
      <c r="AH351" s="3224"/>
      <c r="AI351" s="3224"/>
      <c r="AJ351" s="3224"/>
      <c r="AK351" s="1017"/>
      <c r="AL351" s="1017"/>
      <c r="AM351" s="1017"/>
      <c r="AN351" s="990"/>
      <c r="AO351" s="990"/>
      <c r="AP351" s="1142">
        <f>IF(C398="Yes",3,0)</f>
        <v>0</v>
      </c>
      <c r="AS351" s="3223">
        <f>IF(AQ355=0,AQ364,AQ355)</f>
        <v>10</v>
      </c>
      <c r="AT351" s="3223"/>
    </row>
    <row r="352" spans="1:46" s="933" customFormat="1" ht="12.75" customHeight="1">
      <c r="A352" s="1017"/>
      <c r="B352" s="1108"/>
      <c r="C352" s="3224"/>
      <c r="D352" s="3224"/>
      <c r="E352" s="3224"/>
      <c r="F352" s="3224"/>
      <c r="G352" s="3224"/>
      <c r="H352" s="3224"/>
      <c r="I352" s="3224"/>
      <c r="J352" s="3224"/>
      <c r="K352" s="3224"/>
      <c r="L352" s="3224"/>
      <c r="M352" s="3224"/>
      <c r="N352" s="3224"/>
      <c r="O352" s="3224"/>
      <c r="P352" s="3224"/>
      <c r="Q352" s="3224"/>
      <c r="R352" s="3224"/>
      <c r="S352" s="3224"/>
      <c r="T352" s="3224"/>
      <c r="U352" s="3224"/>
      <c r="V352" s="3224"/>
      <c r="W352" s="3224"/>
      <c r="X352" s="3224"/>
      <c r="Y352" s="3224"/>
      <c r="Z352" s="3224"/>
      <c r="AA352" s="3224"/>
      <c r="AB352" s="3224"/>
      <c r="AC352" s="3224"/>
      <c r="AD352" s="3224"/>
      <c r="AE352" s="3224"/>
      <c r="AF352" s="3224"/>
      <c r="AG352" s="3224"/>
      <c r="AH352" s="3224"/>
      <c r="AI352" s="3224"/>
      <c r="AJ352" s="3224"/>
      <c r="AK352" s="1017"/>
      <c r="AL352" s="1017"/>
      <c r="AM352" s="1017"/>
      <c r="AN352" s="990"/>
      <c r="AO352" s="1141" t="s">
        <v>805</v>
      </c>
      <c r="AP352" s="1142">
        <f>IF(C401="Yes",5,0)</f>
        <v>0</v>
      </c>
    </row>
    <row r="353" spans="1:81" s="933" customFormat="1" ht="12.75" customHeight="1">
      <c r="A353" s="1017"/>
      <c r="B353" s="1108"/>
      <c r="C353" s="3224"/>
      <c r="D353" s="3224"/>
      <c r="E353" s="3224"/>
      <c r="F353" s="3224"/>
      <c r="G353" s="3224"/>
      <c r="H353" s="3224"/>
      <c r="I353" s="3224"/>
      <c r="J353" s="3224"/>
      <c r="K353" s="3224"/>
      <c r="L353" s="3224"/>
      <c r="M353" s="3224"/>
      <c r="N353" s="3224"/>
      <c r="O353" s="3224"/>
      <c r="P353" s="3224"/>
      <c r="Q353" s="3224"/>
      <c r="R353" s="3224"/>
      <c r="S353" s="3224"/>
      <c r="T353" s="3224"/>
      <c r="U353" s="3224"/>
      <c r="V353" s="3224"/>
      <c r="W353" s="3224"/>
      <c r="X353" s="3224"/>
      <c r="Y353" s="3224"/>
      <c r="Z353" s="3224"/>
      <c r="AA353" s="3224"/>
      <c r="AB353" s="3224"/>
      <c r="AC353" s="3224"/>
      <c r="AD353" s="3224"/>
      <c r="AE353" s="3224"/>
      <c r="AF353" s="3224"/>
      <c r="AG353" s="3224"/>
      <c r="AH353" s="3224"/>
      <c r="AI353" s="3224"/>
      <c r="AJ353" s="3224"/>
      <c r="AK353" s="1017"/>
      <c r="AL353" s="1017"/>
      <c r="AM353" s="1017"/>
      <c r="AN353" s="990"/>
      <c r="AO353" s="1141" t="s">
        <v>610</v>
      </c>
      <c r="AP353" s="1142">
        <f>IF(C410="Yes",5,0)</f>
        <v>5</v>
      </c>
    </row>
    <row r="354" spans="1:81" s="933" customFormat="1" ht="11.85" customHeight="1">
      <c r="A354" s="1017"/>
      <c r="B354" s="1108"/>
      <c r="C354" s="3224"/>
      <c r="D354" s="3224"/>
      <c r="E354" s="3224"/>
      <c r="F354" s="3224"/>
      <c r="G354" s="3224"/>
      <c r="H354" s="3224"/>
      <c r="I354" s="3224"/>
      <c r="J354" s="3224"/>
      <c r="K354" s="3224"/>
      <c r="L354" s="3224"/>
      <c r="M354" s="3224"/>
      <c r="N354" s="3224"/>
      <c r="O354" s="3224"/>
      <c r="P354" s="3224"/>
      <c r="Q354" s="3224"/>
      <c r="R354" s="3224"/>
      <c r="S354" s="3224"/>
      <c r="T354" s="3224"/>
      <c r="U354" s="3224"/>
      <c r="V354" s="3224"/>
      <c r="W354" s="3224"/>
      <c r="X354" s="3224"/>
      <c r="Y354" s="3224"/>
      <c r="Z354" s="3224"/>
      <c r="AA354" s="3224"/>
      <c r="AB354" s="3224"/>
      <c r="AC354" s="3224"/>
      <c r="AD354" s="3224"/>
      <c r="AE354" s="3224"/>
      <c r="AF354" s="3224"/>
      <c r="AG354" s="3224"/>
      <c r="AH354" s="3224"/>
      <c r="AI354" s="3224"/>
      <c r="AJ354" s="3224"/>
      <c r="AK354" s="1017"/>
      <c r="AL354" s="1017"/>
      <c r="AM354" s="1017"/>
      <c r="AN354" s="990"/>
      <c r="AO354" s="1143"/>
      <c r="AP354" s="1144">
        <f>IF(C412="Yes",3,0)</f>
        <v>0</v>
      </c>
    </row>
    <row r="355" spans="1:81" s="933" customFormat="1" ht="12.4" customHeight="1">
      <c r="A355" s="1017"/>
      <c r="B355" s="1108"/>
      <c r="C355" s="3224"/>
      <c r="D355" s="3224"/>
      <c r="E355" s="3224"/>
      <c r="F355" s="3224"/>
      <c r="G355" s="3224"/>
      <c r="H355" s="3224"/>
      <c r="I355" s="3224"/>
      <c r="J355" s="3224"/>
      <c r="K355" s="3224"/>
      <c r="L355" s="3224"/>
      <c r="M355" s="3224"/>
      <c r="N355" s="3224"/>
      <c r="O355" s="3224"/>
      <c r="P355" s="3224"/>
      <c r="Q355" s="3224"/>
      <c r="R355" s="3224"/>
      <c r="S355" s="3224"/>
      <c r="T355" s="3224"/>
      <c r="U355" s="3224"/>
      <c r="V355" s="3224"/>
      <c r="W355" s="3224"/>
      <c r="X355" s="3224"/>
      <c r="Y355" s="3224"/>
      <c r="Z355" s="3224"/>
      <c r="AA355" s="3224"/>
      <c r="AB355" s="3224"/>
      <c r="AC355" s="3224"/>
      <c r="AD355" s="3224"/>
      <c r="AE355" s="3224"/>
      <c r="AF355" s="3224"/>
      <c r="AG355" s="3224"/>
      <c r="AH355" s="3224"/>
      <c r="AI355" s="3224"/>
      <c r="AJ355" s="3224"/>
      <c r="AK355" s="1017"/>
      <c r="AL355" s="1017"/>
      <c r="AM355" s="1017"/>
      <c r="AN355" s="990"/>
      <c r="AO355" s="1145" t="s">
        <v>233</v>
      </c>
      <c r="AP355" s="1146">
        <f>SUM(AP346:AP354)</f>
        <v>10</v>
      </c>
      <c r="AQ355" s="3225">
        <f>IF(AP355&gt;0,AP355,0)</f>
        <v>10</v>
      </c>
      <c r="AR355" s="3225"/>
    </row>
    <row r="356" spans="1:81" s="933" customFormat="1" ht="12.75" customHeight="1">
      <c r="A356" s="1017"/>
      <c r="B356" s="1108"/>
      <c r="C356" s="3224"/>
      <c r="D356" s="3224"/>
      <c r="E356" s="3224"/>
      <c r="F356" s="3224"/>
      <c r="G356" s="3224"/>
      <c r="H356" s="3224"/>
      <c r="I356" s="3224"/>
      <c r="J356" s="3224"/>
      <c r="K356" s="3224"/>
      <c r="L356" s="3224"/>
      <c r="M356" s="3224"/>
      <c r="N356" s="3224"/>
      <c r="O356" s="3224"/>
      <c r="P356" s="3224"/>
      <c r="Q356" s="3224"/>
      <c r="R356" s="3224"/>
      <c r="S356" s="3224"/>
      <c r="T356" s="3224"/>
      <c r="U356" s="3224"/>
      <c r="V356" s="3224"/>
      <c r="W356" s="3224"/>
      <c r="X356" s="3224"/>
      <c r="Y356" s="3224"/>
      <c r="Z356" s="3224"/>
      <c r="AA356" s="3224"/>
      <c r="AB356" s="3224"/>
      <c r="AC356" s="3224"/>
      <c r="AD356" s="3224"/>
      <c r="AE356" s="3224"/>
      <c r="AF356" s="3224"/>
      <c r="AG356" s="3224"/>
      <c r="AH356" s="3224"/>
      <c r="AI356" s="3224"/>
      <c r="AJ356" s="3224"/>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205" t="s">
        <v>1659</v>
      </c>
      <c r="D358" s="3205"/>
      <c r="E358" s="3205"/>
      <c r="F358" s="3205"/>
      <c r="G358" s="3205"/>
      <c r="H358" s="3205"/>
      <c r="I358" s="3205"/>
      <c r="J358" s="3205"/>
      <c r="K358" s="3205"/>
      <c r="L358" s="3205"/>
      <c r="M358" s="3205"/>
      <c r="N358" s="3205"/>
      <c r="O358" s="3205"/>
      <c r="P358" s="3205"/>
      <c r="Q358" s="3205"/>
      <c r="R358" s="3205"/>
      <c r="S358" s="3205"/>
      <c r="T358" s="3205"/>
      <c r="U358" s="3205"/>
      <c r="V358" s="3205"/>
      <c r="W358" s="3205"/>
      <c r="X358" s="3205"/>
      <c r="Y358" s="3205"/>
      <c r="Z358" s="3205"/>
      <c r="AA358" s="3205"/>
      <c r="AB358" s="3205"/>
      <c r="AC358" s="3205"/>
      <c r="AD358" s="3205"/>
      <c r="AE358" s="3205"/>
      <c r="AF358" s="3205"/>
      <c r="AG358" s="3205"/>
      <c r="AH358" s="3205"/>
      <c r="AI358" s="3205"/>
      <c r="AJ358" s="3205"/>
      <c r="AK358" s="1017"/>
      <c r="AL358" s="1017"/>
      <c r="AM358" s="1017"/>
      <c r="AN358" s="990"/>
      <c r="AO358" s="1141" t="s">
        <v>481</v>
      </c>
      <c r="AP358" s="1142">
        <f>IF(C431="Yes",5,0)</f>
        <v>0</v>
      </c>
    </row>
    <row r="359" spans="1:81" s="933" customFormat="1" ht="12.75" customHeight="1">
      <c r="A359" s="1017"/>
      <c r="B359" s="1108"/>
      <c r="C359" s="3205"/>
      <c r="D359" s="3205"/>
      <c r="E359" s="3205"/>
      <c r="F359" s="3205"/>
      <c r="G359" s="3205"/>
      <c r="H359" s="3205"/>
      <c r="I359" s="3205"/>
      <c r="J359" s="3205"/>
      <c r="K359" s="3205"/>
      <c r="L359" s="3205"/>
      <c r="M359" s="3205"/>
      <c r="N359" s="3205"/>
      <c r="O359" s="3205"/>
      <c r="P359" s="3205"/>
      <c r="Q359" s="3205"/>
      <c r="R359" s="3205"/>
      <c r="S359" s="3205"/>
      <c r="T359" s="3205"/>
      <c r="U359" s="3205"/>
      <c r="V359" s="3205"/>
      <c r="W359" s="3205"/>
      <c r="X359" s="3205"/>
      <c r="Y359" s="3205"/>
      <c r="Z359" s="3205"/>
      <c r="AA359" s="3205"/>
      <c r="AB359" s="3205"/>
      <c r="AC359" s="3205"/>
      <c r="AD359" s="3205"/>
      <c r="AE359" s="3205"/>
      <c r="AF359" s="3205"/>
      <c r="AG359" s="3205"/>
      <c r="AH359" s="3205"/>
      <c r="AI359" s="3205"/>
      <c r="AJ359" s="3205"/>
      <c r="AK359" s="1017"/>
      <c r="AL359" s="1017"/>
      <c r="AM359" s="1017"/>
      <c r="AN359" s="990"/>
      <c r="AO359" s="1141" t="s">
        <v>486</v>
      </c>
      <c r="AP359" s="1142">
        <f>IF(C438="Yes",5,0)</f>
        <v>0</v>
      </c>
    </row>
    <row r="360" spans="1:81" s="933" customFormat="1" ht="68.099999999999994" customHeight="1">
      <c r="A360" s="1017"/>
      <c r="B360" s="1108"/>
      <c r="C360" s="3205"/>
      <c r="D360" s="3205"/>
      <c r="E360" s="3205"/>
      <c r="F360" s="3205"/>
      <c r="G360" s="3205"/>
      <c r="H360" s="3205"/>
      <c r="I360" s="3205"/>
      <c r="J360" s="3205"/>
      <c r="K360" s="3205"/>
      <c r="L360" s="3205"/>
      <c r="M360" s="3205"/>
      <c r="N360" s="3205"/>
      <c r="O360" s="3205"/>
      <c r="P360" s="3205"/>
      <c r="Q360" s="3205"/>
      <c r="R360" s="3205"/>
      <c r="S360" s="3205"/>
      <c r="T360" s="3205"/>
      <c r="U360" s="3205"/>
      <c r="V360" s="3205"/>
      <c r="W360" s="3205"/>
      <c r="X360" s="3205"/>
      <c r="Y360" s="3205"/>
      <c r="Z360" s="3205"/>
      <c r="AA360" s="3205"/>
      <c r="AB360" s="3205"/>
      <c r="AC360" s="3205"/>
      <c r="AD360" s="3205"/>
      <c r="AE360" s="3205"/>
      <c r="AF360" s="3205"/>
      <c r="AG360" s="3205"/>
      <c r="AH360" s="3205"/>
      <c r="AI360" s="3205"/>
      <c r="AJ360" s="3205"/>
      <c r="AK360" s="1017"/>
      <c r="AL360" s="1017"/>
      <c r="AM360" s="1017"/>
      <c r="AN360" s="990"/>
      <c r="AO360" s="1141" t="s">
        <v>672</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19">
        <f>Application!CS663-U363</f>
        <v>242</v>
      </c>
      <c r="V362" s="3319"/>
      <c r="W362" s="331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20">
        <f>Application!AG756</f>
        <v>0</v>
      </c>
      <c r="V363" s="3320"/>
      <c r="W363" s="332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25">
        <f>IF(AP364&gt;0,AP364,0)</f>
        <v>0</v>
      </c>
      <c r="AR364" s="3225"/>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09" t="s">
        <v>1664</v>
      </c>
      <c r="G366" s="3209"/>
      <c r="H366" s="3209"/>
      <c r="I366" s="3209"/>
      <c r="J366" s="3209"/>
      <c r="K366" s="3209"/>
      <c r="L366" s="3209"/>
      <c r="M366" s="3209"/>
      <c r="N366" s="3209"/>
      <c r="O366" s="3209"/>
      <c r="P366" s="3209"/>
      <c r="Q366" s="3209"/>
      <c r="R366" s="3209"/>
      <c r="S366" s="3209"/>
      <c r="T366" s="3209"/>
      <c r="U366" s="3209"/>
      <c r="V366" s="3209"/>
      <c r="W366" s="3209"/>
      <c r="X366" s="3209"/>
      <c r="Y366" s="3209"/>
      <c r="Z366" s="3209"/>
      <c r="AA366" s="3209"/>
      <c r="AB366" s="3209"/>
      <c r="AC366" s="3209"/>
      <c r="AD366" s="3209"/>
      <c r="AE366" s="3209"/>
      <c r="AF366" s="3209"/>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0"/>
      <c r="G367" s="3210"/>
      <c r="H367" s="3210"/>
      <c r="I367" s="3210"/>
      <c r="J367" s="3210"/>
      <c r="K367" s="3210"/>
      <c r="L367" s="3210"/>
      <c r="M367" s="3210"/>
      <c r="N367" s="3210"/>
      <c r="O367" s="3210"/>
      <c r="P367" s="3210"/>
      <c r="Q367" s="3210"/>
      <c r="R367" s="3210"/>
      <c r="S367" s="3210"/>
      <c r="T367" s="3210"/>
      <c r="U367" s="3210"/>
      <c r="V367" s="3210"/>
      <c r="W367" s="3210"/>
      <c r="X367" s="3210"/>
      <c r="Y367" s="3210"/>
      <c r="Z367" s="3210"/>
      <c r="AA367" s="3210"/>
      <c r="AB367" s="3210"/>
      <c r="AC367" s="3210"/>
      <c r="AD367" s="3210"/>
      <c r="AE367" s="3210"/>
      <c r="AF367" s="3210"/>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0"/>
      <c r="G368" s="3210"/>
      <c r="H368" s="3210"/>
      <c r="I368" s="3210"/>
      <c r="J368" s="3210"/>
      <c r="K368" s="3210"/>
      <c r="L368" s="3210"/>
      <c r="M368" s="3210"/>
      <c r="N368" s="3210"/>
      <c r="O368" s="3210"/>
      <c r="P368" s="3210"/>
      <c r="Q368" s="3210"/>
      <c r="R368" s="3210"/>
      <c r="S368" s="3210"/>
      <c r="T368" s="3210"/>
      <c r="U368" s="3210"/>
      <c r="V368" s="3210"/>
      <c r="W368" s="3210"/>
      <c r="X368" s="3210"/>
      <c r="Y368" s="3210"/>
      <c r="Z368" s="3210"/>
      <c r="AA368" s="3210"/>
      <c r="AB368" s="3210"/>
      <c r="AC368" s="3210"/>
      <c r="AD368" s="3210"/>
      <c r="AE368" s="3210"/>
      <c r="AF368" s="3210"/>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0"/>
      <c r="G369" s="3210"/>
      <c r="H369" s="3210"/>
      <c r="I369" s="3210"/>
      <c r="J369" s="3210"/>
      <c r="K369" s="3210"/>
      <c r="L369" s="3210"/>
      <c r="M369" s="3210"/>
      <c r="N369" s="3210"/>
      <c r="O369" s="3210"/>
      <c r="P369" s="3210"/>
      <c r="Q369" s="3210"/>
      <c r="R369" s="3210"/>
      <c r="S369" s="3210"/>
      <c r="T369" s="3210"/>
      <c r="U369" s="3210"/>
      <c r="V369" s="3210"/>
      <c r="W369" s="3210"/>
      <c r="X369" s="3210"/>
      <c r="Y369" s="3210"/>
      <c r="Z369" s="3210"/>
      <c r="AA369" s="3210"/>
      <c r="AB369" s="3210"/>
      <c r="AC369" s="3210"/>
      <c r="AD369" s="3210"/>
      <c r="AE369" s="3210"/>
      <c r="AF369" s="3210"/>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6" t="s">
        <v>617</v>
      </c>
      <c r="D370" s="3162"/>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7" t="s">
        <v>1666</v>
      </c>
      <c r="AG370" s="3207"/>
      <c r="AH370" s="3207"/>
      <c r="AI370" s="3207"/>
      <c r="AJ370" s="3207"/>
      <c r="AK370" s="3207"/>
      <c r="AL370" s="3208"/>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09" t="s">
        <v>1667</v>
      </c>
      <c r="G373" s="3209"/>
      <c r="H373" s="3209"/>
      <c r="I373" s="3209"/>
      <c r="J373" s="3209"/>
      <c r="K373" s="3209"/>
      <c r="L373" s="3209"/>
      <c r="M373" s="3209"/>
      <c r="N373" s="3209"/>
      <c r="O373" s="3209"/>
      <c r="P373" s="3209"/>
      <c r="Q373" s="3209"/>
      <c r="R373" s="3209"/>
      <c r="S373" s="3209"/>
      <c r="T373" s="3209"/>
      <c r="U373" s="3209"/>
      <c r="V373" s="3209"/>
      <c r="W373" s="3209"/>
      <c r="X373" s="3209"/>
      <c r="Y373" s="3209"/>
      <c r="Z373" s="3209"/>
      <c r="AA373" s="3209"/>
      <c r="AB373" s="3209"/>
      <c r="AC373" s="3209"/>
      <c r="AD373" s="3209"/>
      <c r="AE373" s="3209"/>
      <c r="AF373" s="3209"/>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0"/>
      <c r="G374" s="3210"/>
      <c r="H374" s="3210"/>
      <c r="I374" s="3210"/>
      <c r="J374" s="3210"/>
      <c r="K374" s="3210"/>
      <c r="L374" s="3210"/>
      <c r="M374" s="3210"/>
      <c r="N374" s="3210"/>
      <c r="O374" s="3210"/>
      <c r="P374" s="3210"/>
      <c r="Q374" s="3210"/>
      <c r="R374" s="3210"/>
      <c r="S374" s="3210"/>
      <c r="T374" s="3210"/>
      <c r="U374" s="3210"/>
      <c r="V374" s="3210"/>
      <c r="W374" s="3210"/>
      <c r="X374" s="3210"/>
      <c r="Y374" s="3210"/>
      <c r="Z374" s="3210"/>
      <c r="AA374" s="3210"/>
      <c r="AB374" s="3210"/>
      <c r="AC374" s="3210"/>
      <c r="AD374" s="3210"/>
      <c r="AE374" s="3210"/>
      <c r="AF374" s="3210"/>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0"/>
      <c r="G375" s="3210"/>
      <c r="H375" s="3210"/>
      <c r="I375" s="3210"/>
      <c r="J375" s="3210"/>
      <c r="K375" s="3210"/>
      <c r="L375" s="3210"/>
      <c r="M375" s="3210"/>
      <c r="N375" s="3210"/>
      <c r="O375" s="3210"/>
      <c r="P375" s="3210"/>
      <c r="Q375" s="3210"/>
      <c r="R375" s="3210"/>
      <c r="S375" s="3210"/>
      <c r="T375" s="3210"/>
      <c r="U375" s="3210"/>
      <c r="V375" s="3210"/>
      <c r="W375" s="3210"/>
      <c r="X375" s="3210"/>
      <c r="Y375" s="3210"/>
      <c r="Z375" s="3210"/>
      <c r="AA375" s="3210"/>
      <c r="AB375" s="3210"/>
      <c r="AC375" s="3210"/>
      <c r="AD375" s="3210"/>
      <c r="AE375" s="3210"/>
      <c r="AF375" s="3210"/>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0"/>
      <c r="G376" s="3210"/>
      <c r="H376" s="3210"/>
      <c r="I376" s="3210"/>
      <c r="J376" s="3210"/>
      <c r="K376" s="3210"/>
      <c r="L376" s="3210"/>
      <c r="M376" s="3210"/>
      <c r="N376" s="3210"/>
      <c r="O376" s="3210"/>
      <c r="P376" s="3210"/>
      <c r="Q376" s="3210"/>
      <c r="R376" s="3210"/>
      <c r="S376" s="3210"/>
      <c r="T376" s="3210"/>
      <c r="U376" s="3210"/>
      <c r="V376" s="3210"/>
      <c r="W376" s="3210"/>
      <c r="X376" s="3210"/>
      <c r="Y376" s="3210"/>
      <c r="Z376" s="3210"/>
      <c r="AA376" s="3210"/>
      <c r="AB376" s="3210"/>
      <c r="AC376" s="3210"/>
      <c r="AD376" s="3210"/>
      <c r="AE376" s="3210"/>
      <c r="AF376" s="3210"/>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0"/>
      <c r="G377" s="3210"/>
      <c r="H377" s="3210"/>
      <c r="I377" s="3210"/>
      <c r="J377" s="3210"/>
      <c r="K377" s="3210"/>
      <c r="L377" s="3210"/>
      <c r="M377" s="3210"/>
      <c r="N377" s="3210"/>
      <c r="O377" s="3210"/>
      <c r="P377" s="3210"/>
      <c r="Q377" s="3210"/>
      <c r="R377" s="3210"/>
      <c r="S377" s="3210"/>
      <c r="T377" s="3210"/>
      <c r="U377" s="3210"/>
      <c r="V377" s="3210"/>
      <c r="W377" s="3210"/>
      <c r="X377" s="3210"/>
      <c r="Y377" s="3210"/>
      <c r="Z377" s="3210"/>
      <c r="AA377" s="3210"/>
      <c r="AB377" s="3210"/>
      <c r="AC377" s="3210"/>
      <c r="AD377" s="3210"/>
      <c r="AE377" s="3210"/>
      <c r="AF377" s="3210"/>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6" t="s">
        <v>617</v>
      </c>
      <c r="D378" s="3162"/>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7" t="s">
        <v>1666</v>
      </c>
      <c r="AG378" s="3207"/>
      <c r="AH378" s="3207"/>
      <c r="AI378" s="3207"/>
      <c r="AJ378" s="3207"/>
      <c r="AK378" s="3207"/>
      <c r="AL378" s="3208"/>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09" t="s">
        <v>1669</v>
      </c>
      <c r="G381" s="3209"/>
      <c r="H381" s="3209"/>
      <c r="I381" s="3209"/>
      <c r="J381" s="3209"/>
      <c r="K381" s="3209"/>
      <c r="L381" s="3209"/>
      <c r="M381" s="3209"/>
      <c r="N381" s="3209"/>
      <c r="O381" s="3209"/>
      <c r="P381" s="3209"/>
      <c r="Q381" s="3209"/>
      <c r="R381" s="3209"/>
      <c r="S381" s="3209"/>
      <c r="T381" s="3209"/>
      <c r="U381" s="3209"/>
      <c r="V381" s="3209"/>
      <c r="W381" s="3209"/>
      <c r="X381" s="3209"/>
      <c r="Y381" s="3209"/>
      <c r="Z381" s="3209"/>
      <c r="AA381" s="3209"/>
      <c r="AB381" s="3209"/>
      <c r="AC381" s="3209"/>
      <c r="AD381" s="3209"/>
      <c r="AE381" s="3209"/>
      <c r="AF381" s="3209"/>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0"/>
      <c r="G382" s="3210"/>
      <c r="H382" s="3210"/>
      <c r="I382" s="3210"/>
      <c r="J382" s="3210"/>
      <c r="K382" s="3210"/>
      <c r="L382" s="3210"/>
      <c r="M382" s="3210"/>
      <c r="N382" s="3210"/>
      <c r="O382" s="3210"/>
      <c r="P382" s="3210"/>
      <c r="Q382" s="3210"/>
      <c r="R382" s="3210"/>
      <c r="S382" s="3210"/>
      <c r="T382" s="3210"/>
      <c r="U382" s="3210"/>
      <c r="V382" s="3210"/>
      <c r="W382" s="3210"/>
      <c r="X382" s="3210"/>
      <c r="Y382" s="3210"/>
      <c r="Z382" s="3210"/>
      <c r="AA382" s="3210"/>
      <c r="AB382" s="3210"/>
      <c r="AC382" s="3210"/>
      <c r="AD382" s="3210"/>
      <c r="AE382" s="3210"/>
      <c r="AF382" s="3210"/>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0"/>
      <c r="G383" s="3210"/>
      <c r="H383" s="3210"/>
      <c r="I383" s="3210"/>
      <c r="J383" s="3210"/>
      <c r="K383" s="3210"/>
      <c r="L383" s="3210"/>
      <c r="M383" s="3210"/>
      <c r="N383" s="3210"/>
      <c r="O383" s="3210"/>
      <c r="P383" s="3210"/>
      <c r="Q383" s="3210"/>
      <c r="R383" s="3210"/>
      <c r="S383" s="3210"/>
      <c r="T383" s="3210"/>
      <c r="U383" s="3210"/>
      <c r="V383" s="3210"/>
      <c r="W383" s="3210"/>
      <c r="X383" s="3210"/>
      <c r="Y383" s="3210"/>
      <c r="Z383" s="3210"/>
      <c r="AA383" s="3210"/>
      <c r="AB383" s="3210"/>
      <c r="AC383" s="3210"/>
      <c r="AD383" s="3210"/>
      <c r="AE383" s="3210"/>
      <c r="AF383" s="3210"/>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0"/>
      <c r="G384" s="3210"/>
      <c r="H384" s="3210"/>
      <c r="I384" s="3210"/>
      <c r="J384" s="3210"/>
      <c r="K384" s="3210"/>
      <c r="L384" s="3210"/>
      <c r="M384" s="3210"/>
      <c r="N384" s="3210"/>
      <c r="O384" s="3210"/>
      <c r="P384" s="3210"/>
      <c r="Q384" s="3210"/>
      <c r="R384" s="3210"/>
      <c r="S384" s="3210"/>
      <c r="T384" s="3210"/>
      <c r="U384" s="3210"/>
      <c r="V384" s="3210"/>
      <c r="W384" s="3210"/>
      <c r="X384" s="3210"/>
      <c r="Y384" s="3210"/>
      <c r="Z384" s="3210"/>
      <c r="AA384" s="3210"/>
      <c r="AB384" s="3210"/>
      <c r="AC384" s="3210"/>
      <c r="AD384" s="3210"/>
      <c r="AE384" s="3210"/>
      <c r="AF384" s="3210"/>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0"/>
      <c r="G385" s="3210"/>
      <c r="H385" s="3210"/>
      <c r="I385" s="3210"/>
      <c r="J385" s="3210"/>
      <c r="K385" s="3210"/>
      <c r="L385" s="3210"/>
      <c r="M385" s="3210"/>
      <c r="N385" s="3210"/>
      <c r="O385" s="3210"/>
      <c r="P385" s="3210"/>
      <c r="Q385" s="3210"/>
      <c r="R385" s="3210"/>
      <c r="S385" s="3210"/>
      <c r="T385" s="3210"/>
      <c r="U385" s="3210"/>
      <c r="V385" s="3210"/>
      <c r="W385" s="3210"/>
      <c r="X385" s="3210"/>
      <c r="Y385" s="3210"/>
      <c r="Z385" s="3210"/>
      <c r="AA385" s="3210"/>
      <c r="AB385" s="3210"/>
      <c r="AC385" s="3210"/>
      <c r="AD385" s="3210"/>
      <c r="AE385" s="3210"/>
      <c r="AF385" s="3210"/>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6" t="s">
        <v>617</v>
      </c>
      <c r="D386" s="3162"/>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7" t="s">
        <v>1671</v>
      </c>
      <c r="AG386" s="3207"/>
      <c r="AH386" s="3207"/>
      <c r="AI386" s="3207"/>
      <c r="AJ386" s="3207"/>
      <c r="AK386" s="3207"/>
      <c r="AL386" s="3208"/>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6" t="s">
        <v>570</v>
      </c>
      <c r="D388" s="3162"/>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7" t="s">
        <v>1666</v>
      </c>
      <c r="AG388" s="3207"/>
      <c r="AH388" s="3207"/>
      <c r="AI388" s="3207"/>
      <c r="AJ388" s="3207"/>
      <c r="AK388" s="3207"/>
      <c r="AL388" s="3208"/>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09" t="s">
        <v>1675</v>
      </c>
      <c r="G392" s="3209"/>
      <c r="H392" s="3209"/>
      <c r="I392" s="3209"/>
      <c r="J392" s="3209"/>
      <c r="K392" s="3209"/>
      <c r="L392" s="3209"/>
      <c r="M392" s="3209"/>
      <c r="N392" s="3209"/>
      <c r="O392" s="3209"/>
      <c r="P392" s="3209"/>
      <c r="Q392" s="3209"/>
      <c r="R392" s="3209"/>
      <c r="S392" s="3209"/>
      <c r="T392" s="3209"/>
      <c r="U392" s="3209"/>
      <c r="V392" s="3209"/>
      <c r="W392" s="3209"/>
      <c r="X392" s="3209"/>
      <c r="Y392" s="3209"/>
      <c r="Z392" s="3209"/>
      <c r="AA392" s="3209"/>
      <c r="AB392" s="3209"/>
      <c r="AC392" s="3209"/>
      <c r="AD392" s="3209"/>
      <c r="AE392" s="3209"/>
      <c r="AF392" s="3209"/>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0"/>
      <c r="G393" s="3210"/>
      <c r="H393" s="3210"/>
      <c r="I393" s="3210"/>
      <c r="J393" s="3210"/>
      <c r="K393" s="3210"/>
      <c r="L393" s="3210"/>
      <c r="M393" s="3210"/>
      <c r="N393" s="3210"/>
      <c r="O393" s="3210"/>
      <c r="P393" s="3210"/>
      <c r="Q393" s="3210"/>
      <c r="R393" s="3210"/>
      <c r="S393" s="3210"/>
      <c r="T393" s="3210"/>
      <c r="U393" s="3210"/>
      <c r="V393" s="3210"/>
      <c r="W393" s="3210"/>
      <c r="X393" s="3210"/>
      <c r="Y393" s="3210"/>
      <c r="Z393" s="3210"/>
      <c r="AA393" s="3210"/>
      <c r="AB393" s="3210"/>
      <c r="AC393" s="3210"/>
      <c r="AD393" s="3210"/>
      <c r="AE393" s="3210"/>
      <c r="AF393" s="3210"/>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10"/>
      <c r="G394" s="3210"/>
      <c r="H394" s="3210"/>
      <c r="I394" s="3210"/>
      <c r="J394" s="3210"/>
      <c r="K394" s="3210"/>
      <c r="L394" s="3210"/>
      <c r="M394" s="3210"/>
      <c r="N394" s="3210"/>
      <c r="O394" s="3210"/>
      <c r="P394" s="3210"/>
      <c r="Q394" s="3210"/>
      <c r="R394" s="3210"/>
      <c r="S394" s="3210"/>
      <c r="T394" s="3210"/>
      <c r="U394" s="3210"/>
      <c r="V394" s="3210"/>
      <c r="W394" s="3210"/>
      <c r="X394" s="3210"/>
      <c r="Y394" s="3210"/>
      <c r="Z394" s="3210"/>
      <c r="AA394" s="3210"/>
      <c r="AB394" s="3210"/>
      <c r="AC394" s="3210"/>
      <c r="AD394" s="3210"/>
      <c r="AE394" s="3210"/>
      <c r="AF394" s="3210"/>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0"/>
      <c r="G395" s="3210"/>
      <c r="H395" s="3210"/>
      <c r="I395" s="3210"/>
      <c r="J395" s="3210"/>
      <c r="K395" s="3210"/>
      <c r="L395" s="3210"/>
      <c r="M395" s="3210"/>
      <c r="N395" s="3210"/>
      <c r="O395" s="3210"/>
      <c r="P395" s="3210"/>
      <c r="Q395" s="3210"/>
      <c r="R395" s="3210"/>
      <c r="S395" s="3210"/>
      <c r="T395" s="3210"/>
      <c r="U395" s="3210"/>
      <c r="V395" s="3210"/>
      <c r="W395" s="3210"/>
      <c r="X395" s="3210"/>
      <c r="Y395" s="3210"/>
      <c r="Z395" s="3210"/>
      <c r="AA395" s="3210"/>
      <c r="AB395" s="3210"/>
      <c r="AC395" s="3210"/>
      <c r="AD395" s="3210"/>
      <c r="AE395" s="3210"/>
      <c r="AF395" s="3210"/>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6" t="s">
        <v>617</v>
      </c>
      <c r="D396" s="3162"/>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7" t="s">
        <v>1666</v>
      </c>
      <c r="AG396" s="3207"/>
      <c r="AH396" s="3207"/>
      <c r="AI396" s="3207"/>
      <c r="AJ396" s="3207"/>
      <c r="AK396" s="3207"/>
      <c r="AL396" s="3208"/>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6" t="s">
        <v>617</v>
      </c>
      <c r="D398" s="3162"/>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7" t="s">
        <v>1678</v>
      </c>
      <c r="AG398" s="3207"/>
      <c r="AH398" s="3207"/>
      <c r="AI398" s="3207"/>
      <c r="AJ398" s="3207"/>
      <c r="AK398" s="3207"/>
      <c r="AL398" s="3208"/>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6" t="s">
        <v>617</v>
      </c>
      <c r="D401" s="3162"/>
      <c r="E401" s="1164" t="s">
        <v>1679</v>
      </c>
      <c r="F401" s="3209" t="s">
        <v>1680</v>
      </c>
      <c r="G401" s="3209"/>
      <c r="H401" s="3209"/>
      <c r="I401" s="3209"/>
      <c r="J401" s="3209"/>
      <c r="K401" s="3209"/>
      <c r="L401" s="3209"/>
      <c r="M401" s="3209"/>
      <c r="N401" s="3209"/>
      <c r="O401" s="3209"/>
      <c r="P401" s="3209"/>
      <c r="Q401" s="3209"/>
      <c r="R401" s="3209"/>
      <c r="S401" s="3209"/>
      <c r="T401" s="3209"/>
      <c r="U401" s="3209"/>
      <c r="V401" s="3209"/>
      <c r="W401" s="3209"/>
      <c r="X401" s="3209"/>
      <c r="Y401" s="3209"/>
      <c r="Z401" s="3209"/>
      <c r="AA401" s="3209"/>
      <c r="AB401" s="3209"/>
      <c r="AC401" s="3209"/>
      <c r="AD401" s="3209"/>
      <c r="AE401" s="3209"/>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0"/>
      <c r="G402" s="3210"/>
      <c r="H402" s="3210"/>
      <c r="I402" s="3210"/>
      <c r="J402" s="3210"/>
      <c r="K402" s="3210"/>
      <c r="L402" s="3210"/>
      <c r="M402" s="3210"/>
      <c r="N402" s="3210"/>
      <c r="O402" s="3210"/>
      <c r="P402" s="3210"/>
      <c r="Q402" s="3210"/>
      <c r="R402" s="3210"/>
      <c r="S402" s="3210"/>
      <c r="T402" s="3210"/>
      <c r="U402" s="3210"/>
      <c r="V402" s="3210"/>
      <c r="W402" s="3210"/>
      <c r="X402" s="3210"/>
      <c r="Y402" s="3210"/>
      <c r="Z402" s="3210"/>
      <c r="AA402" s="3210"/>
      <c r="AB402" s="3210"/>
      <c r="AC402" s="3210"/>
      <c r="AD402" s="3210"/>
      <c r="AE402" s="3210"/>
      <c r="AF402" s="3211" t="s">
        <v>1666</v>
      </c>
      <c r="AG402" s="3211"/>
      <c r="AH402" s="3211"/>
      <c r="AI402" s="3211"/>
      <c r="AJ402" s="3211"/>
      <c r="AK402" s="3211"/>
      <c r="AL402" s="3212"/>
      <c r="AM402" s="1124"/>
      <c r="AN402" s="990"/>
      <c r="BS402" s="1124"/>
      <c r="BT402" s="1124"/>
      <c r="BY402" s="1124"/>
      <c r="BZ402" s="1124"/>
      <c r="CA402" s="1124"/>
      <c r="CB402" s="1124"/>
      <c r="CC402" s="1124"/>
    </row>
    <row r="403" spans="1:81" s="933" customFormat="1" ht="12.75" customHeight="1">
      <c r="A403" s="917"/>
      <c r="B403" s="51"/>
      <c r="C403" s="1182"/>
      <c r="D403" s="112"/>
      <c r="E403" s="1136"/>
      <c r="F403" s="3210"/>
      <c r="G403" s="3210"/>
      <c r="H403" s="3210"/>
      <c r="I403" s="3210"/>
      <c r="J403" s="3210"/>
      <c r="K403" s="3210"/>
      <c r="L403" s="3210"/>
      <c r="M403" s="3210"/>
      <c r="N403" s="3210"/>
      <c r="O403" s="3210"/>
      <c r="P403" s="3210"/>
      <c r="Q403" s="3210"/>
      <c r="R403" s="3210"/>
      <c r="S403" s="3210"/>
      <c r="T403" s="3210"/>
      <c r="U403" s="3210"/>
      <c r="V403" s="3210"/>
      <c r="W403" s="3210"/>
      <c r="X403" s="3210"/>
      <c r="Y403" s="3210"/>
      <c r="Z403" s="3210"/>
      <c r="AA403" s="3210"/>
      <c r="AB403" s="3210"/>
      <c r="AC403" s="3210"/>
      <c r="AD403" s="3210"/>
      <c r="AE403" s="3210"/>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6"/>
      <c r="G404" s="3226"/>
      <c r="H404" s="3226"/>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26"/>
      <c r="AD404" s="3226"/>
      <c r="AE404" s="3226"/>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27" t="s">
        <v>1682</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201"/>
      <c r="AG406" s="1201"/>
      <c r="AH406" s="1201"/>
      <c r="AI406" s="1201"/>
      <c r="AJ406" s="1201"/>
      <c r="AK406" s="1201"/>
      <c r="AL406" s="1202"/>
      <c r="AM406" s="1124"/>
    </row>
    <row r="407" spans="1:81">
      <c r="A407" s="917"/>
      <c r="C407" s="1182"/>
      <c r="D407" s="112"/>
      <c r="E407" s="1136"/>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3"/>
      <c r="AG407" s="981"/>
      <c r="AH407" s="1015"/>
      <c r="AI407" s="1015"/>
      <c r="AJ407" s="1015"/>
      <c r="AK407" s="1015"/>
      <c r="AL407" s="1183"/>
      <c r="AM407" s="1124"/>
    </row>
    <row r="408" spans="1:81" s="933" customFormat="1" ht="12.75" customHeight="1">
      <c r="A408" s="917"/>
      <c r="B408" s="51"/>
      <c r="C408" s="1182"/>
      <c r="D408" s="112"/>
      <c r="E408" s="1136"/>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5"/>
      <c r="AG408" s="1015"/>
      <c r="AH408" s="1015"/>
      <c r="AI408" s="1015"/>
      <c r="AJ408" s="1015"/>
      <c r="AK408" s="1015"/>
      <c r="AL408" s="1183"/>
      <c r="AM408" s="1124"/>
      <c r="AN408" s="990"/>
    </row>
    <row r="409" spans="1:81" s="933" customFormat="1" ht="12.75" customHeight="1">
      <c r="A409" s="917"/>
      <c r="B409" s="51"/>
      <c r="C409" s="1191"/>
      <c r="D409" s="1015"/>
      <c r="E409" s="1015"/>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5"/>
      <c r="AG409" s="1015"/>
      <c r="AH409" s="1015"/>
      <c r="AI409" s="1015"/>
      <c r="AJ409" s="1015"/>
      <c r="AK409" s="1015"/>
      <c r="AL409" s="1183"/>
      <c r="AM409" s="1124"/>
      <c r="AN409" s="990"/>
    </row>
    <row r="410" spans="1:81" s="933" customFormat="1" ht="12.75" customHeight="1">
      <c r="A410" s="917"/>
      <c r="B410" s="51"/>
      <c r="C410" s="3206" t="s">
        <v>570</v>
      </c>
      <c r="D410" s="3162"/>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1" t="s">
        <v>1666</v>
      </c>
      <c r="AG410" s="3211"/>
      <c r="AH410" s="3211"/>
      <c r="AI410" s="3211"/>
      <c r="AJ410" s="3211"/>
      <c r="AK410" s="3211"/>
      <c r="AL410" s="3212"/>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6" t="s">
        <v>617</v>
      </c>
      <c r="D412" s="3162"/>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1" t="s">
        <v>1678</v>
      </c>
      <c r="AG412" s="3211"/>
      <c r="AH412" s="3211"/>
      <c r="AI412" s="3211"/>
      <c r="AJ412" s="3211"/>
      <c r="AK412" s="3211"/>
      <c r="AL412" s="3212"/>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09" t="s">
        <v>1687</v>
      </c>
      <c r="G416" s="3209"/>
      <c r="H416" s="3209"/>
      <c r="I416" s="3209"/>
      <c r="J416" s="3209"/>
      <c r="K416" s="3209"/>
      <c r="L416" s="3209"/>
      <c r="M416" s="3209"/>
      <c r="N416" s="3209"/>
      <c r="O416" s="3209"/>
      <c r="P416" s="3209"/>
      <c r="Q416" s="3209"/>
      <c r="R416" s="3209"/>
      <c r="S416" s="3209"/>
      <c r="T416" s="3209"/>
      <c r="U416" s="3209"/>
      <c r="V416" s="3209"/>
      <c r="W416" s="3209"/>
      <c r="X416" s="3209"/>
      <c r="Y416" s="3209"/>
      <c r="Z416" s="3209"/>
      <c r="AA416" s="3209"/>
      <c r="AB416" s="3209"/>
      <c r="AC416" s="3209"/>
      <c r="AD416" s="3209"/>
      <c r="AE416" s="3209"/>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0"/>
      <c r="G417" s="3210"/>
      <c r="H417" s="3210"/>
      <c r="I417" s="3210"/>
      <c r="J417" s="3210"/>
      <c r="K417" s="3210"/>
      <c r="L417" s="3210"/>
      <c r="M417" s="3210"/>
      <c r="N417" s="3210"/>
      <c r="O417" s="3210"/>
      <c r="P417" s="3210"/>
      <c r="Q417" s="3210"/>
      <c r="R417" s="3210"/>
      <c r="S417" s="3210"/>
      <c r="T417" s="3210"/>
      <c r="U417" s="3210"/>
      <c r="V417" s="3210"/>
      <c r="W417" s="3210"/>
      <c r="X417" s="3210"/>
      <c r="Y417" s="3210"/>
      <c r="Z417" s="3210"/>
      <c r="AA417" s="3210"/>
      <c r="AB417" s="3210"/>
      <c r="AC417" s="3210"/>
      <c r="AD417" s="3210"/>
      <c r="AE417" s="3210"/>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10"/>
      <c r="G418" s="3210"/>
      <c r="H418" s="3210"/>
      <c r="I418" s="3210"/>
      <c r="J418" s="3210"/>
      <c r="K418" s="3210"/>
      <c r="L418" s="3210"/>
      <c r="M418" s="3210"/>
      <c r="N418" s="3210"/>
      <c r="O418" s="3210"/>
      <c r="P418" s="3210"/>
      <c r="Q418" s="3210"/>
      <c r="R418" s="3210"/>
      <c r="S418" s="3210"/>
      <c r="T418" s="3210"/>
      <c r="U418" s="3210"/>
      <c r="V418" s="3210"/>
      <c r="W418" s="3210"/>
      <c r="X418" s="3210"/>
      <c r="Y418" s="3210"/>
      <c r="Z418" s="3210"/>
      <c r="AA418" s="3210"/>
      <c r="AB418" s="3210"/>
      <c r="AC418" s="3210"/>
      <c r="AD418" s="3210"/>
      <c r="AE418" s="3210"/>
      <c r="AF418" s="1015"/>
      <c r="AG418" s="1015"/>
      <c r="AH418" s="1015"/>
      <c r="AI418" s="1015"/>
      <c r="AJ418" s="1015"/>
      <c r="AK418" s="1015"/>
      <c r="AL418" s="1183"/>
      <c r="AM418" s="1124"/>
      <c r="AN418" s="990"/>
      <c r="AO418" s="1015"/>
      <c r="AP418" s="1015"/>
    </row>
    <row r="419" spans="1:60" s="933" customFormat="1" ht="12.75" customHeight="1">
      <c r="A419" s="917"/>
      <c r="B419" s="51"/>
      <c r="C419" s="3206" t="s">
        <v>617</v>
      </c>
      <c r="D419" s="3162"/>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1" t="s">
        <v>1666</v>
      </c>
      <c r="AG419" s="3211"/>
      <c r="AH419" s="3211"/>
      <c r="AI419" s="3211"/>
      <c r="AJ419" s="3211"/>
      <c r="AK419" s="3211"/>
      <c r="AL419" s="3212"/>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09" t="s">
        <v>1690</v>
      </c>
      <c r="G422" s="3209"/>
      <c r="H422" s="3209"/>
      <c r="I422" s="3209"/>
      <c r="J422" s="3209"/>
      <c r="K422" s="3209"/>
      <c r="L422" s="3209"/>
      <c r="M422" s="3209"/>
      <c r="N422" s="3209"/>
      <c r="O422" s="3209"/>
      <c r="P422" s="3209"/>
      <c r="Q422" s="3209"/>
      <c r="R422" s="3209"/>
      <c r="S422" s="3209"/>
      <c r="T422" s="3209"/>
      <c r="U422" s="3209"/>
      <c r="V422" s="3209"/>
      <c r="W422" s="3209"/>
      <c r="X422" s="3209"/>
      <c r="Y422" s="3209"/>
      <c r="Z422" s="3209"/>
      <c r="AA422" s="3209"/>
      <c r="AB422" s="3209"/>
      <c r="AC422" s="3209"/>
      <c r="AD422" s="3209"/>
      <c r="AE422" s="3209"/>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10"/>
      <c r="G423" s="3210"/>
      <c r="H423" s="3210"/>
      <c r="I423" s="3210"/>
      <c r="J423" s="3210"/>
      <c r="K423" s="3210"/>
      <c r="L423" s="3210"/>
      <c r="M423" s="3210"/>
      <c r="N423" s="3210"/>
      <c r="O423" s="3210"/>
      <c r="P423" s="3210"/>
      <c r="Q423" s="3210"/>
      <c r="R423" s="3210"/>
      <c r="S423" s="3210"/>
      <c r="T423" s="3210"/>
      <c r="U423" s="3210"/>
      <c r="V423" s="3210"/>
      <c r="W423" s="3210"/>
      <c r="X423" s="3210"/>
      <c r="Y423" s="3210"/>
      <c r="Z423" s="3210"/>
      <c r="AA423" s="3210"/>
      <c r="AB423" s="3210"/>
      <c r="AC423" s="3210"/>
      <c r="AD423" s="3210"/>
      <c r="AE423" s="3210"/>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0"/>
      <c r="G424" s="3210"/>
      <c r="H424" s="3210"/>
      <c r="I424" s="3210"/>
      <c r="J424" s="3210"/>
      <c r="K424" s="3210"/>
      <c r="L424" s="3210"/>
      <c r="M424" s="3210"/>
      <c r="N424" s="3210"/>
      <c r="O424" s="3210"/>
      <c r="P424" s="3210"/>
      <c r="Q424" s="3210"/>
      <c r="R424" s="3210"/>
      <c r="S424" s="3210"/>
      <c r="T424" s="3210"/>
      <c r="U424" s="3210"/>
      <c r="V424" s="3210"/>
      <c r="W424" s="3210"/>
      <c r="X424" s="3210"/>
      <c r="Y424" s="3210"/>
      <c r="Z424" s="3210"/>
      <c r="AA424" s="3210"/>
      <c r="AB424" s="3210"/>
      <c r="AC424" s="3210"/>
      <c r="AD424" s="3210"/>
      <c r="AE424" s="3210"/>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0"/>
      <c r="G425" s="3210"/>
      <c r="H425" s="3210"/>
      <c r="I425" s="3210"/>
      <c r="J425" s="3210"/>
      <c r="K425" s="3210"/>
      <c r="L425" s="3210"/>
      <c r="M425" s="3210"/>
      <c r="N425" s="3210"/>
      <c r="O425" s="3210"/>
      <c r="P425" s="3210"/>
      <c r="Q425" s="3210"/>
      <c r="R425" s="3210"/>
      <c r="S425" s="3210"/>
      <c r="T425" s="3210"/>
      <c r="U425" s="3210"/>
      <c r="V425" s="3210"/>
      <c r="W425" s="3210"/>
      <c r="X425" s="3210"/>
      <c r="Y425" s="3210"/>
      <c r="Z425" s="3210"/>
      <c r="AA425" s="3210"/>
      <c r="AB425" s="3210"/>
      <c r="AC425" s="3210"/>
      <c r="AD425" s="3210"/>
      <c r="AE425" s="3210"/>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0"/>
      <c r="G426" s="3210"/>
      <c r="H426" s="3210"/>
      <c r="I426" s="3210"/>
      <c r="J426" s="3210"/>
      <c r="K426" s="3210"/>
      <c r="L426" s="3210"/>
      <c r="M426" s="3210"/>
      <c r="N426" s="3210"/>
      <c r="O426" s="3210"/>
      <c r="P426" s="3210"/>
      <c r="Q426" s="3210"/>
      <c r="R426" s="3210"/>
      <c r="S426" s="3210"/>
      <c r="T426" s="3210"/>
      <c r="U426" s="3210"/>
      <c r="V426" s="3210"/>
      <c r="W426" s="3210"/>
      <c r="X426" s="3210"/>
      <c r="Y426" s="3210"/>
      <c r="Z426" s="3210"/>
      <c r="AA426" s="3210"/>
      <c r="AB426" s="3210"/>
      <c r="AC426" s="3210"/>
      <c r="AD426" s="3210"/>
      <c r="AE426" s="3210"/>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0"/>
      <c r="G427" s="3210"/>
      <c r="H427" s="3210"/>
      <c r="I427" s="3210"/>
      <c r="J427" s="3210"/>
      <c r="K427" s="3210"/>
      <c r="L427" s="3210"/>
      <c r="M427" s="3210"/>
      <c r="N427" s="3210"/>
      <c r="O427" s="3210"/>
      <c r="P427" s="3210"/>
      <c r="Q427" s="3210"/>
      <c r="R427" s="3210"/>
      <c r="S427" s="3210"/>
      <c r="T427" s="3210"/>
      <c r="U427" s="3210"/>
      <c r="V427" s="3210"/>
      <c r="W427" s="3210"/>
      <c r="X427" s="3210"/>
      <c r="Y427" s="3210"/>
      <c r="Z427" s="3210"/>
      <c r="AA427" s="3210"/>
      <c r="AB427" s="3210"/>
      <c r="AC427" s="3210"/>
      <c r="AD427" s="3210"/>
      <c r="AE427" s="3210"/>
      <c r="AF427" s="1214"/>
      <c r="AG427" s="1214"/>
      <c r="AH427" s="1214"/>
      <c r="AI427" s="1214"/>
      <c r="AJ427" s="1214"/>
      <c r="AK427" s="1214"/>
      <c r="AL427" s="1215"/>
      <c r="AM427" s="1124"/>
      <c r="AN427" s="990"/>
    </row>
    <row r="428" spans="1:60" s="933" customFormat="1" ht="12.75" customHeight="1">
      <c r="A428" s="917"/>
      <c r="B428" s="51"/>
      <c r="C428" s="1216"/>
      <c r="D428" s="1181"/>
      <c r="E428" s="1168"/>
      <c r="F428" s="3210"/>
      <c r="G428" s="3210"/>
      <c r="H428" s="3210"/>
      <c r="I428" s="3210"/>
      <c r="J428" s="3210"/>
      <c r="K428" s="3210"/>
      <c r="L428" s="3210"/>
      <c r="M428" s="3210"/>
      <c r="N428" s="3210"/>
      <c r="O428" s="3210"/>
      <c r="P428" s="3210"/>
      <c r="Q428" s="3210"/>
      <c r="R428" s="3210"/>
      <c r="S428" s="3210"/>
      <c r="T428" s="3210"/>
      <c r="U428" s="3210"/>
      <c r="V428" s="3210"/>
      <c r="W428" s="3210"/>
      <c r="X428" s="3210"/>
      <c r="Y428" s="3210"/>
      <c r="Z428" s="3210"/>
      <c r="AA428" s="3210"/>
      <c r="AB428" s="3210"/>
      <c r="AC428" s="3210"/>
      <c r="AD428" s="3210"/>
      <c r="AE428" s="3210"/>
      <c r="AF428" s="1214"/>
      <c r="AG428" s="1214"/>
      <c r="AH428" s="1214"/>
      <c r="AI428" s="1214"/>
      <c r="AJ428" s="1214"/>
      <c r="AK428" s="1214"/>
      <c r="AL428" s="1215"/>
      <c r="AM428" s="1124"/>
      <c r="AN428" s="990"/>
    </row>
    <row r="429" spans="1:60" s="933" customFormat="1" ht="12.75" customHeight="1">
      <c r="A429" s="917"/>
      <c r="B429" s="51"/>
      <c r="C429" s="1216"/>
      <c r="D429" s="1181"/>
      <c r="E429" s="1168"/>
      <c r="F429" s="3210"/>
      <c r="G429" s="3210"/>
      <c r="H429" s="3210"/>
      <c r="I429" s="3210"/>
      <c r="J429" s="3210"/>
      <c r="K429" s="3210"/>
      <c r="L429" s="3210"/>
      <c r="M429" s="3210"/>
      <c r="N429" s="3210"/>
      <c r="O429" s="3210"/>
      <c r="P429" s="3210"/>
      <c r="Q429" s="3210"/>
      <c r="R429" s="3210"/>
      <c r="S429" s="3210"/>
      <c r="T429" s="3210"/>
      <c r="U429" s="3210"/>
      <c r="V429" s="3210"/>
      <c r="W429" s="3210"/>
      <c r="X429" s="3210"/>
      <c r="Y429" s="3210"/>
      <c r="Z429" s="3210"/>
      <c r="AA429" s="3210"/>
      <c r="AB429" s="3210"/>
      <c r="AC429" s="3210"/>
      <c r="AD429" s="3210"/>
      <c r="AE429" s="3210"/>
      <c r="AF429" s="1214"/>
      <c r="AG429" s="1214"/>
      <c r="AH429" s="1214"/>
      <c r="AI429" s="1214"/>
      <c r="AJ429" s="1214"/>
      <c r="AK429" s="1214"/>
      <c r="AL429" s="1215"/>
      <c r="AM429" s="1124"/>
      <c r="AN429" s="990"/>
    </row>
    <row r="430" spans="1:60" s="933" customFormat="1" ht="17.25" customHeight="1">
      <c r="A430" s="917"/>
      <c r="B430" s="51"/>
      <c r="C430" s="1216"/>
      <c r="D430" s="1181"/>
      <c r="E430" s="1168"/>
      <c r="F430" s="3210"/>
      <c r="G430" s="3210"/>
      <c r="H430" s="3210"/>
      <c r="I430" s="3210"/>
      <c r="J430" s="3210"/>
      <c r="K430" s="3210"/>
      <c r="L430" s="3210"/>
      <c r="M430" s="3210"/>
      <c r="N430" s="3210"/>
      <c r="O430" s="3210"/>
      <c r="P430" s="3210"/>
      <c r="Q430" s="3210"/>
      <c r="R430" s="3210"/>
      <c r="S430" s="3210"/>
      <c r="T430" s="3210"/>
      <c r="U430" s="3210"/>
      <c r="V430" s="3210"/>
      <c r="W430" s="3210"/>
      <c r="X430" s="3210"/>
      <c r="Y430" s="3210"/>
      <c r="Z430" s="3210"/>
      <c r="AA430" s="3210"/>
      <c r="AB430" s="3210"/>
      <c r="AC430" s="3210"/>
      <c r="AD430" s="3210"/>
      <c r="AE430" s="3210"/>
      <c r="AF430" s="1015"/>
      <c r="AG430" s="1015"/>
      <c r="AH430" s="1015"/>
      <c r="AI430" s="1015"/>
      <c r="AJ430" s="1015"/>
      <c r="AK430" s="1015"/>
      <c r="AL430" s="1183"/>
      <c r="AM430" s="1124"/>
      <c r="AN430" s="990"/>
    </row>
    <row r="431" spans="1:60" s="933" customFormat="1" ht="12.75" customHeight="1">
      <c r="A431" s="917"/>
      <c r="B431" s="51"/>
      <c r="C431" s="3206" t="s">
        <v>617</v>
      </c>
      <c r="D431" s="3162"/>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1" t="s">
        <v>1666</v>
      </c>
      <c r="AG431" s="3211"/>
      <c r="AH431" s="3211"/>
      <c r="AI431" s="3211"/>
      <c r="AJ431" s="3211"/>
      <c r="AK431" s="3211"/>
      <c r="AL431" s="3212"/>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09" t="s">
        <v>1693</v>
      </c>
      <c r="G434" s="3209"/>
      <c r="H434" s="3209"/>
      <c r="I434" s="3209"/>
      <c r="J434" s="3209"/>
      <c r="K434" s="3209"/>
      <c r="L434" s="3209"/>
      <c r="M434" s="3209"/>
      <c r="N434" s="3209"/>
      <c r="O434" s="3209"/>
      <c r="P434" s="3209"/>
      <c r="Q434" s="3209"/>
      <c r="R434" s="3209"/>
      <c r="S434" s="3209"/>
      <c r="T434" s="3209"/>
      <c r="U434" s="3209"/>
      <c r="V434" s="3209"/>
      <c r="W434" s="3209"/>
      <c r="X434" s="3209"/>
      <c r="Y434" s="3209"/>
      <c r="Z434" s="3209"/>
      <c r="AA434" s="3209"/>
      <c r="AB434" s="3209"/>
      <c r="AC434" s="3209"/>
      <c r="AD434" s="3209"/>
      <c r="AE434" s="3209"/>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0"/>
      <c r="G435" s="3210"/>
      <c r="H435" s="3210"/>
      <c r="I435" s="3210"/>
      <c r="J435" s="3210"/>
      <c r="K435" s="3210"/>
      <c r="L435" s="3210"/>
      <c r="M435" s="3210"/>
      <c r="N435" s="3210"/>
      <c r="O435" s="3210"/>
      <c r="P435" s="3210"/>
      <c r="Q435" s="3210"/>
      <c r="R435" s="3210"/>
      <c r="S435" s="3210"/>
      <c r="T435" s="3210"/>
      <c r="U435" s="3210"/>
      <c r="V435" s="3210"/>
      <c r="W435" s="3210"/>
      <c r="X435" s="3210"/>
      <c r="Y435" s="3210"/>
      <c r="Z435" s="3210"/>
      <c r="AA435" s="3210"/>
      <c r="AB435" s="3210"/>
      <c r="AC435" s="3210"/>
      <c r="AD435" s="3210"/>
      <c r="AE435" s="3210"/>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10"/>
      <c r="G436" s="3210"/>
      <c r="H436" s="3210"/>
      <c r="I436" s="3210"/>
      <c r="J436" s="3210"/>
      <c r="K436" s="3210"/>
      <c r="L436" s="3210"/>
      <c r="M436" s="3210"/>
      <c r="N436" s="3210"/>
      <c r="O436" s="3210"/>
      <c r="P436" s="3210"/>
      <c r="Q436" s="3210"/>
      <c r="R436" s="3210"/>
      <c r="S436" s="3210"/>
      <c r="T436" s="3210"/>
      <c r="U436" s="3210"/>
      <c r="V436" s="3210"/>
      <c r="W436" s="3210"/>
      <c r="X436" s="3210"/>
      <c r="Y436" s="3210"/>
      <c r="Z436" s="3210"/>
      <c r="AA436" s="3210"/>
      <c r="AB436" s="3210"/>
      <c r="AC436" s="3210"/>
      <c r="AD436" s="3210"/>
      <c r="AE436" s="3210"/>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10"/>
      <c r="G437" s="3210"/>
      <c r="H437" s="3210"/>
      <c r="I437" s="3210"/>
      <c r="J437" s="3210"/>
      <c r="K437" s="3210"/>
      <c r="L437" s="3210"/>
      <c r="M437" s="3210"/>
      <c r="N437" s="3210"/>
      <c r="O437" s="3210"/>
      <c r="P437" s="3210"/>
      <c r="Q437" s="3210"/>
      <c r="R437" s="3210"/>
      <c r="S437" s="3210"/>
      <c r="T437" s="3210"/>
      <c r="U437" s="3210"/>
      <c r="V437" s="3210"/>
      <c r="W437" s="3210"/>
      <c r="X437" s="3210"/>
      <c r="Y437" s="3210"/>
      <c r="Z437" s="3210"/>
      <c r="AA437" s="3210"/>
      <c r="AB437" s="3210"/>
      <c r="AC437" s="3210"/>
      <c r="AD437" s="3210"/>
      <c r="AE437" s="3210"/>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06" t="s">
        <v>617</v>
      </c>
      <c r="D438" s="3162"/>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1" t="s">
        <v>1666</v>
      </c>
      <c r="AG438" s="3211"/>
      <c r="AH438" s="3211"/>
      <c r="AI438" s="3211"/>
      <c r="AJ438" s="3211"/>
      <c r="AK438" s="3211"/>
      <c r="AL438" s="3212"/>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13" t="s">
        <v>617</v>
      </c>
      <c r="D442" s="3214"/>
      <c r="E442" s="1164" t="s">
        <v>1702</v>
      </c>
      <c r="F442" s="3209" t="s">
        <v>1703</v>
      </c>
      <c r="G442" s="3209"/>
      <c r="H442" s="3209"/>
      <c r="I442" s="3209"/>
      <c r="J442" s="3209"/>
      <c r="K442" s="3209"/>
      <c r="L442" s="3209"/>
      <c r="M442" s="3209"/>
      <c r="N442" s="3209"/>
      <c r="O442" s="3209"/>
      <c r="P442" s="3209"/>
      <c r="Q442" s="3209"/>
      <c r="R442" s="3209"/>
      <c r="S442" s="3209"/>
      <c r="T442" s="3209"/>
      <c r="U442" s="3209"/>
      <c r="V442" s="3209"/>
      <c r="W442" s="3209"/>
      <c r="X442" s="3209"/>
      <c r="Y442" s="3209"/>
      <c r="Z442" s="3209"/>
      <c r="AA442" s="3209"/>
      <c r="AB442" s="3209"/>
      <c r="AC442" s="3209"/>
      <c r="AD442" s="3209"/>
      <c r="AE442" s="3209"/>
      <c r="AF442" s="3229" t="s">
        <v>1666</v>
      </c>
      <c r="AG442" s="3229"/>
      <c r="AH442" s="3229"/>
      <c r="AI442" s="3229"/>
      <c r="AJ442" s="3229"/>
      <c r="AK442" s="3229"/>
      <c r="AL442" s="3230"/>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0"/>
      <c r="G443" s="3210"/>
      <c r="H443" s="3210"/>
      <c r="I443" s="3210"/>
      <c r="J443" s="3210"/>
      <c r="K443" s="3210"/>
      <c r="L443" s="3210"/>
      <c r="M443" s="3210"/>
      <c r="N443" s="3210"/>
      <c r="O443" s="3210"/>
      <c r="P443" s="3210"/>
      <c r="Q443" s="3210"/>
      <c r="R443" s="3210"/>
      <c r="S443" s="3210"/>
      <c r="T443" s="3210"/>
      <c r="U443" s="3210"/>
      <c r="V443" s="3210"/>
      <c r="W443" s="3210"/>
      <c r="X443" s="3210"/>
      <c r="Y443" s="3210"/>
      <c r="Z443" s="3210"/>
      <c r="AA443" s="3210"/>
      <c r="AB443" s="3210"/>
      <c r="AC443" s="3210"/>
      <c r="AD443" s="3210"/>
      <c r="AE443" s="3210"/>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26"/>
      <c r="G444" s="3226"/>
      <c r="H444" s="3226"/>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26"/>
      <c r="AD444" s="3226"/>
      <c r="AE444" s="3226"/>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06" t="s">
        <v>617</v>
      </c>
      <c r="D446" s="3162"/>
      <c r="E446" s="1164" t="s">
        <v>1708</v>
      </c>
      <c r="F446" s="3209" t="s">
        <v>1709</v>
      </c>
      <c r="G446" s="3209"/>
      <c r="H446" s="3209"/>
      <c r="I446" s="3209"/>
      <c r="J446" s="3209"/>
      <c r="K446" s="3209"/>
      <c r="L446" s="3209"/>
      <c r="M446" s="3209"/>
      <c r="N446" s="3209"/>
      <c r="O446" s="3209"/>
      <c r="P446" s="3209"/>
      <c r="Q446" s="3209"/>
      <c r="R446" s="3209"/>
      <c r="S446" s="3209"/>
      <c r="T446" s="3209"/>
      <c r="U446" s="3209"/>
      <c r="V446" s="3209"/>
      <c r="W446" s="3209"/>
      <c r="X446" s="3209"/>
      <c r="Y446" s="3209"/>
      <c r="Z446" s="3209"/>
      <c r="AA446" s="3209"/>
      <c r="AB446" s="3209"/>
      <c r="AC446" s="3209"/>
      <c r="AD446" s="3209"/>
      <c r="AE446" s="3209"/>
      <c r="AF446" s="3229" t="s">
        <v>1666</v>
      </c>
      <c r="AG446" s="3229"/>
      <c r="AH446" s="3229"/>
      <c r="AI446" s="3229"/>
      <c r="AJ446" s="3229"/>
      <c r="AK446" s="3229"/>
      <c r="AL446" s="3230"/>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10"/>
      <c r="G447" s="3210"/>
      <c r="H447" s="3210"/>
      <c r="I447" s="3210"/>
      <c r="J447" s="3210"/>
      <c r="K447" s="3210"/>
      <c r="L447" s="3210"/>
      <c r="M447" s="3210"/>
      <c r="N447" s="3210"/>
      <c r="O447" s="3210"/>
      <c r="P447" s="3210"/>
      <c r="Q447" s="3210"/>
      <c r="R447" s="3210"/>
      <c r="S447" s="3210"/>
      <c r="T447" s="3210"/>
      <c r="U447" s="3210"/>
      <c r="V447" s="3210"/>
      <c r="W447" s="3210"/>
      <c r="X447" s="3210"/>
      <c r="Y447" s="3210"/>
      <c r="Z447" s="3210"/>
      <c r="AA447" s="3210"/>
      <c r="AB447" s="3210"/>
      <c r="AC447" s="3210"/>
      <c r="AD447" s="3210"/>
      <c r="AE447" s="3210"/>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0"/>
      <c r="G448" s="3210"/>
      <c r="H448" s="3210"/>
      <c r="I448" s="3210"/>
      <c r="J448" s="3210"/>
      <c r="K448" s="3210"/>
      <c r="L448" s="3210"/>
      <c r="M448" s="3210"/>
      <c r="N448" s="3210"/>
      <c r="O448" s="3210"/>
      <c r="P448" s="3210"/>
      <c r="Q448" s="3210"/>
      <c r="R448" s="3210"/>
      <c r="S448" s="3210"/>
      <c r="T448" s="3210"/>
      <c r="U448" s="3210"/>
      <c r="V448" s="3210"/>
      <c r="W448" s="3210"/>
      <c r="X448" s="3210"/>
      <c r="Y448" s="3210"/>
      <c r="Z448" s="3210"/>
      <c r="AA448" s="3210"/>
      <c r="AB448" s="3210"/>
      <c r="AC448" s="3210"/>
      <c r="AD448" s="3210"/>
      <c r="AE448" s="3210"/>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26"/>
      <c r="G449" s="3226"/>
      <c r="H449" s="3226"/>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26"/>
      <c r="AD449" s="3226"/>
      <c r="AE449" s="322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27" t="s">
        <v>1712</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8"/>
      <c r="AH451" s="1163"/>
      <c r="AI451" s="1163"/>
      <c r="AJ451" s="1163"/>
      <c r="AK451" s="1163"/>
      <c r="AL451" s="1199"/>
      <c r="AM451" s="1124"/>
      <c r="AN451" s="990"/>
    </row>
    <row r="452" spans="1:49" s="933" customFormat="1" ht="12.75" customHeight="1">
      <c r="A452" s="917"/>
      <c r="B452" s="51"/>
      <c r="C452" s="1182"/>
      <c r="D452" s="112"/>
      <c r="E452" s="1136"/>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5"/>
      <c r="AH452" s="1015"/>
      <c r="AI452" s="1015"/>
      <c r="AJ452" s="1015"/>
      <c r="AK452" s="1015"/>
      <c r="AL452" s="1183"/>
      <c r="AM452" s="1124"/>
      <c r="AN452" s="990"/>
    </row>
    <row r="453" spans="1:49" s="933" customFormat="1" ht="12.75" customHeight="1">
      <c r="A453" s="917"/>
      <c r="B453" s="51"/>
      <c r="C453" s="1191"/>
      <c r="D453" s="1015"/>
      <c r="E453" s="1015"/>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5"/>
      <c r="AH453" s="1015"/>
      <c r="AI453" s="1015"/>
      <c r="AJ453" s="1015"/>
      <c r="AK453" s="1015"/>
      <c r="AL453" s="1183"/>
      <c r="AM453" s="1124"/>
      <c r="AN453" s="990"/>
    </row>
    <row r="454" spans="1:49" s="933" customFormat="1" ht="12.75" customHeight="1">
      <c r="A454" s="917"/>
      <c r="B454" s="51"/>
      <c r="C454" s="1191"/>
      <c r="D454" s="1015"/>
      <c r="E454" s="1015"/>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5"/>
      <c r="AH454" s="1015"/>
      <c r="AI454" s="1015"/>
      <c r="AJ454" s="1015"/>
      <c r="AK454" s="1015"/>
      <c r="AL454" s="1183"/>
      <c r="AM454" s="1124"/>
      <c r="AN454" s="990"/>
    </row>
    <row r="455" spans="1:49" s="933" customFormat="1" ht="12.75" customHeight="1">
      <c r="A455" s="917"/>
      <c r="B455" s="51"/>
      <c r="C455" s="3206" t="s">
        <v>617</v>
      </c>
      <c r="D455" s="3162"/>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7" t="s">
        <v>1666</v>
      </c>
      <c r="AG455" s="3207"/>
      <c r="AH455" s="3207"/>
      <c r="AI455" s="3207"/>
      <c r="AJ455" s="3207"/>
      <c r="AK455" s="3207"/>
      <c r="AL455" s="3208"/>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65">
        <f>IF(Application!D213="N/A",AS347,AS349)</f>
        <v>10</v>
      </c>
      <c r="AL458" s="3166"/>
      <c r="AM458" s="3167"/>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1" t="s">
        <v>1716</v>
      </c>
      <c r="AF461" s="3281"/>
      <c r="AG461" s="3281"/>
      <c r="AH461" s="3281"/>
      <c r="AI461" s="3281"/>
      <c r="AJ461" s="3281"/>
      <c r="AK461" s="328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31" t="s">
        <v>617</v>
      </c>
      <c r="D467" s="3232"/>
      <c r="E467" s="1238" t="s">
        <v>532</v>
      </c>
      <c r="F467" s="3233" t="s">
        <v>1722</v>
      </c>
      <c r="G467" s="3233"/>
      <c r="H467" s="3233"/>
      <c r="I467" s="3233"/>
      <c r="J467" s="3233"/>
      <c r="K467" s="3233"/>
      <c r="L467" s="3233"/>
      <c r="M467" s="3233"/>
      <c r="N467" s="3233"/>
      <c r="O467" s="3233"/>
      <c r="P467" s="3233"/>
      <c r="Q467" s="3233"/>
      <c r="R467" s="3233"/>
      <c r="S467" s="3233"/>
      <c r="T467" s="3233"/>
      <c r="U467" s="3233"/>
      <c r="V467" s="3233"/>
      <c r="W467" s="3233"/>
      <c r="X467" s="3233"/>
      <c r="Y467" s="3233"/>
      <c r="Z467" s="3233"/>
      <c r="AA467" s="3233"/>
      <c r="AB467" s="3233"/>
      <c r="AC467" s="3233"/>
      <c r="AD467" s="3233"/>
      <c r="AE467" s="3233"/>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34"/>
      <c r="G468" s="3234"/>
      <c r="H468" s="3234"/>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34"/>
      <c r="AD468" s="3234"/>
      <c r="AE468" s="3234"/>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35" t="s">
        <v>617</v>
      </c>
      <c r="G469" s="3235"/>
      <c r="H469" s="3235"/>
      <c r="I469" s="3235"/>
      <c r="J469" s="3235"/>
      <c r="K469" s="3235"/>
      <c r="L469" s="3235"/>
      <c r="M469" s="3235"/>
      <c r="N469" s="3235"/>
      <c r="O469" s="3235"/>
      <c r="P469" s="3235"/>
      <c r="Q469" s="3235"/>
      <c r="R469" s="3235"/>
      <c r="S469" s="3235"/>
      <c r="T469" s="3235"/>
      <c r="U469" s="3235"/>
      <c r="V469" s="3235"/>
      <c r="W469" s="3235"/>
      <c r="X469" s="3235"/>
      <c r="Y469" s="3235"/>
      <c r="Z469" s="3235"/>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36" t="s">
        <v>570</v>
      </c>
      <c r="D471" s="3237"/>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43" t="s">
        <v>617</v>
      </c>
      <c r="W474" s="3243"/>
      <c r="X474" s="3243"/>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43" t="s">
        <v>617</v>
      </c>
      <c r="W476" s="3243"/>
      <c r="X476" s="3243"/>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43" t="s">
        <v>617</v>
      </c>
      <c r="W481" s="3243"/>
      <c r="X481" s="3243"/>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42"/>
      <c r="E484" s="3242"/>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43" t="s">
        <v>617</v>
      </c>
      <c r="W485" s="3243"/>
      <c r="X485" s="3243"/>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43" t="s">
        <v>617</v>
      </c>
      <c r="W487" s="3243"/>
      <c r="X487" s="3243"/>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1" t="s">
        <v>617</v>
      </c>
      <c r="D490" s="3232"/>
      <c r="E490" s="1238" t="s">
        <v>532</v>
      </c>
      <c r="F490" s="3233" t="s">
        <v>1722</v>
      </c>
      <c r="G490" s="3233"/>
      <c r="H490" s="3233"/>
      <c r="I490" s="3233"/>
      <c r="J490" s="3233"/>
      <c r="K490" s="3233"/>
      <c r="L490" s="3233"/>
      <c r="M490" s="3233"/>
      <c r="N490" s="3233"/>
      <c r="O490" s="3233"/>
      <c r="P490" s="3233"/>
      <c r="Q490" s="3233"/>
      <c r="R490" s="3233"/>
      <c r="S490" s="3233"/>
      <c r="T490" s="3233"/>
      <c r="U490" s="3233"/>
      <c r="V490" s="3233"/>
      <c r="W490" s="3233"/>
      <c r="X490" s="3233"/>
      <c r="Y490" s="3233"/>
      <c r="Z490" s="3233"/>
      <c r="AA490" s="3233"/>
      <c r="AB490" s="3233"/>
      <c r="AC490" s="3233"/>
      <c r="AD490" s="3233"/>
      <c r="AE490" s="323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4"/>
      <c r="G491" s="3234"/>
      <c r="H491" s="3234"/>
      <c r="I491" s="3234"/>
      <c r="J491" s="3234"/>
      <c r="K491" s="3234"/>
      <c r="L491" s="3234"/>
      <c r="M491" s="3234"/>
      <c r="N491" s="3234"/>
      <c r="O491" s="3234"/>
      <c r="P491" s="3234"/>
      <c r="Q491" s="3234"/>
      <c r="R491" s="3234"/>
      <c r="S491" s="3234"/>
      <c r="T491" s="3234"/>
      <c r="U491" s="3234"/>
      <c r="V491" s="3234"/>
      <c r="W491" s="3234"/>
      <c r="X491" s="3234"/>
      <c r="Y491" s="3234"/>
      <c r="Z491" s="3234"/>
      <c r="AA491" s="3234"/>
      <c r="AB491" s="3234"/>
      <c r="AC491" s="3234"/>
      <c r="AD491" s="3234"/>
      <c r="AE491" s="323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8" t="s">
        <v>617</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1" t="s">
        <v>617</v>
      </c>
      <c r="D494" s="3232"/>
      <c r="E494" s="1238" t="s">
        <v>787</v>
      </c>
      <c r="F494" s="3239" t="s">
        <v>1744</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41" t="s">
        <v>617</v>
      </c>
      <c r="G497" s="3241"/>
      <c r="H497" s="3241"/>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31" t="s">
        <v>617</v>
      </c>
      <c r="D499" s="3232"/>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54"/>
      <c r="D501" s="3242"/>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55" t="s">
        <v>617</v>
      </c>
      <c r="H502" s="3255"/>
      <c r="I502" s="3255"/>
      <c r="J502" s="3255"/>
      <c r="K502" s="3255"/>
      <c r="L502" s="3255"/>
      <c r="M502" s="3255"/>
      <c r="N502" s="3255"/>
      <c r="O502" s="3255"/>
      <c r="P502" s="3255"/>
      <c r="Q502" s="3255"/>
      <c r="R502" s="3255"/>
      <c r="S502" s="3255"/>
      <c r="T502" s="3255"/>
      <c r="U502" s="3255"/>
      <c r="V502" s="3255"/>
      <c r="W502" s="3255"/>
      <c r="X502" s="3255"/>
      <c r="Y502" s="3255"/>
      <c r="Z502" s="3255"/>
      <c r="AA502" s="3255"/>
      <c r="AB502" s="3255"/>
      <c r="AC502" s="3255"/>
      <c r="AD502" s="3255"/>
      <c r="AE502" s="3255"/>
      <c r="AF502" s="3255"/>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6" t="s">
        <v>617</v>
      </c>
      <c r="D504" s="3257"/>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6" t="s">
        <v>617</v>
      </c>
      <c r="D508" s="3257"/>
      <c r="E508" s="1015"/>
      <c r="F508" s="1280" t="s">
        <v>1752</v>
      </c>
      <c r="G508" s="3258" t="s">
        <v>1753</v>
      </c>
      <c r="H508" s="3258"/>
      <c r="I508" s="3258"/>
      <c r="J508" s="3258"/>
      <c r="K508" s="3258"/>
      <c r="L508" s="3258"/>
      <c r="M508" s="3258"/>
      <c r="N508" s="3258"/>
      <c r="O508" s="3258"/>
      <c r="P508" s="3258"/>
      <c r="Q508" s="3258"/>
      <c r="R508" s="3258"/>
      <c r="S508" s="3258"/>
      <c r="T508" s="3258"/>
      <c r="U508" s="3258"/>
      <c r="V508" s="3258"/>
      <c r="W508" s="3258"/>
      <c r="X508" s="3258"/>
      <c r="Y508" s="3258"/>
      <c r="Z508" s="3258"/>
      <c r="AA508" s="3258"/>
      <c r="AB508" s="3258"/>
      <c r="AC508" s="3258"/>
      <c r="AD508" s="3258"/>
      <c r="AE508" s="3258"/>
      <c r="AF508" s="3258"/>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9"/>
      <c r="H509" s="3259"/>
      <c r="I509" s="3259"/>
      <c r="J509" s="3259"/>
      <c r="K509" s="3259"/>
      <c r="L509" s="3259"/>
      <c r="M509" s="3259"/>
      <c r="N509" s="3259"/>
      <c r="O509" s="3259"/>
      <c r="P509" s="3259"/>
      <c r="Q509" s="3259"/>
      <c r="R509" s="3259"/>
      <c r="S509" s="3259"/>
      <c r="T509" s="3259"/>
      <c r="U509" s="3259"/>
      <c r="V509" s="3259"/>
      <c r="W509" s="3259"/>
      <c r="X509" s="3259"/>
      <c r="Y509" s="3259"/>
      <c r="Z509" s="3259"/>
      <c r="AA509" s="3259"/>
      <c r="AB509" s="3259"/>
      <c r="AC509" s="3259"/>
      <c r="AD509" s="3259"/>
      <c r="AE509" s="3259"/>
      <c r="AF509" s="3259"/>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4" t="s">
        <v>617</v>
      </c>
      <c r="D512" s="3245"/>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6" t="s">
        <v>617</v>
      </c>
      <c r="G513" s="3246"/>
      <c r="H513" s="3246"/>
      <c r="I513" s="3246"/>
      <c r="J513" s="3246"/>
      <c r="K513" s="3246"/>
      <c r="L513" s="3246"/>
      <c r="M513" s="3246"/>
      <c r="N513" s="3246"/>
      <c r="O513" s="3246"/>
      <c r="P513" s="3246"/>
      <c r="Q513" s="3246"/>
      <c r="R513" s="3246"/>
      <c r="S513" s="3246"/>
      <c r="T513" s="3246"/>
      <c r="U513" s="3246"/>
      <c r="V513" s="3246"/>
      <c r="W513" s="3246"/>
      <c r="X513" s="3246"/>
      <c r="Y513" s="3246"/>
      <c r="Z513" s="3246"/>
      <c r="AA513" s="3246"/>
      <c r="AB513" s="3246"/>
      <c r="AC513" s="3246"/>
      <c r="AD513" s="3246"/>
      <c r="AE513" s="3246"/>
      <c r="AF513" s="3246"/>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7"/>
      <c r="G514" s="3247"/>
      <c r="H514" s="3247"/>
      <c r="I514" s="3247"/>
      <c r="J514" s="3247"/>
      <c r="K514" s="3247"/>
      <c r="L514" s="3247"/>
      <c r="M514" s="3247"/>
      <c r="N514" s="3247"/>
      <c r="O514" s="3247"/>
      <c r="P514" s="3247"/>
      <c r="Q514" s="3247"/>
      <c r="R514" s="3247"/>
      <c r="S514" s="3247"/>
      <c r="T514" s="3247"/>
      <c r="U514" s="3247"/>
      <c r="V514" s="3247"/>
      <c r="W514" s="3247"/>
      <c r="X514" s="3247"/>
      <c r="Y514" s="3247"/>
      <c r="Z514" s="3247"/>
      <c r="AA514" s="3247"/>
      <c r="AB514" s="3247"/>
      <c r="AC514" s="3247"/>
      <c r="AD514" s="3247"/>
      <c r="AE514" s="3247"/>
      <c r="AF514" s="3247"/>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2493</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2494</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65">
        <f>SUM(AG468:AG513)</f>
        <v>0</v>
      </c>
      <c r="AL524" s="3166"/>
      <c r="AM524" s="3167"/>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3" t="s">
        <v>1765</v>
      </c>
      <c r="AF527" s="3153"/>
      <c r="AG527" s="3153"/>
      <c r="AH527" s="3153"/>
      <c r="AI527" s="3153"/>
      <c r="AJ527" s="3153"/>
      <c r="AK527" s="3153"/>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62" t="s">
        <v>617</v>
      </c>
      <c r="D530" s="3162"/>
      <c r="E530" s="934"/>
      <c r="F530" s="3248" t="s">
        <v>1766</v>
      </c>
      <c r="G530" s="3249"/>
      <c r="H530" s="3249"/>
      <c r="I530" s="3249"/>
      <c r="J530" s="3249"/>
      <c r="K530" s="3249"/>
      <c r="L530" s="3249"/>
      <c r="M530" s="3249"/>
      <c r="N530" s="3249"/>
      <c r="O530" s="3249"/>
      <c r="P530" s="3249"/>
      <c r="Q530" s="3249"/>
      <c r="R530" s="3249"/>
      <c r="S530" s="3249"/>
      <c r="T530" s="3249"/>
      <c r="U530" s="3249"/>
      <c r="V530" s="3249"/>
      <c r="W530" s="3249"/>
      <c r="X530" s="3249"/>
      <c r="Y530" s="3249"/>
      <c r="Z530" s="3249"/>
      <c r="AA530" s="3249"/>
      <c r="AB530" s="3249"/>
      <c r="AC530" s="3249"/>
      <c r="AD530" s="3249"/>
      <c r="AE530" s="3249"/>
      <c r="AF530" s="3249"/>
      <c r="AG530" s="3249"/>
      <c r="AH530" s="3249"/>
      <c r="AI530" s="3249"/>
      <c r="AJ530" s="3249"/>
      <c r="AK530" s="3249"/>
      <c r="AL530" s="3250"/>
      <c r="AM530" s="995"/>
      <c r="AN530" s="990"/>
    </row>
    <row r="531" spans="1:49" s="933" customFormat="1" ht="12.75" customHeight="1">
      <c r="A531" s="1002"/>
      <c r="B531" s="1002"/>
      <c r="C531" s="934"/>
      <c r="D531" s="934"/>
      <c r="E531" s="934"/>
      <c r="F531" s="3251"/>
      <c r="G531" s="3252"/>
      <c r="H531" s="3252"/>
      <c r="I531" s="3252"/>
      <c r="J531" s="3252"/>
      <c r="K531" s="3252"/>
      <c r="L531" s="3252"/>
      <c r="M531" s="3252"/>
      <c r="N531" s="3252"/>
      <c r="O531" s="3252"/>
      <c r="P531" s="3252"/>
      <c r="Q531" s="3252"/>
      <c r="R531" s="3252"/>
      <c r="S531" s="3252"/>
      <c r="T531" s="3252"/>
      <c r="U531" s="3252"/>
      <c r="V531" s="3252"/>
      <c r="W531" s="3252"/>
      <c r="X531" s="3252"/>
      <c r="Y531" s="3252"/>
      <c r="Z531" s="3252"/>
      <c r="AA531" s="3252"/>
      <c r="AB531" s="3252"/>
      <c r="AC531" s="3252"/>
      <c r="AD531" s="3252"/>
      <c r="AE531" s="3252"/>
      <c r="AF531" s="3252"/>
      <c r="AG531" s="3252"/>
      <c r="AH531" s="3252"/>
      <c r="AI531" s="3252"/>
      <c r="AJ531" s="3252"/>
      <c r="AK531" s="3252"/>
      <c r="AL531" s="3253"/>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62" t="s">
        <v>570</v>
      </c>
      <c r="D533" s="3162"/>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24" t="s">
        <v>1768</v>
      </c>
      <c r="G534" s="3325"/>
      <c r="H534" s="3325"/>
      <c r="I534" s="3325"/>
      <c r="J534" s="3325"/>
      <c r="K534" s="3325"/>
      <c r="L534" s="3325"/>
      <c r="M534" s="3325"/>
      <c r="N534" s="3325"/>
      <c r="O534" s="3325"/>
      <c r="P534" s="3325"/>
      <c r="Q534" s="3325"/>
      <c r="R534" s="3325"/>
      <c r="S534" s="3325"/>
      <c r="T534" s="3325"/>
      <c r="U534" s="3325"/>
      <c r="V534" s="3325"/>
      <c r="W534" s="3325"/>
      <c r="X534" s="3325"/>
      <c r="Y534" s="3325"/>
      <c r="Z534" s="3325"/>
      <c r="AA534" s="3325"/>
      <c r="AB534" s="3325"/>
      <c r="AC534" s="3325"/>
      <c r="AD534" s="3325"/>
      <c r="AE534" s="3325"/>
      <c r="AF534" s="3325"/>
      <c r="AG534" s="3325"/>
      <c r="AH534" s="3325"/>
      <c r="AI534" s="3325"/>
      <c r="AJ534" s="3325"/>
      <c r="AK534" s="3325"/>
      <c r="AL534" s="3326"/>
      <c r="AM534" s="995"/>
      <c r="AN534" s="990"/>
      <c r="AS534" s="1382"/>
      <c r="AT534" s="1382"/>
      <c r="AU534" s="1382"/>
      <c r="AV534" s="1382"/>
      <c r="AW534" s="1382"/>
    </row>
    <row r="535" spans="1:49" s="933" customFormat="1" ht="12.75" customHeight="1">
      <c r="A535" s="1016"/>
      <c r="B535" s="1295"/>
      <c r="C535" s="1295"/>
      <c r="D535" s="1295"/>
      <c r="E535" s="1295"/>
      <c r="F535" s="3324"/>
      <c r="G535" s="3325"/>
      <c r="H535" s="3325"/>
      <c r="I535" s="3325"/>
      <c r="J535" s="3325"/>
      <c r="K535" s="3325"/>
      <c r="L535" s="3325"/>
      <c r="M535" s="3325"/>
      <c r="N535" s="3325"/>
      <c r="O535" s="3325"/>
      <c r="P535" s="3325"/>
      <c r="Q535" s="3325"/>
      <c r="R535" s="3325"/>
      <c r="S535" s="3325"/>
      <c r="T535" s="3325"/>
      <c r="U535" s="3325"/>
      <c r="V535" s="3325"/>
      <c r="W535" s="3325"/>
      <c r="X535" s="3325"/>
      <c r="Y535" s="3325"/>
      <c r="Z535" s="3325"/>
      <c r="AA535" s="3325"/>
      <c r="AB535" s="3325"/>
      <c r="AC535" s="3325"/>
      <c r="AD535" s="3325"/>
      <c r="AE535" s="3325"/>
      <c r="AF535" s="3325"/>
      <c r="AG535" s="3325"/>
      <c r="AH535" s="3325"/>
      <c r="AI535" s="3325"/>
      <c r="AJ535" s="3325"/>
      <c r="AK535" s="3325"/>
      <c r="AL535" s="3326"/>
      <c r="AM535" s="995"/>
      <c r="AN535" s="990"/>
    </row>
    <row r="536" spans="1:49" s="933" customFormat="1" ht="12.75" customHeight="1">
      <c r="A536" s="1016"/>
      <c r="B536" s="1295"/>
      <c r="C536" s="1295"/>
      <c r="D536" s="1295"/>
      <c r="E536" s="1295"/>
      <c r="F536" s="1301" t="s">
        <v>2495</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24" t="s">
        <v>1769</v>
      </c>
      <c r="G537" s="3325"/>
      <c r="H537" s="3325"/>
      <c r="I537" s="3325"/>
      <c r="J537" s="3325"/>
      <c r="K537" s="3325"/>
      <c r="L537" s="3325"/>
      <c r="M537" s="3325"/>
      <c r="N537" s="3325"/>
      <c r="O537" s="3325"/>
      <c r="P537" s="3325"/>
      <c r="Q537" s="3325"/>
      <c r="R537" s="3325"/>
      <c r="S537" s="3325"/>
      <c r="T537" s="3325"/>
      <c r="U537" s="3325"/>
      <c r="V537" s="3325"/>
      <c r="W537" s="3325"/>
      <c r="X537" s="3325"/>
      <c r="Y537" s="3325"/>
      <c r="Z537" s="3325"/>
      <c r="AA537" s="3325"/>
      <c r="AB537" s="3325"/>
      <c r="AC537" s="3325"/>
      <c r="AD537" s="3325"/>
      <c r="AE537" s="3325"/>
      <c r="AF537" s="3325"/>
      <c r="AG537" s="3325"/>
      <c r="AH537" s="3325"/>
      <c r="AI537" s="3325"/>
      <c r="AJ537" s="3325"/>
      <c r="AK537" s="3325"/>
      <c r="AL537" s="1304"/>
      <c r="AM537" s="995"/>
      <c r="AN537" s="990"/>
      <c r="AT537" s="1079"/>
      <c r="AU537" s="1079"/>
      <c r="AV537" s="1079"/>
    </row>
    <row r="538" spans="1:49" s="933" customFormat="1" ht="12.75" customHeight="1">
      <c r="A538" s="1016"/>
      <c r="B538" s="1295"/>
      <c r="C538" s="1295"/>
      <c r="D538" s="1295"/>
      <c r="E538" s="1295"/>
      <c r="F538" s="3327"/>
      <c r="G538" s="3328"/>
      <c r="H538" s="3328"/>
      <c r="I538" s="3328"/>
      <c r="J538" s="3328"/>
      <c r="K538" s="3328"/>
      <c r="L538" s="3328"/>
      <c r="M538" s="3328"/>
      <c r="N538" s="3328"/>
      <c r="O538" s="3328"/>
      <c r="P538" s="3328"/>
      <c r="Q538" s="3328"/>
      <c r="R538" s="3328"/>
      <c r="S538" s="3328"/>
      <c r="T538" s="3328"/>
      <c r="U538" s="3328"/>
      <c r="V538" s="3328"/>
      <c r="W538" s="3328"/>
      <c r="X538" s="3328"/>
      <c r="Y538" s="3328"/>
      <c r="Z538" s="3328"/>
      <c r="AA538" s="3328"/>
      <c r="AB538" s="3328"/>
      <c r="AC538" s="3328"/>
      <c r="AD538" s="3328"/>
      <c r="AE538" s="3328"/>
      <c r="AF538" s="3328"/>
      <c r="AG538" s="3328"/>
      <c r="AH538" s="3328"/>
      <c r="AI538" s="3328"/>
      <c r="AJ538" s="3328"/>
      <c r="AK538" s="3328"/>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7">
        <f>Application!AJ975</f>
        <v>50338053</v>
      </c>
      <c r="AQ539" s="3317"/>
      <c r="AR539" s="3317"/>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8">
        <f>'Sources and Uses Budget'!S107+'Sources and Uses Budget'!T107</f>
        <v>66470659.542293414</v>
      </c>
      <c r="AG540" s="3168"/>
      <c r="AH540" s="3168"/>
      <c r="AI540" s="3168"/>
      <c r="AJ540" s="3168"/>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9">
        <f>AP548</f>
        <v>84684580.489999995</v>
      </c>
      <c r="AG541" s="3329"/>
      <c r="AH541" s="3329"/>
      <c r="AI541" s="3329"/>
      <c r="AJ541" s="3329"/>
      <c r="AK541" s="995"/>
      <c r="AL541" s="995"/>
      <c r="AM541" s="995"/>
      <c r="AN541" s="990"/>
      <c r="AP541" s="3317">
        <f>Application!AJ1024</f>
        <v>5537185.8300000001</v>
      </c>
      <c r="AQ541" s="3317"/>
      <c r="AR541" s="3317"/>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0">
        <f>ROUNDDOWN(IF(C533="YES",((1-(AF540/AF541))*2),(1-(AF540/AF541))),2)</f>
        <v>0.43</v>
      </c>
      <c r="AG542" s="3330"/>
      <c r="AH542" s="3330"/>
      <c r="AI542" s="3330"/>
      <c r="AJ542" s="3330"/>
      <c r="AK542" s="995"/>
      <c r="AL542" s="995"/>
      <c r="AM542" s="995"/>
      <c r="AN542" s="990"/>
      <c r="AP542" s="3321">
        <f>Application!AJ1028</f>
        <v>11074371.66</v>
      </c>
      <c r="AQ542" s="3321"/>
      <c r="AR542" s="332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6">
        <f>IF(((AP541+AP542)/AP539)&gt;0.8,0.8,((AP541+AP542)/AP539))</f>
        <v>0.33</v>
      </c>
      <c r="AQ543" s="3316"/>
      <c r="AR543" s="3316"/>
    </row>
    <row r="544" spans="1:49" s="933" customFormat="1" ht="12.75" customHeight="1">
      <c r="A544" s="1038"/>
      <c r="B544" s="3267" t="s">
        <v>2496</v>
      </c>
      <c r="C544" s="3268"/>
      <c r="D544" s="3268"/>
      <c r="E544" s="3268"/>
      <c r="F544" s="3268"/>
      <c r="G544" s="3268"/>
      <c r="H544" s="3268"/>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68"/>
      <c r="AD544" s="3268"/>
      <c r="AE544" s="3268"/>
      <c r="AF544" s="3268"/>
      <c r="AG544" s="3268"/>
      <c r="AH544" s="3268"/>
      <c r="AI544" s="3268"/>
      <c r="AJ544" s="3269"/>
      <c r="AK544" s="995"/>
      <c r="AL544" s="995"/>
      <c r="AM544" s="995"/>
      <c r="AN544" s="990"/>
    </row>
    <row r="545" spans="1:44" s="933" customFormat="1" ht="12.75" customHeight="1">
      <c r="A545" s="1038"/>
      <c r="B545" s="3270"/>
      <c r="C545" s="3271"/>
      <c r="D545" s="3271"/>
      <c r="E545" s="3271"/>
      <c r="F545" s="3271"/>
      <c r="G545" s="3271"/>
      <c r="H545" s="3271"/>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71"/>
      <c r="AD545" s="3271"/>
      <c r="AE545" s="3271"/>
      <c r="AF545" s="3271"/>
      <c r="AG545" s="3271"/>
      <c r="AH545" s="3271"/>
      <c r="AI545" s="3271"/>
      <c r="AJ545" s="3272"/>
      <c r="AK545" s="995"/>
      <c r="AL545" s="995"/>
      <c r="AM545" s="995"/>
      <c r="AN545" s="990"/>
      <c r="AP545" s="3317">
        <f>AP546-AP541-AP542</f>
        <v>68073023</v>
      </c>
      <c r="AQ545" s="3318"/>
      <c r="AR545" s="3318"/>
    </row>
    <row r="546" spans="1:44" s="933" customFormat="1" ht="12.75" customHeight="1">
      <c r="A546" s="1038"/>
      <c r="B546" s="3273"/>
      <c r="C546" s="3274"/>
      <c r="D546" s="3274"/>
      <c r="E546" s="3274"/>
      <c r="F546" s="3274"/>
      <c r="G546" s="3274"/>
      <c r="H546" s="3274"/>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74"/>
      <c r="AD546" s="3274"/>
      <c r="AE546" s="3274"/>
      <c r="AF546" s="3274"/>
      <c r="AG546" s="3274"/>
      <c r="AH546" s="3274"/>
      <c r="AI546" s="3274"/>
      <c r="AJ546" s="3275"/>
      <c r="AK546" s="995"/>
      <c r="AL546" s="995"/>
      <c r="AM546" s="995"/>
      <c r="AN546" s="990"/>
      <c r="AP546" s="3317">
        <f>Application!AJ1032</f>
        <v>84684580.489999995</v>
      </c>
      <c r="AQ546" s="3317"/>
      <c r="AR546" s="3317"/>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76">
        <f>IFERROR(IF(AF542=0,0,IF((AF542*100)&gt;12,12,(AF542*100))),0)</f>
        <v>12</v>
      </c>
      <c r="AL548" s="3276"/>
      <c r="AM548" s="3277"/>
      <c r="AN548" s="990"/>
      <c r="AP548" s="3340">
        <f>AP545+(AP539*AP543)</f>
        <v>84684580.489999995</v>
      </c>
      <c r="AQ548" s="3341"/>
      <c r="AR548" s="3342"/>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2486</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3" t="s">
        <v>1510</v>
      </c>
      <c r="AF551" s="3153"/>
      <c r="AG551" s="3153"/>
      <c r="AH551" s="3153"/>
      <c r="AI551" s="3153"/>
      <c r="AJ551" s="3153"/>
      <c r="AK551" s="3153"/>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5" t="s">
        <v>2487</v>
      </c>
      <c r="C553" s="3185"/>
      <c r="D553" s="3185"/>
      <c r="E553" s="3185"/>
      <c r="F553" s="3185"/>
      <c r="G553" s="3185"/>
      <c r="H553" s="3185"/>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85"/>
      <c r="AD553" s="3185"/>
      <c r="AE553" s="3185"/>
      <c r="AF553" s="3185"/>
      <c r="AG553" s="3185"/>
      <c r="AH553" s="3185"/>
      <c r="AI553" s="3185"/>
      <c r="AJ553" s="3185"/>
      <c r="AK553" s="1068"/>
      <c r="AL553" s="957"/>
      <c r="AM553" s="1017"/>
      <c r="AN553" s="990"/>
    </row>
    <row r="554" spans="1:44" s="933" customFormat="1" ht="12.75" customHeight="1">
      <c r="A554" s="1017"/>
      <c r="B554" s="3185"/>
      <c r="C554" s="3185"/>
      <c r="D554" s="3185"/>
      <c r="E554" s="3185"/>
      <c r="F554" s="3185"/>
      <c r="G554" s="3185"/>
      <c r="H554" s="3185"/>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85"/>
      <c r="AD554" s="3185"/>
      <c r="AE554" s="3185"/>
      <c r="AF554" s="3185"/>
      <c r="AG554" s="3185"/>
      <c r="AH554" s="3185"/>
      <c r="AI554" s="3185"/>
      <c r="AJ554" s="3185"/>
      <c r="AK554" s="1068"/>
      <c r="AL554" s="957"/>
      <c r="AM554" s="1017"/>
      <c r="AN554" s="990"/>
    </row>
    <row r="555" spans="1:44" s="933" customFormat="1" ht="12.75" customHeight="1">
      <c r="A555" s="1017"/>
      <c r="B555" s="3185"/>
      <c r="C555" s="3185"/>
      <c r="D555" s="3185"/>
      <c r="E555" s="3185"/>
      <c r="F555" s="3185"/>
      <c r="G555" s="3185"/>
      <c r="H555" s="3185"/>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85"/>
      <c r="AD555" s="3185"/>
      <c r="AE555" s="3185"/>
      <c r="AF555" s="3185"/>
      <c r="AG555" s="3185"/>
      <c r="AH555" s="3185"/>
      <c r="AI555" s="3185"/>
      <c r="AJ555" s="3185"/>
      <c r="AK555" s="1068"/>
      <c r="AL555" s="957"/>
      <c r="AM555" s="1017"/>
      <c r="AN555" s="990"/>
    </row>
    <row r="556" spans="1:44" s="933" customFormat="1" ht="12.75" customHeight="1">
      <c r="A556" s="1017"/>
      <c r="B556" s="3185"/>
      <c r="C556" s="3185"/>
      <c r="D556" s="3185"/>
      <c r="E556" s="3185"/>
      <c r="F556" s="3185"/>
      <c r="G556" s="3185"/>
      <c r="H556" s="3185"/>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85"/>
      <c r="AD556" s="3185"/>
      <c r="AE556" s="3185"/>
      <c r="AF556" s="3185"/>
      <c r="AG556" s="3185"/>
      <c r="AH556" s="3185"/>
      <c r="AI556" s="3185"/>
      <c r="AJ556" s="3185"/>
      <c r="AK556" s="1068"/>
      <c r="AL556" s="957"/>
      <c r="AM556" s="1017"/>
      <c r="AN556" s="990"/>
    </row>
    <row r="557" spans="1:44" s="933" customFormat="1" ht="12.75" customHeight="1">
      <c r="A557" s="1017"/>
      <c r="B557" s="3185"/>
      <c r="C557" s="3185"/>
      <c r="D557" s="3185"/>
      <c r="E557" s="3185"/>
      <c r="F557" s="3185"/>
      <c r="G557" s="3185"/>
      <c r="H557" s="3185"/>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85"/>
      <c r="AD557" s="3185"/>
      <c r="AE557" s="3185"/>
      <c r="AF557" s="3185"/>
      <c r="AG557" s="3185"/>
      <c r="AH557" s="3185"/>
      <c r="AI557" s="3185"/>
      <c r="AJ557" s="3185"/>
      <c r="AK557" s="1068"/>
      <c r="AL557" s="957"/>
      <c r="AM557" s="1017"/>
      <c r="AN557" s="990"/>
    </row>
    <row r="558" spans="1:44" s="933" customFormat="1" ht="12.75" customHeight="1">
      <c r="A558" s="1017"/>
      <c r="B558" s="3185"/>
      <c r="C558" s="3185"/>
      <c r="D558" s="3185"/>
      <c r="E558" s="3185"/>
      <c r="F558" s="3185"/>
      <c r="G558" s="3185"/>
      <c r="H558" s="3185"/>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85"/>
      <c r="AD558" s="3185"/>
      <c r="AE558" s="3185"/>
      <c r="AF558" s="3185"/>
      <c r="AG558" s="3185"/>
      <c r="AH558" s="3185"/>
      <c r="AI558" s="3185"/>
      <c r="AJ558" s="3185"/>
      <c r="AK558" s="1068"/>
      <c r="AL558" s="957"/>
      <c r="AM558" s="1017"/>
      <c r="AN558" s="990"/>
    </row>
    <row r="559" spans="1:44" s="933" customFormat="1" ht="12.75" customHeight="1">
      <c r="A559" s="1017"/>
      <c r="B559" s="3185"/>
      <c r="C559" s="3185"/>
      <c r="D559" s="3185"/>
      <c r="E559" s="3185"/>
      <c r="F559" s="3185"/>
      <c r="G559" s="3185"/>
      <c r="H559" s="3185"/>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85"/>
      <c r="AD559" s="3185"/>
      <c r="AE559" s="3185"/>
      <c r="AF559" s="3185"/>
      <c r="AG559" s="3185"/>
      <c r="AH559" s="3185"/>
      <c r="AI559" s="3185"/>
      <c r="AJ559" s="3185"/>
      <c r="AK559" s="1068"/>
      <c r="AL559" s="957"/>
      <c r="AM559" s="1017"/>
      <c r="AN559" s="990"/>
    </row>
    <row r="560" spans="1:44" ht="12.75" customHeight="1">
      <c r="A560" s="1017"/>
      <c r="B560" s="3185"/>
      <c r="C560" s="3185"/>
      <c r="D560" s="3185"/>
      <c r="E560" s="3185"/>
      <c r="F560" s="3185"/>
      <c r="G560" s="3185"/>
      <c r="H560" s="3185"/>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85"/>
      <c r="AD560" s="3185"/>
      <c r="AE560" s="3185"/>
      <c r="AF560" s="3185"/>
      <c r="AG560" s="3185"/>
      <c r="AH560" s="3185"/>
      <c r="AI560" s="3185"/>
      <c r="AJ560" s="3185"/>
      <c r="AK560" s="1068"/>
      <c r="AL560" s="957"/>
      <c r="AM560" s="1017"/>
    </row>
    <row r="561" spans="1:42" s="933" customFormat="1" ht="12.75" customHeight="1">
      <c r="A561" s="1050"/>
      <c r="B561" s="3185"/>
      <c r="C561" s="3185"/>
      <c r="D561" s="3185"/>
      <c r="E561" s="3185"/>
      <c r="F561" s="3185"/>
      <c r="G561" s="3185"/>
      <c r="H561" s="3185"/>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85"/>
      <c r="AD561" s="3185"/>
      <c r="AE561" s="3185"/>
      <c r="AF561" s="3185"/>
      <c r="AG561" s="3185"/>
      <c r="AH561" s="3185"/>
      <c r="AI561" s="3185"/>
      <c r="AJ561" s="318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9" t="s">
        <v>1534</v>
      </c>
      <c r="AG567" s="3129"/>
      <c r="AH567" s="3129"/>
      <c r="AI567" s="3129"/>
      <c r="AJ567" s="3129"/>
      <c r="AK567" s="3129"/>
      <c r="AL567" s="3129"/>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9" t="s">
        <v>1592</v>
      </c>
      <c r="AG574" s="3129"/>
      <c r="AH574" s="3129"/>
      <c r="AI574" s="3129"/>
      <c r="AJ574" s="3129"/>
      <c r="AK574" s="3129"/>
      <c r="AL574" s="3129"/>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9" t="s">
        <v>1574</v>
      </c>
      <c r="AG580" s="3129"/>
      <c r="AH580" s="3129"/>
      <c r="AI580" s="3129"/>
      <c r="AJ580" s="3129"/>
      <c r="AK580" s="3129"/>
      <c r="AL580" s="3129"/>
      <c r="AM580" s="1016"/>
      <c r="AN580" s="990"/>
      <c r="AO580" s="1108" t="s">
        <v>1594</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9" t="s">
        <v>1595</v>
      </c>
      <c r="AG586" s="3129"/>
      <c r="AH586" s="3129"/>
      <c r="AI586" s="3129"/>
      <c r="AJ586" s="3129"/>
      <c r="AK586" s="3129"/>
      <c r="AL586" s="3129"/>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18" t="s">
        <v>1348</v>
      </c>
      <c r="P590" s="3218"/>
      <c r="Q590" s="3218"/>
      <c r="R590" s="3218"/>
      <c r="S590" s="3218"/>
      <c r="T590" s="3218"/>
      <c r="U590" s="3218"/>
      <c r="V590" s="3218"/>
      <c r="W590" s="3218"/>
      <c r="X590" s="3218"/>
      <c r="Y590" s="3218"/>
      <c r="Z590" s="3218"/>
      <c r="AA590" s="3218"/>
      <c r="AB590" s="3218"/>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9" t="s">
        <v>1548</v>
      </c>
      <c r="AG592" s="3129"/>
      <c r="AH592" s="3129"/>
      <c r="AI592" s="3129"/>
      <c r="AJ592" s="3129"/>
      <c r="AK592" s="3129"/>
      <c r="AL592" s="3129"/>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216" t="s">
        <v>714</v>
      </c>
      <c r="I595" s="321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17" t="s">
        <v>617</v>
      </c>
      <c r="J603" s="3217"/>
      <c r="K603" s="3217"/>
      <c r="L603" s="3217"/>
      <c r="M603" s="3217"/>
      <c r="N603" s="3217"/>
      <c r="O603" s="3217"/>
      <c r="P603" s="3217"/>
      <c r="Q603" s="3217"/>
      <c r="R603" s="3217"/>
      <c r="S603" s="3217"/>
      <c r="T603" s="3217"/>
      <c r="U603" s="3217"/>
      <c r="V603" s="3217"/>
      <c r="W603" s="3217"/>
      <c r="X603" s="3217"/>
      <c r="Y603" s="3217"/>
      <c r="Z603" s="3217"/>
      <c r="AA603" s="3217"/>
      <c r="AB603" s="3217"/>
      <c r="AC603" s="3217"/>
      <c r="AD603" s="3217"/>
      <c r="AE603" s="3217"/>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57" t="s">
        <v>617</v>
      </c>
      <c r="C605" s="3157"/>
      <c r="D605" s="1492"/>
      <c r="E605" s="3185" t="s">
        <v>1599</v>
      </c>
      <c r="F605" s="3185"/>
      <c r="G605" s="3185"/>
      <c r="H605" s="3185"/>
      <c r="I605" s="3185"/>
      <c r="J605" s="3185"/>
      <c r="K605" s="3185"/>
      <c r="L605" s="3185"/>
      <c r="M605" s="3185"/>
      <c r="N605" s="3185"/>
      <c r="O605" s="3185"/>
      <c r="P605" s="3185"/>
      <c r="Q605" s="3185"/>
      <c r="R605" s="3185"/>
      <c r="S605" s="3185"/>
      <c r="T605" s="3185"/>
      <c r="U605" s="3185"/>
      <c r="V605" s="3185"/>
      <c r="W605" s="3185"/>
      <c r="X605" s="3185"/>
      <c r="Y605" s="3185"/>
      <c r="Z605" s="3185"/>
      <c r="AA605" s="3185"/>
      <c r="AB605" s="3185"/>
      <c r="AC605" s="3185"/>
      <c r="AD605" s="3185"/>
      <c r="AE605" s="3185"/>
      <c r="AF605" s="3185"/>
      <c r="AG605" s="3185"/>
      <c r="AH605" s="1492"/>
      <c r="AI605" s="1492"/>
      <c r="AJ605" s="1492"/>
      <c r="AK605" s="1492"/>
      <c r="AL605" s="1492"/>
      <c r="AN605" s="990"/>
    </row>
    <row r="606" spans="1:47" s="933" customFormat="1" ht="12.75" customHeight="1">
      <c r="A606" s="1050"/>
      <c r="B606" s="1013"/>
      <c r="C606" s="1487"/>
      <c r="D606" s="1492"/>
      <c r="E606" s="3185"/>
      <c r="F606" s="3185"/>
      <c r="G606" s="3185"/>
      <c r="H606" s="3185"/>
      <c r="I606" s="3185"/>
      <c r="J606" s="3185"/>
      <c r="K606" s="3185"/>
      <c r="L606" s="3185"/>
      <c r="M606" s="3185"/>
      <c r="N606" s="3185"/>
      <c r="O606" s="3185"/>
      <c r="P606" s="3185"/>
      <c r="Q606" s="3185"/>
      <c r="R606" s="3185"/>
      <c r="S606" s="3185"/>
      <c r="T606" s="3185"/>
      <c r="U606" s="3185"/>
      <c r="V606" s="3185"/>
      <c r="W606" s="3185"/>
      <c r="X606" s="3185"/>
      <c r="Y606" s="3185"/>
      <c r="Z606" s="3185"/>
      <c r="AA606" s="3185"/>
      <c r="AB606" s="3185"/>
      <c r="AC606" s="3185"/>
      <c r="AD606" s="3185"/>
      <c r="AE606" s="3185"/>
      <c r="AF606" s="3185"/>
      <c r="AG606" s="3185"/>
      <c r="AH606" s="1492"/>
      <c r="AI606" s="1492"/>
      <c r="AJ606" s="1492"/>
      <c r="AK606" s="1492"/>
      <c r="AL606" s="1492"/>
      <c r="AN606" s="990"/>
    </row>
    <row r="607" spans="1:47" s="933" customFormat="1" ht="12.75" customHeight="1">
      <c r="A607" s="1050"/>
      <c r="B607" s="1013"/>
      <c r="C607" s="1487"/>
      <c r="D607" s="1492"/>
      <c r="E607" s="3185"/>
      <c r="F607" s="3185"/>
      <c r="G607" s="3185"/>
      <c r="H607" s="3185"/>
      <c r="I607" s="3185"/>
      <c r="J607" s="3185"/>
      <c r="K607" s="3185"/>
      <c r="L607" s="3185"/>
      <c r="M607" s="3185"/>
      <c r="N607" s="3185"/>
      <c r="O607" s="3185"/>
      <c r="P607" s="3185"/>
      <c r="Q607" s="3185"/>
      <c r="R607" s="3185"/>
      <c r="S607" s="3185"/>
      <c r="T607" s="3185"/>
      <c r="U607" s="3185"/>
      <c r="V607" s="3185"/>
      <c r="W607" s="3185"/>
      <c r="X607" s="3185"/>
      <c r="Y607" s="3185"/>
      <c r="Z607" s="3185"/>
      <c r="AA607" s="3185"/>
      <c r="AB607" s="3185"/>
      <c r="AC607" s="3185"/>
      <c r="AD607" s="3185"/>
      <c r="AE607" s="3185"/>
      <c r="AF607" s="3185"/>
      <c r="AG607" s="3185"/>
      <c r="AH607" s="1492"/>
      <c r="AI607" s="1492"/>
      <c r="AJ607" s="1492"/>
      <c r="AK607" s="1492"/>
      <c r="AL607" s="1492"/>
      <c r="AN607" s="990"/>
    </row>
    <row r="608" spans="1:47" s="933" customFormat="1" ht="12.75" customHeight="1">
      <c r="A608" s="1050"/>
      <c r="B608" s="1013"/>
      <c r="C608" s="1487"/>
      <c r="D608" s="1494"/>
      <c r="E608" s="3185"/>
      <c r="F608" s="3185"/>
      <c r="G608" s="3185"/>
      <c r="H608" s="3185"/>
      <c r="I608" s="3185"/>
      <c r="J608" s="3185"/>
      <c r="K608" s="3185"/>
      <c r="L608" s="3185"/>
      <c r="M608" s="3185"/>
      <c r="N608" s="3185"/>
      <c r="O608" s="3185"/>
      <c r="P608" s="3185"/>
      <c r="Q608" s="3185"/>
      <c r="R608" s="3185"/>
      <c r="S608" s="3185"/>
      <c r="T608" s="3185"/>
      <c r="U608" s="3185"/>
      <c r="V608" s="3185"/>
      <c r="W608" s="3185"/>
      <c r="X608" s="3185"/>
      <c r="Y608" s="3185"/>
      <c r="Z608" s="3185"/>
      <c r="AA608" s="3185"/>
      <c r="AB608" s="3185"/>
      <c r="AC608" s="3185"/>
      <c r="AD608" s="3185"/>
      <c r="AE608" s="3185"/>
      <c r="AF608" s="3185"/>
      <c r="AG608" s="318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65">
        <f>VLOOKUP($H$595,$AO$575:$AP$580,2,FALSE)+VLOOKUP($I$603,$AO$602:$AP$604,2,FALSE)</f>
        <v>7</v>
      </c>
      <c r="AK610" s="3167"/>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15" t="s">
        <v>2008</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2"/>
      <c r="AF614" s="3129" t="s">
        <v>1548</v>
      </c>
      <c r="AG614" s="3129"/>
      <c r="AH614" s="3129"/>
      <c r="AI614" s="3129"/>
      <c r="AJ614" s="3129"/>
      <c r="AK614" s="3129"/>
      <c r="AL614" s="3129"/>
      <c r="AM614" s="1016"/>
      <c r="AN614" s="1115"/>
    </row>
    <row r="615" spans="1:42" s="933" customFormat="1" ht="12.75" customHeight="1">
      <c r="A615" s="1116"/>
      <c r="B615" s="1013"/>
      <c r="C615" s="1487"/>
      <c r="D615" s="1096"/>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6"/>
      <c r="AF615" s="996"/>
      <c r="AG615" s="996"/>
      <c r="AH615" s="996"/>
      <c r="AI615" s="996"/>
      <c r="AJ615" s="996"/>
      <c r="AK615" s="996"/>
      <c r="AL615" s="996"/>
      <c r="AM615" s="1016"/>
      <c r="AN615" s="990"/>
    </row>
    <row r="616" spans="1:42" s="933" customFormat="1" ht="12.75" customHeight="1">
      <c r="A616" s="1050"/>
      <c r="B616" s="1013"/>
      <c r="C616" s="1488"/>
      <c r="D616" s="1096"/>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6"/>
      <c r="AF616" s="996"/>
      <c r="AG616" s="996"/>
      <c r="AH616" s="996"/>
      <c r="AI616" s="996"/>
      <c r="AJ616" s="996"/>
      <c r="AK616" s="996"/>
      <c r="AL616" s="996"/>
      <c r="AM616" s="1016"/>
      <c r="AN616" s="990"/>
    </row>
    <row r="617" spans="1:42" s="933" customFormat="1" ht="12.75" customHeight="1">
      <c r="A617" s="1050"/>
      <c r="B617" s="1013"/>
      <c r="C617" s="1488"/>
      <c r="D617" s="1096"/>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6"/>
      <c r="AF617" s="996"/>
      <c r="AG617" s="996"/>
      <c r="AH617" s="996"/>
      <c r="AI617" s="996"/>
      <c r="AJ617" s="996"/>
      <c r="AK617" s="996"/>
      <c r="AL617" s="996"/>
      <c r="AM617" s="1016"/>
      <c r="AN617" s="990"/>
    </row>
    <row r="618" spans="1:42" s="933" customFormat="1" ht="12.75" customHeight="1">
      <c r="A618" s="1050"/>
      <c r="B618" s="1013"/>
      <c r="C618" s="1488"/>
      <c r="D618" s="1096"/>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6"/>
      <c r="AF618" s="996"/>
      <c r="AG618" s="996"/>
      <c r="AH618" s="996"/>
      <c r="AI618" s="996"/>
      <c r="AJ618" s="996"/>
      <c r="AK618" s="996"/>
      <c r="AL618" s="996"/>
      <c r="AM618" s="1016"/>
      <c r="AN618" s="990"/>
    </row>
    <row r="619" spans="1:42" s="933" customFormat="1" ht="12.75" customHeight="1">
      <c r="A619" s="1050"/>
      <c r="B619" s="1013"/>
      <c r="C619" s="1488"/>
      <c r="D619" s="1096"/>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6"/>
      <c r="AF619" s="996"/>
      <c r="AG619" s="996"/>
      <c r="AH619" s="996"/>
      <c r="AI619" s="996"/>
      <c r="AJ619" s="996"/>
      <c r="AK619" s="996"/>
      <c r="AL619" s="996"/>
      <c r="AM619" s="1016"/>
      <c r="AN619" s="990"/>
    </row>
    <row r="620" spans="1:42" s="933" customFormat="1" ht="12.75" customHeight="1">
      <c r="A620" s="1109"/>
      <c r="B620" s="1025"/>
      <c r="C620" s="1497"/>
      <c r="D620" s="1096"/>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5"/>
      <c r="AF620" s="1025"/>
      <c r="AG620" s="1025"/>
      <c r="AH620" s="1025"/>
      <c r="AI620" s="1025"/>
      <c r="AJ620" s="1025"/>
      <c r="AK620" s="996"/>
      <c r="AL620" s="996"/>
      <c r="AM620" s="1016"/>
      <c r="AN620" s="990"/>
    </row>
    <row r="621" spans="1:42" s="933" customFormat="1" ht="12.75" customHeight="1">
      <c r="A621" s="1050"/>
      <c r="B621" s="1025"/>
      <c r="C621" s="1497"/>
      <c r="D621" s="1096"/>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57" t="s">
        <v>617</v>
      </c>
      <c r="Y623" s="3157"/>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9" t="s">
        <v>1604</v>
      </c>
      <c r="AG625" s="3129"/>
      <c r="AH625" s="3129"/>
      <c r="AI625" s="3129"/>
      <c r="AJ625" s="3129"/>
      <c r="AK625" s="3129"/>
      <c r="AL625" s="3129"/>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16" t="s">
        <v>714</v>
      </c>
      <c r="I627" s="321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65">
        <f>VLOOKUP($H$627,$AO$594:$AP$596,2,FALSE)</f>
        <v>3</v>
      </c>
      <c r="AK629" s="3167"/>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9" t="s">
        <v>1548</v>
      </c>
      <c r="AG633" s="3129"/>
      <c r="AH633" s="3129"/>
      <c r="AI633" s="3129"/>
      <c r="AJ633" s="3129"/>
      <c r="AK633" s="3129"/>
      <c r="AL633" s="3129"/>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9" t="s">
        <v>1604</v>
      </c>
      <c r="AG636" s="3129"/>
      <c r="AH636" s="3129"/>
      <c r="AI636" s="3129"/>
      <c r="AJ636" s="3129"/>
      <c r="AK636" s="3129"/>
      <c r="AL636" s="3129"/>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16" t="s">
        <v>714</v>
      </c>
      <c r="I639" s="321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65">
        <f>VLOOKUP(H639,AT594:AU596,2,FALSE)</f>
        <v>3</v>
      </c>
      <c r="AK641" s="3167"/>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85" t="s">
        <v>1616</v>
      </c>
      <c r="F646" s="3185"/>
      <c r="G646" s="3185"/>
      <c r="H646" s="3185"/>
      <c r="I646" s="3185"/>
      <c r="J646" s="3185"/>
      <c r="K646" s="3185"/>
      <c r="L646" s="3185"/>
      <c r="M646" s="3185"/>
      <c r="N646" s="3185"/>
      <c r="O646" s="3185"/>
      <c r="P646" s="3185"/>
      <c r="Q646" s="3185"/>
      <c r="R646" s="3185"/>
      <c r="S646" s="3185"/>
      <c r="T646" s="3185"/>
      <c r="U646" s="3185"/>
      <c r="V646" s="3185"/>
      <c r="W646" s="3185"/>
      <c r="X646" s="3185"/>
      <c r="Y646" s="3185"/>
      <c r="Z646" s="3185"/>
      <c r="AA646" s="3185"/>
      <c r="AB646" s="3185"/>
      <c r="AC646" s="3185"/>
      <c r="AD646" s="917"/>
      <c r="AE646" s="917"/>
      <c r="AF646" s="3129" t="s">
        <v>1574</v>
      </c>
      <c r="AG646" s="3129"/>
      <c r="AH646" s="3129"/>
      <c r="AI646" s="3129"/>
      <c r="AJ646" s="3129"/>
      <c r="AK646" s="3129"/>
      <c r="AL646" s="3129"/>
      <c r="AN646" s="990"/>
    </row>
    <row r="647" spans="1:42" s="933" customFormat="1" ht="12.75" customHeight="1">
      <c r="B647" s="917"/>
      <c r="C647" s="976"/>
      <c r="D647" s="917"/>
      <c r="E647" s="3185"/>
      <c r="F647" s="3185"/>
      <c r="G647" s="3185"/>
      <c r="H647" s="3185"/>
      <c r="I647" s="3185"/>
      <c r="J647" s="3185"/>
      <c r="K647" s="3185"/>
      <c r="L647" s="3185"/>
      <c r="M647" s="3185"/>
      <c r="N647" s="3185"/>
      <c r="O647" s="3185"/>
      <c r="P647" s="3185"/>
      <c r="Q647" s="3185"/>
      <c r="R647" s="3185"/>
      <c r="S647" s="3185"/>
      <c r="T647" s="3185"/>
      <c r="U647" s="3185"/>
      <c r="V647" s="3185"/>
      <c r="W647" s="3185"/>
      <c r="X647" s="3185"/>
      <c r="Y647" s="3185"/>
      <c r="Z647" s="3185"/>
      <c r="AA647" s="3185"/>
      <c r="AB647" s="3185"/>
      <c r="AC647" s="3185"/>
      <c r="AD647" s="917"/>
      <c r="AE647" s="917"/>
      <c r="AF647" s="917"/>
      <c r="AG647" s="917"/>
      <c r="AH647" s="917"/>
      <c r="AI647" s="917"/>
      <c r="AJ647" s="917"/>
      <c r="AK647" s="917"/>
      <c r="AL647" s="917"/>
      <c r="AN647" s="990"/>
    </row>
    <row r="648" spans="1:42" s="933" customFormat="1" ht="12.75" customHeight="1">
      <c r="B648" s="917"/>
      <c r="C648" s="976"/>
      <c r="D648" s="1096"/>
      <c r="E648" s="3185"/>
      <c r="F648" s="3185"/>
      <c r="G648" s="3185"/>
      <c r="H648" s="3185"/>
      <c r="I648" s="3185"/>
      <c r="J648" s="3185"/>
      <c r="K648" s="3185"/>
      <c r="L648" s="3185"/>
      <c r="M648" s="3185"/>
      <c r="N648" s="3185"/>
      <c r="O648" s="3185"/>
      <c r="P648" s="3185"/>
      <c r="Q648" s="3185"/>
      <c r="R648" s="3185"/>
      <c r="S648" s="3185"/>
      <c r="T648" s="3185"/>
      <c r="U648" s="3185"/>
      <c r="V648" s="3185"/>
      <c r="W648" s="3185"/>
      <c r="X648" s="3185"/>
      <c r="Y648" s="3185"/>
      <c r="Z648" s="3185"/>
      <c r="AA648" s="3185"/>
      <c r="AB648" s="3185"/>
      <c r="AC648" s="318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85" t="s">
        <v>1617</v>
      </c>
      <c r="F650" s="3185"/>
      <c r="G650" s="3185"/>
      <c r="H650" s="3185"/>
      <c r="I650" s="3185"/>
      <c r="J650" s="3185"/>
      <c r="K650" s="3185"/>
      <c r="L650" s="3185"/>
      <c r="M650" s="3185"/>
      <c r="N650" s="3185"/>
      <c r="O650" s="3185"/>
      <c r="P650" s="3185"/>
      <c r="Q650" s="3185"/>
      <c r="R650" s="3185"/>
      <c r="S650" s="3185"/>
      <c r="T650" s="3185"/>
      <c r="U650" s="3185"/>
      <c r="V650" s="3185"/>
      <c r="W650" s="3185"/>
      <c r="X650" s="3185"/>
      <c r="Y650" s="3185"/>
      <c r="Z650" s="3185"/>
      <c r="AA650" s="3185"/>
      <c r="AB650" s="3185"/>
      <c r="AC650" s="3185"/>
      <c r="AD650" s="917"/>
      <c r="AE650" s="917"/>
      <c r="AF650" s="3129" t="s">
        <v>1595</v>
      </c>
      <c r="AG650" s="3129"/>
      <c r="AH650" s="3129"/>
      <c r="AI650" s="3129"/>
      <c r="AJ650" s="3129"/>
      <c r="AK650" s="3129"/>
      <c r="AL650" s="3129"/>
      <c r="AN650" s="990"/>
    </row>
    <row r="651" spans="1:42" s="933" customFormat="1" ht="12.75" customHeight="1">
      <c r="B651" s="917"/>
      <c r="C651" s="976"/>
      <c r="D651" s="917"/>
      <c r="E651" s="3185"/>
      <c r="F651" s="3185"/>
      <c r="G651" s="3185"/>
      <c r="H651" s="3185"/>
      <c r="I651" s="3185"/>
      <c r="J651" s="3185"/>
      <c r="K651" s="3185"/>
      <c r="L651" s="3185"/>
      <c r="M651" s="3185"/>
      <c r="N651" s="3185"/>
      <c r="O651" s="3185"/>
      <c r="P651" s="3185"/>
      <c r="Q651" s="3185"/>
      <c r="R651" s="3185"/>
      <c r="S651" s="3185"/>
      <c r="T651" s="3185"/>
      <c r="U651" s="3185"/>
      <c r="V651" s="3185"/>
      <c r="W651" s="3185"/>
      <c r="X651" s="3185"/>
      <c r="Y651" s="3185"/>
      <c r="Z651" s="3185"/>
      <c r="AA651" s="3185"/>
      <c r="AB651" s="3185"/>
      <c r="AC651" s="3185"/>
      <c r="AD651" s="917"/>
      <c r="AE651" s="917"/>
      <c r="AF651" s="917"/>
      <c r="AG651" s="917"/>
      <c r="AH651" s="917"/>
      <c r="AI651" s="917"/>
      <c r="AJ651" s="917"/>
      <c r="AK651" s="917"/>
      <c r="AL651" s="917"/>
      <c r="AN651" s="990"/>
    </row>
    <row r="652" spans="1:42" s="933" customFormat="1" ht="15" customHeight="1">
      <c r="B652" s="917"/>
      <c r="C652" s="976"/>
      <c r="D652" s="1096"/>
      <c r="E652" s="3185"/>
      <c r="F652" s="3185"/>
      <c r="G652" s="3185"/>
      <c r="H652" s="3185"/>
      <c r="I652" s="3185"/>
      <c r="J652" s="3185"/>
      <c r="K652" s="3185"/>
      <c r="L652" s="3185"/>
      <c r="M652" s="3185"/>
      <c r="N652" s="3185"/>
      <c r="O652" s="3185"/>
      <c r="P652" s="3185"/>
      <c r="Q652" s="3185"/>
      <c r="R652" s="3185"/>
      <c r="S652" s="3185"/>
      <c r="T652" s="3185"/>
      <c r="U652" s="3185"/>
      <c r="V652" s="3185"/>
      <c r="W652" s="3185"/>
      <c r="X652" s="3185"/>
      <c r="Y652" s="3185"/>
      <c r="Z652" s="3185"/>
      <c r="AA652" s="3185"/>
      <c r="AB652" s="3185"/>
      <c r="AC652" s="318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85" t="s">
        <v>1618</v>
      </c>
      <c r="F654" s="3185"/>
      <c r="G654" s="3185"/>
      <c r="H654" s="3185"/>
      <c r="I654" s="3185"/>
      <c r="J654" s="3185"/>
      <c r="K654" s="3185"/>
      <c r="L654" s="3185"/>
      <c r="M654" s="3185"/>
      <c r="N654" s="3185"/>
      <c r="O654" s="3185"/>
      <c r="P654" s="3185"/>
      <c r="Q654" s="3185"/>
      <c r="R654" s="3185"/>
      <c r="S654" s="3185"/>
      <c r="T654" s="3185"/>
      <c r="U654" s="3185"/>
      <c r="V654" s="3185"/>
      <c r="W654" s="3185"/>
      <c r="X654" s="3185"/>
      <c r="Y654" s="3185"/>
      <c r="Z654" s="3185"/>
      <c r="AA654" s="3185"/>
      <c r="AB654" s="3185"/>
      <c r="AC654" s="3185"/>
      <c r="AD654" s="917"/>
      <c r="AE654" s="917"/>
      <c r="AF654" s="3129" t="s">
        <v>1548</v>
      </c>
      <c r="AG654" s="3129"/>
      <c r="AH654" s="3129"/>
      <c r="AI654" s="3129"/>
      <c r="AJ654" s="3129"/>
      <c r="AK654" s="3129"/>
      <c r="AL654" s="3129"/>
      <c r="AN654" s="990"/>
    </row>
    <row r="655" spans="1:42" s="933" customFormat="1" ht="12.75" customHeight="1">
      <c r="A655" s="1050"/>
      <c r="B655" s="1013"/>
      <c r="C655" s="1488"/>
      <c r="D655" s="917"/>
      <c r="E655" s="3185"/>
      <c r="F655" s="3185"/>
      <c r="G655" s="3185"/>
      <c r="H655" s="3185"/>
      <c r="I655" s="3185"/>
      <c r="J655" s="3185"/>
      <c r="K655" s="3185"/>
      <c r="L655" s="3185"/>
      <c r="M655" s="3185"/>
      <c r="N655" s="3185"/>
      <c r="O655" s="3185"/>
      <c r="P655" s="3185"/>
      <c r="Q655" s="3185"/>
      <c r="R655" s="3185"/>
      <c r="S655" s="3185"/>
      <c r="T655" s="3185"/>
      <c r="U655" s="3185"/>
      <c r="V655" s="3185"/>
      <c r="W655" s="3185"/>
      <c r="X655" s="3185"/>
      <c r="Y655" s="3185"/>
      <c r="Z655" s="3185"/>
      <c r="AA655" s="3185"/>
      <c r="AB655" s="3185"/>
      <c r="AC655" s="3185"/>
      <c r="AD655" s="917"/>
      <c r="AE655" s="3129"/>
      <c r="AF655" s="3129"/>
      <c r="AG655" s="3129"/>
      <c r="AH655" s="3129"/>
      <c r="AI655" s="3129"/>
      <c r="AJ655" s="3129"/>
      <c r="AK655" s="3129"/>
      <c r="AL655" s="1447"/>
      <c r="AM655" s="1016"/>
      <c r="AN655" s="990"/>
      <c r="AO655" s="933" t="s">
        <v>617</v>
      </c>
      <c r="AP655" s="1110">
        <v>0</v>
      </c>
    </row>
    <row r="656" spans="1:42" s="933" customFormat="1" ht="12.75" customHeight="1">
      <c r="A656" s="1116"/>
      <c r="B656" s="917"/>
      <c r="C656" s="917"/>
      <c r="D656" s="1096"/>
      <c r="E656" s="3185"/>
      <c r="F656" s="3185"/>
      <c r="G656" s="3185"/>
      <c r="H656" s="3185"/>
      <c r="I656" s="3185"/>
      <c r="J656" s="3185"/>
      <c r="K656" s="3185"/>
      <c r="L656" s="3185"/>
      <c r="M656" s="3185"/>
      <c r="N656" s="3185"/>
      <c r="O656" s="3185"/>
      <c r="P656" s="3185"/>
      <c r="Q656" s="3185"/>
      <c r="R656" s="3185"/>
      <c r="S656" s="3185"/>
      <c r="T656" s="3185"/>
      <c r="U656" s="3185"/>
      <c r="V656" s="3185"/>
      <c r="W656" s="3185"/>
      <c r="X656" s="3185"/>
      <c r="Y656" s="3185"/>
      <c r="Z656" s="3185"/>
      <c r="AA656" s="3185"/>
      <c r="AB656" s="3185"/>
      <c r="AC656" s="3185"/>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85" t="s">
        <v>1619</v>
      </c>
      <c r="F658" s="3185"/>
      <c r="G658" s="3185"/>
      <c r="H658" s="3185"/>
      <c r="I658" s="3185"/>
      <c r="J658" s="3185"/>
      <c r="K658" s="3185"/>
      <c r="L658" s="3185"/>
      <c r="M658" s="3185"/>
      <c r="N658" s="3185"/>
      <c r="O658" s="3185"/>
      <c r="P658" s="3185"/>
      <c r="Q658" s="3185"/>
      <c r="R658" s="3185"/>
      <c r="S658" s="3185"/>
      <c r="T658" s="3185"/>
      <c r="U658" s="3185"/>
      <c r="V658" s="3185"/>
      <c r="W658" s="3185"/>
      <c r="X658" s="3185"/>
      <c r="Y658" s="3185"/>
      <c r="Z658" s="3185"/>
      <c r="AA658" s="3185"/>
      <c r="AB658" s="3185"/>
      <c r="AC658" s="3185"/>
      <c r="AD658" s="917"/>
      <c r="AE658" s="917"/>
      <c r="AF658" s="3129" t="s">
        <v>1595</v>
      </c>
      <c r="AG658" s="3129"/>
      <c r="AH658" s="3129"/>
      <c r="AI658" s="3129"/>
      <c r="AJ658" s="3129"/>
      <c r="AK658" s="3129"/>
      <c r="AL658" s="3129"/>
      <c r="AN658" s="990"/>
    </row>
    <row r="659" spans="1:42" s="933" customFormat="1" ht="12.75" customHeight="1">
      <c r="A659" s="1105"/>
      <c r="B659" s="1013"/>
      <c r="C659" s="1504"/>
      <c r="D659" s="1096"/>
      <c r="E659" s="3185"/>
      <c r="F659" s="3185"/>
      <c r="G659" s="3185"/>
      <c r="H659" s="3185"/>
      <c r="I659" s="3185"/>
      <c r="J659" s="3185"/>
      <c r="K659" s="3185"/>
      <c r="L659" s="3185"/>
      <c r="M659" s="3185"/>
      <c r="N659" s="3185"/>
      <c r="O659" s="3185"/>
      <c r="P659" s="3185"/>
      <c r="Q659" s="3185"/>
      <c r="R659" s="3185"/>
      <c r="S659" s="3185"/>
      <c r="T659" s="3185"/>
      <c r="U659" s="3185"/>
      <c r="V659" s="3185"/>
      <c r="W659" s="3185"/>
      <c r="X659" s="3185"/>
      <c r="Y659" s="3185"/>
      <c r="Z659" s="3185"/>
      <c r="AA659" s="3185"/>
      <c r="AB659" s="3185"/>
      <c r="AC659" s="318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5"/>
      <c r="F660" s="3185"/>
      <c r="G660" s="3185"/>
      <c r="H660" s="3185"/>
      <c r="I660" s="3185"/>
      <c r="J660" s="3185"/>
      <c r="K660" s="3185"/>
      <c r="L660" s="3185"/>
      <c r="M660" s="3185"/>
      <c r="N660" s="3185"/>
      <c r="O660" s="3185"/>
      <c r="P660" s="3185"/>
      <c r="Q660" s="3185"/>
      <c r="R660" s="3185"/>
      <c r="S660" s="3185"/>
      <c r="T660" s="3185"/>
      <c r="U660" s="3185"/>
      <c r="V660" s="3185"/>
      <c r="W660" s="3185"/>
      <c r="X660" s="3185"/>
      <c r="Y660" s="3185"/>
      <c r="Z660" s="3185"/>
      <c r="AA660" s="3185"/>
      <c r="AB660" s="3185"/>
      <c r="AC660" s="318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85" t="s">
        <v>1620</v>
      </c>
      <c r="F662" s="3185"/>
      <c r="G662" s="3185"/>
      <c r="H662" s="3185"/>
      <c r="I662" s="3185"/>
      <c r="J662" s="3185"/>
      <c r="K662" s="3185"/>
      <c r="L662" s="3185"/>
      <c r="M662" s="3185"/>
      <c r="N662" s="3185"/>
      <c r="O662" s="3185"/>
      <c r="P662" s="3185"/>
      <c r="Q662" s="3185"/>
      <c r="R662" s="3185"/>
      <c r="S662" s="3185"/>
      <c r="T662" s="3185"/>
      <c r="U662" s="3185"/>
      <c r="V662" s="3185"/>
      <c r="W662" s="3185"/>
      <c r="X662" s="3185"/>
      <c r="Y662" s="3185"/>
      <c r="Z662" s="3185"/>
      <c r="AA662" s="3185"/>
      <c r="AB662" s="3185"/>
      <c r="AC662" s="3185"/>
      <c r="AD662" s="917"/>
      <c r="AE662" s="917"/>
      <c r="AF662" s="3129" t="s">
        <v>1548</v>
      </c>
      <c r="AG662" s="3129"/>
      <c r="AH662" s="3129"/>
      <c r="AI662" s="3129"/>
      <c r="AJ662" s="3129"/>
      <c r="AK662" s="3129"/>
      <c r="AL662" s="3129"/>
      <c r="AM662" s="1055"/>
      <c r="AN662" s="990"/>
    </row>
    <row r="663" spans="1:42" s="933" customFormat="1" ht="12.75" customHeight="1">
      <c r="A663" s="1050"/>
      <c r="B663" s="1013"/>
      <c r="C663" s="1488"/>
      <c r="D663" s="1096"/>
      <c r="E663" s="3185"/>
      <c r="F663" s="3185"/>
      <c r="G663" s="3185"/>
      <c r="H663" s="3185"/>
      <c r="I663" s="3185"/>
      <c r="J663" s="3185"/>
      <c r="K663" s="3185"/>
      <c r="L663" s="3185"/>
      <c r="M663" s="3185"/>
      <c r="N663" s="3185"/>
      <c r="O663" s="3185"/>
      <c r="P663" s="3185"/>
      <c r="Q663" s="3185"/>
      <c r="R663" s="3185"/>
      <c r="S663" s="3185"/>
      <c r="T663" s="3185"/>
      <c r="U663" s="3185"/>
      <c r="V663" s="3185"/>
      <c r="W663" s="3185"/>
      <c r="X663" s="3185"/>
      <c r="Y663" s="3185"/>
      <c r="Z663" s="3185"/>
      <c r="AA663" s="3185"/>
      <c r="AB663" s="3185"/>
      <c r="AC663" s="318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5"/>
      <c r="F664" s="3185"/>
      <c r="G664" s="3185"/>
      <c r="H664" s="3185"/>
      <c r="I664" s="3185"/>
      <c r="J664" s="3185"/>
      <c r="K664" s="3185"/>
      <c r="L664" s="3185"/>
      <c r="M664" s="3185"/>
      <c r="N664" s="3185"/>
      <c r="O664" s="3185"/>
      <c r="P664" s="3185"/>
      <c r="Q664" s="3185"/>
      <c r="R664" s="3185"/>
      <c r="S664" s="3185"/>
      <c r="T664" s="3185"/>
      <c r="U664" s="3185"/>
      <c r="V664" s="3185"/>
      <c r="W664" s="3185"/>
      <c r="X664" s="3185"/>
      <c r="Y664" s="3185"/>
      <c r="Z664" s="3185"/>
      <c r="AA664" s="3185"/>
      <c r="AB664" s="3185"/>
      <c r="AC664" s="318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85" t="s">
        <v>1621</v>
      </c>
      <c r="F666" s="3185"/>
      <c r="G666" s="3185"/>
      <c r="H666" s="3185"/>
      <c r="I666" s="3185"/>
      <c r="J666" s="3185"/>
      <c r="K666" s="3185"/>
      <c r="L666" s="3185"/>
      <c r="M666" s="3185"/>
      <c r="N666" s="3185"/>
      <c r="O666" s="3185"/>
      <c r="P666" s="3185"/>
      <c r="Q666" s="3185"/>
      <c r="R666" s="3185"/>
      <c r="S666" s="3185"/>
      <c r="T666" s="3185"/>
      <c r="U666" s="3185"/>
      <c r="V666" s="3185"/>
      <c r="W666" s="3185"/>
      <c r="X666" s="3185"/>
      <c r="Y666" s="3185"/>
      <c r="Z666" s="3185"/>
      <c r="AA666" s="3185"/>
      <c r="AB666" s="3185"/>
      <c r="AC666" s="3185"/>
      <c r="AD666" s="917"/>
      <c r="AE666" s="917"/>
      <c r="AF666" s="3129" t="s">
        <v>1604</v>
      </c>
      <c r="AG666" s="3129"/>
      <c r="AH666" s="3129"/>
      <c r="AI666" s="3129"/>
      <c r="AJ666" s="3129"/>
      <c r="AK666" s="3129"/>
      <c r="AL666" s="3129"/>
      <c r="AM666" s="1055"/>
      <c r="AN666" s="990"/>
    </row>
    <row r="667" spans="1:42" s="933" customFormat="1" ht="12.75" customHeight="1">
      <c r="A667" s="1450"/>
      <c r="B667" s="996"/>
      <c r="C667" s="1485"/>
      <c r="D667" s="1096"/>
      <c r="E667" s="3185"/>
      <c r="F667" s="3185"/>
      <c r="G667" s="3185"/>
      <c r="H667" s="3185"/>
      <c r="I667" s="3185"/>
      <c r="J667" s="3185"/>
      <c r="K667" s="3185"/>
      <c r="L667" s="3185"/>
      <c r="M667" s="3185"/>
      <c r="N667" s="3185"/>
      <c r="O667" s="3185"/>
      <c r="P667" s="3185"/>
      <c r="Q667" s="3185"/>
      <c r="R667" s="3185"/>
      <c r="S667" s="3185"/>
      <c r="T667" s="3185"/>
      <c r="U667" s="3185"/>
      <c r="V667" s="3185"/>
      <c r="W667" s="3185"/>
      <c r="X667" s="3185"/>
      <c r="Y667" s="3185"/>
      <c r="Z667" s="3185"/>
      <c r="AA667" s="3185"/>
      <c r="AB667" s="3185"/>
      <c r="AC667" s="318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5"/>
      <c r="F668" s="3185"/>
      <c r="G668" s="3185"/>
      <c r="H668" s="3185"/>
      <c r="I668" s="3185"/>
      <c r="J668" s="3185"/>
      <c r="K668" s="3185"/>
      <c r="L668" s="3185"/>
      <c r="M668" s="3185"/>
      <c r="N668" s="3185"/>
      <c r="O668" s="3185"/>
      <c r="P668" s="3185"/>
      <c r="Q668" s="3185"/>
      <c r="R668" s="3185"/>
      <c r="S668" s="3185"/>
      <c r="T668" s="3185"/>
      <c r="U668" s="3185"/>
      <c r="V668" s="3185"/>
      <c r="W668" s="3185"/>
      <c r="X668" s="3185"/>
      <c r="Y668" s="3185"/>
      <c r="Z668" s="3185"/>
      <c r="AA668" s="3185"/>
      <c r="AB668" s="3185"/>
      <c r="AC668" s="318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85" t="s">
        <v>1622</v>
      </c>
      <c r="F670" s="3185"/>
      <c r="G670" s="3185"/>
      <c r="H670" s="3185"/>
      <c r="I670" s="3185"/>
      <c r="J670" s="3185"/>
      <c r="K670" s="3185"/>
      <c r="L670" s="3185"/>
      <c r="M670" s="3185"/>
      <c r="N670" s="3185"/>
      <c r="O670" s="3185"/>
      <c r="P670" s="3185"/>
      <c r="Q670" s="3185"/>
      <c r="R670" s="3185"/>
      <c r="S670" s="3185"/>
      <c r="T670" s="3185"/>
      <c r="U670" s="3185"/>
      <c r="V670" s="3185"/>
      <c r="W670" s="3185"/>
      <c r="X670" s="3185"/>
      <c r="Y670" s="3185"/>
      <c r="Z670" s="3185"/>
      <c r="AA670" s="3185"/>
      <c r="AB670" s="3185"/>
      <c r="AC670" s="3185"/>
      <c r="AD670" s="917"/>
      <c r="AE670" s="917"/>
      <c r="AF670" s="3129" t="s">
        <v>1623</v>
      </c>
      <c r="AG670" s="3129"/>
      <c r="AH670" s="3129"/>
      <c r="AI670" s="3129"/>
      <c r="AJ670" s="3129"/>
      <c r="AK670" s="3129"/>
      <c r="AL670" s="3129"/>
      <c r="AM670" s="1055"/>
      <c r="AN670" s="990"/>
      <c r="AO670" s="1108" t="s">
        <v>714</v>
      </c>
      <c r="AP670" s="933">
        <v>3</v>
      </c>
    </row>
    <row r="671" spans="1:42" s="933" customFormat="1" ht="12.75" customHeight="1">
      <c r="A671" s="1450"/>
      <c r="B671" s="996"/>
      <c r="C671" s="1485"/>
      <c r="D671" s="1096"/>
      <c r="E671" s="3185"/>
      <c r="F671" s="3185"/>
      <c r="G671" s="3185"/>
      <c r="H671" s="3185"/>
      <c r="I671" s="3185"/>
      <c r="J671" s="3185"/>
      <c r="K671" s="3185"/>
      <c r="L671" s="3185"/>
      <c r="M671" s="3185"/>
      <c r="N671" s="3185"/>
      <c r="O671" s="3185"/>
      <c r="P671" s="3185"/>
      <c r="Q671" s="3185"/>
      <c r="R671" s="3185"/>
      <c r="S671" s="3185"/>
      <c r="T671" s="3185"/>
      <c r="U671" s="3185"/>
      <c r="V671" s="3185"/>
      <c r="W671" s="3185"/>
      <c r="X671" s="3185"/>
      <c r="Y671" s="3185"/>
      <c r="Z671" s="3185"/>
      <c r="AA671" s="3185"/>
      <c r="AB671" s="3185"/>
      <c r="AC671" s="3185"/>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85"/>
      <c r="F672" s="3185"/>
      <c r="G672" s="3185"/>
      <c r="H672" s="3185"/>
      <c r="I672" s="3185"/>
      <c r="J672" s="3185"/>
      <c r="K672" s="3185"/>
      <c r="L672" s="3185"/>
      <c r="M672" s="3185"/>
      <c r="N672" s="3185"/>
      <c r="O672" s="3185"/>
      <c r="P672" s="3185"/>
      <c r="Q672" s="3185"/>
      <c r="R672" s="3185"/>
      <c r="S672" s="3185"/>
      <c r="T672" s="3185"/>
      <c r="U672" s="3185"/>
      <c r="V672" s="3185"/>
      <c r="W672" s="3185"/>
      <c r="X672" s="3185"/>
      <c r="Y672" s="3185"/>
      <c r="Z672" s="3185"/>
      <c r="AA672" s="3185"/>
      <c r="AB672" s="3185"/>
      <c r="AC672" s="318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16" t="s">
        <v>714</v>
      </c>
      <c r="I674" s="321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65">
        <f>VLOOKUP($H$674,$AO$622:$AP$629,2,FALSE)</f>
        <v>5</v>
      </c>
      <c r="AK676" s="3167"/>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85" t="s">
        <v>2005</v>
      </c>
      <c r="F680" s="3185"/>
      <c r="G680" s="3185"/>
      <c r="H680" s="3185"/>
      <c r="I680" s="3185"/>
      <c r="J680" s="3185"/>
      <c r="K680" s="3185"/>
      <c r="L680" s="3185"/>
      <c r="M680" s="3185"/>
      <c r="N680" s="3185"/>
      <c r="O680" s="3185"/>
      <c r="P680" s="3185"/>
      <c r="Q680" s="3185"/>
      <c r="R680" s="3185"/>
      <c r="S680" s="3185"/>
      <c r="T680" s="3185"/>
      <c r="U680" s="3185"/>
      <c r="V680" s="3185"/>
      <c r="W680" s="3185"/>
      <c r="X680" s="3185"/>
      <c r="Y680" s="3185"/>
      <c r="Z680" s="3185"/>
      <c r="AA680" s="3185"/>
      <c r="AB680" s="3185"/>
      <c r="AC680" s="917"/>
      <c r="AD680" s="917"/>
      <c r="AE680" s="920"/>
      <c r="AF680" s="3129" t="s">
        <v>1548</v>
      </c>
      <c r="AG680" s="3129"/>
      <c r="AH680" s="3129"/>
      <c r="AI680" s="3129"/>
      <c r="AJ680" s="3129"/>
      <c r="AK680" s="3129"/>
      <c r="AL680" s="3129"/>
      <c r="AM680" s="1016"/>
      <c r="AN680" s="991"/>
    </row>
    <row r="681" spans="1:42" s="992" customFormat="1" ht="12.75" customHeight="1">
      <c r="A681" s="1050"/>
      <c r="B681" s="1013"/>
      <c r="C681" s="1497"/>
      <c r="D681" s="1096"/>
      <c r="E681" s="3185"/>
      <c r="F681" s="3185"/>
      <c r="G681" s="3185"/>
      <c r="H681" s="3185"/>
      <c r="I681" s="3185"/>
      <c r="J681" s="3185"/>
      <c r="K681" s="3185"/>
      <c r="L681" s="3185"/>
      <c r="M681" s="3185"/>
      <c r="N681" s="3185"/>
      <c r="O681" s="3185"/>
      <c r="P681" s="3185"/>
      <c r="Q681" s="3185"/>
      <c r="R681" s="3185"/>
      <c r="S681" s="3185"/>
      <c r="T681" s="3185"/>
      <c r="U681" s="3185"/>
      <c r="V681" s="3185"/>
      <c r="W681" s="3185"/>
      <c r="X681" s="3185"/>
      <c r="Y681" s="3185"/>
      <c r="Z681" s="3185"/>
      <c r="AA681" s="3185"/>
      <c r="AB681" s="3185"/>
      <c r="AC681" s="917"/>
      <c r="AD681" s="917"/>
      <c r="AE681" s="1025"/>
      <c r="AF681" s="920"/>
      <c r="AG681" s="920"/>
      <c r="AH681" s="920"/>
      <c r="AI681" s="920"/>
      <c r="AJ681" s="920"/>
      <c r="AK681" s="920"/>
      <c r="AL681" s="920"/>
      <c r="AM681" s="1016"/>
      <c r="AN681" s="991"/>
      <c r="AO681" s="3219"/>
      <c r="AP681" s="3219"/>
    </row>
    <row r="682" spans="1:42" s="992" customFormat="1" ht="12.75" customHeight="1">
      <c r="A682" s="1050"/>
      <c r="B682" s="1013"/>
      <c r="C682" s="1497"/>
      <c r="D682" s="1096"/>
      <c r="E682" s="3185"/>
      <c r="F682" s="3185"/>
      <c r="G682" s="3185"/>
      <c r="H682" s="3185"/>
      <c r="I682" s="3185"/>
      <c r="J682" s="3185"/>
      <c r="K682" s="3185"/>
      <c r="L682" s="3185"/>
      <c r="M682" s="3185"/>
      <c r="N682" s="3185"/>
      <c r="O682" s="3185"/>
      <c r="P682" s="3185"/>
      <c r="Q682" s="3185"/>
      <c r="R682" s="3185"/>
      <c r="S682" s="3185"/>
      <c r="T682" s="3185"/>
      <c r="U682" s="3185"/>
      <c r="V682" s="3185"/>
      <c r="W682" s="3185"/>
      <c r="X682" s="3185"/>
      <c r="Y682" s="3185"/>
      <c r="Z682" s="3185"/>
      <c r="AA682" s="3185"/>
      <c r="AB682" s="318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5"/>
      <c r="F683" s="3185"/>
      <c r="G683" s="3185"/>
      <c r="H683" s="3185"/>
      <c r="I683" s="3185"/>
      <c r="J683" s="3185"/>
      <c r="K683" s="3185"/>
      <c r="L683" s="3185"/>
      <c r="M683" s="3185"/>
      <c r="N683" s="3185"/>
      <c r="O683" s="3185"/>
      <c r="P683" s="3185"/>
      <c r="Q683" s="3185"/>
      <c r="R683" s="3185"/>
      <c r="S683" s="3185"/>
      <c r="T683" s="3185"/>
      <c r="U683" s="3185"/>
      <c r="V683" s="3185"/>
      <c r="W683" s="3185"/>
      <c r="X683" s="3185"/>
      <c r="Y683" s="3185"/>
      <c r="Z683" s="3185"/>
      <c r="AA683" s="3185"/>
      <c r="AB683" s="3185"/>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85" t="s">
        <v>2007</v>
      </c>
      <c r="F685" s="3185"/>
      <c r="G685" s="3185"/>
      <c r="H685" s="3185"/>
      <c r="I685" s="3185"/>
      <c r="J685" s="3185"/>
      <c r="K685" s="3185"/>
      <c r="L685" s="3185"/>
      <c r="M685" s="3185"/>
      <c r="N685" s="3185"/>
      <c r="O685" s="3185"/>
      <c r="P685" s="3185"/>
      <c r="Q685" s="3185"/>
      <c r="R685" s="3185"/>
      <c r="S685" s="3185"/>
      <c r="T685" s="3185"/>
      <c r="U685" s="3185"/>
      <c r="V685" s="3185"/>
      <c r="W685" s="3185"/>
      <c r="X685" s="3185"/>
      <c r="Y685" s="3185"/>
      <c r="Z685" s="3185"/>
      <c r="AA685" s="3185"/>
      <c r="AB685" s="3185"/>
      <c r="AC685" s="917"/>
      <c r="AD685" s="917"/>
      <c r="AE685" s="917"/>
      <c r="AF685" s="3129" t="s">
        <v>1604</v>
      </c>
      <c r="AG685" s="3129"/>
      <c r="AH685" s="3129"/>
      <c r="AI685" s="3129"/>
      <c r="AJ685" s="3129"/>
      <c r="AK685" s="3129"/>
      <c r="AL685" s="3129"/>
      <c r="AM685" s="1016"/>
      <c r="AN685" s="990"/>
      <c r="AO685" s="1108" t="s">
        <v>534</v>
      </c>
      <c r="AP685" s="933">
        <v>1</v>
      </c>
    </row>
    <row r="686" spans="1:42" s="933" customFormat="1" ht="12" customHeight="1">
      <c r="A686" s="1016"/>
      <c r="B686" s="917"/>
      <c r="C686" s="1505"/>
      <c r="D686" s="917"/>
      <c r="E686" s="3185"/>
      <c r="F686" s="3185"/>
      <c r="G686" s="3185"/>
      <c r="H686" s="3185"/>
      <c r="I686" s="3185"/>
      <c r="J686" s="3185"/>
      <c r="K686" s="3185"/>
      <c r="L686" s="3185"/>
      <c r="M686" s="3185"/>
      <c r="N686" s="3185"/>
      <c r="O686" s="3185"/>
      <c r="P686" s="3185"/>
      <c r="Q686" s="3185"/>
      <c r="R686" s="3185"/>
      <c r="S686" s="3185"/>
      <c r="T686" s="3185"/>
      <c r="U686" s="3185"/>
      <c r="V686" s="3185"/>
      <c r="W686" s="3185"/>
      <c r="X686" s="3185"/>
      <c r="Y686" s="3185"/>
      <c r="Z686" s="3185"/>
      <c r="AA686" s="3185"/>
      <c r="AB686" s="318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5"/>
      <c r="F687" s="3185"/>
      <c r="G687" s="3185"/>
      <c r="H687" s="3185"/>
      <c r="I687" s="3185"/>
      <c r="J687" s="3185"/>
      <c r="K687" s="3185"/>
      <c r="L687" s="3185"/>
      <c r="M687" s="3185"/>
      <c r="N687" s="3185"/>
      <c r="O687" s="3185"/>
      <c r="P687" s="3185"/>
      <c r="Q687" s="3185"/>
      <c r="R687" s="3185"/>
      <c r="S687" s="3185"/>
      <c r="T687" s="3185"/>
      <c r="U687" s="3185"/>
      <c r="V687" s="3185"/>
      <c r="W687" s="3185"/>
      <c r="X687" s="3185"/>
      <c r="Y687" s="3185"/>
      <c r="Z687" s="3185"/>
      <c r="AA687" s="3185"/>
      <c r="AB687" s="318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5"/>
      <c r="F688" s="3185"/>
      <c r="G688" s="3185"/>
      <c r="H688" s="3185"/>
      <c r="I688" s="3185"/>
      <c r="J688" s="3185"/>
      <c r="K688" s="3185"/>
      <c r="L688" s="3185"/>
      <c r="M688" s="3185"/>
      <c r="N688" s="3185"/>
      <c r="O688" s="3185"/>
      <c r="P688" s="3185"/>
      <c r="Q688" s="3185"/>
      <c r="R688" s="3185"/>
      <c r="S688" s="3185"/>
      <c r="T688" s="3185"/>
      <c r="U688" s="3185"/>
      <c r="V688" s="3185"/>
      <c r="W688" s="3185"/>
      <c r="X688" s="3185"/>
      <c r="Y688" s="3185"/>
      <c r="Z688" s="3185"/>
      <c r="AA688" s="3185"/>
      <c r="AB688" s="318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5" t="s">
        <v>2006</v>
      </c>
      <c r="F690" s="3185"/>
      <c r="G690" s="3185"/>
      <c r="H690" s="3185"/>
      <c r="I690" s="3185"/>
      <c r="J690" s="3185"/>
      <c r="K690" s="3185"/>
      <c r="L690" s="3185"/>
      <c r="M690" s="3185"/>
      <c r="N690" s="3185"/>
      <c r="O690" s="3185"/>
      <c r="P690" s="3185"/>
      <c r="Q690" s="3185"/>
      <c r="R690" s="3185"/>
      <c r="S690" s="3185"/>
      <c r="T690" s="3185"/>
      <c r="U690" s="3185"/>
      <c r="V690" s="3185"/>
      <c r="W690" s="3185"/>
      <c r="X690" s="3185"/>
      <c r="Y690" s="3185"/>
      <c r="Z690" s="3185"/>
      <c r="AA690" s="3185"/>
      <c r="AB690" s="318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5"/>
      <c r="F691" s="3185"/>
      <c r="G691" s="3185"/>
      <c r="H691" s="3185"/>
      <c r="I691" s="3185"/>
      <c r="J691" s="3185"/>
      <c r="K691" s="3185"/>
      <c r="L691" s="3185"/>
      <c r="M691" s="3185"/>
      <c r="N691" s="3185"/>
      <c r="O691" s="3185"/>
      <c r="P691" s="3185"/>
      <c r="Q691" s="3185"/>
      <c r="R691" s="3185"/>
      <c r="S691" s="3185"/>
      <c r="T691" s="3185"/>
      <c r="U691" s="3185"/>
      <c r="V691" s="3185"/>
      <c r="W691" s="3185"/>
      <c r="X691" s="3185"/>
      <c r="Y691" s="3185"/>
      <c r="Z691" s="3185"/>
      <c r="AA691" s="3185"/>
      <c r="AB691" s="318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5"/>
      <c r="F692" s="3185"/>
      <c r="G692" s="3185"/>
      <c r="H692" s="3185"/>
      <c r="I692" s="3185"/>
      <c r="J692" s="3185"/>
      <c r="K692" s="3185"/>
      <c r="L692" s="3185"/>
      <c r="M692" s="3185"/>
      <c r="N692" s="3185"/>
      <c r="O692" s="3185"/>
      <c r="P692" s="3185"/>
      <c r="Q692" s="3185"/>
      <c r="R692" s="3185"/>
      <c r="S692" s="3185"/>
      <c r="T692" s="3185"/>
      <c r="U692" s="3185"/>
      <c r="V692" s="3185"/>
      <c r="W692" s="3185"/>
      <c r="X692" s="3185"/>
      <c r="Y692" s="3185"/>
      <c r="Z692" s="3185"/>
      <c r="AA692" s="3185"/>
      <c r="AB692" s="318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16" t="s">
        <v>617</v>
      </c>
      <c r="I694" s="321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65">
        <f>VLOOKUP($H$694,$AO$641:$AP$643,2,FALSE)</f>
        <v>0</v>
      </c>
      <c r="AK696" s="3167"/>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20" t="s">
        <v>2009</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7"/>
      <c r="AD700" s="917"/>
      <c r="AE700" s="917"/>
      <c r="AF700" s="3129" t="s">
        <v>1548</v>
      </c>
      <c r="AG700" s="3129"/>
      <c r="AH700" s="3129"/>
      <c r="AI700" s="3129"/>
      <c r="AJ700" s="3129"/>
      <c r="AK700" s="3129"/>
      <c r="AL700" s="3129"/>
      <c r="AM700" s="1016"/>
      <c r="AN700" s="1123"/>
      <c r="AP700" s="1125" t="s">
        <v>1632</v>
      </c>
    </row>
    <row r="701" spans="1:42" s="1124" customFormat="1" ht="11.85" customHeight="1">
      <c r="A701" s="1050"/>
      <c r="B701" s="1013"/>
      <c r="C701" s="1487"/>
      <c r="D701" s="1096"/>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534</v>
      </c>
      <c r="E704" s="3221" t="s">
        <v>1635</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7"/>
      <c r="AD704" s="917"/>
      <c r="AE704" s="917"/>
      <c r="AF704" s="3129" t="s">
        <v>1604</v>
      </c>
      <c r="AG704" s="3129"/>
      <c r="AH704" s="3129"/>
      <c r="AI704" s="3129"/>
      <c r="AJ704" s="3129"/>
      <c r="AK704" s="3129"/>
      <c r="AL704" s="3129"/>
      <c r="AM704" s="1016"/>
      <c r="AN704" s="1126"/>
    </row>
    <row r="705" spans="1:52" s="1124" customFormat="1" ht="12.75" customHeight="1">
      <c r="A705" s="1050"/>
      <c r="B705" s="1013"/>
      <c r="C705" s="1487"/>
      <c r="D705" s="1013"/>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1596</v>
      </c>
      <c r="E708" s="1491"/>
      <c r="F708" s="1491"/>
      <c r="G708" s="1491"/>
      <c r="H708" s="3216" t="s">
        <v>617</v>
      </c>
      <c r="I708" s="321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65">
        <f>VLOOKUP($H$708,$AO$641:$AP$643,2,FALSE)</f>
        <v>0</v>
      </c>
      <c r="AK710" s="3167"/>
      <c r="AL710" s="995"/>
      <c r="AM710" s="992"/>
      <c r="AN710" s="1128"/>
      <c r="AP710" s="3165"/>
      <c r="AQ710" s="3167"/>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85" t="s">
        <v>2010</v>
      </c>
      <c r="F714" s="3185"/>
      <c r="G714" s="3185"/>
      <c r="H714" s="3185"/>
      <c r="I714" s="3185"/>
      <c r="J714" s="3185"/>
      <c r="K714" s="3185"/>
      <c r="L714" s="3185"/>
      <c r="M714" s="3185"/>
      <c r="N714" s="3185"/>
      <c r="O714" s="3185"/>
      <c r="P714" s="3185"/>
      <c r="Q714" s="3185"/>
      <c r="R714" s="3185"/>
      <c r="S714" s="3185"/>
      <c r="T714" s="3185"/>
      <c r="U714" s="3185"/>
      <c r="V714" s="3185"/>
      <c r="W714" s="3185"/>
      <c r="X714" s="3185"/>
      <c r="Y714" s="3185"/>
      <c r="Z714" s="3185"/>
      <c r="AA714" s="3185"/>
      <c r="AB714" s="3185"/>
      <c r="AC714" s="917"/>
      <c r="AD714" s="917"/>
      <c r="AE714" s="917"/>
      <c r="AF714" s="3129" t="s">
        <v>1548</v>
      </c>
      <c r="AG714" s="3129"/>
      <c r="AH714" s="3129"/>
      <c r="AI714" s="3129"/>
      <c r="AJ714" s="3129"/>
      <c r="AK714" s="3129"/>
      <c r="AL714" s="3129"/>
      <c r="AM714" s="1016"/>
      <c r="AN714" s="1123"/>
      <c r="AT714" s="51"/>
      <c r="AU714" s="51"/>
      <c r="AV714" s="51"/>
      <c r="AW714" s="51"/>
      <c r="AX714" s="51"/>
      <c r="AY714" s="51"/>
      <c r="AZ714" s="51"/>
    </row>
    <row r="715" spans="1:52" s="1124" customFormat="1">
      <c r="A715" s="1050"/>
      <c r="B715" s="1013"/>
      <c r="C715" s="1487"/>
      <c r="D715" s="1096"/>
      <c r="E715" s="3185"/>
      <c r="F715" s="3185"/>
      <c r="G715" s="3185"/>
      <c r="H715" s="3185"/>
      <c r="I715" s="3185"/>
      <c r="J715" s="3185"/>
      <c r="K715" s="3185"/>
      <c r="L715" s="3185"/>
      <c r="M715" s="3185"/>
      <c r="N715" s="3185"/>
      <c r="O715" s="3185"/>
      <c r="P715" s="3185"/>
      <c r="Q715" s="3185"/>
      <c r="R715" s="3185"/>
      <c r="S715" s="3185"/>
      <c r="T715" s="3185"/>
      <c r="U715" s="3185"/>
      <c r="V715" s="3185"/>
      <c r="W715" s="3185"/>
      <c r="X715" s="3185"/>
      <c r="Y715" s="3185"/>
      <c r="Z715" s="3185"/>
      <c r="AA715" s="3185"/>
      <c r="AB715" s="318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85" t="s">
        <v>1639</v>
      </c>
      <c r="F717" s="3185"/>
      <c r="G717" s="3185"/>
      <c r="H717" s="3185"/>
      <c r="I717" s="3185"/>
      <c r="J717" s="3185"/>
      <c r="K717" s="3185"/>
      <c r="L717" s="3185"/>
      <c r="M717" s="3185"/>
      <c r="N717" s="3185"/>
      <c r="O717" s="3185"/>
      <c r="P717" s="3185"/>
      <c r="Q717" s="3185"/>
      <c r="R717" s="3185"/>
      <c r="S717" s="3185"/>
      <c r="T717" s="3185"/>
      <c r="U717" s="3185"/>
      <c r="V717" s="3185"/>
      <c r="W717" s="3185"/>
      <c r="X717" s="3185"/>
      <c r="Y717" s="3185"/>
      <c r="Z717" s="3185"/>
      <c r="AA717" s="3185"/>
      <c r="AB717" s="3185"/>
      <c r="AC717" s="917"/>
      <c r="AD717" s="917"/>
      <c r="AE717" s="917"/>
      <c r="AF717" s="3129" t="s">
        <v>1604</v>
      </c>
      <c r="AG717" s="3129"/>
      <c r="AH717" s="3129"/>
      <c r="AI717" s="3129"/>
      <c r="AJ717" s="3129"/>
      <c r="AK717" s="3129"/>
      <c r="AL717" s="3129"/>
      <c r="AM717" s="1016"/>
      <c r="AN717" s="1123"/>
      <c r="AT717" s="51"/>
      <c r="AU717" s="51"/>
      <c r="AV717" s="51"/>
      <c r="AW717" s="51"/>
      <c r="AX717" s="51"/>
      <c r="AY717" s="51"/>
      <c r="AZ717" s="51"/>
    </row>
    <row r="718" spans="1:52" s="1124" customFormat="1">
      <c r="A718" s="1050"/>
      <c r="B718" s="1013"/>
      <c r="C718" s="1487"/>
      <c r="D718" s="1013"/>
      <c r="E718" s="3185"/>
      <c r="F718" s="3185"/>
      <c r="G718" s="3185"/>
      <c r="H718" s="3185"/>
      <c r="I718" s="3185"/>
      <c r="J718" s="3185"/>
      <c r="K718" s="3185"/>
      <c r="L718" s="3185"/>
      <c r="M718" s="3185"/>
      <c r="N718" s="3185"/>
      <c r="O718" s="3185"/>
      <c r="P718" s="3185"/>
      <c r="Q718" s="3185"/>
      <c r="R718" s="3185"/>
      <c r="S718" s="3185"/>
      <c r="T718" s="3185"/>
      <c r="U718" s="3185"/>
      <c r="V718" s="3185"/>
      <c r="W718" s="3185"/>
      <c r="X718" s="3185"/>
      <c r="Y718" s="3185"/>
      <c r="Z718" s="3185"/>
      <c r="AA718" s="3185"/>
      <c r="AB718" s="318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16" t="s">
        <v>617</v>
      </c>
      <c r="I720" s="321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65">
        <f>VLOOKUP($H$720,$AO$655:$AP$657,2,FALSE)</f>
        <v>0</v>
      </c>
      <c r="AK722" s="3167"/>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85" t="s">
        <v>1642</v>
      </c>
      <c r="F726" s="3185"/>
      <c r="G726" s="3185"/>
      <c r="H726" s="3185"/>
      <c r="I726" s="3185"/>
      <c r="J726" s="3185"/>
      <c r="K726" s="3185"/>
      <c r="L726" s="3185"/>
      <c r="M726" s="3185"/>
      <c r="N726" s="3185"/>
      <c r="O726" s="3185"/>
      <c r="P726" s="3185"/>
      <c r="Q726" s="3185"/>
      <c r="R726" s="3185"/>
      <c r="S726" s="3185"/>
      <c r="T726" s="3185"/>
      <c r="U726" s="3185"/>
      <c r="V726" s="3185"/>
      <c r="W726" s="3185"/>
      <c r="X726" s="3185"/>
      <c r="Y726" s="3185"/>
      <c r="Z726" s="3185"/>
      <c r="AA726" s="3185"/>
      <c r="AB726" s="3185"/>
      <c r="AC726" s="917"/>
      <c r="AD726" s="917"/>
      <c r="AE726" s="917"/>
      <c r="AF726" s="3129" t="s">
        <v>1548</v>
      </c>
      <c r="AG726" s="3129"/>
      <c r="AH726" s="3129"/>
      <c r="AI726" s="3129"/>
      <c r="AJ726" s="3129"/>
      <c r="AK726" s="3129"/>
      <c r="AL726" s="3129"/>
      <c r="AM726" s="1016"/>
      <c r="AN726" s="1123"/>
      <c r="AT726" s="51"/>
      <c r="AU726" s="51"/>
      <c r="AV726" s="51"/>
      <c r="AW726" s="51"/>
      <c r="AX726" s="51"/>
      <c r="AY726" s="51"/>
      <c r="AZ726" s="51"/>
    </row>
    <row r="727" spans="1:81" s="1124" customFormat="1">
      <c r="A727" s="1050"/>
      <c r="B727" s="917"/>
      <c r="C727" s="1485"/>
      <c r="D727" s="1096"/>
      <c r="E727" s="3185"/>
      <c r="F727" s="3185"/>
      <c r="G727" s="3185"/>
      <c r="H727" s="3185"/>
      <c r="I727" s="3185"/>
      <c r="J727" s="3185"/>
      <c r="K727" s="3185"/>
      <c r="L727" s="3185"/>
      <c r="M727" s="3185"/>
      <c r="N727" s="3185"/>
      <c r="O727" s="3185"/>
      <c r="P727" s="3185"/>
      <c r="Q727" s="3185"/>
      <c r="R727" s="3185"/>
      <c r="S727" s="3185"/>
      <c r="T727" s="3185"/>
      <c r="U727" s="3185"/>
      <c r="V727" s="3185"/>
      <c r="W727" s="3185"/>
      <c r="X727" s="3185"/>
      <c r="Y727" s="3185"/>
      <c r="Z727" s="3185"/>
      <c r="AA727" s="3185"/>
      <c r="AB727" s="318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85"/>
      <c r="F728" s="3185"/>
      <c r="G728" s="3185"/>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5"/>
      <c r="F729" s="3185"/>
      <c r="G729" s="3185"/>
      <c r="H729" s="3185"/>
      <c r="I729" s="3185"/>
      <c r="J729" s="3185"/>
      <c r="K729" s="3185"/>
      <c r="L729" s="3185"/>
      <c r="M729" s="3185"/>
      <c r="N729" s="3185"/>
      <c r="O729" s="3185"/>
      <c r="P729" s="3185"/>
      <c r="Q729" s="3185"/>
      <c r="R729" s="3185"/>
      <c r="S729" s="3185"/>
      <c r="T729" s="3185"/>
      <c r="U729" s="3185"/>
      <c r="V729" s="3185"/>
      <c r="W729" s="3185"/>
      <c r="X729" s="3185"/>
      <c r="Y729" s="3185"/>
      <c r="Z729" s="3185"/>
      <c r="AA729" s="3185"/>
      <c r="AB729" s="318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85" t="s">
        <v>1643</v>
      </c>
      <c r="F731" s="3185"/>
      <c r="G731" s="3185"/>
      <c r="H731" s="3185"/>
      <c r="I731" s="3185"/>
      <c r="J731" s="3185"/>
      <c r="K731" s="3185"/>
      <c r="L731" s="3185"/>
      <c r="M731" s="3185"/>
      <c r="N731" s="3185"/>
      <c r="O731" s="3185"/>
      <c r="P731" s="3185"/>
      <c r="Q731" s="3185"/>
      <c r="R731" s="3185"/>
      <c r="S731" s="3185"/>
      <c r="T731" s="3185"/>
      <c r="U731" s="3185"/>
      <c r="V731" s="3185"/>
      <c r="W731" s="3185"/>
      <c r="X731" s="3185"/>
      <c r="Y731" s="3185"/>
      <c r="Z731" s="3185"/>
      <c r="AA731" s="3185"/>
      <c r="AB731" s="959"/>
      <c r="AC731" s="917"/>
      <c r="AD731" s="917"/>
      <c r="AE731" s="917"/>
      <c r="AF731" s="3129" t="s">
        <v>1604</v>
      </c>
      <c r="AG731" s="3129"/>
      <c r="AH731" s="3129"/>
      <c r="AI731" s="3129"/>
      <c r="AJ731" s="3129"/>
      <c r="AK731" s="3129"/>
      <c r="AL731" s="3129"/>
      <c r="AM731" s="1016"/>
      <c r="AN731" s="1123"/>
      <c r="AO731" s="126"/>
      <c r="AP731" s="51"/>
    </row>
    <row r="732" spans="1:81" s="1124" customFormat="1">
      <c r="A732" s="1050"/>
      <c r="B732" s="996"/>
      <c r="C732" s="1485"/>
      <c r="D732" s="1096"/>
      <c r="E732" s="3185"/>
      <c r="F732" s="3185"/>
      <c r="G732" s="3185"/>
      <c r="H732" s="3185"/>
      <c r="I732" s="3185"/>
      <c r="J732" s="3185"/>
      <c r="K732" s="3185"/>
      <c r="L732" s="3185"/>
      <c r="M732" s="3185"/>
      <c r="N732" s="3185"/>
      <c r="O732" s="3185"/>
      <c r="P732" s="3185"/>
      <c r="Q732" s="3185"/>
      <c r="R732" s="3185"/>
      <c r="S732" s="3185"/>
      <c r="T732" s="3185"/>
      <c r="U732" s="3185"/>
      <c r="V732" s="3185"/>
      <c r="W732" s="3185"/>
      <c r="X732" s="3185"/>
      <c r="Y732" s="3185"/>
      <c r="Z732" s="3185"/>
      <c r="AA732" s="3185"/>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85"/>
      <c r="F733" s="3185"/>
      <c r="G733" s="3185"/>
      <c r="H733" s="3185"/>
      <c r="I733" s="3185"/>
      <c r="J733" s="3185"/>
      <c r="K733" s="3185"/>
      <c r="L733" s="3185"/>
      <c r="M733" s="3185"/>
      <c r="N733" s="3185"/>
      <c r="O733" s="3185"/>
      <c r="P733" s="3185"/>
      <c r="Q733" s="3185"/>
      <c r="R733" s="3185"/>
      <c r="S733" s="3185"/>
      <c r="T733" s="3185"/>
      <c r="U733" s="3185"/>
      <c r="V733" s="3185"/>
      <c r="W733" s="3185"/>
      <c r="X733" s="3185"/>
      <c r="Y733" s="3185"/>
      <c r="Z733" s="3185"/>
      <c r="AA733" s="3185"/>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85"/>
      <c r="F734" s="3185"/>
      <c r="G734" s="3185"/>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16" t="s">
        <v>617</v>
      </c>
      <c r="I736" s="321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65">
        <f>VLOOKUP($H$736,$AO$669:$AP$671,2,FALSE)</f>
        <v>0</v>
      </c>
      <c r="AK738" s="3167"/>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85" t="s">
        <v>1645</v>
      </c>
      <c r="F742" s="3185"/>
      <c r="G742" s="3185"/>
      <c r="H742" s="3185"/>
      <c r="I742" s="3185"/>
      <c r="J742" s="3185"/>
      <c r="K742" s="3185"/>
      <c r="L742" s="3185"/>
      <c r="M742" s="3185"/>
      <c r="N742" s="3185"/>
      <c r="O742" s="3185"/>
      <c r="P742" s="3185"/>
      <c r="Q742" s="3185"/>
      <c r="R742" s="3185"/>
      <c r="S742" s="3185"/>
      <c r="T742" s="3185"/>
      <c r="U742" s="3185"/>
      <c r="V742" s="3185"/>
      <c r="W742" s="3185"/>
      <c r="X742" s="3185"/>
      <c r="Y742" s="3185"/>
      <c r="Z742" s="3185"/>
      <c r="AA742" s="3185"/>
      <c r="AB742" s="3185"/>
      <c r="AC742" s="917"/>
      <c r="AD742" s="917"/>
      <c r="AE742" s="917"/>
      <c r="AF742" s="3129" t="s">
        <v>1604</v>
      </c>
      <c r="AG742" s="3129"/>
      <c r="AH742" s="3129"/>
      <c r="AI742" s="3129"/>
      <c r="AJ742" s="3129"/>
      <c r="AK742" s="3129"/>
      <c r="AL742" s="3129"/>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85"/>
      <c r="F743" s="3185"/>
      <c r="G743" s="3185"/>
      <c r="H743" s="3185"/>
      <c r="I743" s="3185"/>
      <c r="J743" s="3185"/>
      <c r="K743" s="3185"/>
      <c r="L743" s="3185"/>
      <c r="M743" s="3185"/>
      <c r="N743" s="3185"/>
      <c r="O743" s="3185"/>
      <c r="P743" s="3185"/>
      <c r="Q743" s="3185"/>
      <c r="R743" s="3185"/>
      <c r="S743" s="3185"/>
      <c r="T743" s="3185"/>
      <c r="U743" s="3185"/>
      <c r="V743" s="3185"/>
      <c r="W743" s="3185"/>
      <c r="X743" s="3185"/>
      <c r="Y743" s="3185"/>
      <c r="Z743" s="3185"/>
      <c r="AA743" s="3185"/>
      <c r="AB743" s="318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85" t="s">
        <v>1646</v>
      </c>
      <c r="F745" s="3185"/>
      <c r="G745" s="3185"/>
      <c r="H745" s="3185"/>
      <c r="I745" s="3185"/>
      <c r="J745" s="3185"/>
      <c r="K745" s="3185"/>
      <c r="L745" s="3185"/>
      <c r="M745" s="3185"/>
      <c r="N745" s="3185"/>
      <c r="O745" s="3185"/>
      <c r="P745" s="3185"/>
      <c r="Q745" s="3185"/>
      <c r="R745" s="3185"/>
      <c r="S745" s="3185"/>
      <c r="T745" s="3185"/>
      <c r="U745" s="3185"/>
      <c r="V745" s="3185"/>
      <c r="W745" s="3185"/>
      <c r="X745" s="3185"/>
      <c r="Y745" s="3185"/>
      <c r="Z745" s="3185"/>
      <c r="AA745" s="3185"/>
      <c r="AB745" s="3185"/>
      <c r="AC745" s="917"/>
      <c r="AD745" s="917"/>
      <c r="AE745" s="917"/>
      <c r="AF745" s="3129" t="s">
        <v>1623</v>
      </c>
      <c r="AG745" s="3129"/>
      <c r="AH745" s="3129"/>
      <c r="AI745" s="3129"/>
      <c r="AJ745" s="3129"/>
      <c r="AK745" s="3129"/>
      <c r="AL745" s="3129"/>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5"/>
      <c r="F746" s="3185"/>
      <c r="G746" s="3185"/>
      <c r="H746" s="3185"/>
      <c r="I746" s="3185"/>
      <c r="J746" s="3185"/>
      <c r="K746" s="3185"/>
      <c r="L746" s="3185"/>
      <c r="M746" s="3185"/>
      <c r="N746" s="3185"/>
      <c r="O746" s="3185"/>
      <c r="P746" s="3185"/>
      <c r="Q746" s="3185"/>
      <c r="R746" s="3185"/>
      <c r="S746" s="3185"/>
      <c r="T746" s="3185"/>
      <c r="U746" s="3185"/>
      <c r="V746" s="3185"/>
      <c r="W746" s="3185"/>
      <c r="X746" s="3185"/>
      <c r="Y746" s="3185"/>
      <c r="Z746" s="3185"/>
      <c r="AA746" s="3185"/>
      <c r="AB746" s="318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16" t="s">
        <v>714</v>
      </c>
      <c r="I748" s="321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65">
        <f>VLOOKUP($H$748,$AO$683:$AP$685,2,FALSE)</f>
        <v>2</v>
      </c>
      <c r="AK750" s="3167"/>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85" t="s">
        <v>2004</v>
      </c>
      <c r="F754" s="3185"/>
      <c r="G754" s="3185"/>
      <c r="H754" s="3185"/>
      <c r="I754" s="3185"/>
      <c r="J754" s="3185"/>
      <c r="K754" s="3185"/>
      <c r="L754" s="3185"/>
      <c r="M754" s="3185"/>
      <c r="N754" s="3185"/>
      <c r="O754" s="3185"/>
      <c r="P754" s="3185"/>
      <c r="Q754" s="3185"/>
      <c r="R754" s="3185"/>
      <c r="S754" s="3185"/>
      <c r="T754" s="3185"/>
      <c r="U754" s="3185"/>
      <c r="V754" s="3185"/>
      <c r="W754" s="3185"/>
      <c r="X754" s="3185"/>
      <c r="Y754" s="3185"/>
      <c r="Z754" s="3185"/>
      <c r="AA754" s="3185"/>
      <c r="AB754" s="3185"/>
      <c r="AC754" s="3185"/>
      <c r="AD754" s="3185"/>
      <c r="AE754" s="917"/>
      <c r="AF754" s="3129" t="s">
        <v>1604</v>
      </c>
      <c r="AG754" s="3129"/>
      <c r="AH754" s="3129"/>
      <c r="AI754" s="3129"/>
      <c r="AJ754" s="3129"/>
      <c r="AK754" s="3129"/>
      <c r="AL754" s="3129"/>
      <c r="AM754" s="1021"/>
      <c r="AN754" s="1123"/>
    </row>
    <row r="755" spans="1:81" s="1124" customFormat="1" ht="13.7" customHeight="1">
      <c r="A755" s="1050"/>
      <c r="B755" s="1025"/>
      <c r="C755" s="1497"/>
      <c r="D755" s="1096"/>
      <c r="E755" s="3185"/>
      <c r="F755" s="3185"/>
      <c r="G755" s="3185"/>
      <c r="H755" s="3185"/>
      <c r="I755" s="3185"/>
      <c r="J755" s="3185"/>
      <c r="K755" s="3185"/>
      <c r="L755" s="3185"/>
      <c r="M755" s="3185"/>
      <c r="N755" s="3185"/>
      <c r="O755" s="3185"/>
      <c r="P755" s="3185"/>
      <c r="Q755" s="3185"/>
      <c r="R755" s="3185"/>
      <c r="S755" s="3185"/>
      <c r="T755" s="3185"/>
      <c r="U755" s="3185"/>
      <c r="V755" s="3185"/>
      <c r="W755" s="3185"/>
      <c r="X755" s="3185"/>
      <c r="Y755" s="3185"/>
      <c r="Z755" s="3185"/>
      <c r="AA755" s="3185"/>
      <c r="AB755" s="3185"/>
      <c r="AC755" s="3185"/>
      <c r="AD755" s="3185"/>
      <c r="AE755" s="917"/>
      <c r="AF755" s="1447"/>
      <c r="AG755" s="1447"/>
      <c r="AH755" s="1447"/>
      <c r="AI755" s="1447"/>
      <c r="AJ755" s="1447"/>
      <c r="AK755" s="1447"/>
      <c r="AL755" s="1447"/>
      <c r="AM755" s="1021"/>
      <c r="AN755" s="1123"/>
    </row>
    <row r="756" spans="1:81" s="1124" customFormat="1">
      <c r="A756" s="1050"/>
      <c r="B756" s="1025"/>
      <c r="C756" s="1497"/>
      <c r="D756" s="1096"/>
      <c r="E756" s="3185"/>
      <c r="F756" s="3185"/>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85"/>
      <c r="F757" s="3185"/>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22" t="s">
        <v>2011</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7"/>
      <c r="AF759" s="3129" t="s">
        <v>1548</v>
      </c>
      <c r="AG759" s="3129"/>
      <c r="AH759" s="3129"/>
      <c r="AI759" s="3129"/>
      <c r="AJ759" s="3129"/>
      <c r="AK759" s="3129"/>
      <c r="AL759" s="3129"/>
      <c r="AM759" s="1021"/>
      <c r="AN759" s="990"/>
    </row>
    <row r="760" spans="1:81" s="933" customFormat="1" ht="12.75" customHeight="1">
      <c r="A760" s="1050"/>
      <c r="B760" s="1025"/>
      <c r="C760" s="1497"/>
      <c r="D760" s="1096"/>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16" t="s">
        <v>617</v>
      </c>
      <c r="I764" s="321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65">
        <f>VLOOKUP($H$764,$AP$705:$AQ$707,2,FALSE)</f>
        <v>0</v>
      </c>
      <c r="AK766" s="3167"/>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85" t="s">
        <v>2497</v>
      </c>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917"/>
      <c r="AF770" s="3129" t="s">
        <v>1548</v>
      </c>
      <c r="AG770" s="3129"/>
      <c r="AH770" s="3129"/>
      <c r="AI770" s="3129"/>
      <c r="AJ770" s="3129"/>
      <c r="AK770" s="3129"/>
      <c r="AL770" s="3129"/>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85"/>
      <c r="F773" s="3185"/>
      <c r="G773" s="3185"/>
      <c r="H773" s="3185"/>
      <c r="I773" s="3185"/>
      <c r="J773" s="3185"/>
      <c r="K773" s="3185"/>
      <c r="L773" s="3185"/>
      <c r="M773" s="3185"/>
      <c r="N773" s="3185"/>
      <c r="O773" s="3185"/>
      <c r="P773" s="3185"/>
      <c r="Q773" s="3185"/>
      <c r="R773" s="3185"/>
      <c r="S773" s="3185"/>
      <c r="T773" s="3185"/>
      <c r="U773" s="3185"/>
      <c r="V773" s="3185"/>
      <c r="W773" s="3185"/>
      <c r="X773" s="3185"/>
      <c r="Y773" s="3185"/>
      <c r="Z773" s="3185"/>
      <c r="AA773" s="3185"/>
      <c r="AB773" s="3185"/>
      <c r="AC773" s="3185"/>
      <c r="AD773" s="318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16" t="s">
        <v>570</v>
      </c>
      <c r="I775" s="321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65">
        <f>VLOOKUP($H$775,$AO$769:$AP$770,2,FALSE)</f>
        <v>3</v>
      </c>
      <c r="AK777" s="3167"/>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65">
        <f>IF(($AJ$610+$AJ$629+$AJ$641+$AJ$676+$AJ$696+$AJ$710+$AJ$722+$AJ$738+$AJ$750+$AJ$766+AJ777)&gt;10,10,($AJ$610+$AJ$629+$AJ$641+$AJ$676+$AJ$696+$AJ$710+$AJ$722+$AJ$738+$AJ$750+$AJ$766+AJ777))</f>
        <v>10</v>
      </c>
      <c r="AL779" s="3166"/>
      <c r="AM779" s="3167"/>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8" t="s">
        <v>1773</v>
      </c>
      <c r="B782" s="3279"/>
      <c r="C782" s="3279"/>
      <c r="D782" s="3279"/>
      <c r="E782" s="3279"/>
      <c r="F782" s="3279"/>
      <c r="G782" s="3279"/>
      <c r="H782" s="3279"/>
      <c r="I782" s="3279"/>
      <c r="J782" s="3279"/>
      <c r="K782" s="3279"/>
      <c r="L782" s="3279"/>
      <c r="M782" s="3279"/>
      <c r="N782" s="3279"/>
      <c r="O782" s="3279"/>
      <c r="P782" s="3279"/>
      <c r="Q782" s="3279"/>
      <c r="R782" s="3279"/>
      <c r="S782" s="3279"/>
      <c r="T782" s="3279"/>
      <c r="U782" s="3279"/>
      <c r="V782" s="3279"/>
      <c r="W782" s="3279"/>
      <c r="X782" s="3279"/>
      <c r="Y782" s="3279"/>
      <c r="Z782" s="3279"/>
      <c r="AA782" s="3279"/>
      <c r="AB782" s="3279"/>
      <c r="AC782" s="3279"/>
      <c r="AD782" s="3279"/>
      <c r="AE782" s="3279"/>
      <c r="AF782" s="3279"/>
      <c r="AG782" s="3279"/>
      <c r="AH782" s="3279"/>
      <c r="AI782" s="3279"/>
      <c r="AJ782" s="3279"/>
      <c r="AK782" s="3279"/>
      <c r="AL782" s="3279"/>
      <c r="AM782" s="3279"/>
    </row>
    <row r="783" spans="1:81">
      <c r="A783" s="3280"/>
      <c r="B783" s="3280"/>
      <c r="C783" s="3280"/>
      <c r="D783" s="3280"/>
      <c r="E783" s="3280"/>
      <c r="F783" s="3280"/>
      <c r="G783" s="3280"/>
      <c r="H783" s="3280"/>
      <c r="I783" s="3280"/>
      <c r="J783" s="3280"/>
      <c r="K783" s="3280"/>
      <c r="L783" s="3280"/>
      <c r="M783" s="3280"/>
      <c r="N783" s="3280"/>
      <c r="O783" s="3280"/>
      <c r="P783" s="3280"/>
      <c r="Q783" s="3280"/>
      <c r="R783" s="3280"/>
      <c r="S783" s="3280"/>
      <c r="T783" s="3280"/>
      <c r="U783" s="3280"/>
      <c r="V783" s="3280"/>
      <c r="W783" s="3280"/>
      <c r="X783" s="3280"/>
      <c r="Y783" s="3280"/>
      <c r="Z783" s="3280"/>
      <c r="AA783" s="3280"/>
      <c r="AB783" s="3280"/>
      <c r="AC783" s="3280"/>
      <c r="AD783" s="3280"/>
      <c r="AE783" s="3280"/>
      <c r="AF783" s="3280"/>
      <c r="AG783" s="3280"/>
      <c r="AH783" s="3280"/>
      <c r="AI783" s="3280"/>
      <c r="AJ783" s="3280"/>
      <c r="AK783" s="3280"/>
      <c r="AL783" s="3280"/>
      <c r="AM783" s="3280"/>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81"/>
      <c r="B785" s="3281"/>
      <c r="C785" s="3281"/>
      <c r="D785" s="3281"/>
      <c r="E785" s="3281"/>
      <c r="F785" s="3281"/>
      <c r="G785" s="3281"/>
      <c r="H785" s="3281"/>
      <c r="I785" s="3281"/>
      <c r="J785" s="3281"/>
      <c r="K785" s="3281"/>
      <c r="L785" s="3281"/>
      <c r="M785" s="3281"/>
      <c r="N785" s="3281"/>
      <c r="O785" s="3281"/>
      <c r="P785" s="3281"/>
      <c r="Q785" s="3281"/>
      <c r="R785" s="3281"/>
      <c r="S785" s="3281"/>
      <c r="T785" s="3281"/>
      <c r="U785" s="3281"/>
      <c r="V785" s="3281"/>
      <c r="W785" s="3281"/>
      <c r="X785" s="3281"/>
      <c r="Y785" s="3281"/>
      <c r="Z785" s="3281"/>
      <c r="AA785" s="3281"/>
      <c r="AB785" s="3281"/>
      <c r="AC785" s="3281"/>
      <c r="AD785" s="3281"/>
      <c r="AE785" s="3281"/>
      <c r="AF785" s="3281"/>
      <c r="AG785" s="3281"/>
      <c r="AH785" s="3281"/>
      <c r="AI785" s="3281"/>
      <c r="AJ785" s="3281"/>
      <c r="AK785" s="3281"/>
      <c r="AL785" s="3281"/>
      <c r="AM785" s="3281"/>
      <c r="AO785" s="1217"/>
      <c r="AP785" s="1310"/>
      <c r="AQ785" s="1309"/>
    </row>
    <row r="786" spans="1:81">
      <c r="A786" s="3281"/>
      <c r="B786" s="3281"/>
      <c r="C786" s="3281"/>
      <c r="D786" s="3281"/>
      <c r="E786" s="3281"/>
      <c r="F786" s="3281"/>
      <c r="G786" s="3281"/>
      <c r="H786" s="3281"/>
      <c r="I786" s="3281"/>
      <c r="J786" s="3281"/>
      <c r="K786" s="3281"/>
      <c r="L786" s="3281"/>
      <c r="M786" s="3281"/>
      <c r="N786" s="3281"/>
      <c r="O786" s="3281"/>
      <c r="P786" s="3281"/>
      <c r="Q786" s="3281"/>
      <c r="R786" s="3281"/>
      <c r="S786" s="3281"/>
      <c r="T786" s="3281"/>
      <c r="U786" s="3281"/>
      <c r="V786" s="3281"/>
      <c r="W786" s="3281"/>
      <c r="X786" s="3281"/>
      <c r="Y786" s="3281"/>
      <c r="Z786" s="3281"/>
      <c r="AA786" s="3281"/>
      <c r="AB786" s="3281"/>
      <c r="AC786" s="3281"/>
      <c r="AD786" s="3281"/>
      <c r="AE786" s="3281"/>
      <c r="AF786" s="3281"/>
      <c r="AG786" s="3281"/>
      <c r="AH786" s="3281"/>
      <c r="AI786" s="3281"/>
      <c r="AJ786" s="3281"/>
      <c r="AK786" s="3281"/>
      <c r="AL786" s="3281"/>
      <c r="AM786" s="328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82" t="s">
        <v>1774</v>
      </c>
      <c r="U787" s="3283"/>
      <c r="V787" s="3283"/>
      <c r="W787" s="3283"/>
      <c r="X787" s="3283"/>
      <c r="Y787" s="3284"/>
      <c r="Z787" s="3282" t="s">
        <v>1775</v>
      </c>
      <c r="AA787" s="3283"/>
      <c r="AB787" s="3283"/>
      <c r="AC787" s="3283"/>
      <c r="AD787" s="3283"/>
      <c r="AE787" s="3284"/>
      <c r="AF787" s="3282" t="s">
        <v>1776</v>
      </c>
      <c r="AG787" s="3283"/>
      <c r="AH787" s="3283"/>
      <c r="AI787" s="3283"/>
      <c r="AJ787" s="3283"/>
      <c r="AK787" s="3284"/>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85"/>
      <c r="U788" s="3286"/>
      <c r="V788" s="3286"/>
      <c r="W788" s="3286"/>
      <c r="X788" s="3286"/>
      <c r="Y788" s="3287"/>
      <c r="Z788" s="3285"/>
      <c r="AA788" s="3286"/>
      <c r="AB788" s="3286"/>
      <c r="AC788" s="3286"/>
      <c r="AD788" s="3286"/>
      <c r="AE788" s="3287"/>
      <c r="AF788" s="3285"/>
      <c r="AG788" s="3286"/>
      <c r="AH788" s="3286"/>
      <c r="AI788" s="3286"/>
      <c r="AJ788" s="3286"/>
      <c r="AK788" s="3287"/>
      <c r="AL788" s="1312"/>
      <c r="AM788" s="1206"/>
      <c r="AO788" s="1310"/>
      <c r="AP788" s="1309"/>
      <c r="AQ788" s="1309"/>
    </row>
    <row r="789" spans="1:81">
      <c r="A789" s="1313" t="s">
        <v>787</v>
      </c>
      <c r="B789" s="3260" t="s">
        <v>1500</v>
      </c>
      <c r="C789" s="3260"/>
      <c r="D789" s="3260"/>
      <c r="E789" s="3260"/>
      <c r="F789" s="3260"/>
      <c r="G789" s="3260"/>
      <c r="H789" s="3260"/>
      <c r="I789" s="3260"/>
      <c r="J789" s="3260"/>
      <c r="K789" s="3260"/>
      <c r="L789" s="3260"/>
      <c r="M789" s="3260"/>
      <c r="N789" s="3260"/>
      <c r="O789" s="3260"/>
      <c r="P789" s="3260"/>
      <c r="Q789" s="3260"/>
      <c r="R789" s="3260"/>
      <c r="S789" s="3261"/>
      <c r="T789" s="3262">
        <f>AK56</f>
        <v>0</v>
      </c>
      <c r="U789" s="3263"/>
      <c r="V789" s="3263"/>
      <c r="W789" s="3263"/>
      <c r="X789" s="3263"/>
      <c r="Y789" s="3264"/>
      <c r="Z789" s="3265">
        <v>20</v>
      </c>
      <c r="AA789" s="3263"/>
      <c r="AB789" s="3263"/>
      <c r="AC789" s="3263"/>
      <c r="AD789" s="3263"/>
      <c r="AE789" s="3264"/>
      <c r="AF789" s="3266">
        <f>IF(T789&gt;Z789,Z789,T789)</f>
        <v>0</v>
      </c>
      <c r="AG789" s="3266"/>
      <c r="AH789" s="3266"/>
      <c r="AI789" s="3266"/>
      <c r="AJ789" s="3266"/>
      <c r="AK789" s="3266"/>
      <c r="AL789" s="1312"/>
      <c r="AM789" s="1206"/>
      <c r="AO789" s="1309"/>
      <c r="AP789" s="1309"/>
      <c r="AQ789" s="1309"/>
    </row>
    <row r="790" spans="1:81">
      <c r="A790" s="1313" t="s">
        <v>1746</v>
      </c>
      <c r="B790" s="3260" t="s">
        <v>1509</v>
      </c>
      <c r="C790" s="3260"/>
      <c r="D790" s="3260"/>
      <c r="E790" s="3260"/>
      <c r="F790" s="3260"/>
      <c r="G790" s="3260"/>
      <c r="H790" s="3260"/>
      <c r="I790" s="3260"/>
      <c r="J790" s="3260"/>
      <c r="K790" s="3260"/>
      <c r="L790" s="3260"/>
      <c r="M790" s="3260"/>
      <c r="N790" s="3260"/>
      <c r="O790" s="3260"/>
      <c r="P790" s="3260"/>
      <c r="Q790" s="3260"/>
      <c r="R790" s="3260"/>
      <c r="S790" s="3261"/>
      <c r="T790" s="3262">
        <f>AK78</f>
        <v>10</v>
      </c>
      <c r="U790" s="3263"/>
      <c r="V790" s="3263"/>
      <c r="W790" s="3263"/>
      <c r="X790" s="3263"/>
      <c r="Y790" s="3264"/>
      <c r="Z790" s="3265">
        <v>10</v>
      </c>
      <c r="AA790" s="3263"/>
      <c r="AB790" s="3263"/>
      <c r="AC790" s="3263"/>
      <c r="AD790" s="3263"/>
      <c r="AE790" s="3264"/>
      <c r="AF790" s="3266">
        <f>IF(T790&gt;Z790,Z790,T790)</f>
        <v>10</v>
      </c>
      <c r="AG790" s="3266"/>
      <c r="AH790" s="3266"/>
      <c r="AI790" s="3266"/>
      <c r="AJ790" s="3266"/>
      <c r="AK790" s="3266"/>
      <c r="AL790" s="1312"/>
      <c r="AM790" s="1206"/>
      <c r="AO790" s="1309"/>
      <c r="AP790" s="1309"/>
      <c r="AQ790" s="1309"/>
    </row>
    <row r="791" spans="1:81">
      <c r="A791" s="1313" t="s">
        <v>1755</v>
      </c>
      <c r="B791" s="3260" t="s">
        <v>1519</v>
      </c>
      <c r="C791" s="3260"/>
      <c r="D791" s="3260"/>
      <c r="E791" s="3260"/>
      <c r="F791" s="3260"/>
      <c r="G791" s="3260"/>
      <c r="H791" s="3260"/>
      <c r="I791" s="3260"/>
      <c r="J791" s="3260"/>
      <c r="K791" s="3260"/>
      <c r="L791" s="3260"/>
      <c r="M791" s="3260"/>
      <c r="N791" s="3260"/>
      <c r="O791" s="3260"/>
      <c r="P791" s="3260"/>
      <c r="Q791" s="3260"/>
      <c r="R791" s="3260"/>
      <c r="S791" s="3261"/>
      <c r="T791" s="3262">
        <f ca="1">AK103</f>
        <v>20</v>
      </c>
      <c r="U791" s="3263"/>
      <c r="V791" s="3263"/>
      <c r="W791" s="3263"/>
      <c r="X791" s="3263"/>
      <c r="Y791" s="3264"/>
      <c r="Z791" s="3265">
        <v>20</v>
      </c>
      <c r="AA791" s="3263"/>
      <c r="AB791" s="3263"/>
      <c r="AC791" s="3263"/>
      <c r="AD791" s="3263"/>
      <c r="AE791" s="3264"/>
      <c r="AF791" s="3266">
        <f ca="1">IF(T791&gt;Z791,Z791,T791)</f>
        <v>20</v>
      </c>
      <c r="AG791" s="3266"/>
      <c r="AH791" s="3266"/>
      <c r="AI791" s="3266"/>
      <c r="AJ791" s="3266"/>
      <c r="AK791" s="3266"/>
      <c r="AL791" s="1312"/>
      <c r="AM791" s="1206"/>
      <c r="AO791" s="1309"/>
      <c r="AP791" s="1309"/>
      <c r="AQ791" s="1309"/>
    </row>
    <row r="792" spans="1:81">
      <c r="A792" s="1313" t="s">
        <v>1777</v>
      </c>
      <c r="B792" s="3260" t="s">
        <v>1529</v>
      </c>
      <c r="C792" s="3260"/>
      <c r="D792" s="3260"/>
      <c r="E792" s="3260"/>
      <c r="F792" s="3260"/>
      <c r="G792" s="3260"/>
      <c r="H792" s="3260"/>
      <c r="I792" s="3260"/>
      <c r="J792" s="3260"/>
      <c r="K792" s="3260"/>
      <c r="L792" s="3260"/>
      <c r="M792" s="3260"/>
      <c r="N792" s="3260"/>
      <c r="O792" s="3260"/>
      <c r="P792" s="3260"/>
      <c r="Q792" s="3260"/>
      <c r="R792" s="3260"/>
      <c r="S792" s="3261"/>
      <c r="T792" s="3262">
        <f>AK137</f>
        <v>10</v>
      </c>
      <c r="U792" s="3263"/>
      <c r="V792" s="3263"/>
      <c r="W792" s="3263"/>
      <c r="X792" s="3263"/>
      <c r="Y792" s="3264"/>
      <c r="Z792" s="3265">
        <v>10</v>
      </c>
      <c r="AA792" s="3263"/>
      <c r="AB792" s="3263"/>
      <c r="AC792" s="3263"/>
      <c r="AD792" s="3263"/>
      <c r="AE792" s="3264"/>
      <c r="AF792" s="3266">
        <f>IF(T792&gt;Z792,Z792,T792)</f>
        <v>10</v>
      </c>
      <c r="AG792" s="3266"/>
      <c r="AH792" s="3266"/>
      <c r="AI792" s="3266"/>
      <c r="AJ792" s="3266"/>
      <c r="AK792" s="3266"/>
      <c r="AL792" s="1312"/>
      <c r="AM792" s="1206"/>
      <c r="AO792" s="1309"/>
      <c r="AP792" s="1309"/>
      <c r="AQ792" s="1309"/>
    </row>
    <row r="793" spans="1:81">
      <c r="A793" s="1315" t="s">
        <v>1778</v>
      </c>
      <c r="B793" s="3260" t="s">
        <v>1779</v>
      </c>
      <c r="C793" s="3260"/>
      <c r="D793" s="3260"/>
      <c r="E793" s="3260"/>
      <c r="F793" s="3260"/>
      <c r="G793" s="3260"/>
      <c r="H793" s="3260"/>
      <c r="I793" s="3260"/>
      <c r="J793" s="3260"/>
      <c r="K793" s="3260"/>
      <c r="L793" s="3260"/>
      <c r="M793" s="3260"/>
      <c r="N793" s="3260"/>
      <c r="O793" s="3260"/>
      <c r="P793" s="3260"/>
      <c r="Q793" s="3260"/>
      <c r="R793" s="3260"/>
      <c r="S793" s="3261"/>
      <c r="T793" s="3288">
        <f>SUM(T794:Y795)</f>
        <v>10</v>
      </c>
      <c r="U793" s="3288"/>
      <c r="V793" s="3288"/>
      <c r="W793" s="3288"/>
      <c r="X793" s="3288"/>
      <c r="Y793" s="3288"/>
      <c r="Z793" s="3266">
        <v>10</v>
      </c>
      <c r="AA793" s="3266"/>
      <c r="AB793" s="3266"/>
      <c r="AC793" s="3266"/>
      <c r="AD793" s="3266"/>
      <c r="AE793" s="3266"/>
      <c r="AF793" s="3266">
        <f>IF(T793&gt;Z793,Z793,T793)</f>
        <v>10</v>
      </c>
      <c r="AG793" s="3266"/>
      <c r="AH793" s="3266"/>
      <c r="AI793" s="3266"/>
      <c r="AJ793" s="3266"/>
      <c r="AK793" s="3266"/>
      <c r="AL793" s="1312"/>
      <c r="AM793" s="1206"/>
    </row>
    <row r="794" spans="1:81">
      <c r="A794" s="916"/>
      <c r="B794" s="999"/>
      <c r="C794" s="3289" t="s">
        <v>1780</v>
      </c>
      <c r="D794" s="3289"/>
      <c r="E794" s="3289"/>
      <c r="F794" s="3289"/>
      <c r="G794" s="3289"/>
      <c r="H794" s="3289"/>
      <c r="I794" s="3289"/>
      <c r="J794" s="3289"/>
      <c r="K794" s="3289"/>
      <c r="L794" s="3289"/>
      <c r="M794" s="3289"/>
      <c r="N794" s="3289"/>
      <c r="O794" s="3289"/>
      <c r="P794" s="3289"/>
      <c r="Q794" s="3289"/>
      <c r="R794" s="3289"/>
      <c r="S794" s="3290"/>
      <c r="T794" s="3158">
        <f>AJ155</f>
        <v>7</v>
      </c>
      <c r="U794" s="3158"/>
      <c r="V794" s="3158"/>
      <c r="W794" s="3158"/>
      <c r="X794" s="3158"/>
      <c r="Y794" s="3158"/>
      <c r="Z794" s="3291">
        <v>7</v>
      </c>
      <c r="AA794" s="3291"/>
      <c r="AB794" s="3291"/>
      <c r="AC794" s="3291"/>
      <c r="AD794" s="3291"/>
      <c r="AE794" s="3291"/>
      <c r="AF794" s="3292"/>
      <c r="AG794" s="3292"/>
      <c r="AH794" s="3292"/>
      <c r="AI794" s="3292"/>
      <c r="AJ794" s="3292"/>
      <c r="AK794" s="3292"/>
      <c r="AL794" s="1312"/>
      <c r="AM794" s="1206"/>
    </row>
    <row r="795" spans="1:81">
      <c r="A795" s="1316"/>
      <c r="B795" s="999"/>
      <c r="C795" s="3289" t="s">
        <v>1781</v>
      </c>
      <c r="D795" s="3289"/>
      <c r="E795" s="3289"/>
      <c r="F795" s="3289"/>
      <c r="G795" s="3289"/>
      <c r="H795" s="3289"/>
      <c r="I795" s="3289"/>
      <c r="J795" s="3289"/>
      <c r="K795" s="3289"/>
      <c r="L795" s="3289"/>
      <c r="M795" s="3289"/>
      <c r="N795" s="3289"/>
      <c r="O795" s="3289"/>
      <c r="P795" s="3289"/>
      <c r="Q795" s="3289"/>
      <c r="R795" s="3289"/>
      <c r="S795" s="3290"/>
      <c r="T795" s="3158">
        <f>AJ169</f>
        <v>3</v>
      </c>
      <c r="U795" s="3158"/>
      <c r="V795" s="3158"/>
      <c r="W795" s="3158"/>
      <c r="X795" s="3158"/>
      <c r="Y795" s="3158"/>
      <c r="Z795" s="3291">
        <v>3</v>
      </c>
      <c r="AA795" s="3291"/>
      <c r="AB795" s="3291"/>
      <c r="AC795" s="3291"/>
      <c r="AD795" s="3291"/>
      <c r="AE795" s="3291"/>
      <c r="AF795" s="3292"/>
      <c r="AG795" s="3292"/>
      <c r="AH795" s="3292"/>
      <c r="AI795" s="3292"/>
      <c r="AJ795" s="3292"/>
      <c r="AK795" s="3292"/>
      <c r="AL795" s="1312"/>
      <c r="AM795" s="1206"/>
      <c r="AO795" s="933"/>
    </row>
    <row r="796" spans="1:81">
      <c r="A796" s="1315" t="s">
        <v>1557</v>
      </c>
      <c r="B796" s="3260" t="s">
        <v>1782</v>
      </c>
      <c r="C796" s="3260"/>
      <c r="D796" s="3260"/>
      <c r="E796" s="3260"/>
      <c r="F796" s="3260"/>
      <c r="G796" s="3260"/>
      <c r="H796" s="3260"/>
      <c r="I796" s="3260"/>
      <c r="J796" s="3260"/>
      <c r="K796" s="3260"/>
      <c r="L796" s="3260"/>
      <c r="M796" s="3260"/>
      <c r="N796" s="3260"/>
      <c r="O796" s="3260"/>
      <c r="P796" s="3260"/>
      <c r="Q796" s="3260"/>
      <c r="R796" s="3260"/>
      <c r="S796" s="3261"/>
      <c r="T796" s="3288">
        <f>AK180</f>
        <v>10</v>
      </c>
      <c r="U796" s="3288"/>
      <c r="V796" s="3288"/>
      <c r="W796" s="3288"/>
      <c r="X796" s="3288"/>
      <c r="Y796" s="3288"/>
      <c r="Z796" s="3266">
        <v>10</v>
      </c>
      <c r="AA796" s="3266"/>
      <c r="AB796" s="3266"/>
      <c r="AC796" s="3266"/>
      <c r="AD796" s="3266"/>
      <c r="AE796" s="3266"/>
      <c r="AF796" s="3266">
        <f>IF(T796&gt;Z796,Z796,T796)</f>
        <v>10</v>
      </c>
      <c r="AG796" s="3266"/>
      <c r="AH796" s="3266"/>
      <c r="AI796" s="3266"/>
      <c r="AJ796" s="3266"/>
      <c r="AK796" s="3266"/>
      <c r="AL796" s="1312"/>
      <c r="AM796" s="1206"/>
    </row>
    <row r="797" spans="1:81">
      <c r="A797" s="1313" t="s">
        <v>1566</v>
      </c>
      <c r="B797" s="3260" t="s">
        <v>1567</v>
      </c>
      <c r="C797" s="3260"/>
      <c r="D797" s="3260"/>
      <c r="E797" s="3260"/>
      <c r="F797" s="3260"/>
      <c r="G797" s="3260"/>
      <c r="H797" s="3260"/>
      <c r="I797" s="3260"/>
      <c r="J797" s="3260"/>
      <c r="K797" s="3260"/>
      <c r="L797" s="3260"/>
      <c r="M797" s="3260"/>
      <c r="N797" s="3260"/>
      <c r="O797" s="3260"/>
      <c r="P797" s="3260"/>
      <c r="Q797" s="3260"/>
      <c r="R797" s="3260"/>
      <c r="S797" s="3261"/>
      <c r="T797" s="3288">
        <f>AK262</f>
        <v>8</v>
      </c>
      <c r="U797" s="3288"/>
      <c r="V797" s="3288"/>
      <c r="W797" s="3288"/>
      <c r="X797" s="3288"/>
      <c r="Y797" s="3288"/>
      <c r="Z797" s="3265">
        <v>8</v>
      </c>
      <c r="AA797" s="3263"/>
      <c r="AB797" s="3263"/>
      <c r="AC797" s="3263"/>
      <c r="AD797" s="3263"/>
      <c r="AE797" s="3264"/>
      <c r="AF797" s="3266">
        <f>IF(T797&gt;Z797,Z797,T797)</f>
        <v>8</v>
      </c>
      <c r="AG797" s="3266"/>
      <c r="AH797" s="3266"/>
      <c r="AI797" s="3266"/>
      <c r="AJ797" s="3266"/>
      <c r="AK797" s="3266"/>
      <c r="AL797" s="1312"/>
      <c r="AM797" s="1206"/>
    </row>
    <row r="798" spans="1:81" s="915" customFormat="1" hidden="1">
      <c r="A798" s="1315" t="s">
        <v>615</v>
      </c>
      <c r="B798" s="3260" t="s">
        <v>1783</v>
      </c>
      <c r="C798" s="3260"/>
      <c r="D798" s="3260"/>
      <c r="E798" s="3260"/>
      <c r="F798" s="3260"/>
      <c r="G798" s="3260"/>
      <c r="H798" s="3260"/>
      <c r="I798" s="3260"/>
      <c r="J798" s="3260"/>
      <c r="K798" s="3260"/>
      <c r="L798" s="3260"/>
      <c r="M798" s="3260"/>
      <c r="N798" s="3260"/>
      <c r="O798" s="3260"/>
      <c r="P798" s="3260"/>
      <c r="Q798" s="3260"/>
      <c r="R798" s="3260"/>
      <c r="S798" s="3261"/>
      <c r="T798" s="3288">
        <f>IF(AK524&gt;5,5,AK524)</f>
        <v>0</v>
      </c>
      <c r="U798" s="3288"/>
      <c r="V798" s="3288"/>
      <c r="W798" s="3288"/>
      <c r="X798" s="3288"/>
      <c r="Y798" s="3288"/>
      <c r="Z798" s="3266">
        <v>5</v>
      </c>
      <c r="AA798" s="3266"/>
      <c r="AB798" s="3266"/>
      <c r="AC798" s="3266"/>
      <c r="AD798" s="3266"/>
      <c r="AE798" s="3266"/>
      <c r="AF798" s="3266">
        <f>IF(T798&gt;Z798,5,T798)</f>
        <v>0</v>
      </c>
      <c r="AG798" s="3266"/>
      <c r="AH798" s="3266"/>
      <c r="AI798" s="3266"/>
      <c r="AJ798" s="3266"/>
      <c r="AK798" s="326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60" t="s">
        <v>1784</v>
      </c>
      <c r="C799" s="3260"/>
      <c r="D799" s="3260"/>
      <c r="E799" s="3260"/>
      <c r="F799" s="3260"/>
      <c r="G799" s="3260"/>
      <c r="H799" s="3260"/>
      <c r="I799" s="3260"/>
      <c r="J799" s="3260"/>
      <c r="K799" s="3260"/>
      <c r="L799" s="3260"/>
      <c r="M799" s="3260"/>
      <c r="N799" s="3260"/>
      <c r="O799" s="3260"/>
      <c r="P799" s="3260"/>
      <c r="Q799" s="3260"/>
      <c r="R799" s="3260"/>
      <c r="S799" s="3261"/>
      <c r="T799" s="3288">
        <f>AK274</f>
        <v>10</v>
      </c>
      <c r="U799" s="3288"/>
      <c r="V799" s="3288"/>
      <c r="W799" s="3288"/>
      <c r="X799" s="3288"/>
      <c r="Y799" s="3288"/>
      <c r="Z799" s="3266">
        <v>10</v>
      </c>
      <c r="AA799" s="3266"/>
      <c r="AB799" s="3266"/>
      <c r="AC799" s="3266"/>
      <c r="AD799" s="3266"/>
      <c r="AE799" s="3266"/>
      <c r="AF799" s="3295">
        <f>IF(T799&gt;Z799,Z799,T799)</f>
        <v>10</v>
      </c>
      <c r="AG799" s="3296"/>
      <c r="AH799" s="3296"/>
      <c r="AI799" s="3296"/>
      <c r="AJ799" s="3296"/>
      <c r="AK799" s="329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60" t="s">
        <v>1577</v>
      </c>
      <c r="C800" s="3260"/>
      <c r="D800" s="3260"/>
      <c r="E800" s="3260"/>
      <c r="F800" s="3260"/>
      <c r="G800" s="3260"/>
      <c r="H800" s="3260"/>
      <c r="I800" s="3260"/>
      <c r="J800" s="3260"/>
      <c r="K800" s="3260"/>
      <c r="L800" s="3260"/>
      <c r="M800" s="3260"/>
      <c r="N800" s="3260"/>
      <c r="O800" s="3260"/>
      <c r="P800" s="3260"/>
      <c r="Q800" s="3260"/>
      <c r="R800" s="3260"/>
      <c r="S800" s="3261"/>
      <c r="T800" s="3288">
        <f>AK327</f>
        <v>10</v>
      </c>
      <c r="U800" s="3288"/>
      <c r="V800" s="3288"/>
      <c r="W800" s="3288"/>
      <c r="X800" s="3288"/>
      <c r="Y800" s="3288"/>
      <c r="Z800" s="3295">
        <v>10</v>
      </c>
      <c r="AA800" s="3296"/>
      <c r="AB800" s="3296"/>
      <c r="AC800" s="3296"/>
      <c r="AD800" s="3296"/>
      <c r="AE800" s="3297"/>
      <c r="AF800" s="3295">
        <f>IF(T800&gt;Z800,Z800,T800)</f>
        <v>10</v>
      </c>
      <c r="AG800" s="3296"/>
      <c r="AH800" s="3296"/>
      <c r="AI800" s="3296"/>
      <c r="AJ800" s="3296"/>
      <c r="AK800" s="329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58">
        <f>AK327</f>
        <v>10</v>
      </c>
      <c r="U801" s="3158"/>
      <c r="V801" s="3158"/>
      <c r="W801" s="3158"/>
      <c r="X801" s="3158"/>
      <c r="Y801" s="3158"/>
      <c r="Z801" s="3165">
        <v>20</v>
      </c>
      <c r="AA801" s="3166"/>
      <c r="AB801" s="3166"/>
      <c r="AC801" s="3166"/>
      <c r="AD801" s="3166"/>
      <c r="AE801" s="3167"/>
      <c r="AF801" s="3292"/>
      <c r="AG801" s="3292"/>
      <c r="AH801" s="3292"/>
      <c r="AI801" s="3292"/>
      <c r="AJ801" s="3292"/>
      <c r="AK801" s="329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60" t="s">
        <v>892</v>
      </c>
      <c r="C802" s="3260"/>
      <c r="D802" s="3260"/>
      <c r="E802" s="3260"/>
      <c r="F802" s="3260"/>
      <c r="G802" s="3260"/>
      <c r="H802" s="3260"/>
      <c r="I802" s="3260"/>
      <c r="J802" s="3260"/>
      <c r="K802" s="3260"/>
      <c r="L802" s="3260"/>
      <c r="M802" s="3260"/>
      <c r="N802" s="3260"/>
      <c r="O802" s="3260"/>
      <c r="P802" s="3260"/>
      <c r="Q802" s="3260"/>
      <c r="R802" s="3260"/>
      <c r="S802" s="3261"/>
      <c r="T802" s="3288">
        <f>AK458</f>
        <v>10</v>
      </c>
      <c r="U802" s="3288"/>
      <c r="V802" s="3288"/>
      <c r="W802" s="3288"/>
      <c r="X802" s="3288"/>
      <c r="Y802" s="3288"/>
      <c r="Z802" s="3295">
        <v>10</v>
      </c>
      <c r="AA802" s="3296"/>
      <c r="AB802" s="3296"/>
      <c r="AC802" s="3296"/>
      <c r="AD802" s="3296"/>
      <c r="AE802" s="3297"/>
      <c r="AF802" s="3266">
        <f>IF(T802&gt;Z802,Z802,T802)</f>
        <v>10</v>
      </c>
      <c r="AG802" s="3266"/>
      <c r="AH802" s="3266"/>
      <c r="AI802" s="3266"/>
      <c r="AJ802" s="3266"/>
      <c r="AK802" s="326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60" t="s">
        <v>1764</v>
      </c>
      <c r="C803" s="3260"/>
      <c r="D803" s="3260"/>
      <c r="E803" s="3260"/>
      <c r="F803" s="3260"/>
      <c r="G803" s="3260"/>
      <c r="H803" s="3260"/>
      <c r="I803" s="3260"/>
      <c r="J803" s="3260"/>
      <c r="K803" s="3260"/>
      <c r="L803" s="3260"/>
      <c r="M803" s="3260"/>
      <c r="N803" s="3260"/>
      <c r="O803" s="3260"/>
      <c r="P803" s="3260"/>
      <c r="Q803" s="3260"/>
      <c r="R803" s="3260"/>
      <c r="S803" s="3261"/>
      <c r="T803" s="3288">
        <f>AK548</f>
        <v>12</v>
      </c>
      <c r="U803" s="3288"/>
      <c r="V803" s="3288"/>
      <c r="W803" s="3288"/>
      <c r="X803" s="3288"/>
      <c r="Y803" s="3288"/>
      <c r="Z803" s="3295">
        <v>12</v>
      </c>
      <c r="AA803" s="3296"/>
      <c r="AB803" s="3296"/>
      <c r="AC803" s="3296"/>
      <c r="AD803" s="3296"/>
      <c r="AE803" s="3297"/>
      <c r="AF803" s="3266">
        <f>IF(T803&gt;Z803,Z803,T803)</f>
        <v>12</v>
      </c>
      <c r="AG803" s="3266"/>
      <c r="AH803" s="3266"/>
      <c r="AI803" s="3266"/>
      <c r="AJ803" s="3266"/>
      <c r="AK803" s="326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2485</v>
      </c>
      <c r="B804" s="3260" t="s">
        <v>1786</v>
      </c>
      <c r="C804" s="3260"/>
      <c r="D804" s="3260"/>
      <c r="E804" s="3260"/>
      <c r="F804" s="3260"/>
      <c r="G804" s="3260"/>
      <c r="H804" s="3260"/>
      <c r="I804" s="3260"/>
      <c r="J804" s="3260"/>
      <c r="K804" s="3260"/>
      <c r="L804" s="3260"/>
      <c r="M804" s="3260"/>
      <c r="N804" s="3260"/>
      <c r="O804" s="3260"/>
      <c r="P804" s="3260"/>
      <c r="Q804" s="3260"/>
      <c r="R804" s="3260"/>
      <c r="S804" s="3261"/>
      <c r="T804" s="3288">
        <f>AK779</f>
        <v>10</v>
      </c>
      <c r="U804" s="3288"/>
      <c r="V804" s="3288"/>
      <c r="W804" s="3288"/>
      <c r="X804" s="3288"/>
      <c r="Y804" s="3288"/>
      <c r="Z804" s="3295">
        <v>10</v>
      </c>
      <c r="AA804" s="3296"/>
      <c r="AB804" s="3296"/>
      <c r="AC804" s="3296"/>
      <c r="AD804" s="3296"/>
      <c r="AE804" s="3297"/>
      <c r="AF804" s="3266">
        <f>IF(T804&gt;Z804,Z804,T804)</f>
        <v>10</v>
      </c>
      <c r="AG804" s="3266"/>
      <c r="AH804" s="3266"/>
      <c r="AI804" s="3266"/>
      <c r="AJ804" s="3266"/>
      <c r="AK804" s="326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93" t="s">
        <v>1787</v>
      </c>
      <c r="B805" s="3260"/>
      <c r="C805" s="3260"/>
      <c r="D805" s="3260"/>
      <c r="E805" s="3260"/>
      <c r="F805" s="3260"/>
      <c r="G805" s="3260"/>
      <c r="H805" s="3260"/>
      <c r="I805" s="3260"/>
      <c r="J805" s="3260"/>
      <c r="K805" s="3260"/>
      <c r="L805" s="3260"/>
      <c r="M805" s="3260"/>
      <c r="N805" s="3260"/>
      <c r="O805" s="3260"/>
      <c r="P805" s="3260"/>
      <c r="Q805" s="3260"/>
      <c r="R805" s="3260"/>
      <c r="S805" s="3261"/>
      <c r="T805" s="3294"/>
      <c r="U805" s="3294"/>
      <c r="V805" s="3294"/>
      <c r="W805" s="3294"/>
      <c r="X805" s="3294"/>
      <c r="Y805" s="3294"/>
      <c r="Z805" s="3291" t="s">
        <v>1788</v>
      </c>
      <c r="AA805" s="3291"/>
      <c r="AB805" s="3291"/>
      <c r="AC805" s="3291"/>
      <c r="AD805" s="3291"/>
      <c r="AE805" s="3291"/>
      <c r="AF805" s="3295">
        <f>IF(T805&gt;0,T805,0)</f>
        <v>0</v>
      </c>
      <c r="AG805" s="3296"/>
      <c r="AH805" s="3296"/>
      <c r="AI805" s="3296"/>
      <c r="AJ805" s="3296"/>
      <c r="AK805" s="329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298" t="s">
        <v>1789</v>
      </c>
      <c r="B806" s="3299"/>
      <c r="C806" s="3299"/>
      <c r="D806" s="3299"/>
      <c r="E806" s="3299"/>
      <c r="F806" s="3299"/>
      <c r="G806" s="3299"/>
      <c r="H806" s="3299"/>
      <c r="I806" s="3299"/>
      <c r="J806" s="3299"/>
      <c r="K806" s="3299"/>
      <c r="L806" s="3299"/>
      <c r="M806" s="3299"/>
      <c r="N806" s="3299"/>
      <c r="O806" s="3299"/>
      <c r="P806" s="3299"/>
      <c r="Q806" s="3299"/>
      <c r="R806" s="3299"/>
      <c r="S806" s="3299"/>
      <c r="T806" s="3299"/>
      <c r="U806" s="3299"/>
      <c r="V806" s="3299"/>
      <c r="W806" s="3299"/>
      <c r="X806" s="3299"/>
      <c r="Y806" s="3299"/>
      <c r="Z806" s="3299"/>
      <c r="AA806" s="3299"/>
      <c r="AB806" s="3299"/>
      <c r="AC806" s="3299"/>
      <c r="AD806" s="3299"/>
      <c r="AE806" s="3300"/>
      <c r="AF806" s="3304">
        <f ca="1">SUM(AF789:AK804)-AF805</f>
        <v>120</v>
      </c>
      <c r="AG806" s="3305"/>
      <c r="AH806" s="3305"/>
      <c r="AI806" s="3305"/>
      <c r="AJ806" s="3305"/>
      <c r="AK806" s="330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01"/>
      <c r="B807" s="3302"/>
      <c r="C807" s="3302"/>
      <c r="D807" s="3302"/>
      <c r="E807" s="3302"/>
      <c r="F807" s="3302"/>
      <c r="G807" s="3302"/>
      <c r="H807" s="3302"/>
      <c r="I807" s="3302"/>
      <c r="J807" s="3302"/>
      <c r="K807" s="3302"/>
      <c r="L807" s="3302"/>
      <c r="M807" s="3302"/>
      <c r="N807" s="3302"/>
      <c r="O807" s="3302"/>
      <c r="P807" s="3302"/>
      <c r="Q807" s="3302"/>
      <c r="R807" s="3302"/>
      <c r="S807" s="3302"/>
      <c r="T807" s="3302"/>
      <c r="U807" s="3302"/>
      <c r="V807" s="3302"/>
      <c r="W807" s="3302"/>
      <c r="X807" s="3302"/>
      <c r="Y807" s="3302"/>
      <c r="Z807" s="3302"/>
      <c r="AA807" s="3302"/>
      <c r="AB807" s="3302"/>
      <c r="AC807" s="3302"/>
      <c r="AD807" s="3302"/>
      <c r="AE807" s="3303"/>
      <c r="AF807" s="3307"/>
      <c r="AG807" s="3308"/>
      <c r="AH807" s="3308"/>
      <c r="AI807" s="3308"/>
      <c r="AJ807" s="3308"/>
      <c r="AK807" s="330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WU1yb09Ko8RjNoQB+vqWojTbv0UuKU94Hk7lqzwTX7nYJIIq58fVmgYpjrTwHZ6K9OUN2WVzWtWSYz0kHxq3hg==" saltValue="ldqEcwxIb59rY58NPFmby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E10" sqref="E1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62" t="s">
        <v>1790</v>
      </c>
      <c r="B1" s="3362"/>
      <c r="C1" s="3362"/>
      <c r="D1" s="3362"/>
      <c r="E1" s="3362"/>
      <c r="F1" s="3362"/>
      <c r="G1" s="3362"/>
      <c r="H1" s="3362"/>
      <c r="I1" s="3362"/>
      <c r="J1" s="3362"/>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2450</v>
      </c>
      <c r="G3" s="1841"/>
      <c r="H3" s="1842">
        <f>E16</f>
        <v>31266326</v>
      </c>
      <c r="I3" s="1843"/>
      <c r="K3" s="1778"/>
    </row>
    <row r="4" spans="1:13" s="1773" customFormat="1" ht="20.100000000000001" customHeight="1">
      <c r="A4" s="1770"/>
      <c r="B4" s="1831"/>
      <c r="C4" s="1770"/>
      <c r="D4" s="1846"/>
      <c r="E4" s="1770"/>
      <c r="F4" s="1829" t="s">
        <v>2452</v>
      </c>
      <c r="G4" s="1828" t="s">
        <v>2451</v>
      </c>
      <c r="H4" s="1830">
        <f>I16</f>
        <v>40983195.87628866</v>
      </c>
      <c r="I4" s="1832"/>
      <c r="K4" s="1776"/>
    </row>
    <row r="5" spans="1:13" s="1773" customFormat="1" ht="20.100000000000001" customHeight="1" thickBot="1">
      <c r="A5" s="1770"/>
      <c r="B5" s="1833"/>
      <c r="C5" s="1834"/>
      <c r="D5" s="1847"/>
      <c r="E5" s="1835"/>
      <c r="F5" s="1847" t="s">
        <v>2390</v>
      </c>
      <c r="G5" s="1848"/>
      <c r="H5" s="1844">
        <f>H3/H4</f>
        <v>0.76290599919001245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4" t="s">
        <v>2388</v>
      </c>
      <c r="C8" s="3365"/>
      <c r="D8" s="3365"/>
      <c r="E8" s="3366"/>
      <c r="G8" s="3367" t="s">
        <v>2389</v>
      </c>
      <c r="H8" s="3368"/>
      <c r="I8" s="3369"/>
      <c r="K8" s="1779"/>
    </row>
    <row r="9" spans="1:13" ht="15" customHeight="1">
      <c r="A9" s="1763"/>
      <c r="B9" s="3363" t="s">
        <v>2429</v>
      </c>
      <c r="C9" s="3363"/>
      <c r="D9" s="3363"/>
      <c r="E9" s="1781">
        <f>G31</f>
        <v>8087500</v>
      </c>
      <c r="G9" s="3372" t="s">
        <v>2427</v>
      </c>
      <c r="H9" s="3372"/>
      <c r="I9" s="1782">
        <f>Application!AM564</f>
        <v>42700000</v>
      </c>
      <c r="K9" s="1783"/>
      <c r="M9" s="1784"/>
    </row>
    <row r="10" spans="1:13" ht="15" customHeight="1" thickBot="1">
      <c r="A10" s="1763"/>
      <c r="B10" s="3363" t="s">
        <v>2430</v>
      </c>
      <c r="C10" s="3363"/>
      <c r="D10" s="3363"/>
      <c r="E10" s="1782">
        <f>G40</f>
        <v>8483076</v>
      </c>
      <c r="G10" s="3372" t="s">
        <v>2391</v>
      </c>
      <c r="H10" s="3372"/>
      <c r="I10" s="1884">
        <f>'Basis &amp; Credits'!AB77</f>
        <v>0</v>
      </c>
      <c r="M10" s="1784"/>
    </row>
    <row r="11" spans="1:13" s="1787" customFormat="1" ht="15" customHeight="1">
      <c r="A11" s="1785"/>
      <c r="B11" s="3363" t="s">
        <v>2431</v>
      </c>
      <c r="C11" s="3363"/>
      <c r="D11" s="3363"/>
      <c r="E11" s="1786">
        <f>G49</f>
        <v>0</v>
      </c>
      <c r="G11" s="3372" t="s">
        <v>2442</v>
      </c>
      <c r="H11" s="3372"/>
      <c r="I11" s="1883">
        <f>I9+I10</f>
        <v>42700000</v>
      </c>
      <c r="K11" s="1788"/>
      <c r="M11" s="1784"/>
    </row>
    <row r="12" spans="1:13" ht="15" customHeight="1">
      <c r="A12" s="1768"/>
      <c r="B12" s="3363" t="s">
        <v>2432</v>
      </c>
      <c r="C12" s="3363"/>
      <c r="D12" s="3363"/>
      <c r="E12" s="1786">
        <f>G58</f>
        <v>300000</v>
      </c>
      <c r="G12" s="1885" t="s">
        <v>2467</v>
      </c>
      <c r="H12" s="1886"/>
      <c r="M12" s="1784"/>
    </row>
    <row r="13" spans="1:13" ht="15" customHeight="1">
      <c r="A13" s="1763"/>
      <c r="B13" s="3363" t="s">
        <v>2433</v>
      </c>
      <c r="C13" s="3363"/>
      <c r="D13" s="3363"/>
      <c r="E13" s="1790">
        <f>G83</f>
        <v>11160750</v>
      </c>
      <c r="G13" s="3373" t="s">
        <v>144</v>
      </c>
      <c r="H13" s="3373"/>
      <c r="I13" s="1789">
        <f>15%*(Application!AJ977&gt;0)</f>
        <v>0</v>
      </c>
      <c r="J13" s="1787"/>
      <c r="K13" s="1788"/>
      <c r="M13" s="1784"/>
    </row>
    <row r="14" spans="1:13" ht="15" customHeight="1">
      <c r="A14" s="1763"/>
      <c r="B14" s="3363" t="s">
        <v>2434</v>
      </c>
      <c r="C14" s="3363"/>
      <c r="D14" s="3363"/>
      <c r="E14" s="1786">
        <f>IF(G96&gt;G106,G96,0)</f>
        <v>3235000</v>
      </c>
      <c r="G14" s="1881" t="s">
        <v>2443</v>
      </c>
      <c r="H14" s="1881"/>
      <c r="I14" s="1789">
        <f>IF(Application!AJ1011&gt;0,10%,IF(Application!AJ1015&gt;0,5%,0))</f>
        <v>0.05</v>
      </c>
      <c r="J14" s="1787"/>
      <c r="M14" s="1784"/>
    </row>
    <row r="15" spans="1:13" ht="15" customHeight="1" thickBot="1">
      <c r="A15" s="1763"/>
      <c r="B15" s="3370" t="s">
        <v>2453</v>
      </c>
      <c r="C15" s="3370"/>
      <c r="D15" s="3370"/>
      <c r="E15" s="1849">
        <f>IF(E14&gt;0,0,G106)</f>
        <v>0</v>
      </c>
      <c r="G15" s="3376" t="s">
        <v>2444</v>
      </c>
      <c r="H15" s="3377"/>
      <c r="I15" s="1851">
        <f>G114</f>
        <v>-9.7938144329896906E-3</v>
      </c>
      <c r="J15" s="1787"/>
      <c r="M15" s="1784"/>
    </row>
    <row r="16" spans="1:13" ht="15" customHeight="1">
      <c r="A16" s="1763"/>
      <c r="B16" s="3371" t="s">
        <v>2387</v>
      </c>
      <c r="C16" s="3371"/>
      <c r="D16" s="3371"/>
      <c r="E16" s="1850">
        <f>SUM(E9:E15)</f>
        <v>31266326</v>
      </c>
      <c r="G16" s="1882" t="s">
        <v>2428</v>
      </c>
      <c r="H16" s="1882"/>
      <c r="I16" s="1852">
        <f>I11-((I11*I13)+(I11*I14)+(I11*I15))</f>
        <v>40983195.87628866</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135</v>
      </c>
      <c r="O18" s="1819" t="s">
        <v>608</v>
      </c>
      <c r="P18" s="1761">
        <f>MATCH(Application!T189,Application!BP670:BP727,0)</f>
        <v>37</v>
      </c>
      <c r="S18" s="1797">
        <f>SUM(Cdlac[Population])</f>
        <v>0</v>
      </c>
    </row>
    <row r="19" spans="1:20" ht="15" customHeight="1">
      <c r="A19" s="1763"/>
      <c r="B19" s="1763"/>
      <c r="C19" s="1764"/>
      <c r="D19" s="1764"/>
      <c r="E19" s="1764"/>
      <c r="G19" s="1764"/>
      <c r="I19" s="1798"/>
      <c r="L19" s="1761" t="s">
        <v>2383</v>
      </c>
      <c r="M19" s="1761" t="s">
        <v>2382</v>
      </c>
      <c r="N19" s="1787" t="s">
        <v>2396</v>
      </c>
      <c r="O19" s="1787" t="s">
        <v>2397</v>
      </c>
      <c r="P19" s="1787" t="s">
        <v>2384</v>
      </c>
      <c r="Q19" s="1787" t="s">
        <v>2385</v>
      </c>
      <c r="R19" s="1787" t="s">
        <v>2398</v>
      </c>
      <c r="S19" s="1787" t="s">
        <v>2404</v>
      </c>
      <c r="T19" s="1787" t="s">
        <v>400</v>
      </c>
    </row>
    <row r="20" spans="1:20" ht="15" customHeight="1">
      <c r="A20" s="1768"/>
      <c r="C20" s="3374" t="s">
        <v>2446</v>
      </c>
      <c r="D20" s="3374" t="s">
        <v>2447</v>
      </c>
      <c r="E20" s="3374" t="s">
        <v>2448</v>
      </c>
      <c r="F20" s="3374" t="s">
        <v>2449</v>
      </c>
      <c r="G20" s="3374" t="s">
        <v>2445</v>
      </c>
      <c r="H20" s="1799"/>
      <c r="I20" s="1798"/>
      <c r="L20" s="1761">
        <f>IFERROR(MIN(4,MATCH(Application!B728,UnitSizes,0)-1),"")</f>
        <v>1</v>
      </c>
      <c r="M20" s="1797">
        <f>Application!G728</f>
        <v>12</v>
      </c>
      <c r="N20" s="1800">
        <f>Application!AC728</f>
        <v>0.8</v>
      </c>
      <c r="O20" s="1800">
        <f>IF(Cdlac[[#This Row],[Quantity]]&gt;0,IF(Cdlac[[#This Row],[Federal]],30%,IF($G$36,40%,Cdlac[[#This Row],[iAMI]])),"")</f>
        <v>0.8</v>
      </c>
      <c r="P20" s="1801" cm="1">
        <f t="array" ref="P20">IF(Cdlac[[#This Row],[Quantity]]&gt;0,INDEX(TcacRents,$P$18,Cdlac[[#This Row],[Bedrooms]]+1)*Cdlac[[#This Row],[AMI]],"")</f>
        <v>1952</v>
      </c>
      <c r="Q20" s="1801" cm="1">
        <f t="array" ref="Q20">IF(Cdlac[[#This Row],[Quantity]]&gt;0,INDEX(HudFmrs,$P$18,Cdlac[[#This Row],[Bedrooms]]+1),"")</f>
        <v>1542</v>
      </c>
      <c r="R20" s="1801">
        <f>IF(Cdlac[[#This Row],[Quantity]]&gt;0,MAX(0,Cdlac[[#This Row],[Fair Market Rent]]-Cdlac[[#This Row],[Restricted Rent]]),"")</f>
        <v>0</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75"/>
      <c r="D21" s="3375"/>
      <c r="E21" s="3375"/>
      <c r="F21" s="3375"/>
      <c r="G21" s="3375"/>
      <c r="H21" s="1799"/>
      <c r="I21" s="1798"/>
      <c r="L21" s="1761">
        <f>IFERROR(MIN(4,MATCH(Application!B729,UnitSizes,0)-1),"")</f>
        <v>1</v>
      </c>
      <c r="M21" s="1797">
        <f>Application!G729</f>
        <v>37</v>
      </c>
      <c r="N21" s="1800">
        <f>Application!AC729</f>
        <v>0.6</v>
      </c>
      <c r="O21" s="1800">
        <f>IF(Cdlac[[#This Row],[Quantity]]&gt;0,IF(Cdlac[[#This Row],[Federal]],30%,IF($G$36,40%,Cdlac[[#This Row],[iAMI]])),"")</f>
        <v>0.6</v>
      </c>
      <c r="P21" s="1801" cm="1">
        <f t="array" ref="P21">IF(Cdlac[[#This Row],[Quantity]]&gt;0,INDEX(TcacRents,$P$18,Cdlac[[#This Row],[Bedrooms]]+1)*Cdlac[[#This Row],[AMI]],"")</f>
        <v>1464</v>
      </c>
      <c r="Q21" s="1801" cm="1">
        <f t="array" ref="Q21">IF(Cdlac[[#This Row],[Quantity]]&gt;0,INDEX(HudFmrs,$P$18,Cdlac[[#This Row],[Bedrooms]]+1),"")</f>
        <v>1542</v>
      </c>
      <c r="R21" s="1801">
        <f>IF(Cdlac[[#This Row],[Quantity]]&gt;0,MAX(0,Cdlac[[#This Row],[Fair Market Rent]]-Cdlac[[#This Row],[Restricted Rent]]),"")</f>
        <v>78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7</v>
      </c>
      <c r="N22" s="1800">
        <f>Application!AC730</f>
        <v>0.5</v>
      </c>
      <c r="O22" s="1800">
        <f>IF(Cdlac[[#This Row],[Quantity]]&gt;0,IF(Cdlac[[#This Row],[Federal]],30%,IF($G$36,40%,Cdlac[[#This Row],[iAMI]])),"")</f>
        <v>0.5</v>
      </c>
      <c r="P22" s="1801" cm="1">
        <f t="array" ref="P22">IF(Cdlac[[#This Row],[Quantity]]&gt;0,INDEX(TcacRents,$P$18,Cdlac[[#This Row],[Bedrooms]]+1)*Cdlac[[#This Row],[AMI]],"")</f>
        <v>1220</v>
      </c>
      <c r="Q22" s="1801" cm="1">
        <f t="array" ref="Q22">IF(Cdlac[[#This Row],[Quantity]]&gt;0,INDEX(HudFmrs,$P$18,Cdlac[[#This Row],[Bedrooms]]+1),"")</f>
        <v>1542</v>
      </c>
      <c r="R22" s="1801">
        <f>IF(Cdlac[[#This Row],[Quantity]]&gt;0,MAX(0,Cdlac[[#This Row],[Fair Market Rent]]-Cdlac[[#This Row],[Restricted Rent]]),"")</f>
        <v>322</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63</v>
      </c>
      <c r="F23" s="1802">
        <f>E23</f>
        <v>63</v>
      </c>
      <c r="G23" s="1821">
        <f t="shared" ref="G23:G26" si="0">D23*F23</f>
        <v>63</v>
      </c>
      <c r="I23" s="1764"/>
      <c r="L23" s="1761">
        <f>IFERROR(MIN(4,MATCH(Application!B731,UnitSizes,0)-1),"")</f>
        <v>1</v>
      </c>
      <c r="M23" s="1797">
        <f>Application!G731</f>
        <v>7</v>
      </c>
      <c r="N23" s="1800">
        <f>Application!AC731</f>
        <v>0.3</v>
      </c>
      <c r="O23" s="1800">
        <f>IF(Cdlac[[#This Row],[Quantity]]&gt;0,IF(Cdlac[[#This Row],[Federal]],30%,IF($G$36,40%,Cdlac[[#This Row],[iAMI]])),"")</f>
        <v>0.3</v>
      </c>
      <c r="P23" s="1801" cm="1">
        <f t="array" ref="P23">IF(Cdlac[[#This Row],[Quantity]]&gt;0,INDEX(TcacRents,$P$18,Cdlac[[#This Row],[Bedrooms]]+1)*Cdlac[[#This Row],[AMI]],"")</f>
        <v>732</v>
      </c>
      <c r="Q23" s="1801" cm="1">
        <f t="array" ref="Q23">IF(Cdlac[[#This Row],[Quantity]]&gt;0,INDEX(HudFmrs,$P$18,Cdlac[[#This Row],[Bedrooms]]+1),"")</f>
        <v>1542</v>
      </c>
      <c r="R23" s="1801">
        <f>IF(Cdlac[[#This Row],[Quantity]]&gt;0,MAX(0,Cdlac[[#This Row],[Fair Market Rent]]-Cdlac[[#This Row],[Restricted Rent]]),"")</f>
        <v>810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37</v>
      </c>
      <c r="F24" s="1805">
        <f>SUM(E24:E26)-SUM(F25:F26)</f>
        <v>37</v>
      </c>
      <c r="G24" s="1821">
        <f t="shared" si="0"/>
        <v>46.25</v>
      </c>
      <c r="H24" s="1804"/>
      <c r="I24" s="1804"/>
      <c r="L24" s="1761">
        <f>IFERROR(MIN(4,MATCH(Application!B732,UnitSizes,0)-1),"")</f>
        <v>2</v>
      </c>
      <c r="M24" s="1797">
        <f>Application!G732</f>
        <v>8</v>
      </c>
      <c r="N24" s="1800">
        <f>Application!AC732</f>
        <v>0.8</v>
      </c>
      <c r="O24" s="1800">
        <f>IF(Cdlac[[#This Row],[Quantity]]&gt;0,IF(Cdlac[[#This Row],[Federal]],30%,IF($G$36,40%,Cdlac[[#This Row],[iAMI]])),"")</f>
        <v>0.8</v>
      </c>
      <c r="P24" s="1801" cm="1">
        <f t="array" ref="P24">IF(Cdlac[[#This Row],[Quantity]]&gt;0,INDEX(TcacRents,$P$18,Cdlac[[#This Row],[Bedrooms]]+1)*Cdlac[[#This Row],[AMI]],"")</f>
        <v>2340.8000000000002</v>
      </c>
      <c r="Q24" s="1801" cm="1">
        <f t="array" ref="Q24">IF(Cdlac[[#This Row],[Quantity]]&gt;0,INDEX(HudFmrs,$P$18,Cdlac[[#This Row],[Bedrooms]]+1),"")</f>
        <v>1979</v>
      </c>
      <c r="R24" s="1801">
        <f>IF(Cdlac[[#This Row],[Quantity]]&gt;0,MAX(0,Cdlac[[#This Row],[Fair Market Rent]]-Cdlac[[#This Row],[Restricted Rent]]),"")</f>
        <v>0</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35</v>
      </c>
      <c r="F25" s="1805">
        <f>MIN(E25,ROUNDDOWN(E27*30%,0))</f>
        <v>35</v>
      </c>
      <c r="G25" s="1821">
        <f t="shared" si="0"/>
        <v>52.5</v>
      </c>
      <c r="H25" s="1804"/>
      <c r="I25" s="1804"/>
      <c r="L25" s="1761">
        <f>IFERROR(MIN(4,MATCH(Application!B733,UnitSizes,0)-1),"")</f>
        <v>2</v>
      </c>
      <c r="M25" s="1797">
        <f>Application!G733</f>
        <v>21</v>
      </c>
      <c r="N25" s="1800">
        <f>Application!AC733</f>
        <v>0.6</v>
      </c>
      <c r="O25" s="1800">
        <f>IF(Cdlac[[#This Row],[Quantity]]&gt;0,IF(Cdlac[[#This Row],[Federal]],30%,IF($G$36,40%,Cdlac[[#This Row],[iAMI]])),"")</f>
        <v>0.6</v>
      </c>
      <c r="P25" s="1801" cm="1">
        <f t="array" ref="P25">IF(Cdlac[[#This Row],[Quantity]]&gt;0,INDEX(TcacRents,$P$18,Cdlac[[#This Row],[Bedrooms]]+1)*Cdlac[[#This Row],[AMI]],"")</f>
        <v>1755.6</v>
      </c>
      <c r="Q25" s="1801" cm="1">
        <f t="array" ref="Q25">IF(Cdlac[[#This Row],[Quantity]]&gt;0,INDEX(HudFmrs,$P$18,Cdlac[[#This Row],[Bedrooms]]+1),"")</f>
        <v>1979</v>
      </c>
      <c r="R25" s="1801">
        <f>IF(Cdlac[[#This Row],[Quantity]]&gt;0,MAX(0,Cdlac[[#This Row],[Fair Market Rent]]-Cdlac[[#This Row],[Restricted Rent]]),"")</f>
        <v>223.40000000000009</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4</v>
      </c>
      <c r="N26" s="1800">
        <f>Application!AC734</f>
        <v>0.5</v>
      </c>
      <c r="O26" s="1800">
        <f>IF(Cdlac[[#This Row],[Quantity]]&gt;0,IF(Cdlac[[#This Row],[Federal]],30%,IF($G$36,40%,Cdlac[[#This Row],[iAMI]])),"")</f>
        <v>0.5</v>
      </c>
      <c r="P26" s="1801" cm="1">
        <f t="array" ref="P26">IF(Cdlac[[#This Row],[Quantity]]&gt;0,INDEX(TcacRents,$P$18,Cdlac[[#This Row],[Bedrooms]]+1)*Cdlac[[#This Row],[AMI]],"")</f>
        <v>1463</v>
      </c>
      <c r="Q26" s="1801" cm="1">
        <f t="array" ref="Q26">IF(Cdlac[[#This Row],[Quantity]]&gt;0,INDEX(HudFmrs,$P$18,Cdlac[[#This Row],[Bedrooms]]+1),"")</f>
        <v>1979</v>
      </c>
      <c r="R26" s="1801">
        <f>IF(Cdlac[[#This Row],[Quantity]]&gt;0,MAX(0,Cdlac[[#This Row],[Fair Market Rent]]-Cdlac[[#This Row],[Restricted Rent]]),"")</f>
        <v>516</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8" t="s">
        <v>1791</v>
      </c>
      <c r="D27" s="3359"/>
      <c r="E27" s="1826">
        <f>SUM(E22:E26)</f>
        <v>135</v>
      </c>
      <c r="F27" s="1826">
        <f>SUM(F22:F26)</f>
        <v>135</v>
      </c>
      <c r="G27" s="1827">
        <f>SUMPRODUCT(D22:D26,F22:F26)</f>
        <v>161.75</v>
      </c>
      <c r="H27" s="1804"/>
      <c r="I27" s="1804"/>
      <c r="L27" s="1761">
        <f>IFERROR(MIN(4,MATCH(Application!B735,UnitSizes,0)-1),"")</f>
        <v>2</v>
      </c>
      <c r="M27" s="1797">
        <f>Application!G735</f>
        <v>4</v>
      </c>
      <c r="N27" s="1800">
        <f>Application!AC735</f>
        <v>0.3</v>
      </c>
      <c r="O27" s="1800">
        <f>IF(Cdlac[[#This Row],[Quantity]]&gt;0,IF(Cdlac[[#This Row],[Federal]],30%,IF($G$36,40%,Cdlac[[#This Row],[iAMI]])),"")</f>
        <v>0.3</v>
      </c>
      <c r="P27" s="1801" cm="1">
        <f t="array" ref="P27">IF(Cdlac[[#This Row],[Quantity]]&gt;0,INDEX(TcacRents,$P$18,Cdlac[[#This Row],[Bedrooms]]+1)*Cdlac[[#This Row],[AMI]],"")</f>
        <v>877.8</v>
      </c>
      <c r="Q27" s="1801" cm="1">
        <f t="array" ref="Q27">IF(Cdlac[[#This Row],[Quantity]]&gt;0,INDEX(HudFmrs,$P$18,Cdlac[[#This Row],[Bedrooms]]+1),"")</f>
        <v>1979</v>
      </c>
      <c r="R27" s="1801">
        <f>IF(Cdlac[[#This Row],[Quantity]]&gt;0,MAX(0,Cdlac[[#This Row],[Fair Market Rent]]-Cdlac[[#This Row],[Restricted Rent]]),"")</f>
        <v>1101.2</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8</v>
      </c>
      <c r="N28" s="1800">
        <f>Application!AC736</f>
        <v>0.8</v>
      </c>
      <c r="O28" s="1800">
        <f>IF(Cdlac[[#This Row],[Quantity]]&gt;0,IF(Cdlac[[#This Row],[Federal]],30%,IF($G$36,40%,Cdlac[[#This Row],[iAMI]])),"")</f>
        <v>0.8</v>
      </c>
      <c r="P28" s="1801" cm="1">
        <f t="array" ref="P28">IF(Cdlac[[#This Row],[Quantity]]&gt;0,INDEX(TcacRents,$P$18,Cdlac[[#This Row],[Bedrooms]]+1)*Cdlac[[#This Row],[AMI]],"")</f>
        <v>2705.6000000000004</v>
      </c>
      <c r="Q28" s="1801" cm="1">
        <f t="array" ref="Q28">IF(Cdlac[[#This Row],[Quantity]]&gt;0,INDEX(HudFmrs,$P$18,Cdlac[[#This Row],[Bedrooms]]+1),"")</f>
        <v>2748</v>
      </c>
      <c r="R28" s="1801">
        <f>IF(Cdlac[[#This Row],[Quantity]]&gt;0,MAX(0,Cdlac[[#This Row],[Fair Market Rent]]-Cdlac[[#This Row],[Restricted Rent]]),"")</f>
        <v>42.399999999999636</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2445</v>
      </c>
      <c r="F29" s="1761"/>
      <c r="G29" s="1854">
        <f>G27</f>
        <v>161.75</v>
      </c>
      <c r="H29" s="1804"/>
      <c r="I29" s="1804"/>
      <c r="L29" s="1761">
        <f>IFERROR(MIN(4,MATCH(Application!B737,UnitSizes,0)-1),"")</f>
        <v>3</v>
      </c>
      <c r="M29" s="1797">
        <f>Application!G737</f>
        <v>19</v>
      </c>
      <c r="N29" s="1800">
        <f>Application!AC737</f>
        <v>0.6</v>
      </c>
      <c r="O29" s="1800">
        <f>IF(Cdlac[[#This Row],[Quantity]]&gt;0,IF(Cdlac[[#This Row],[Federal]],30%,IF($G$36,40%,Cdlac[[#This Row],[iAMI]])),"")</f>
        <v>0.6</v>
      </c>
      <c r="P29" s="1801" cm="1">
        <f t="array" ref="P29">IF(Cdlac[[#This Row],[Quantity]]&gt;0,INDEX(TcacRents,$P$18,Cdlac[[#This Row],[Bedrooms]]+1)*Cdlac[[#This Row],[AMI]],"")</f>
        <v>2029.1999999999998</v>
      </c>
      <c r="Q29" s="1801" cm="1">
        <f t="array" ref="Q29">IF(Cdlac[[#This Row],[Quantity]]&gt;0,INDEX(HudFmrs,$P$18,Cdlac[[#This Row],[Bedrooms]]+1),"")</f>
        <v>2748</v>
      </c>
      <c r="R29" s="1801">
        <f>IF(Cdlac[[#This Row],[Quantity]]&gt;0,MAX(0,Cdlac[[#This Row],[Fair Market Rent]]-Cdlac[[#This Row],[Restricted Rent]]),"")</f>
        <v>718.80000000000018</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2395</v>
      </c>
      <c r="F30" s="1853" t="s">
        <v>2454</v>
      </c>
      <c r="G30" s="1855">
        <v>50000</v>
      </c>
      <c r="H30" s="1804"/>
      <c r="I30" s="1804"/>
      <c r="L30" s="1761">
        <f>IFERROR(MIN(4,MATCH(Application!B738,UnitSizes,0)-1),"")</f>
        <v>3</v>
      </c>
      <c r="M30" s="1797">
        <f>Application!G738</f>
        <v>4</v>
      </c>
      <c r="N30" s="1800">
        <f>Application!AC738</f>
        <v>0.5</v>
      </c>
      <c r="O30" s="1800">
        <f>IF(Cdlac[[#This Row],[Quantity]]&gt;0,IF(Cdlac[[#This Row],[Federal]],30%,IF($G$36,40%,Cdlac[[#This Row],[iAMI]])),"")</f>
        <v>0.5</v>
      </c>
      <c r="P30" s="1801" cm="1">
        <f t="array" ref="P30">IF(Cdlac[[#This Row],[Quantity]]&gt;0,INDEX(TcacRents,$P$18,Cdlac[[#This Row],[Bedrooms]]+1)*Cdlac[[#This Row],[AMI]],"")</f>
        <v>1691</v>
      </c>
      <c r="Q30" s="1801" cm="1">
        <f t="array" ref="Q30">IF(Cdlac[[#This Row],[Quantity]]&gt;0,INDEX(HudFmrs,$P$18,Cdlac[[#This Row],[Bedrooms]]+1),"")</f>
        <v>2748</v>
      </c>
      <c r="R30" s="1801">
        <f>IF(Cdlac[[#This Row],[Quantity]]&gt;0,MAX(0,Cdlac[[#This Row],[Fair Market Rent]]-Cdlac[[#This Row],[Restricted Rent]]),"")</f>
        <v>1057</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2438</v>
      </c>
      <c r="F31" s="1859"/>
      <c r="G31" s="1860">
        <f>G30*G29</f>
        <v>8087500</v>
      </c>
      <c r="H31" s="1804"/>
      <c r="I31" s="1804"/>
      <c r="L31" s="1761">
        <f>IFERROR(MIN(4,MATCH(Application!B739,UnitSizes,0)-1),"")</f>
        <v>3</v>
      </c>
      <c r="M31" s="1797">
        <f>Application!G739</f>
        <v>4</v>
      </c>
      <c r="N31" s="1800">
        <f>Application!AC739</f>
        <v>0.3</v>
      </c>
      <c r="O31" s="1800">
        <f>IF(Cdlac[[#This Row],[Quantity]]&gt;0,IF(Cdlac[[#This Row],[Federal]],30%,IF($G$36,40%,Cdlac[[#This Row],[iAMI]])),"")</f>
        <v>0.3</v>
      </c>
      <c r="P31" s="1801" cm="1">
        <f t="array" ref="P31">IF(Cdlac[[#This Row],[Quantity]]&gt;0,INDEX(TcacRents,$P$18,Cdlac[[#This Row],[Bedrooms]]+1)*Cdlac[[#This Row],[AMI]],"")</f>
        <v>1014.5999999999999</v>
      </c>
      <c r="Q31" s="1801" cm="1">
        <f t="array" ref="Q31">IF(Cdlac[[#This Row],[Quantity]]&gt;0,INDEX(HudFmrs,$P$18,Cdlac[[#This Row],[Bedrooms]]+1),"")</f>
        <v>2748</v>
      </c>
      <c r="R31" s="1801">
        <f>IF(Cdlac[[#This Row],[Quantity]]&gt;0,MAX(0,Cdlac[[#This Row],[Fair Market Rent]]-Cdlac[[#This Row],[Restricted Rent]]),"")</f>
        <v>1733.4</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2465</v>
      </c>
      <c r="F35" s="1761"/>
      <c r="G35" s="1861" cm="1">
        <f t="array" ref="G35">SUMPRODUCT(Cdlac[Quantity],Cdlac[iAMI],IF(Cdlac[Federal],0,1))/SUMIFS(Cdlac[Quantity],Cdlac[Federal],FALSE)</f>
        <v>0.59703703703703714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2460</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2399</v>
      </c>
      <c r="G38" s="1808">
        <f>SUMPRODUCT(Cdlac[Quantity],Cdlac[Delta])</f>
        <v>47128.200000000004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2466</v>
      </c>
      <c r="F39" s="1853" t="s">
        <v>2454</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2392</v>
      </c>
      <c r="F40" s="1865"/>
      <c r="G40" s="1866">
        <f>G38*G39</f>
        <v>8483076</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2455</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2456</v>
      </c>
      <c r="G45" s="1868">
        <f>ROUNDDOWN(E27*50%,0)</f>
        <v>67</v>
      </c>
    </row>
    <row r="46" spans="1:20" ht="15" customHeight="1">
      <c r="E46" s="1857"/>
      <c r="G46" s="1868"/>
    </row>
    <row r="47" spans="1:20" ht="15" customHeight="1">
      <c r="E47" s="1857" t="s">
        <v>2405</v>
      </c>
      <c r="G47" s="1854">
        <f>MIN(G44:G45)</f>
        <v>0</v>
      </c>
    </row>
    <row r="48" spans="1:20" ht="15" customHeight="1">
      <c r="E48" s="1857" t="s">
        <v>2395</v>
      </c>
      <c r="F48" s="1853" t="s">
        <v>2454</v>
      </c>
      <c r="G48" s="1867">
        <v>10000</v>
      </c>
    </row>
    <row r="49" spans="2:14" ht="15" customHeight="1">
      <c r="E49" s="1858" t="s">
        <v>2437</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2457</v>
      </c>
      <c r="G53" s="1809">
        <f>SUMIFS(Cdlac[Quantity],Cdlac[iAMI],"&lt;=30%")</f>
        <v>15</v>
      </c>
    </row>
    <row r="54" spans="2:14" ht="15" customHeight="1">
      <c r="E54" s="1857" t="s">
        <v>2456</v>
      </c>
      <c r="G54" s="1809">
        <f>ROUNDDOWN(E27*50%,0)</f>
        <v>67</v>
      </c>
    </row>
    <row r="55" spans="2:14" ht="15" customHeight="1">
      <c r="E55" s="1857"/>
      <c r="G55" s="1809"/>
    </row>
    <row r="56" spans="2:14" ht="15" customHeight="1">
      <c r="E56" s="1857" t="s">
        <v>2405</v>
      </c>
      <c r="G56" s="1854">
        <f>MIN(G53:G54)</f>
        <v>15</v>
      </c>
    </row>
    <row r="57" spans="2:14" ht="15" customHeight="1">
      <c r="E57" s="1857" t="s">
        <v>2395</v>
      </c>
      <c r="F57" s="1853" t="s">
        <v>2454</v>
      </c>
      <c r="G57" s="1867">
        <v>20000</v>
      </c>
    </row>
    <row r="58" spans="2:14" ht="15" customHeight="1">
      <c r="E58" s="1858" t="s">
        <v>2436</v>
      </c>
      <c r="F58" s="1865"/>
      <c r="G58" s="1866">
        <f>G56*G57</f>
        <v>300000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2408</v>
      </c>
      <c r="F62" s="1761"/>
      <c r="G62" s="1854">
        <f>VLOOKUP('Points System'!$H$595,'Points System'!$AO$575:$AP$580,2,FALSE)</f>
        <v>7</v>
      </c>
      <c r="H62" s="1761"/>
      <c r="L62" s="1870" t="str">
        <f>'Points System'!H627</f>
        <v>(i)</v>
      </c>
      <c r="M62" s="3360" t="s">
        <v>1601</v>
      </c>
      <c r="N62" s="3361"/>
    </row>
    <row r="63" spans="2:14" ht="15" customHeight="1">
      <c r="E63" s="1819" t="s">
        <v>2395</v>
      </c>
      <c r="F63" s="1853" t="s">
        <v>2454</v>
      </c>
      <c r="G63" s="1806">
        <v>4000</v>
      </c>
      <c r="H63" s="1761"/>
      <c r="L63" s="1871" t="str">
        <f>'Points System'!H639</f>
        <v>(i)</v>
      </c>
      <c r="M63" s="3352" t="s">
        <v>2409</v>
      </c>
      <c r="N63" s="3353"/>
    </row>
    <row r="64" spans="2:14" ht="15" customHeight="1">
      <c r="E64" s="1819" t="s">
        <v>2458</v>
      </c>
      <c r="F64" s="1853" t="s">
        <v>2454</v>
      </c>
      <c r="G64" s="1869">
        <f>G27</f>
        <v>161.75</v>
      </c>
      <c r="H64" s="1761"/>
      <c r="L64" s="1871" t="str">
        <f>'Points System'!H674</f>
        <v>(i)</v>
      </c>
      <c r="M64" s="3352" t="s">
        <v>2410</v>
      </c>
      <c r="N64" s="3353"/>
    </row>
    <row r="65" spans="2:14" ht="15" customHeight="1">
      <c r="E65" s="1858" t="s">
        <v>2414</v>
      </c>
      <c r="F65" s="1859"/>
      <c r="G65" s="1866">
        <f>G62*G63*G64</f>
        <v>4529000</v>
      </c>
      <c r="H65" s="1761"/>
      <c r="L65" s="1871" t="str">
        <f>'Points System'!H694</f>
        <v>N/A</v>
      </c>
      <c r="M65" s="3352" t="s">
        <v>2411</v>
      </c>
      <c r="N65" s="3353"/>
    </row>
    <row r="66" spans="2:14" ht="15" customHeight="1">
      <c r="C66" s="1807"/>
      <c r="F66" s="1761"/>
      <c r="G66" s="1854"/>
      <c r="H66" s="1761"/>
      <c r="L66" s="1872" t="str">
        <f>'Points System'!H708</f>
        <v>N/A</v>
      </c>
      <c r="M66" s="3352" t="s">
        <v>1631</v>
      </c>
      <c r="N66" s="3353"/>
    </row>
    <row r="67" spans="2:14" ht="15" customHeight="1">
      <c r="E67" s="1819" t="s">
        <v>2459</v>
      </c>
      <c r="F67" s="1761"/>
      <c r="G67" s="1869">
        <f>COUNTIFS(L62:L69,"(i)")</f>
        <v>4</v>
      </c>
      <c r="H67" s="1761"/>
      <c r="L67" s="1871" t="str">
        <f>'Points System'!H720</f>
        <v>N/A</v>
      </c>
      <c r="M67" s="3352" t="s">
        <v>2412</v>
      </c>
      <c r="N67" s="3353"/>
    </row>
    <row r="68" spans="2:14" ht="15" customHeight="1">
      <c r="E68" s="1819" t="s">
        <v>2395</v>
      </c>
      <c r="F68" s="1853" t="s">
        <v>2454</v>
      </c>
      <c r="G68" s="1867">
        <v>4000</v>
      </c>
      <c r="H68" s="1761"/>
      <c r="L68" s="1871" t="str">
        <f>'Points System'!H736</f>
        <v>N/A</v>
      </c>
      <c r="M68" s="3352" t="s">
        <v>2413</v>
      </c>
      <c r="N68" s="3353"/>
    </row>
    <row r="69" spans="2:14" ht="15" customHeight="1" thickBot="1">
      <c r="E69" s="1858" t="s">
        <v>2415</v>
      </c>
      <c r="F69" s="1865"/>
      <c r="G69" s="1866">
        <f>G64*G67*G68</f>
        <v>2588000</v>
      </c>
      <c r="H69" s="1761"/>
      <c r="L69" s="1873" t="str">
        <f>'Points System'!H748</f>
        <v>(i)</v>
      </c>
      <c r="M69" s="3354" t="s">
        <v>1634</v>
      </c>
      <c r="N69" s="3355"/>
    </row>
    <row r="70" spans="2:14" ht="15" customHeight="1">
      <c r="F70" s="1761"/>
    </row>
    <row r="71" spans="2:14" ht="15" customHeight="1">
      <c r="C71" s="1811" t="s">
        <v>2417</v>
      </c>
      <c r="D71" s="1765"/>
    </row>
    <row r="72" spans="2:14" ht="15" customHeight="1">
      <c r="C72" s="1812" t="s">
        <v>2418</v>
      </c>
      <c r="D72" s="1765"/>
      <c r="F72" s="1761"/>
      <c r="G72" s="1760"/>
    </row>
    <row r="73" spans="2:14" ht="15" customHeight="1">
      <c r="C73" s="1812" t="s">
        <v>2419</v>
      </c>
      <c r="D73" s="1765"/>
      <c r="F73" s="1761"/>
      <c r="G73" s="1760"/>
    </row>
    <row r="74" spans="2:14" ht="15" customHeight="1">
      <c r="C74" s="1812" t="s">
        <v>2420</v>
      </c>
      <c r="D74" s="1765"/>
      <c r="F74" s="1761"/>
      <c r="G74" s="1760" t="s">
        <v>570</v>
      </c>
    </row>
    <row r="75" spans="2:14" ht="15" customHeight="1">
      <c r="C75" s="1812" t="s">
        <v>2421</v>
      </c>
      <c r="D75" s="1765"/>
      <c r="F75" s="1761"/>
      <c r="G75" s="1760" t="s">
        <v>570</v>
      </c>
    </row>
    <row r="76" spans="2:14" ht="15" customHeight="1">
      <c r="F76" s="1761"/>
    </row>
    <row r="77" spans="2:14" ht="15" customHeight="1">
      <c r="B77" s="1810"/>
      <c r="C77" s="1807"/>
      <c r="E77" s="1819" t="s">
        <v>2461</v>
      </c>
      <c r="G77" s="1809" t="b">
        <f>COUNTIFS(G72:G75,"Yes")&gt;=1</f>
        <v>1</v>
      </c>
    </row>
    <row r="78" spans="2:14" ht="15" customHeight="1">
      <c r="E78" s="1812"/>
    </row>
    <row r="79" spans="2:14" ht="15" customHeight="1">
      <c r="E79" s="1819" t="s">
        <v>2458</v>
      </c>
      <c r="F79" s="1853" t="s">
        <v>2454</v>
      </c>
      <c r="G79" s="1854">
        <f>G44</f>
        <v>0</v>
      </c>
    </row>
    <row r="80" spans="2:14" ht="15" customHeight="1">
      <c r="E80" s="1819" t="s">
        <v>2395</v>
      </c>
      <c r="F80" s="1853" t="s">
        <v>2454</v>
      </c>
      <c r="G80" s="1867">
        <v>25000</v>
      </c>
    </row>
    <row r="81" spans="2:14" ht="15" customHeight="1">
      <c r="E81" s="1858" t="s">
        <v>2416</v>
      </c>
      <c r="F81" s="1865"/>
      <c r="G81" s="1866">
        <f>G77*G80*G64</f>
        <v>4043750</v>
      </c>
    </row>
    <row r="82" spans="2:14" ht="15" customHeight="1">
      <c r="C82" s="1807"/>
      <c r="E82" s="1812"/>
    </row>
    <row r="83" spans="2:14" ht="15" customHeight="1">
      <c r="E83" s="1858" t="s">
        <v>2393</v>
      </c>
      <c r="G83" s="1866">
        <f>G81+G69+G65</f>
        <v>11160750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2440</v>
      </c>
      <c r="G87" s="1760" t="s">
        <v>570</v>
      </c>
      <c r="L87" s="3356" t="s">
        <v>2424</v>
      </c>
      <c r="M87" s="3357"/>
      <c r="N87" s="1874">
        <v>30000</v>
      </c>
    </row>
    <row r="88" spans="2:14" ht="15" customHeight="1">
      <c r="C88" s="1807" t="s">
        <v>2441</v>
      </c>
      <c r="G88" s="1813" t="str">
        <f>IF(Application!D210="Large Family","Yes","No")</f>
        <v>Yes</v>
      </c>
      <c r="H88" s="1761"/>
      <c r="L88" s="3348" t="s">
        <v>2386</v>
      </c>
      <c r="M88" s="3349"/>
      <c r="N88" s="1875">
        <v>20000</v>
      </c>
    </row>
    <row r="89" spans="2:14" ht="15" customHeight="1" thickBot="1">
      <c r="C89" s="1807" t="s">
        <v>2422</v>
      </c>
      <c r="G89" s="1760" t="s">
        <v>695</v>
      </c>
      <c r="H89" s="1761"/>
      <c r="L89" s="3350" t="s">
        <v>2425</v>
      </c>
      <c r="M89" s="3351"/>
      <c r="N89" s="1876">
        <v>10000</v>
      </c>
    </row>
    <row r="90" spans="2:14" ht="15" customHeight="1">
      <c r="C90" s="1807" t="s">
        <v>2423</v>
      </c>
      <c r="G90" s="1761" t="str">
        <f>Application!T193</f>
        <v>High Resource</v>
      </c>
      <c r="H90" s="1761"/>
    </row>
    <row r="91" spans="2:14" ht="15" customHeight="1">
      <c r="C91" s="1807"/>
      <c r="H91" s="1761"/>
    </row>
    <row r="92" spans="2:14" ht="15" customHeight="1">
      <c r="E92" s="1819" t="s">
        <v>2461</v>
      </c>
      <c r="G92" s="1809" t="b">
        <f>AND(COUNTIFS(G88:G89,"Yes")&gt;=1,G87="Yes")</f>
        <v>1</v>
      </c>
      <c r="H92" s="1761"/>
    </row>
    <row r="93" spans="2:14" ht="15" customHeight="1">
      <c r="E93" s="1819"/>
      <c r="G93" s="1809"/>
      <c r="H93" s="1761"/>
    </row>
    <row r="94" spans="2:14" ht="15" customHeight="1">
      <c r="E94" s="1819" t="s">
        <v>2395</v>
      </c>
      <c r="G94" s="1810">
        <f>IFERROR(INDEX(N87:N89,MATCH(LEFT(G90,17),L87:L89,0)),0)</f>
        <v>20000</v>
      </c>
      <c r="H94" s="1761"/>
    </row>
    <row r="95" spans="2:14" ht="15" customHeight="1">
      <c r="E95" s="1819" t="str">
        <f>E64</f>
        <v>Bedroom-Adjusted Low-Income Units</v>
      </c>
      <c r="F95" s="1853" t="s">
        <v>2454</v>
      </c>
      <c r="G95" s="1854">
        <f>G27</f>
        <v>161.75</v>
      </c>
    </row>
    <row r="96" spans="2:14" ht="15" customHeight="1">
      <c r="D96" s="1859"/>
      <c r="E96" s="1858" t="s">
        <v>2394</v>
      </c>
      <c r="F96" s="1865"/>
      <c r="G96" s="1866">
        <f>G95*G94*G92</f>
        <v>3235000</v>
      </c>
    </row>
    <row r="97" spans="2:9" ht="15" customHeight="1"/>
    <row r="98" spans="2:9" ht="15" customHeight="1">
      <c r="B98" s="1794" t="s">
        <v>2407</v>
      </c>
      <c r="C98" s="1795"/>
      <c r="D98" s="1795"/>
      <c r="E98" s="1795"/>
      <c r="F98" s="1795"/>
      <c r="G98" s="1795"/>
      <c r="H98" s="1795"/>
      <c r="I98" s="1796"/>
    </row>
    <row r="99" spans="2:9" ht="15" customHeight="1"/>
    <row r="100" spans="2:9" ht="15" customHeight="1">
      <c r="F100" s="1856" t="s">
        <v>2435</v>
      </c>
      <c r="G100" s="1760" t="s">
        <v>695</v>
      </c>
      <c r="H100" s="1761"/>
    </row>
    <row r="101" spans="2:9" ht="15" customHeight="1">
      <c r="F101" s="1856"/>
      <c r="H101" s="1761"/>
    </row>
    <row r="102" spans="2:9" ht="15" customHeight="1">
      <c r="E102" s="1819" t="s">
        <v>2461</v>
      </c>
      <c r="G102" s="1809" t="b">
        <f>G100="Yes"</f>
        <v>0</v>
      </c>
    </row>
    <row r="103" spans="2:9" ht="15" customHeight="1">
      <c r="F103" s="1761"/>
    </row>
    <row r="104" spans="2:9" ht="15" customHeight="1">
      <c r="E104" s="1819" t="str">
        <f>E64</f>
        <v>Bedroom-Adjusted Low-Income Units</v>
      </c>
      <c r="G104" s="1854">
        <f>G27</f>
        <v>161.75</v>
      </c>
    </row>
    <row r="105" spans="2:9" ht="15" customHeight="1">
      <c r="E105" s="1819" t="s">
        <v>2395</v>
      </c>
      <c r="F105" s="1853" t="s">
        <v>2454</v>
      </c>
      <c r="G105" s="1769">
        <v>20000</v>
      </c>
    </row>
    <row r="106" spans="2:9" ht="15" customHeight="1">
      <c r="E106" s="1858" t="s">
        <v>2426</v>
      </c>
      <c r="F106" s="1865"/>
      <c r="G106" s="1866">
        <f>G102*G105*G104</f>
        <v>0</v>
      </c>
    </row>
    <row r="107" spans="2:9" ht="15" customHeight="1"/>
    <row r="108" spans="2:9" ht="15" customHeight="1">
      <c r="B108" s="1794" t="s">
        <v>2463</v>
      </c>
      <c r="C108" s="1795"/>
      <c r="D108" s="1795"/>
      <c r="E108" s="1795"/>
      <c r="F108" s="1795"/>
      <c r="G108" s="1795"/>
      <c r="H108" s="1795"/>
      <c r="I108" s="1796"/>
    </row>
    <row r="109" spans="2:9" ht="15" customHeight="1"/>
    <row r="110" spans="2:9" ht="15" customHeight="1">
      <c r="E110" s="1819" t="s">
        <v>608</v>
      </c>
      <c r="G110" s="1880" t="str">
        <f>IF(Application!T189="","",Application!T189)</f>
        <v>San Diego</v>
      </c>
    </row>
    <row r="111" spans="2:9" ht="15" customHeight="1">
      <c r="E111" s="1819"/>
      <c r="G111" s="1810"/>
    </row>
    <row r="112" spans="2:9" ht="15" customHeight="1">
      <c r="E112" s="1819" t="str">
        <f>"2-Bedroom "&amp;G110&amp;" County Basis Limit"</f>
        <v>2-Bedroom San Diego County Basis Limit</v>
      </c>
      <c r="G112" s="1810">
        <f>Application!R971</f>
        <v>372800</v>
      </c>
    </row>
    <row r="113" spans="4:9" ht="15" customHeight="1">
      <c r="E113" s="1819" t="s">
        <v>2462</v>
      </c>
      <c r="G113" s="1810">
        <f>MEDIAN((Application!BR809:BR866))</f>
        <v>388000</v>
      </c>
    </row>
    <row r="114" spans="4:9" ht="15" customHeight="1">
      <c r="D114" s="1859"/>
      <c r="E114" s="1858" t="s">
        <v>2464</v>
      </c>
      <c r="F114" s="1877"/>
      <c r="G114" s="1878">
        <f>((G112-G113)/G113)*0.25</f>
        <v>-9.7938144329896906E-3</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Normal="100" zoomScaleSheetLayoutView="100" workbookViewId="0">
      <selection activeCell="AL56" sqref="AL56"/>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4" t="s">
        <v>1467</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9" t="str">
        <f xml:space="preserve"> IF(T25=100%,'Sources and Basis Breakdown'!G2,'Sources and Basis Breakdown'!F2)</f>
        <v>30% PVC for New Const/
Rehabilitation
DDA/QCT
Building(s)</v>
      </c>
      <c r="U7" s="3409"/>
      <c r="V7" s="3409"/>
      <c r="W7" s="3409"/>
      <c r="X7" s="3409"/>
      <c r="Y7" s="3409" t="str">
        <f>IF(T25=100%," ",'Sources and Basis Breakdown'!G2)</f>
        <v>30% PVC for New Const/
Rehabilitation
NON-DDA/
NON-QCT Building(s)</v>
      </c>
      <c r="Z7" s="3409"/>
      <c r="AA7" s="3409"/>
      <c r="AB7" s="3409"/>
      <c r="AC7" s="3409"/>
      <c r="AD7" s="3409" t="str">
        <f xml:space="preserve"> IF(T25=100%, 'Sources and Basis Breakdown'!J2,'Sources and Basis Breakdown'!I2)</f>
        <v>30% PVC for Acquisition
DDA/QCT Building(s)</v>
      </c>
      <c r="AE7" s="3409"/>
      <c r="AF7" s="3409"/>
      <c r="AG7" s="3409"/>
      <c r="AH7" s="3409"/>
      <c r="AI7" s="3409" t="str">
        <f>IF(T25=100%," ",'Sources and Basis Breakdown'!J2)</f>
        <v>30% PVC for Acquisition
NON-DDA/
NON-QCT Building(s)</v>
      </c>
      <c r="AJ7" s="3409"/>
      <c r="AK7" s="3409"/>
      <c r="AL7" s="3409"/>
      <c r="AM7" s="3409"/>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9"/>
      <c r="U8" s="3409"/>
      <c r="V8" s="3409"/>
      <c r="W8" s="3409"/>
      <c r="X8" s="3409"/>
      <c r="Y8" s="3409"/>
      <c r="Z8" s="3409"/>
      <c r="AA8" s="3409"/>
      <c r="AB8" s="3409"/>
      <c r="AC8" s="3409"/>
      <c r="AD8" s="3409"/>
      <c r="AE8" s="3409"/>
      <c r="AF8" s="3409"/>
      <c r="AG8" s="3409"/>
      <c r="AH8" s="3409"/>
      <c r="AI8" s="3409"/>
      <c r="AJ8" s="3409"/>
      <c r="AK8" s="3409"/>
      <c r="AL8" s="3409"/>
      <c r="AM8" s="3409"/>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9"/>
      <c r="U9" s="3409"/>
      <c r="V9" s="3409"/>
      <c r="W9" s="3409"/>
      <c r="X9" s="3409"/>
      <c r="Y9" s="3409"/>
      <c r="Z9" s="3409"/>
      <c r="AA9" s="3409"/>
      <c r="AB9" s="3409"/>
      <c r="AC9" s="3409"/>
      <c r="AD9" s="3409"/>
      <c r="AE9" s="3409"/>
      <c r="AF9" s="3409"/>
      <c r="AG9" s="3409"/>
      <c r="AH9" s="3409"/>
      <c r="AI9" s="3409"/>
      <c r="AJ9" s="3409"/>
      <c r="AK9" s="3409"/>
      <c r="AL9" s="3409"/>
      <c r="AM9" s="3409"/>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91" t="s">
        <v>390</v>
      </c>
      <c r="C11" s="3392"/>
      <c r="D11" s="3392"/>
      <c r="E11" s="3392"/>
      <c r="F11" s="3392"/>
      <c r="G11" s="3392"/>
      <c r="H11" s="3392"/>
      <c r="I11" s="3392"/>
      <c r="J11" s="3392"/>
      <c r="K11" s="3392"/>
      <c r="L11" s="3392"/>
      <c r="M11" s="3392"/>
      <c r="N11" s="3392"/>
      <c r="O11" s="3392"/>
      <c r="P11" s="3392"/>
      <c r="Q11" s="3392"/>
      <c r="R11" s="3392"/>
      <c r="S11" s="3393"/>
      <c r="T11" s="3436">
        <f>IF('Sources and Basis Breakdown'!F107=0,'Sources and Basis Breakdown'!E107,'Sources and Basis Breakdown'!F107)</f>
        <v>66470659.542293414</v>
      </c>
      <c r="U11" s="3437"/>
      <c r="V11" s="3437"/>
      <c r="W11" s="3437"/>
      <c r="X11" s="3437"/>
      <c r="Y11" s="3436">
        <f>IF(Y7=" ",0,IF('Sources and Basis Breakdown'!G107+'Sources and Basis Breakdown'!F107='Sources and Basis Breakdown'!E107,'Sources and Basis Breakdown'!G107,0))</f>
        <v>0</v>
      </c>
      <c r="Z11" s="3437"/>
      <c r="AA11" s="3437"/>
      <c r="AB11" s="3437"/>
      <c r="AC11" s="3437"/>
      <c r="AD11" s="3437">
        <f>IF('Sources and Basis Breakdown'!I107=0,'Sources and Basis Breakdown'!H107,'Sources and Basis Breakdown'!I107)</f>
        <v>0</v>
      </c>
      <c r="AE11" s="3437"/>
      <c r="AF11" s="3437"/>
      <c r="AG11" s="3437"/>
      <c r="AH11" s="3437"/>
      <c r="AI11" s="3437">
        <f>IF(Y7=" ",0,IF('Sources and Basis Breakdown'!I107+'Sources and Basis Breakdown'!J107='Sources and Basis Breakdown'!H107,'Sources and Basis Breakdown'!J107,0))</f>
        <v>0</v>
      </c>
      <c r="AJ11" s="3437"/>
      <c r="AK11" s="3437"/>
      <c r="AL11" s="3437"/>
      <c r="AM11" s="343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40" t="s">
        <v>522</v>
      </c>
      <c r="C12" s="3441"/>
      <c r="D12" s="3441"/>
      <c r="E12" s="3441"/>
      <c r="F12" s="3441"/>
      <c r="G12" s="3441"/>
      <c r="H12" s="3441"/>
      <c r="I12" s="3441"/>
      <c r="J12" s="3441"/>
      <c r="K12" s="3441"/>
      <c r="L12" s="3441"/>
      <c r="M12" s="3441"/>
      <c r="N12" s="3441"/>
      <c r="O12" s="3441"/>
      <c r="P12" s="3441"/>
      <c r="Q12" s="3441"/>
      <c r="R12" s="3441"/>
      <c r="S12" s="3442"/>
      <c r="T12" s="3429"/>
      <c r="U12" s="3430"/>
      <c r="V12" s="3430"/>
      <c r="W12" s="3430"/>
      <c r="X12" s="3431"/>
      <c r="Y12" s="3429"/>
      <c r="Z12" s="3430"/>
      <c r="AA12" s="3430"/>
      <c r="AB12" s="3430"/>
      <c r="AC12" s="3431"/>
      <c r="AD12" s="3429"/>
      <c r="AE12" s="3430"/>
      <c r="AF12" s="3430"/>
      <c r="AG12" s="3430"/>
      <c r="AH12" s="3431"/>
      <c r="AI12" s="3429"/>
      <c r="AJ12" s="3430"/>
      <c r="AK12" s="3430"/>
      <c r="AL12" s="3430"/>
      <c r="AM12" s="3431"/>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43" t="s">
        <v>523</v>
      </c>
      <c r="D13" s="3443"/>
      <c r="E13" s="3443"/>
      <c r="F13" s="3443"/>
      <c r="G13" s="3443"/>
      <c r="H13" s="3443"/>
      <c r="I13" s="3443"/>
      <c r="J13" s="3443"/>
      <c r="K13" s="3443"/>
      <c r="L13" s="3443"/>
      <c r="M13" s="3443"/>
      <c r="N13" s="3443"/>
      <c r="O13" s="3443"/>
      <c r="P13" s="3443"/>
      <c r="Q13" s="3443"/>
      <c r="R13" s="3443"/>
      <c r="S13" s="3444"/>
      <c r="T13" s="3432"/>
      <c r="U13" s="3433"/>
      <c r="V13" s="3433"/>
      <c r="W13" s="3433"/>
      <c r="X13" s="3433"/>
      <c r="Y13" s="3432"/>
      <c r="Z13" s="3433"/>
      <c r="AA13" s="3433"/>
      <c r="AB13" s="3433"/>
      <c r="AC13" s="3433"/>
      <c r="AD13" s="3433"/>
      <c r="AE13" s="3433"/>
      <c r="AF13" s="3433"/>
      <c r="AG13" s="3433"/>
      <c r="AH13" s="3433"/>
      <c r="AI13" s="3433"/>
      <c r="AJ13" s="3433"/>
      <c r="AK13" s="3433"/>
      <c r="AL13" s="3433"/>
      <c r="AM13" s="3433"/>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43" t="s">
        <v>524</v>
      </c>
      <c r="D14" s="3443"/>
      <c r="E14" s="3443"/>
      <c r="F14" s="3443"/>
      <c r="G14" s="3443"/>
      <c r="H14" s="3443"/>
      <c r="I14" s="3443"/>
      <c r="J14" s="3443"/>
      <c r="K14" s="3443"/>
      <c r="L14" s="3443"/>
      <c r="M14" s="3443"/>
      <c r="N14" s="3443"/>
      <c r="O14" s="3443"/>
      <c r="P14" s="3443"/>
      <c r="Q14" s="3443"/>
      <c r="R14" s="3443"/>
      <c r="S14" s="3444"/>
      <c r="T14" s="3418"/>
      <c r="U14" s="3419"/>
      <c r="V14" s="3419"/>
      <c r="W14" s="3419"/>
      <c r="X14" s="3419"/>
      <c r="Y14" s="3418"/>
      <c r="Z14" s="3419"/>
      <c r="AA14" s="3419"/>
      <c r="AB14" s="3419"/>
      <c r="AC14" s="3419"/>
      <c r="AD14" s="3419"/>
      <c r="AE14" s="3419"/>
      <c r="AF14" s="3419"/>
      <c r="AG14" s="3419"/>
      <c r="AH14" s="3419"/>
      <c r="AI14" s="3419"/>
      <c r="AJ14" s="3419"/>
      <c r="AK14" s="3419"/>
      <c r="AL14" s="3419"/>
      <c r="AM14" s="3419"/>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43" t="s">
        <v>525</v>
      </c>
      <c r="D15" s="3443"/>
      <c r="E15" s="3443"/>
      <c r="F15" s="3443"/>
      <c r="G15" s="3443"/>
      <c r="H15" s="3443"/>
      <c r="I15" s="3443"/>
      <c r="J15" s="3443"/>
      <c r="K15" s="3443"/>
      <c r="L15" s="3443"/>
      <c r="M15" s="3443"/>
      <c r="N15" s="3443"/>
      <c r="O15" s="3443"/>
      <c r="P15" s="3443"/>
      <c r="Q15" s="3443"/>
      <c r="R15" s="3443"/>
      <c r="S15" s="3444"/>
      <c r="T15" s="3418"/>
      <c r="U15" s="3419"/>
      <c r="V15" s="3419"/>
      <c r="W15" s="3419"/>
      <c r="X15" s="3419"/>
      <c r="Y15" s="3418"/>
      <c r="Z15" s="3419"/>
      <c r="AA15" s="3419"/>
      <c r="AB15" s="3419"/>
      <c r="AC15" s="3419"/>
      <c r="AD15" s="3419"/>
      <c r="AE15" s="3419"/>
      <c r="AF15" s="3419"/>
      <c r="AG15" s="3419"/>
      <c r="AH15" s="3419"/>
      <c r="AI15" s="3419"/>
      <c r="AJ15" s="3419"/>
      <c r="AK15" s="3419"/>
      <c r="AL15" s="3419"/>
      <c r="AM15" s="3419"/>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43" t="s">
        <v>848</v>
      </c>
      <c r="D16" s="3443"/>
      <c r="E16" s="3443"/>
      <c r="F16" s="3443"/>
      <c r="G16" s="3443"/>
      <c r="H16" s="3443"/>
      <c r="I16" s="3443"/>
      <c r="J16" s="3443"/>
      <c r="K16" s="3443"/>
      <c r="L16" s="3443"/>
      <c r="M16" s="3443"/>
      <c r="N16" s="3443"/>
      <c r="O16" s="3443"/>
      <c r="P16" s="3443"/>
      <c r="Q16" s="3443"/>
      <c r="R16" s="3443"/>
      <c r="S16" s="3444"/>
      <c r="T16" s="3418"/>
      <c r="U16" s="3419"/>
      <c r="V16" s="3419"/>
      <c r="W16" s="3419"/>
      <c r="X16" s="3419"/>
      <c r="Y16" s="3418"/>
      <c r="Z16" s="3419"/>
      <c r="AA16" s="3419"/>
      <c r="AB16" s="3419"/>
      <c r="AC16" s="3419"/>
      <c r="AD16" s="3419"/>
      <c r="AE16" s="3419"/>
      <c r="AF16" s="3419"/>
      <c r="AG16" s="3419"/>
      <c r="AH16" s="3419"/>
      <c r="AI16" s="3419"/>
      <c r="AJ16" s="3419"/>
      <c r="AK16" s="3419"/>
      <c r="AL16" s="3419"/>
      <c r="AM16" s="3419"/>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43" t="s">
        <v>526</v>
      </c>
      <c r="D17" s="3443"/>
      <c r="E17" s="3443"/>
      <c r="F17" s="3443"/>
      <c r="G17" s="3443"/>
      <c r="H17" s="3443"/>
      <c r="I17" s="3443"/>
      <c r="J17" s="3443"/>
      <c r="K17" s="3443"/>
      <c r="L17" s="3443"/>
      <c r="M17" s="3443"/>
      <c r="N17" s="3443"/>
      <c r="O17" s="3443"/>
      <c r="P17" s="3443"/>
      <c r="Q17" s="3443"/>
      <c r="R17" s="3443"/>
      <c r="S17" s="3444"/>
      <c r="T17" s="3418"/>
      <c r="U17" s="3419"/>
      <c r="V17" s="3419"/>
      <c r="W17" s="3419"/>
      <c r="X17" s="3419"/>
      <c r="Y17" s="3418"/>
      <c r="Z17" s="3419"/>
      <c r="AA17" s="3419"/>
      <c r="AB17" s="3419"/>
      <c r="AC17" s="3419"/>
      <c r="AD17" s="3419"/>
      <c r="AE17" s="3419"/>
      <c r="AF17" s="3419"/>
      <c r="AG17" s="3419"/>
      <c r="AH17" s="3419"/>
      <c r="AI17" s="3419"/>
      <c r="AJ17" s="3419"/>
      <c r="AK17" s="3419"/>
      <c r="AL17" s="3419"/>
      <c r="AM17" s="3419"/>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8" t="s">
        <v>1019</v>
      </c>
      <c r="D18" s="3438"/>
      <c r="E18" s="3438"/>
      <c r="F18" s="3438"/>
      <c r="G18" s="3438"/>
      <c r="H18" s="3438"/>
      <c r="I18" s="3438"/>
      <c r="J18" s="3438"/>
      <c r="K18" s="3438"/>
      <c r="L18" s="3438"/>
      <c r="M18" s="3438"/>
      <c r="N18" s="3438"/>
      <c r="O18" s="3438"/>
      <c r="P18" s="3438"/>
      <c r="Q18" s="3438"/>
      <c r="R18" s="3438"/>
      <c r="S18" s="3439"/>
      <c r="T18" s="3418"/>
      <c r="U18" s="3419"/>
      <c r="V18" s="3419"/>
      <c r="W18" s="3419"/>
      <c r="X18" s="3419"/>
      <c r="Y18" s="3418"/>
      <c r="Z18" s="3419"/>
      <c r="AA18" s="3419"/>
      <c r="AB18" s="3419"/>
      <c r="AC18" s="3419"/>
      <c r="AD18" s="3419"/>
      <c r="AE18" s="3419"/>
      <c r="AF18" s="3419"/>
      <c r="AG18" s="3419"/>
      <c r="AH18" s="3419"/>
      <c r="AI18" s="3419"/>
      <c r="AJ18" s="3419"/>
      <c r="AK18" s="3419"/>
      <c r="AL18" s="3419"/>
      <c r="AM18" s="3419"/>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8" t="s">
        <v>1019</v>
      </c>
      <c r="D19" s="3438"/>
      <c r="E19" s="3438"/>
      <c r="F19" s="3438"/>
      <c r="G19" s="3438"/>
      <c r="H19" s="3438"/>
      <c r="I19" s="3438"/>
      <c r="J19" s="3438"/>
      <c r="K19" s="3438"/>
      <c r="L19" s="3438"/>
      <c r="M19" s="3438"/>
      <c r="N19" s="3438"/>
      <c r="O19" s="3438"/>
      <c r="P19" s="3438"/>
      <c r="Q19" s="3438"/>
      <c r="R19" s="3438"/>
      <c r="S19" s="3439"/>
      <c r="T19" s="3418"/>
      <c r="U19" s="3419"/>
      <c r="V19" s="3419"/>
      <c r="W19" s="3419"/>
      <c r="X19" s="3419"/>
      <c r="Y19" s="3418"/>
      <c r="Z19" s="3419"/>
      <c r="AA19" s="3419"/>
      <c r="AB19" s="3419"/>
      <c r="AC19" s="3419"/>
      <c r="AD19" s="3419"/>
      <c r="AE19" s="3419"/>
      <c r="AF19" s="3419"/>
      <c r="AG19" s="3419"/>
      <c r="AH19" s="3419"/>
      <c r="AI19" s="3419"/>
      <c r="AJ19" s="3419"/>
      <c r="AK19" s="3419"/>
      <c r="AL19" s="3419"/>
      <c r="AM19" s="3419"/>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91" t="s">
        <v>527</v>
      </c>
      <c r="C20" s="3392"/>
      <c r="D20" s="3392"/>
      <c r="E20" s="3392"/>
      <c r="F20" s="3392"/>
      <c r="G20" s="3392"/>
      <c r="H20" s="3392"/>
      <c r="I20" s="3392"/>
      <c r="J20" s="3392"/>
      <c r="K20" s="3392"/>
      <c r="L20" s="3392"/>
      <c r="M20" s="3392"/>
      <c r="N20" s="3392"/>
      <c r="O20" s="3392"/>
      <c r="P20" s="3392"/>
      <c r="Q20" s="3392"/>
      <c r="R20" s="3392"/>
      <c r="S20" s="3393"/>
      <c r="T20" s="3408">
        <f>SUM(T13:X19)</f>
        <v>0</v>
      </c>
      <c r="U20" s="3411"/>
      <c r="V20" s="3411"/>
      <c r="W20" s="3411"/>
      <c r="X20" s="3411"/>
      <c r="Y20" s="3408">
        <f>SUM(Y13:AC19)</f>
        <v>0</v>
      </c>
      <c r="Z20" s="3411"/>
      <c r="AA20" s="3411"/>
      <c r="AB20" s="3411"/>
      <c r="AC20" s="3411"/>
      <c r="AD20" s="3406">
        <f>SUM(AD13:AH19)</f>
        <v>0</v>
      </c>
      <c r="AE20" s="3407"/>
      <c r="AF20" s="3407"/>
      <c r="AG20" s="3407"/>
      <c r="AH20" s="3408"/>
      <c r="AI20" s="3406">
        <f>SUM(AI13:AM19)</f>
        <v>0</v>
      </c>
      <c r="AJ20" s="3407"/>
      <c r="AK20" s="3407"/>
      <c r="AL20" s="3407"/>
      <c r="AM20" s="3408"/>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91" t="s">
        <v>1443</v>
      </c>
      <c r="C21" s="3392"/>
      <c r="D21" s="3392"/>
      <c r="E21" s="3392"/>
      <c r="F21" s="3392"/>
      <c r="G21" s="3392"/>
      <c r="H21" s="3392"/>
      <c r="I21" s="3392"/>
      <c r="J21" s="3392"/>
      <c r="K21" s="3392"/>
      <c r="L21" s="3392"/>
      <c r="M21" s="3392"/>
      <c r="N21" s="3392"/>
      <c r="O21" s="3392"/>
      <c r="P21" s="3392"/>
      <c r="Q21" s="3392"/>
      <c r="R21" s="3392"/>
      <c r="S21" s="3393"/>
      <c r="T21" s="3418"/>
      <c r="U21" s="3419"/>
      <c r="V21" s="3419"/>
      <c r="W21" s="3419"/>
      <c r="X21" s="3419"/>
      <c r="Y21" s="3418"/>
      <c r="Z21" s="3419"/>
      <c r="AA21" s="3419"/>
      <c r="AB21" s="3419"/>
      <c r="AC21" s="3419"/>
      <c r="AD21" s="3429"/>
      <c r="AE21" s="3430"/>
      <c r="AF21" s="3430"/>
      <c r="AG21" s="3430"/>
      <c r="AH21" s="3431"/>
      <c r="AI21" s="3429"/>
      <c r="AJ21" s="3430"/>
      <c r="AK21" s="3430"/>
      <c r="AL21" s="3430"/>
      <c r="AM21" s="3431"/>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91" t="s">
        <v>528</v>
      </c>
      <c r="C22" s="3392"/>
      <c r="D22" s="3392"/>
      <c r="E22" s="3392"/>
      <c r="F22" s="3392"/>
      <c r="G22" s="3392"/>
      <c r="H22" s="3392"/>
      <c r="I22" s="3392"/>
      <c r="J22" s="3392"/>
      <c r="K22" s="3392"/>
      <c r="L22" s="3392"/>
      <c r="M22" s="3392"/>
      <c r="N22" s="3392"/>
      <c r="O22" s="3392"/>
      <c r="P22" s="3392"/>
      <c r="Q22" s="3392"/>
      <c r="R22" s="3392"/>
      <c r="S22" s="3393"/>
      <c r="T22" s="3414">
        <f>(T20+T21)*-1</f>
        <v>0</v>
      </c>
      <c r="U22" s="3415"/>
      <c r="V22" s="3415"/>
      <c r="W22" s="3415"/>
      <c r="X22" s="3415"/>
      <c r="Y22" s="3414">
        <f>(Y20+Y21)*-1</f>
        <v>0</v>
      </c>
      <c r="Z22" s="3415"/>
      <c r="AA22" s="3415"/>
      <c r="AB22" s="3415"/>
      <c r="AC22" s="3415"/>
      <c r="AD22" s="3416">
        <f>(AD20)*-1</f>
        <v>0</v>
      </c>
      <c r="AE22" s="3417"/>
      <c r="AF22" s="3417"/>
      <c r="AG22" s="3417"/>
      <c r="AH22" s="3414"/>
      <c r="AI22" s="3416">
        <f>(AI20)*-1</f>
        <v>0</v>
      </c>
      <c r="AJ22" s="3417"/>
      <c r="AK22" s="3417"/>
      <c r="AL22" s="3417"/>
      <c r="AM22" s="3414"/>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47" t="s">
        <v>529</v>
      </c>
      <c r="C23" s="3448"/>
      <c r="D23" s="3448"/>
      <c r="E23" s="3448"/>
      <c r="F23" s="3448"/>
      <c r="G23" s="3448"/>
      <c r="H23" s="3448"/>
      <c r="I23" s="3448"/>
      <c r="J23" s="3448"/>
      <c r="K23" s="3448"/>
      <c r="L23" s="3448"/>
      <c r="M23" s="3448"/>
      <c r="N23" s="3448"/>
      <c r="O23" s="3448"/>
      <c r="P23" s="3448"/>
      <c r="Q23" s="3448"/>
      <c r="R23" s="3448"/>
      <c r="S23" s="3449"/>
      <c r="T23" s="3408">
        <f>T11+T22</f>
        <v>66470659.542293414</v>
      </c>
      <c r="U23" s="3411"/>
      <c r="V23" s="3411"/>
      <c r="W23" s="3411"/>
      <c r="X23" s="3411"/>
      <c r="Y23" s="3408">
        <f>Y11+Y22</f>
        <v>0</v>
      </c>
      <c r="Z23" s="3411"/>
      <c r="AA23" s="3411"/>
      <c r="AB23" s="3411"/>
      <c r="AC23" s="3411"/>
      <c r="AD23" s="3408">
        <f>AD11+AD22</f>
        <v>0</v>
      </c>
      <c r="AE23" s="3411"/>
      <c r="AF23" s="3411"/>
      <c r="AG23" s="3411"/>
      <c r="AH23" s="3411"/>
      <c r="AI23" s="3408">
        <f>AI11+AI22</f>
        <v>0</v>
      </c>
      <c r="AJ23" s="3411"/>
      <c r="AK23" s="3411"/>
      <c r="AL23" s="3411"/>
      <c r="AM23" s="3411"/>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91" t="s">
        <v>1020</v>
      </c>
      <c r="C24" s="3392"/>
      <c r="D24" s="3392"/>
      <c r="E24" s="3392"/>
      <c r="F24" s="3392"/>
      <c r="G24" s="3392"/>
      <c r="H24" s="3392"/>
      <c r="I24" s="3392"/>
      <c r="J24" s="3392"/>
      <c r="K24" s="3392"/>
      <c r="L24" s="3392"/>
      <c r="M24" s="3392"/>
      <c r="N24" s="3392"/>
      <c r="O24" s="3392"/>
      <c r="P24" s="3392"/>
      <c r="Q24" s="3392"/>
      <c r="R24" s="3392"/>
      <c r="S24" s="3393"/>
      <c r="T24" s="3406">
        <f>Application!AJ1032</f>
        <v>84684580.489999995</v>
      </c>
      <c r="U24" s="3407"/>
      <c r="V24" s="3407"/>
      <c r="W24" s="3407"/>
      <c r="X24" s="3407"/>
      <c r="Y24" s="3407"/>
      <c r="Z24" s="3407"/>
      <c r="AA24" s="3407"/>
      <c r="AB24" s="3407"/>
      <c r="AC24" s="3407"/>
      <c r="AD24" s="3407"/>
      <c r="AE24" s="3407"/>
      <c r="AF24" s="3407"/>
      <c r="AG24" s="3407"/>
      <c r="AH24" s="3407"/>
      <c r="AI24" s="3407"/>
      <c r="AJ24" s="3407"/>
      <c r="AK24" s="3407"/>
      <c r="AL24" s="3407"/>
      <c r="AM24" s="3408"/>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50" t="s">
        <v>1444</v>
      </c>
      <c r="C25" s="3451"/>
      <c r="D25" s="3451"/>
      <c r="E25" s="3451"/>
      <c r="F25" s="3451"/>
      <c r="G25" s="3451"/>
      <c r="H25" s="3451"/>
      <c r="I25" s="3451"/>
      <c r="J25" s="3451"/>
      <c r="K25" s="3451"/>
      <c r="L25" s="3451"/>
      <c r="M25" s="3451"/>
      <c r="N25" s="3451"/>
      <c r="O25" s="3451"/>
      <c r="P25" s="3451"/>
      <c r="Q25" s="3451"/>
      <c r="R25" s="3451"/>
      <c r="S25" s="345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91" t="s">
        <v>530</v>
      </c>
      <c r="C26" s="3392"/>
      <c r="D26" s="3392"/>
      <c r="E26" s="3392"/>
      <c r="F26" s="3392"/>
      <c r="G26" s="3392"/>
      <c r="H26" s="3392"/>
      <c r="I26" s="3392"/>
      <c r="J26" s="3392"/>
      <c r="K26" s="3392"/>
      <c r="L26" s="3392"/>
      <c r="M26" s="3392"/>
      <c r="N26" s="3392"/>
      <c r="O26" s="3392"/>
      <c r="P26" s="3392"/>
      <c r="Q26" s="3392"/>
      <c r="R26" s="3392"/>
      <c r="S26" s="3393"/>
      <c r="T26" s="3427">
        <f>T23*T25</f>
        <v>86411857.404981434</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53" t="s">
        <v>443</v>
      </c>
      <c r="C27" s="3454"/>
      <c r="D27" s="3454"/>
      <c r="E27" s="3454"/>
      <c r="F27" s="3454"/>
      <c r="G27" s="3454"/>
      <c r="H27" s="3454"/>
      <c r="I27" s="3454"/>
      <c r="J27" s="3454"/>
      <c r="K27" s="3454"/>
      <c r="L27" s="3454"/>
      <c r="M27" s="3454"/>
      <c r="N27" s="3454"/>
      <c r="O27" s="3454"/>
      <c r="P27" s="3454"/>
      <c r="Q27" s="3454"/>
      <c r="R27" s="3454"/>
      <c r="S27" s="3455"/>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1" t="s">
        <v>531</v>
      </c>
      <c r="C28" s="3392"/>
      <c r="D28" s="3392"/>
      <c r="E28" s="3392"/>
      <c r="F28" s="3392"/>
      <c r="G28" s="3392"/>
      <c r="H28" s="3392"/>
      <c r="I28" s="3392"/>
      <c r="J28" s="3392"/>
      <c r="K28" s="3392"/>
      <c r="L28" s="3392"/>
      <c r="M28" s="3392"/>
      <c r="N28" s="3392"/>
      <c r="O28" s="3392"/>
      <c r="P28" s="3392"/>
      <c r="Q28" s="3392"/>
      <c r="R28" s="3392"/>
      <c r="S28" s="3393"/>
      <c r="T28" s="3420">
        <f>IF(ISERROR((T26*T27)),0,(T26*T27))</f>
        <v>86411857.404981434</v>
      </c>
      <c r="U28" s="3421"/>
      <c r="V28" s="3421"/>
      <c r="W28" s="3421"/>
      <c r="X28" s="3421"/>
      <c r="Y28" s="3420">
        <f>IF(ISERROR((Y26*Y27)),0,(Y26*Y27))</f>
        <v>0</v>
      </c>
      <c r="Z28" s="3421"/>
      <c r="AA28" s="3421"/>
      <c r="AB28" s="3421"/>
      <c r="AC28" s="3421"/>
      <c r="AD28" s="3420">
        <f>IF(ISERROR((AD26*AD27)),0,(AD26*AD27))</f>
        <v>0</v>
      </c>
      <c r="AE28" s="3421"/>
      <c r="AF28" s="3421"/>
      <c r="AG28" s="3421"/>
      <c r="AH28" s="3421"/>
      <c r="AI28" s="3420">
        <f>IF(ISERROR((AI26*AI27)),0,(AI26*AI27))</f>
        <v>0</v>
      </c>
      <c r="AJ28" s="3421"/>
      <c r="AK28" s="3421"/>
      <c r="AL28" s="3421"/>
      <c r="AM28" s="3421"/>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91" t="s">
        <v>548</v>
      </c>
      <c r="C29" s="3392"/>
      <c r="D29" s="3392"/>
      <c r="E29" s="3392"/>
      <c r="F29" s="3392"/>
      <c r="G29" s="3392"/>
      <c r="H29" s="3392"/>
      <c r="I29" s="3392"/>
      <c r="J29" s="3392"/>
      <c r="K29" s="3392"/>
      <c r="L29" s="3392"/>
      <c r="M29" s="3392"/>
      <c r="N29" s="3392"/>
      <c r="O29" s="3392"/>
      <c r="P29" s="3392"/>
      <c r="Q29" s="3392"/>
      <c r="R29" s="3392"/>
      <c r="S29" s="3393"/>
      <c r="T29" s="3406">
        <f>T28+Y28+AD28+AI28</f>
        <v>86411857.404981434</v>
      </c>
      <c r="U29" s="3407"/>
      <c r="V29" s="3407"/>
      <c r="W29" s="3407"/>
      <c r="X29" s="3407"/>
      <c r="Y29" s="3407"/>
      <c r="Z29" s="3407"/>
      <c r="AA29" s="3407"/>
      <c r="AB29" s="3407"/>
      <c r="AC29" s="3407"/>
      <c r="AD29" s="3407"/>
      <c r="AE29" s="3407"/>
      <c r="AF29" s="3407"/>
      <c r="AG29" s="3407"/>
      <c r="AH29" s="3407"/>
      <c r="AI29" s="3407"/>
      <c r="AJ29" s="3407"/>
      <c r="AK29" s="3407"/>
      <c r="AL29" s="3407"/>
      <c r="AM29" s="3408"/>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3" t="s">
        <v>1446</v>
      </c>
      <c r="C30" s="3413"/>
      <c r="D30" s="3413"/>
      <c r="E30" s="3413"/>
      <c r="F30" s="3413"/>
      <c r="G30" s="3413"/>
      <c r="H30" s="3413"/>
      <c r="I30" s="3413"/>
      <c r="J30" s="3413"/>
      <c r="K30" s="3413"/>
      <c r="L30" s="3413"/>
      <c r="M30" s="3413"/>
      <c r="N30" s="3413"/>
      <c r="O30" s="3413"/>
      <c r="P30" s="3413"/>
      <c r="Q30" s="3413"/>
      <c r="R30" s="3413"/>
      <c r="S30" s="3413"/>
      <c r="T30" s="3413"/>
      <c r="U30" s="3413"/>
      <c r="V30" s="3413"/>
      <c r="W30" s="3413"/>
      <c r="X30" s="3413"/>
      <c r="Y30" s="3413"/>
      <c r="Z30" s="3413"/>
      <c r="AA30" s="3413"/>
      <c r="AB30" s="3413"/>
      <c r="AC30" s="3413"/>
      <c r="AD30" s="3413"/>
      <c r="AE30" s="3413"/>
      <c r="AF30" s="3413"/>
      <c r="AG30" s="3413"/>
      <c r="AH30" s="3413"/>
      <c r="AI30" s="3413"/>
      <c r="AJ30" s="3413"/>
      <c r="AK30" s="3413"/>
      <c r="AL30" s="3413"/>
      <c r="AM30" s="3413"/>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3" t="s">
        <v>1445</v>
      </c>
      <c r="C31" s="3413"/>
      <c r="D31" s="3413"/>
      <c r="E31" s="3413"/>
      <c r="F31" s="3413"/>
      <c r="G31" s="3413"/>
      <c r="H31" s="3413"/>
      <c r="I31" s="3413"/>
      <c r="J31" s="3413"/>
      <c r="K31" s="3413"/>
      <c r="L31" s="3413"/>
      <c r="M31" s="3413"/>
      <c r="N31" s="3413"/>
      <c r="O31" s="3413"/>
      <c r="P31" s="3413"/>
      <c r="Q31" s="3413"/>
      <c r="R31" s="3413"/>
      <c r="S31" s="3413"/>
      <c r="T31" s="3413"/>
      <c r="U31" s="3413"/>
      <c r="V31" s="3413"/>
      <c r="W31" s="3413"/>
      <c r="X31" s="3413"/>
      <c r="Y31" s="3413"/>
      <c r="Z31" s="3413"/>
      <c r="AA31" s="3413"/>
      <c r="AB31" s="3413"/>
      <c r="AC31" s="3413"/>
      <c r="AD31" s="3413"/>
      <c r="AE31" s="3413"/>
      <c r="AF31" s="3413"/>
      <c r="AG31" s="3413"/>
      <c r="AH31" s="3413"/>
      <c r="AI31" s="3413"/>
      <c r="AJ31" s="3413"/>
      <c r="AK31" s="3413"/>
      <c r="AL31" s="3413"/>
      <c r="AM31" s="3413"/>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9" t="s">
        <v>1314</v>
      </c>
      <c r="Z35" s="3409"/>
      <c r="AA35" s="3409"/>
      <c r="AB35" s="3409"/>
      <c r="AC35" s="3409"/>
      <c r="AD35" s="3410" t="s">
        <v>377</v>
      </c>
      <c r="AE35" s="3410"/>
      <c r="AF35" s="3410"/>
      <c r="AG35" s="3410"/>
      <c r="AH35" s="341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9"/>
      <c r="Z36" s="3409"/>
      <c r="AA36" s="3409"/>
      <c r="AB36" s="3409"/>
      <c r="AC36" s="3409"/>
      <c r="AD36" s="3410"/>
      <c r="AE36" s="3410"/>
      <c r="AF36" s="3410"/>
      <c r="AG36" s="3410"/>
      <c r="AH36" s="341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9"/>
      <c r="Z37" s="3409"/>
      <c r="AA37" s="3409"/>
      <c r="AB37" s="3409"/>
      <c r="AC37" s="3409"/>
      <c r="AD37" s="3410"/>
      <c r="AE37" s="3410"/>
      <c r="AF37" s="3410"/>
      <c r="AG37" s="3410"/>
      <c r="AH37" s="341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1" t="s">
        <v>531</v>
      </c>
      <c r="C38" s="3392"/>
      <c r="D38" s="3392"/>
      <c r="E38" s="3392"/>
      <c r="F38" s="3392"/>
      <c r="G38" s="3392"/>
      <c r="H38" s="3392"/>
      <c r="I38" s="3392"/>
      <c r="J38" s="3392"/>
      <c r="K38" s="3392"/>
      <c r="L38" s="3392"/>
      <c r="M38" s="3392"/>
      <c r="N38" s="3392"/>
      <c r="O38" s="3392"/>
      <c r="P38" s="3392"/>
      <c r="Q38" s="3392"/>
      <c r="R38" s="3392"/>
      <c r="S38" s="3392"/>
      <c r="T38" s="3392"/>
      <c r="U38" s="3392"/>
      <c r="V38" s="3392"/>
      <c r="W38" s="3392"/>
      <c r="X38" s="3393"/>
      <c r="Y38" s="3411">
        <f>IF(T24&gt;=(T23+Y23+AD23+AI23),T28+Y28,0)</f>
        <v>86411857.404981434</v>
      </c>
      <c r="Z38" s="3411"/>
      <c r="AA38" s="3411"/>
      <c r="AB38" s="3411"/>
      <c r="AC38" s="3411"/>
      <c r="AD38" s="3411">
        <f>IF(T24&gt;=(T23+Y23+AD23+AI23),AD28+AI28,0)</f>
        <v>0</v>
      </c>
      <c r="AE38" s="3411"/>
      <c r="AF38" s="3411"/>
      <c r="AG38" s="3411"/>
      <c r="AH38" s="3411"/>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91" t="s">
        <v>2003</v>
      </c>
      <c r="C39" s="3392"/>
      <c r="D39" s="3392"/>
      <c r="E39" s="3392"/>
      <c r="F39" s="3392"/>
      <c r="G39" s="3392"/>
      <c r="H39" s="3392"/>
      <c r="I39" s="3392"/>
      <c r="J39" s="3392"/>
      <c r="K39" s="3392"/>
      <c r="L39" s="3392"/>
      <c r="M39" s="3392"/>
      <c r="N39" s="3392"/>
      <c r="O39" s="3392"/>
      <c r="P39" s="3392"/>
      <c r="Q39" s="3392"/>
      <c r="R39" s="3392"/>
      <c r="S39" s="3392"/>
      <c r="T39" s="3392"/>
      <c r="U39" s="3392"/>
      <c r="V39" s="3392"/>
      <c r="W39" s="3392"/>
      <c r="X39" s="3393"/>
      <c r="Y39" s="3412">
        <v>0.04</v>
      </c>
      <c r="Z39" s="3412"/>
      <c r="AA39" s="3412"/>
      <c r="AB39" s="3412"/>
      <c r="AC39" s="3412"/>
      <c r="AD39" s="3412">
        <v>0.04</v>
      </c>
      <c r="AE39" s="3412"/>
      <c r="AF39" s="3412"/>
      <c r="AG39" s="3412"/>
      <c r="AH39" s="341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1" t="s">
        <v>668</v>
      </c>
      <c r="C40" s="3392"/>
      <c r="D40" s="3392"/>
      <c r="E40" s="3392"/>
      <c r="F40" s="3392"/>
      <c r="G40" s="3392"/>
      <c r="H40" s="3392"/>
      <c r="I40" s="3392"/>
      <c r="J40" s="3392"/>
      <c r="K40" s="3392"/>
      <c r="L40" s="3392"/>
      <c r="M40" s="3392"/>
      <c r="N40" s="3392"/>
      <c r="O40" s="3392"/>
      <c r="P40" s="3392"/>
      <c r="Q40" s="3392"/>
      <c r="R40" s="3392"/>
      <c r="S40" s="3392"/>
      <c r="T40" s="3392"/>
      <c r="U40" s="3392"/>
      <c r="V40" s="3392"/>
      <c r="W40" s="3392"/>
      <c r="X40" s="3393"/>
      <c r="Y40" s="3411">
        <f>ROUND(Y38*Y39,0)</f>
        <v>3456474</v>
      </c>
      <c r="Z40" s="3411"/>
      <c r="AA40" s="3411"/>
      <c r="AB40" s="3411"/>
      <c r="AC40" s="3411"/>
      <c r="AD40" s="3408">
        <f>ROUND(AD38*AD39,0)</f>
        <v>0</v>
      </c>
      <c r="AE40" s="3411"/>
      <c r="AF40" s="3411"/>
      <c r="AG40" s="3411"/>
      <c r="AH40" s="3411"/>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91" t="s">
        <v>669</v>
      </c>
      <c r="C41" s="3392"/>
      <c r="D41" s="3392"/>
      <c r="E41" s="3392"/>
      <c r="F41" s="3392"/>
      <c r="G41" s="3392"/>
      <c r="H41" s="3392"/>
      <c r="I41" s="3392"/>
      <c r="J41" s="3392"/>
      <c r="K41" s="3392"/>
      <c r="L41" s="3392"/>
      <c r="M41" s="3392"/>
      <c r="N41" s="3392"/>
      <c r="O41" s="3392"/>
      <c r="P41" s="3392"/>
      <c r="Q41" s="3392"/>
      <c r="R41" s="3392"/>
      <c r="S41" s="3392"/>
      <c r="T41" s="3392"/>
      <c r="U41" s="3392"/>
      <c r="V41" s="3392"/>
      <c r="W41" s="3392"/>
      <c r="X41" s="3393"/>
      <c r="Y41" s="3456">
        <f>Y40+AD40</f>
        <v>3456474</v>
      </c>
      <c r="Z41" s="3457"/>
      <c r="AA41" s="3457"/>
      <c r="AB41" s="3457"/>
      <c r="AC41" s="3457"/>
      <c r="AD41" s="3457"/>
      <c r="AE41" s="3457"/>
      <c r="AF41" s="3457"/>
      <c r="AG41" s="3457"/>
      <c r="AH41" s="3458"/>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5" t="s">
        <v>1457</v>
      </c>
      <c r="B44" s="3405"/>
      <c r="C44" s="3405"/>
      <c r="D44" s="3405"/>
      <c r="E44" s="3405"/>
      <c r="F44" s="3405"/>
      <c r="G44" s="3405"/>
      <c r="H44" s="3405"/>
      <c r="I44" s="3405"/>
      <c r="J44" s="3405"/>
      <c r="K44" s="3405"/>
      <c r="L44" s="3405"/>
      <c r="M44" s="3405"/>
      <c r="N44" s="3405"/>
      <c r="O44" s="3405"/>
      <c r="P44" s="3405"/>
      <c r="Q44" s="3405"/>
      <c r="R44" s="3405"/>
      <c r="S44" s="3405"/>
      <c r="T44" s="3405"/>
      <c r="U44" s="3405"/>
      <c r="V44" s="3405"/>
      <c r="W44" s="3405"/>
      <c r="X44" s="3405"/>
      <c r="Y44" s="3405"/>
      <c r="Z44" s="3405"/>
      <c r="AA44" s="3405"/>
      <c r="AB44" s="3405"/>
      <c r="AC44" s="3405"/>
      <c r="AD44" s="3405"/>
      <c r="AE44" s="3405"/>
      <c r="AF44" s="3405"/>
      <c r="AG44" s="3405"/>
      <c r="AH44" s="3405"/>
      <c r="AI44" s="3405"/>
      <c r="AJ44" s="3405"/>
      <c r="AK44" s="3405"/>
      <c r="AL44" s="3405"/>
      <c r="AM44" s="3405"/>
      <c r="AN44" s="3405"/>
      <c r="AO44" s="3405"/>
      <c r="AP44" s="3405"/>
      <c r="AQ44" s="3405"/>
      <c r="AR44" s="3405"/>
      <c r="AS44" s="3405"/>
      <c r="AT44" s="3405"/>
      <c r="AU44" s="3405"/>
      <c r="AV44" s="3405"/>
      <c r="AW44" s="3405"/>
      <c r="AX44" s="3405"/>
      <c r="AY44" s="3405"/>
      <c r="AZ44" s="3405"/>
      <c r="BA44" s="3405"/>
      <c r="BB44" s="3405"/>
      <c r="BC44" s="3405"/>
      <c r="BD44" s="3405"/>
      <c r="BE44" s="3405"/>
      <c r="BF44" s="3405"/>
      <c r="BG44" s="3405"/>
      <c r="BH44" s="3405"/>
      <c r="BI44" s="3405"/>
      <c r="BJ44" s="3405"/>
      <c r="BK44" s="3405"/>
      <c r="BL44" s="3405"/>
      <c r="BM44" s="3405"/>
      <c r="BN44" s="3405"/>
      <c r="BO44" s="3405"/>
      <c r="BP44" s="3405"/>
      <c r="BQ44" s="3405"/>
      <c r="BR44" s="3405"/>
      <c r="BS44" s="3405"/>
      <c r="BT44" s="3405"/>
      <c r="BU44" s="3405"/>
      <c r="BV44" s="3405"/>
      <c r="BW44" s="3405"/>
      <c r="BX44" s="34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9">
        <f>'Sources and Uses Budget'!B105-MAX(IF('Sources and Uses Budget'!B15="",0,'Sources and Uses Budget'!B15),IF(Application!AG393="",0,Application!AG393))</f>
        <v>81690220.524317399</v>
      </c>
      <c r="AC47" s="3400"/>
      <c r="AD47" s="3400"/>
      <c r="AE47" s="3400"/>
      <c r="AF47" s="3401"/>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9">
        <f>Application!AO649-MAX(IF('Sources and Uses Budget'!B15="",0,'Sources and Uses Budget'!B15),IF(Application!AG393="",0,Application!AG393))</f>
        <v>50927601.288144015</v>
      </c>
      <c r="AC48" s="3400"/>
      <c r="AD48" s="3400"/>
      <c r="AE48" s="3400"/>
      <c r="AF48" s="3401"/>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9">
        <f>AB47-AB48</f>
        <v>30762619.236173384</v>
      </c>
      <c r="AC49" s="3400"/>
      <c r="AD49" s="3400"/>
      <c r="AE49" s="3400"/>
      <c r="AF49" s="3401"/>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7">
        <f>+'[10]LIHTC &amp; BASIS CALCULATION'!$B$184</f>
        <v>0.89</v>
      </c>
      <c r="AC50" s="3388"/>
      <c r="AD50" s="3388"/>
      <c r="AE50" s="3388"/>
      <c r="AF50" s="338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8" t="s">
        <v>2166</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9">
        <f>ROUND(IF(ISERROR((AB49/AB50)),0,(AB49/AB50)),0)</f>
        <v>34564741</v>
      </c>
      <c r="AC54" s="3400"/>
      <c r="AD54" s="3400"/>
      <c r="AE54" s="3400"/>
      <c r="AF54" s="3401"/>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9">
        <f>(AB54/10)</f>
        <v>3456474.1</v>
      </c>
      <c r="AC55" s="3400"/>
      <c r="AD55" s="3400"/>
      <c r="AE55" s="3400"/>
      <c r="AF55" s="3401"/>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02">
        <f>(IF((Y41&lt;AB55),Y41,AB55))</f>
        <v>3456474</v>
      </c>
      <c r="AC56" s="3403"/>
      <c r="AD56" s="3403"/>
      <c r="AE56" s="3403"/>
      <c r="AF56" s="3404"/>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9">
        <f>ROUND((10*AB56*AB50),0)</f>
        <v>30762619</v>
      </c>
      <c r="AC57" s="3400"/>
      <c r="AD57" s="3400"/>
      <c r="AE57" s="3400"/>
      <c r="AF57" s="3401"/>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83">
        <f>AB49-AB57</f>
        <v>0.23617338389158249</v>
      </c>
      <c r="AC59" s="3383"/>
      <c r="AD59" s="3383"/>
      <c r="AE59" s="3383"/>
      <c r="AF59" s="3383"/>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5" t="str">
        <f>IF(Application!AP204="yes","Farmworker State Credit", "State Credit" )</f>
        <v>State Credit</v>
      </c>
      <c r="B61" s="3405"/>
      <c r="C61" s="3405"/>
      <c r="D61" s="3405"/>
      <c r="E61" s="3405"/>
      <c r="F61" s="3405"/>
      <c r="G61" s="3405"/>
      <c r="H61" s="3405"/>
      <c r="I61" s="3405"/>
      <c r="J61" s="3405"/>
      <c r="K61" s="3405"/>
      <c r="L61" s="3405"/>
      <c r="M61" s="3405"/>
      <c r="N61" s="3405"/>
      <c r="O61" s="3405"/>
      <c r="P61" s="3405"/>
      <c r="Q61" s="3405"/>
      <c r="R61" s="3405"/>
      <c r="S61" s="3405"/>
      <c r="T61" s="3405"/>
      <c r="U61" s="3405"/>
      <c r="V61" s="3405"/>
      <c r="W61" s="3405"/>
      <c r="X61" s="3405"/>
      <c r="Y61" s="3405"/>
      <c r="Z61" s="3405"/>
      <c r="AA61" s="3405"/>
      <c r="AB61" s="3405"/>
      <c r="AC61" s="3405"/>
      <c r="AD61" s="3405"/>
      <c r="AE61" s="3405"/>
      <c r="AF61" s="3405"/>
      <c r="AG61" s="3405"/>
      <c r="AH61" s="3405"/>
      <c r="AI61" s="3405"/>
      <c r="AJ61" s="3405"/>
      <c r="AK61" s="3405"/>
      <c r="AL61" s="3405"/>
      <c r="AM61" s="3405"/>
      <c r="AN61" s="3405"/>
      <c r="AO61" s="3405"/>
      <c r="AP61" s="3405"/>
      <c r="AQ61" s="3405"/>
      <c r="AR61" s="3405"/>
      <c r="AS61" s="3405"/>
      <c r="AT61" s="3405"/>
      <c r="AU61" s="3405"/>
      <c r="AV61" s="3405"/>
      <c r="AW61" s="3405"/>
      <c r="AX61" s="3405"/>
      <c r="AY61" s="3405"/>
      <c r="AZ61" s="3405"/>
      <c r="BA61" s="3405"/>
      <c r="BB61" s="3405"/>
      <c r="BC61" s="3405"/>
      <c r="BD61" s="3405"/>
      <c r="BE61" s="3405"/>
      <c r="BF61" s="3405"/>
      <c r="BG61" s="3405"/>
      <c r="BH61" s="3405"/>
      <c r="BI61" s="3405"/>
      <c r="BJ61" s="3405"/>
      <c r="BK61" s="3405"/>
      <c r="BL61" s="3405"/>
      <c r="BM61" s="3405"/>
      <c r="BN61" s="3405"/>
      <c r="BO61" s="3405"/>
      <c r="BP61" s="3405"/>
      <c r="BQ61" s="3405"/>
      <c r="BR61" s="3405"/>
      <c r="BS61" s="3405"/>
      <c r="BT61" s="3405"/>
      <c r="BU61" s="3405"/>
      <c r="BV61" s="3405"/>
      <c r="BW61" s="3405"/>
      <c r="BX61" s="34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394" t="s">
        <v>1043</v>
      </c>
      <c r="Z63" s="3394"/>
      <c r="AA63" s="3394"/>
      <c r="AB63" s="3394"/>
      <c r="AC63" s="3394"/>
      <c r="AD63" s="3394" t="s">
        <v>377</v>
      </c>
      <c r="AE63" s="3394"/>
      <c r="AF63" s="3394"/>
      <c r="AG63" s="3394"/>
      <c r="AH63" s="3394"/>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395">
        <f>IF(Application!Z204="(select)",0,((T23*T27)+Y28))</f>
        <v>66470659.542293414</v>
      </c>
      <c r="Z64" s="3396"/>
      <c r="AA64" s="3396"/>
      <c r="AB64" s="3396"/>
      <c r="AC64" s="3397"/>
      <c r="AD64" s="3395">
        <f>IF(AND(OR(Application!D210="At-Risk",Application!D210="At-Risk and Special Needs"),Application!M357="yes"),AD28+AI28,0)</f>
        <v>0</v>
      </c>
      <c r="AE64" s="3396"/>
      <c r="AF64" s="3396"/>
      <c r="AG64" s="3396"/>
      <c r="AH64" s="3397"/>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84">
        <f>IF(Application!AP204="yes",0.75,IF(Application!Z203="15% set-aside",0.13,IF(Application!Z203="15% set-aside with qualifying low value rehab",0.95,0.3)))</f>
        <v>0.3</v>
      </c>
      <c r="Z67" s="3384"/>
      <c r="AA67" s="3384"/>
      <c r="AB67" s="3384"/>
      <c r="AC67" s="3384"/>
      <c r="AD67" s="3384">
        <f>IF(Application!Z203="15% set-aside with qualifying low value rehab", 0.95,0.13)</f>
        <v>0.13</v>
      </c>
      <c r="AE67" s="3384"/>
      <c r="AF67" s="3384"/>
      <c r="AG67" s="3384"/>
      <c r="AH67" s="338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385">
        <f>ROUND(Y64*Y67,0)</f>
        <v>19941198</v>
      </c>
      <c r="Z68" s="3386"/>
      <c r="AA68" s="3386"/>
      <c r="AB68" s="3386"/>
      <c r="AC68" s="3386"/>
      <c r="AD68" s="3385">
        <f>ROUND(AD64*AD67,0)</f>
        <v>0</v>
      </c>
      <c r="AE68" s="3386"/>
      <c r="AF68" s="3386"/>
      <c r="AG68" s="3386"/>
      <c r="AH68" s="338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7"/>
      <c r="AC71" s="3388"/>
      <c r="AD71" s="3388"/>
      <c r="AE71" s="3388"/>
      <c r="AF71" s="338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0" t="s">
        <v>1431</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8">
        <f>ROUND(IF(ISERROR((AB59/AB71)),0,(AB59/AB71)),0)</f>
        <v>0</v>
      </c>
      <c r="AC76" s="3378"/>
      <c r="AD76" s="3378"/>
      <c r="AE76" s="3378"/>
      <c r="AF76" s="337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9">
        <f>IF((Y68+AD68&lt;AB76),Y68+AD68,AB76)</f>
        <v>0</v>
      </c>
      <c r="AC77" s="3380"/>
      <c r="AD77" s="3380"/>
      <c r="AE77" s="3380"/>
      <c r="AF77" s="338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82">
        <f>AB77*AB71</f>
        <v>0</v>
      </c>
      <c r="AC78" s="3382"/>
      <c r="AD78" s="3382"/>
      <c r="AE78" s="3382"/>
      <c r="AF78" s="338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83">
        <f>AB49-(AB57+AB78)</f>
        <v>0.23617338389158249</v>
      </c>
      <c r="AC80" s="3383"/>
      <c r="AD80" s="3383"/>
      <c r="AE80" s="3383"/>
      <c r="AF80" s="3383"/>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5"/>
      <c r="B83" s="3405"/>
      <c r="C83" s="3405"/>
      <c r="D83" s="3405"/>
      <c r="E83" s="3405"/>
      <c r="F83" s="3405"/>
      <c r="G83" s="3405"/>
      <c r="H83" s="3405"/>
      <c r="I83" s="3405"/>
      <c r="J83" s="3405"/>
      <c r="K83" s="3405"/>
      <c r="L83" s="3405"/>
      <c r="M83" s="3405"/>
      <c r="N83" s="3405"/>
      <c r="O83" s="3405"/>
      <c r="P83" s="3405"/>
      <c r="Q83" s="3405"/>
      <c r="R83" s="3405"/>
      <c r="S83" s="3405"/>
      <c r="T83" s="3405"/>
      <c r="U83" s="3405"/>
      <c r="V83" s="3405"/>
      <c r="W83" s="3405"/>
      <c r="X83" s="3405"/>
      <c r="Y83" s="3405"/>
      <c r="Z83" s="3405"/>
      <c r="AA83" s="3405"/>
      <c r="AB83" s="3405"/>
      <c r="AC83" s="3405"/>
      <c r="AD83" s="3405"/>
      <c r="AE83" s="3405"/>
      <c r="AF83" s="3405"/>
      <c r="AG83" s="3405"/>
      <c r="AH83" s="3405"/>
      <c r="AI83" s="3405"/>
      <c r="AJ83" s="3405"/>
      <c r="AK83" s="3405"/>
      <c r="AL83" s="3405"/>
      <c r="AM83" s="3405"/>
      <c r="AN83" s="3405"/>
      <c r="AO83" s="3405"/>
      <c r="AP83" s="3405"/>
      <c r="AQ83" s="3405"/>
      <c r="AR83" s="3405"/>
      <c r="AS83" s="3405"/>
      <c r="AT83" s="3405"/>
      <c r="AU83" s="3405"/>
      <c r="AV83" s="3405"/>
      <c r="AW83" s="3405"/>
      <c r="AX83" s="3405"/>
      <c r="AY83" s="3405"/>
      <c r="AZ83" s="3405"/>
      <c r="BA83" s="3405"/>
      <c r="BB83" s="3405"/>
      <c r="BC83" s="3405"/>
      <c r="BD83" s="3405"/>
      <c r="BE83" s="3405"/>
      <c r="BF83" s="3405"/>
      <c r="BG83" s="3405"/>
      <c r="BH83" s="3405"/>
      <c r="BI83" s="3405"/>
      <c r="BJ83" s="3405"/>
      <c r="BK83" s="3405"/>
      <c r="BL83" s="3405"/>
      <c r="BM83" s="3405"/>
      <c r="BN83" s="3405"/>
      <c r="BO83" s="3405"/>
      <c r="BP83" s="3405"/>
      <c r="BQ83" s="3405"/>
      <c r="BR83" s="3405"/>
      <c r="BS83" s="3405"/>
      <c r="BT83" s="3405"/>
      <c r="BU83" s="3405"/>
      <c r="BV83" s="3405"/>
      <c r="BW83" s="3405"/>
      <c r="BX83" s="3405"/>
    </row>
    <row r="84" spans="1:98" ht="13.5" thickTop="1"/>
    <row r="85" spans="1:98" ht="12.75">
      <c r="A85" s="786"/>
      <c r="C85" s="334"/>
      <c r="Z85" s="612"/>
      <c r="AA85" s="612"/>
      <c r="AB85" s="612"/>
      <c r="AC85" s="612"/>
      <c r="AD85" s="612"/>
      <c r="AE85" s="612"/>
      <c r="AF85" s="612"/>
      <c r="AG85" s="612"/>
      <c r="AH85" s="612"/>
    </row>
    <row r="86" spans="1:98" ht="12.75">
      <c r="D86" s="334"/>
      <c r="Z86" s="612"/>
      <c r="AA86" s="612"/>
      <c r="AB86" s="3446"/>
      <c r="AC86" s="3446"/>
      <c r="AD86" s="3446"/>
      <c r="AE86" s="3446"/>
      <c r="AF86" s="3446"/>
      <c r="AG86" s="612"/>
      <c r="AH86" s="612"/>
    </row>
    <row r="87" spans="1:98" ht="13.5" thickBot="1">
      <c r="D87" s="334"/>
      <c r="Z87" s="612"/>
      <c r="AA87" s="612"/>
      <c r="AB87" s="3445"/>
      <c r="AC87" s="3445"/>
      <c r="AD87" s="3445"/>
      <c r="AE87" s="3445"/>
      <c r="AF87" s="344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abSelected="1" topLeftCell="A16" zoomScaleNormal="100" zoomScaleSheetLayoutView="100" workbookViewId="0">
      <selection activeCell="I19" sqref="I19"/>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2589</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2534616</v>
      </c>
      <c r="G4" s="351">
        <f>E4*$C$4</f>
        <v>2597981.4</v>
      </c>
      <c r="I4" s="351">
        <f>G4*$C$4</f>
        <v>2662930.9349999996</v>
      </c>
      <c r="K4" s="351">
        <f>I4*$C$4</f>
        <v>2729504.2083749995</v>
      </c>
      <c r="M4" s="351">
        <f>K4*$C$4</f>
        <v>2797741.8135843743</v>
      </c>
      <c r="O4" s="351">
        <f>M4*$C$4</f>
        <v>2867685.3589239833</v>
      </c>
      <c r="Q4" s="351">
        <f>O4*$C$4</f>
        <v>2939377.4928970826</v>
      </c>
      <c r="S4" s="351">
        <f>Q4*$C$4</f>
        <v>3012861.9302195092</v>
      </c>
      <c r="U4" s="351">
        <f>S4*$C$4</f>
        <v>3088183.4784749965</v>
      </c>
      <c r="W4" s="351">
        <f>U4*$C$4</f>
        <v>3165388.0654368713</v>
      </c>
      <c r="Y4" s="351">
        <f>W4*$C$4</f>
        <v>3244522.7670727926</v>
      </c>
      <c r="AA4" s="351">
        <f>Y4*$C$4</f>
        <v>3325635.8362496123</v>
      </c>
      <c r="AC4" s="351">
        <f>AA4*$C$4</f>
        <v>3408776.7321558525</v>
      </c>
      <c r="AE4" s="351">
        <f>AC4*$C$4</f>
        <v>3493996.1504597487</v>
      </c>
      <c r="AG4" s="351">
        <f>AE4*$C$4</f>
        <v>3581346.0542212422</v>
      </c>
    </row>
    <row r="5" spans="1:34" s="339" customFormat="1" ht="14.25">
      <c r="B5" s="339" t="s">
        <v>885</v>
      </c>
      <c r="C5" s="372">
        <f>IF(Application!$D$210="Special Needs",0.1,0.05)</f>
        <v>0.05</v>
      </c>
      <c r="E5" s="353">
        <f>-E4*$C$5</f>
        <v>-126730.8</v>
      </c>
      <c r="F5" s="353"/>
      <c r="G5" s="353">
        <f>-G4*$C$5</f>
        <v>-129899.07</v>
      </c>
      <c r="H5" s="353"/>
      <c r="I5" s="353">
        <f>-I4*$C$5</f>
        <v>-133146.54674999998</v>
      </c>
      <c r="J5" s="353"/>
      <c r="K5" s="353">
        <f>-K4*$C$5</f>
        <v>-136475.21041874998</v>
      </c>
      <c r="L5" s="353"/>
      <c r="M5" s="353">
        <f>-M4*$C$5</f>
        <v>-139887.09067921873</v>
      </c>
      <c r="N5" s="353"/>
      <c r="O5" s="353">
        <f>-O4*$C$5</f>
        <v>-143384.26794619916</v>
      </c>
      <c r="P5" s="353"/>
      <c r="Q5" s="353">
        <f>-Q4*$C$5</f>
        <v>-146968.87464485414</v>
      </c>
      <c r="R5" s="353"/>
      <c r="S5" s="353">
        <f>-S4*$C$5</f>
        <v>-150643.09651097548</v>
      </c>
      <c r="T5" s="353"/>
      <c r="U5" s="353">
        <f>-U4*$C$5</f>
        <v>-154409.17392374983</v>
      </c>
      <c r="V5" s="353"/>
      <c r="W5" s="353">
        <f>-W4*$C$5</f>
        <v>-158269.40327184356</v>
      </c>
      <c r="X5" s="353"/>
      <c r="Y5" s="353">
        <f>-Y4*$C$5</f>
        <v>-162226.13835363963</v>
      </c>
      <c r="Z5" s="353"/>
      <c r="AA5" s="353">
        <f>-AA4*$C$5</f>
        <v>-166281.79181248063</v>
      </c>
      <c r="AB5" s="353"/>
      <c r="AC5" s="353">
        <f>-AC4*$C$5</f>
        <v>-170438.83660779265</v>
      </c>
      <c r="AD5" s="353"/>
      <c r="AE5" s="353">
        <f>-AE4*$C$5</f>
        <v>-174699.80752298745</v>
      </c>
      <c r="AF5" s="353"/>
      <c r="AG5" s="353">
        <f>-AG4*$C$5</f>
        <v>-179067.30271106213</v>
      </c>
    </row>
    <row r="6" spans="1:34" s="339" customFormat="1" ht="14.25">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32640</v>
      </c>
      <c r="F8" s="354"/>
      <c r="G8" s="354">
        <f>E8*$C$8</f>
        <v>33456</v>
      </c>
      <c r="H8" s="354"/>
      <c r="I8" s="354">
        <f>G8*$C$8</f>
        <v>34292.399999999994</v>
      </c>
      <c r="J8" s="354"/>
      <c r="K8" s="354">
        <f>I8*$C$8</f>
        <v>35149.709999999992</v>
      </c>
      <c r="L8" s="354"/>
      <c r="M8" s="354">
        <f>K8*$C$8</f>
        <v>36028.452749999989</v>
      </c>
      <c r="N8" s="354"/>
      <c r="O8" s="354">
        <f>M8*$C$8</f>
        <v>36929.164068749989</v>
      </c>
      <c r="P8" s="354"/>
      <c r="Q8" s="354">
        <f>O8*$C$8</f>
        <v>37852.393170468735</v>
      </c>
      <c r="R8" s="354"/>
      <c r="S8" s="354">
        <f>Q8*$C$8</f>
        <v>38798.702999730449</v>
      </c>
      <c r="T8" s="354"/>
      <c r="U8" s="354">
        <f>S8*$C$8</f>
        <v>39768.670574723707</v>
      </c>
      <c r="V8" s="354"/>
      <c r="W8" s="354">
        <f>U8*$C$8</f>
        <v>40762.887339091794</v>
      </c>
      <c r="X8" s="354"/>
      <c r="Y8" s="354">
        <f>W8*$C$8</f>
        <v>41781.959522569086</v>
      </c>
      <c r="Z8" s="354"/>
      <c r="AA8" s="354">
        <f>Y8*$C$8</f>
        <v>42826.508510633306</v>
      </c>
      <c r="AB8" s="354"/>
      <c r="AC8" s="354">
        <f>AA8*$C$8</f>
        <v>43897.171223399135</v>
      </c>
      <c r="AD8" s="354"/>
      <c r="AE8" s="354">
        <f>AC8*$C$8</f>
        <v>44994.600503984111</v>
      </c>
      <c r="AF8" s="354"/>
      <c r="AG8" s="354">
        <f>AE8*$C$8</f>
        <v>46119.46551658371</v>
      </c>
    </row>
    <row r="9" spans="1:34" s="339" customFormat="1" ht="14.25">
      <c r="B9" s="339" t="s">
        <v>885</v>
      </c>
      <c r="C9" s="372">
        <f>IF(Application!$D$210="Special Needs",0.1,0.05)</f>
        <v>0.05</v>
      </c>
      <c r="E9" s="370">
        <f>-E8*$C$9</f>
        <v>-1632</v>
      </c>
      <c r="F9" s="353"/>
      <c r="G9" s="370">
        <f>-G8*$C$9</f>
        <v>-1672.8000000000002</v>
      </c>
      <c r="H9" s="353"/>
      <c r="I9" s="370">
        <f>-I8*$C$9</f>
        <v>-1714.62</v>
      </c>
      <c r="J9" s="353"/>
      <c r="K9" s="370">
        <f>-K8*$C$9</f>
        <v>-1757.4854999999998</v>
      </c>
      <c r="L9" s="353"/>
      <c r="M9" s="370">
        <f>-M8*$C$9</f>
        <v>-1801.4226374999996</v>
      </c>
      <c r="N9" s="353"/>
      <c r="O9" s="370">
        <f>-O8*$C$9</f>
        <v>-1846.4582034374996</v>
      </c>
      <c r="P9" s="353"/>
      <c r="Q9" s="370">
        <f>-Q8*$C$9</f>
        <v>-1892.6196585234368</v>
      </c>
      <c r="R9" s="353"/>
      <c r="S9" s="370">
        <f>-S8*$C$9</f>
        <v>-1939.9351499865224</v>
      </c>
      <c r="T9" s="353"/>
      <c r="U9" s="370">
        <f>-U8*$C$9</f>
        <v>-1988.4335287361855</v>
      </c>
      <c r="V9" s="353"/>
      <c r="W9" s="370">
        <f>-W8*$C$9</f>
        <v>-2038.1443669545897</v>
      </c>
      <c r="X9" s="353"/>
      <c r="Y9" s="370">
        <f>-Y8*$C$9</f>
        <v>-2089.0979761284543</v>
      </c>
      <c r="Z9" s="353"/>
      <c r="AA9" s="370">
        <f>-AA8*$C$9</f>
        <v>-2141.3254255316656</v>
      </c>
      <c r="AB9" s="353"/>
      <c r="AC9" s="370">
        <f>-AC8*$C$9</f>
        <v>-2194.8585611699568</v>
      </c>
      <c r="AD9" s="353"/>
      <c r="AE9" s="370">
        <f>-AE8*$C$9</f>
        <v>-2249.7300251992056</v>
      </c>
      <c r="AF9" s="353"/>
      <c r="AG9" s="370">
        <f>-AG8*$C$9</f>
        <v>-2305.9732758291857</v>
      </c>
    </row>
    <row r="10" spans="1:34" s="355" customFormat="1" ht="15">
      <c r="A10" s="355" t="s">
        <v>906</v>
      </c>
      <c r="C10" s="346"/>
      <c r="E10" s="355">
        <f>SUM(E4:E9)</f>
        <v>2438893.2000000002</v>
      </c>
      <c r="G10" s="355">
        <f>SUM(G4:G9)</f>
        <v>2499865.5300000003</v>
      </c>
      <c r="I10" s="355">
        <f>SUM(I4:I9)</f>
        <v>2562362.1682499996</v>
      </c>
      <c r="K10" s="355">
        <f>SUM(K4:K9)</f>
        <v>2626421.2224562494</v>
      </c>
      <c r="M10" s="355">
        <f>SUM(M4:M9)</f>
        <v>2692081.753017656</v>
      </c>
      <c r="O10" s="355">
        <f>SUM(O4:O9)</f>
        <v>2759383.7968430971</v>
      </c>
      <c r="Q10" s="355">
        <f>SUM(Q4:Q9)</f>
        <v>2828368.3917641737</v>
      </c>
      <c r="S10" s="355">
        <f>SUM(S4:S9)</f>
        <v>2899077.6015582778</v>
      </c>
      <c r="U10" s="355">
        <f>SUM(U4:U9)</f>
        <v>2971554.5415972341</v>
      </c>
      <c r="W10" s="355">
        <f>SUM(W4:W9)</f>
        <v>3045843.405137165</v>
      </c>
      <c r="Y10" s="355">
        <f>SUM(Y4:Y9)</f>
        <v>3121989.4902655934</v>
      </c>
      <c r="AA10" s="355">
        <f>SUM(AA4:AA9)</f>
        <v>3200039.2275222335</v>
      </c>
      <c r="AC10" s="355">
        <f>SUM(AC4:AC9)</f>
        <v>3280040.208210289</v>
      </c>
      <c r="AE10" s="355">
        <f>SUM(AE4:AE9)</f>
        <v>3362041.2134155459</v>
      </c>
      <c r="AG10" s="355">
        <f>SUM(AG4:AG9)</f>
        <v>3446092.2437509345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61200</v>
      </c>
      <c r="G14" s="351">
        <f>E14*$C$13</f>
        <v>63341.999999999993</v>
      </c>
      <c r="I14" s="351">
        <f>G14*$C$13</f>
        <v>65558.969999999987</v>
      </c>
      <c r="K14" s="351">
        <f>I14*$C$13</f>
        <v>67853.533949999983</v>
      </c>
      <c r="M14" s="351">
        <f>K14*$C$13</f>
        <v>70228.407638249977</v>
      </c>
      <c r="O14" s="351">
        <f>M14*$C$13</f>
        <v>72686.401905588718</v>
      </c>
      <c r="Q14" s="351">
        <f>O14*$C$13</f>
        <v>75230.425972284313</v>
      </c>
      <c r="S14" s="351">
        <f>Q14*$C$13</f>
        <v>77863.490881314254</v>
      </c>
      <c r="U14" s="351">
        <f>S14*$C$13</f>
        <v>80588.713062160241</v>
      </c>
      <c r="W14" s="351">
        <f>U14*$C$13</f>
        <v>83409.318019335842</v>
      </c>
      <c r="Y14" s="351">
        <f>W14*$C$13</f>
        <v>86328.644150012595</v>
      </c>
      <c r="AA14" s="351">
        <f>Y14*$C$13</f>
        <v>89350.146695263029</v>
      </c>
      <c r="AC14" s="351">
        <f>AA14*$C$13</f>
        <v>92477.401829597235</v>
      </c>
      <c r="AE14" s="351">
        <f>AC14*$C$13</f>
        <v>95714.110893633129</v>
      </c>
      <c r="AG14" s="351">
        <f>AE14*$C$13</f>
        <v>99064.104774910287</v>
      </c>
    </row>
    <row r="15" spans="1:34" s="339" customFormat="1" ht="14.25">
      <c r="A15" s="339" t="s">
        <v>351</v>
      </c>
      <c r="C15" s="365"/>
      <c r="E15" s="354">
        <f>Application!W847</f>
        <v>84864</v>
      </c>
      <c r="F15" s="354"/>
      <c r="G15" s="354">
        <f t="shared" ref="G15:AG20" si="0">E15*$C$13</f>
        <v>87834.239999999991</v>
      </c>
      <c r="H15" s="354"/>
      <c r="I15" s="354">
        <f t="shared" si="0"/>
        <v>90908.438399999985</v>
      </c>
      <c r="J15" s="354"/>
      <c r="K15" s="354">
        <f t="shared" si="0"/>
        <v>94090.233743999983</v>
      </c>
      <c r="L15" s="354"/>
      <c r="M15" s="354">
        <f t="shared" si="0"/>
        <v>97383.391925039978</v>
      </c>
      <c r="N15" s="354"/>
      <c r="O15" s="354">
        <f t="shared" si="0"/>
        <v>100791.81064241637</v>
      </c>
      <c r="P15" s="354"/>
      <c r="Q15" s="354">
        <f t="shared" si="0"/>
        <v>104319.52401490093</v>
      </c>
      <c r="R15" s="354"/>
      <c r="S15" s="354">
        <f t="shared" si="0"/>
        <v>107970.70735542246</v>
      </c>
      <c r="T15" s="354"/>
      <c r="U15" s="354">
        <f t="shared" si="0"/>
        <v>111749.68211286224</v>
      </c>
      <c r="V15" s="354"/>
      <c r="W15" s="354">
        <f t="shared" si="0"/>
        <v>115660.92098681242</v>
      </c>
      <c r="X15" s="354"/>
      <c r="Y15" s="354">
        <f t="shared" si="0"/>
        <v>119709.05322135084</v>
      </c>
      <c r="Z15" s="354"/>
      <c r="AA15" s="354">
        <f t="shared" si="0"/>
        <v>123898.87008409812</v>
      </c>
      <c r="AB15" s="354"/>
      <c r="AC15" s="354">
        <f t="shared" si="0"/>
        <v>128235.33053704155</v>
      </c>
      <c r="AD15" s="354"/>
      <c r="AE15" s="354">
        <f t="shared" si="0"/>
        <v>132723.56710583798</v>
      </c>
      <c r="AF15" s="354"/>
      <c r="AG15" s="354">
        <f t="shared" si="0"/>
        <v>137368.89195454231</v>
      </c>
    </row>
    <row r="16" spans="1:34" s="339" customFormat="1" ht="14.25">
      <c r="A16" s="339" t="s">
        <v>586</v>
      </c>
      <c r="C16" s="365"/>
      <c r="E16" s="354">
        <f>Application!W853</f>
        <v>146200</v>
      </c>
      <c r="F16" s="354"/>
      <c r="G16" s="354">
        <f t="shared" si="0"/>
        <v>151317</v>
      </c>
      <c r="H16" s="354"/>
      <c r="I16" s="354">
        <f t="shared" si="0"/>
        <v>156613.095</v>
      </c>
      <c r="J16" s="354"/>
      <c r="K16" s="354">
        <f t="shared" si="0"/>
        <v>162094.55332499999</v>
      </c>
      <c r="L16" s="354"/>
      <c r="M16" s="354">
        <f t="shared" si="0"/>
        <v>167767.86269137496</v>
      </c>
      <c r="N16" s="354"/>
      <c r="O16" s="354">
        <f t="shared" si="0"/>
        <v>173639.73788557306</v>
      </c>
      <c r="P16" s="354"/>
      <c r="Q16" s="354">
        <f t="shared" si="0"/>
        <v>179717.1287115681</v>
      </c>
      <c r="R16" s="354"/>
      <c r="S16" s="354">
        <f t="shared" si="0"/>
        <v>186007.22821647298</v>
      </c>
      <c r="T16" s="354"/>
      <c r="U16" s="354">
        <f t="shared" si="0"/>
        <v>192517.48120404952</v>
      </c>
      <c r="V16" s="354"/>
      <c r="W16" s="354">
        <f t="shared" si="0"/>
        <v>199255.59304619124</v>
      </c>
      <c r="X16" s="354"/>
      <c r="Y16" s="354">
        <f t="shared" si="0"/>
        <v>206229.53880280792</v>
      </c>
      <c r="Z16" s="354"/>
      <c r="AA16" s="354">
        <f t="shared" si="0"/>
        <v>213447.57266090618</v>
      </c>
      <c r="AB16" s="354"/>
      <c r="AC16" s="354">
        <f t="shared" si="0"/>
        <v>220918.23770403789</v>
      </c>
      <c r="AD16" s="354"/>
      <c r="AE16" s="354">
        <f t="shared" si="0"/>
        <v>228650.37602367921</v>
      </c>
      <c r="AF16" s="354"/>
      <c r="AG16" s="354">
        <f t="shared" si="0"/>
        <v>236653.13918450798</v>
      </c>
    </row>
    <row r="17" spans="1:33" s="339" customFormat="1" ht="14.25">
      <c r="A17" s="339" t="s">
        <v>889</v>
      </c>
      <c r="C17" s="365"/>
      <c r="E17" s="354">
        <f>Application!W860</f>
        <v>225080</v>
      </c>
      <c r="F17" s="354"/>
      <c r="G17" s="354">
        <f t="shared" si="0"/>
        <v>232957.8</v>
      </c>
      <c r="H17" s="354"/>
      <c r="I17" s="354">
        <f t="shared" si="0"/>
        <v>241111.32299999997</v>
      </c>
      <c r="J17" s="354"/>
      <c r="K17" s="354">
        <f t="shared" si="0"/>
        <v>249550.21930499995</v>
      </c>
      <c r="L17" s="354"/>
      <c r="M17" s="354">
        <f t="shared" si="0"/>
        <v>258284.47698067492</v>
      </c>
      <c r="N17" s="354"/>
      <c r="O17" s="354">
        <f t="shared" si="0"/>
        <v>267324.43367499852</v>
      </c>
      <c r="P17" s="354"/>
      <c r="Q17" s="354">
        <f t="shared" si="0"/>
        <v>276680.78885362344</v>
      </c>
      <c r="R17" s="354"/>
      <c r="S17" s="354">
        <f t="shared" si="0"/>
        <v>286364.61646350025</v>
      </c>
      <c r="T17" s="354"/>
      <c r="U17" s="354">
        <f t="shared" si="0"/>
        <v>296387.37803972274</v>
      </c>
      <c r="V17" s="354"/>
      <c r="W17" s="354">
        <f t="shared" si="0"/>
        <v>306760.93627111299</v>
      </c>
      <c r="X17" s="354"/>
      <c r="Y17" s="354">
        <f t="shared" si="0"/>
        <v>317497.5690406019</v>
      </c>
      <c r="Z17" s="354"/>
      <c r="AA17" s="354">
        <f t="shared" si="0"/>
        <v>328609.98395702295</v>
      </c>
      <c r="AB17" s="354"/>
      <c r="AC17" s="354">
        <f t="shared" si="0"/>
        <v>340111.33339551871</v>
      </c>
      <c r="AD17" s="354"/>
      <c r="AE17" s="354">
        <f t="shared" si="0"/>
        <v>352015.23006436182</v>
      </c>
      <c r="AF17" s="354"/>
      <c r="AG17" s="354">
        <f t="shared" si="0"/>
        <v>364335.76311661449</v>
      </c>
    </row>
    <row r="18" spans="1:33" s="339" customFormat="1" ht="14.25">
      <c r="A18" s="339" t="s">
        <v>160</v>
      </c>
      <c r="C18" s="365"/>
      <c r="E18" s="354">
        <f>Application!W861</f>
        <v>40256</v>
      </c>
      <c r="F18" s="354"/>
      <c r="G18" s="354">
        <f t="shared" si="0"/>
        <v>41664.959999999999</v>
      </c>
      <c r="H18" s="354"/>
      <c r="I18" s="354">
        <f t="shared" si="0"/>
        <v>43123.233599999992</v>
      </c>
      <c r="J18" s="354"/>
      <c r="K18" s="354">
        <f t="shared" si="0"/>
        <v>44632.546775999988</v>
      </c>
      <c r="L18" s="354"/>
      <c r="M18" s="354">
        <f t="shared" si="0"/>
        <v>46194.685913159985</v>
      </c>
      <c r="N18" s="354"/>
      <c r="O18" s="354">
        <f t="shared" si="0"/>
        <v>47811.499920120579</v>
      </c>
      <c r="P18" s="354"/>
      <c r="Q18" s="354">
        <f t="shared" si="0"/>
        <v>49484.902417324796</v>
      </c>
      <c r="R18" s="354"/>
      <c r="S18" s="354">
        <f t="shared" si="0"/>
        <v>51216.874001931159</v>
      </c>
      <c r="T18" s="354"/>
      <c r="U18" s="354">
        <f t="shared" si="0"/>
        <v>53009.464591998745</v>
      </c>
      <c r="V18" s="354"/>
      <c r="W18" s="354">
        <f t="shared" si="0"/>
        <v>54864.7958527187</v>
      </c>
      <c r="X18" s="354"/>
      <c r="Y18" s="354">
        <f t="shared" si="0"/>
        <v>56785.063707563851</v>
      </c>
      <c r="Z18" s="354"/>
      <c r="AA18" s="354">
        <f t="shared" si="0"/>
        <v>58772.54093732858</v>
      </c>
      <c r="AB18" s="354"/>
      <c r="AC18" s="354">
        <f t="shared" si="0"/>
        <v>60829.579870135072</v>
      </c>
      <c r="AD18" s="354"/>
      <c r="AE18" s="354">
        <f t="shared" si="0"/>
        <v>62958.615165589792</v>
      </c>
      <c r="AF18" s="354"/>
      <c r="AG18" s="354">
        <f t="shared" si="0"/>
        <v>65162.16669638543</v>
      </c>
    </row>
    <row r="19" spans="1:33" s="339" customFormat="1" ht="14.25">
      <c r="A19" s="339" t="s">
        <v>405</v>
      </c>
      <c r="C19" s="365"/>
      <c r="E19" s="354">
        <f>Application!W870</f>
        <v>217600</v>
      </c>
      <c r="F19" s="354"/>
      <c r="G19" s="354">
        <f t="shared" si="0"/>
        <v>225215.99999999997</v>
      </c>
      <c r="H19" s="354"/>
      <c r="I19" s="354">
        <f t="shared" si="0"/>
        <v>233098.55999999994</v>
      </c>
      <c r="J19" s="354"/>
      <c r="K19" s="354">
        <f t="shared" si="0"/>
        <v>241257.00959999993</v>
      </c>
      <c r="L19" s="354"/>
      <c r="M19" s="354">
        <f t="shared" si="0"/>
        <v>249701.00493599992</v>
      </c>
      <c r="N19" s="354"/>
      <c r="O19" s="354">
        <f t="shared" si="0"/>
        <v>258440.54010875992</v>
      </c>
      <c r="P19" s="354"/>
      <c r="Q19" s="354">
        <f t="shared" si="0"/>
        <v>267485.95901256648</v>
      </c>
      <c r="R19" s="354"/>
      <c r="S19" s="354">
        <f t="shared" si="0"/>
        <v>276847.96757800627</v>
      </c>
      <c r="T19" s="354"/>
      <c r="U19" s="354">
        <f t="shared" si="0"/>
        <v>286537.64644323644</v>
      </c>
      <c r="V19" s="354"/>
      <c r="W19" s="354">
        <f t="shared" si="0"/>
        <v>296566.46406874969</v>
      </c>
      <c r="X19" s="354"/>
      <c r="Y19" s="354">
        <f t="shared" si="0"/>
        <v>306946.2903111559</v>
      </c>
      <c r="Z19" s="354"/>
      <c r="AA19" s="354">
        <f t="shared" si="0"/>
        <v>317689.41047204635</v>
      </c>
      <c r="AB19" s="354"/>
      <c r="AC19" s="354">
        <f t="shared" si="0"/>
        <v>328808.53983856796</v>
      </c>
      <c r="AD19" s="354"/>
      <c r="AE19" s="354">
        <f t="shared" si="0"/>
        <v>340316.83873291779</v>
      </c>
      <c r="AF19" s="354"/>
      <c r="AG19" s="354">
        <f t="shared" si="0"/>
        <v>352227.9280885699</v>
      </c>
    </row>
    <row r="20" spans="1:33" s="339" customFormat="1" ht="14.25">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775200</v>
      </c>
      <c r="G21" s="355">
        <f>SUM(G14:G20)</f>
        <v>802332</v>
      </c>
      <c r="I21" s="355">
        <f>SUM(I14:I20)</f>
        <v>830413.61999999988</v>
      </c>
      <c r="K21" s="355">
        <f>SUM(K14:K20)</f>
        <v>859478.09669999988</v>
      </c>
      <c r="M21" s="355">
        <f>SUM(M14:M20)</f>
        <v>889559.83008449967</v>
      </c>
      <c r="O21" s="355">
        <f>SUM(O14:O20)</f>
        <v>920694.42413745716</v>
      </c>
      <c r="Q21" s="355">
        <f>SUM(Q14:Q20)</f>
        <v>952918.72898226813</v>
      </c>
      <c r="S21" s="355">
        <f>SUM(S14:S20)</f>
        <v>986270.8844966474</v>
      </c>
      <c r="U21" s="355">
        <f>SUM(U14:U20)</f>
        <v>1020790.36545403</v>
      </c>
      <c r="W21" s="355">
        <f>SUM(W14:W20)</f>
        <v>1056518.0282449208</v>
      </c>
      <c r="Y21" s="355">
        <f>SUM(Y14:Y20)</f>
        <v>1093496.1592334928</v>
      </c>
      <c r="AA21" s="355">
        <f>SUM(AA14:AA20)</f>
        <v>1131768.5248066653</v>
      </c>
      <c r="AC21" s="355">
        <f>SUM(AC14:AC20)</f>
        <v>1171380.4231748984</v>
      </c>
      <c r="AE21" s="355">
        <f>SUM(AE14:AE20)</f>
        <v>1212378.7379860198</v>
      </c>
      <c r="AG21" s="355">
        <f>SUM(AG14:AG20)</f>
        <v>1254811.9938155306</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35000</v>
      </c>
      <c r="F26" s="354"/>
      <c r="G26" s="354">
        <f>E26*$C$26</f>
        <v>36225</v>
      </c>
      <c r="H26" s="354"/>
      <c r="I26" s="354">
        <f>G26*$C$26</f>
        <v>37492.875</v>
      </c>
      <c r="J26" s="354"/>
      <c r="K26" s="354">
        <f>I26*$C$26</f>
        <v>38805.125625000001</v>
      </c>
      <c r="L26" s="354"/>
      <c r="M26" s="354">
        <f>K26*$C$26</f>
        <v>40163.305021875</v>
      </c>
      <c r="N26" s="354"/>
      <c r="O26" s="354">
        <f>M26*$C$26</f>
        <v>41569.020697640619</v>
      </c>
      <c r="P26" s="354"/>
      <c r="Q26" s="354">
        <f>O26*$C$26</f>
        <v>43023.936422058039</v>
      </c>
      <c r="R26" s="354"/>
      <c r="S26" s="354">
        <f>Q26*$C$26</f>
        <v>44529.774196830069</v>
      </c>
      <c r="T26" s="354"/>
      <c r="U26" s="354">
        <f>S26*$C$26</f>
        <v>46088.316293719115</v>
      </c>
      <c r="V26" s="354"/>
      <c r="W26" s="354">
        <f>U26*$C$26</f>
        <v>47701.407363999278</v>
      </c>
      <c r="X26" s="354"/>
      <c r="Y26" s="354">
        <f>W26*$C$26</f>
        <v>49370.956621739249</v>
      </c>
      <c r="Z26" s="354"/>
      <c r="AA26" s="354">
        <f>Y26*$C$26</f>
        <v>51098.940103500121</v>
      </c>
      <c r="AB26" s="354"/>
      <c r="AC26" s="354">
        <f>AA26*$C$26</f>
        <v>52887.403007122623</v>
      </c>
      <c r="AD26" s="354"/>
      <c r="AE26" s="354">
        <f>AC26*$C$26</f>
        <v>54738.462112371912</v>
      </c>
      <c r="AF26" s="354"/>
      <c r="AG26" s="354">
        <f>AE26*$C$26</f>
        <v>56654.308286304928</v>
      </c>
    </row>
    <row r="27" spans="1:33" s="339" customFormat="1" ht="14.25">
      <c r="A27" s="339" t="s">
        <v>893</v>
      </c>
      <c r="C27" s="373"/>
      <c r="E27" s="354">
        <f>Application!AC887</f>
        <v>51000</v>
      </c>
      <c r="F27" s="354"/>
      <c r="G27" s="354">
        <f>$E$27</f>
        <v>51000</v>
      </c>
      <c r="H27" s="354"/>
      <c r="I27" s="354">
        <f>$E$27</f>
        <v>51000</v>
      </c>
      <c r="J27" s="354"/>
      <c r="K27" s="354">
        <f>$E$27</f>
        <v>51000</v>
      </c>
      <c r="L27" s="354"/>
      <c r="M27" s="354">
        <f>$E$27</f>
        <v>51000</v>
      </c>
      <c r="N27" s="354"/>
      <c r="O27" s="354">
        <f>$E$27</f>
        <v>51000</v>
      </c>
      <c r="P27" s="354"/>
      <c r="Q27" s="354">
        <f>$E$27</f>
        <v>51000</v>
      </c>
      <c r="R27" s="354"/>
      <c r="S27" s="354">
        <f>$E$27</f>
        <v>51000</v>
      </c>
      <c r="T27" s="354"/>
      <c r="U27" s="354">
        <f>$E$27</f>
        <v>51000</v>
      </c>
      <c r="V27" s="354"/>
      <c r="W27" s="354">
        <f>$E$27</f>
        <v>51000</v>
      </c>
      <c r="X27" s="354"/>
      <c r="Y27" s="354">
        <f>$E$27</f>
        <v>51000</v>
      </c>
      <c r="Z27" s="354"/>
      <c r="AA27" s="354">
        <f>$E$27</f>
        <v>51000</v>
      </c>
      <c r="AB27" s="354"/>
      <c r="AC27" s="354">
        <f>$E$27</f>
        <v>51000</v>
      </c>
      <c r="AD27" s="354"/>
      <c r="AE27" s="354">
        <f>$E$27</f>
        <v>51000</v>
      </c>
      <c r="AF27" s="354"/>
      <c r="AG27" s="354">
        <f>$E$27</f>
        <v>51000</v>
      </c>
    </row>
    <row r="28" spans="1:33" s="339" customFormat="1" ht="14.25">
      <c r="A28" s="339" t="s">
        <v>1991</v>
      </c>
      <c r="C28" s="371"/>
      <c r="E28" s="354">
        <f>Application!AC888</f>
        <v>32970</v>
      </c>
      <c r="F28" s="354"/>
      <c r="G28" s="354">
        <f>$E$28</f>
        <v>32970</v>
      </c>
      <c r="H28" s="354"/>
      <c r="I28" s="354">
        <f>$E$28</f>
        <v>32970</v>
      </c>
      <c r="J28" s="354"/>
      <c r="K28" s="354">
        <f>$E$28</f>
        <v>32970</v>
      </c>
      <c r="L28" s="354"/>
      <c r="M28" s="354">
        <f>$E$28</f>
        <v>32970</v>
      </c>
      <c r="N28" s="354"/>
      <c r="O28" s="354">
        <f>$E$28</f>
        <v>32970</v>
      </c>
      <c r="P28" s="354"/>
      <c r="Q28" s="354">
        <f>$E$28</f>
        <v>32970</v>
      </c>
      <c r="R28" s="354"/>
      <c r="S28" s="354">
        <f>$E$28</f>
        <v>32970</v>
      </c>
      <c r="T28" s="354"/>
      <c r="U28" s="354">
        <f>$E$28</f>
        <v>32970</v>
      </c>
      <c r="V28" s="354"/>
      <c r="W28" s="354">
        <f>$E$28</f>
        <v>32970</v>
      </c>
      <c r="X28" s="354"/>
      <c r="Y28" s="354">
        <f>$E$28</f>
        <v>32970</v>
      </c>
      <c r="Z28" s="354"/>
      <c r="AA28" s="354">
        <f>$E$28</f>
        <v>32970</v>
      </c>
      <c r="AB28" s="354"/>
      <c r="AC28" s="354">
        <f>$E$28</f>
        <v>32970</v>
      </c>
      <c r="AD28" s="354"/>
      <c r="AE28" s="354">
        <f>$E$28</f>
        <v>32970</v>
      </c>
      <c r="AF28" s="354"/>
      <c r="AG28" s="354">
        <f>$E$28</f>
        <v>32970</v>
      </c>
    </row>
    <row r="29" spans="1:33" s="339" customFormat="1" ht="14.25">
      <c r="A29" s="339" t="s">
        <v>891</v>
      </c>
      <c r="C29" s="371">
        <v>1.02</v>
      </c>
      <c r="E29" s="354">
        <f>Application!AC889</f>
        <v>6800</v>
      </c>
      <c r="F29" s="354"/>
      <c r="G29" s="354">
        <f>E29*$C$29</f>
        <v>6936</v>
      </c>
      <c r="H29" s="354"/>
      <c r="I29" s="354">
        <f>G29*$C$29</f>
        <v>7074.72</v>
      </c>
      <c r="J29" s="354"/>
      <c r="K29" s="354">
        <f>I29*$C$29</f>
        <v>7216.2144000000008</v>
      </c>
      <c r="L29" s="354"/>
      <c r="M29" s="354">
        <f>K29*$C$29</f>
        <v>7360.5386880000005</v>
      </c>
      <c r="N29" s="354"/>
      <c r="O29" s="354">
        <f>M29*$C$29</f>
        <v>7507.7494617600005</v>
      </c>
      <c r="P29" s="354"/>
      <c r="Q29" s="354">
        <f>O29*$C$29</f>
        <v>7657.9044509952009</v>
      </c>
      <c r="R29" s="354"/>
      <c r="S29" s="354">
        <f>Q29*$C$29</f>
        <v>7811.0625400151048</v>
      </c>
      <c r="T29" s="354"/>
      <c r="U29" s="354">
        <f>S29*$C$29</f>
        <v>7967.283790815407</v>
      </c>
      <c r="V29" s="354"/>
      <c r="W29" s="354">
        <f>U29*$C$29</f>
        <v>8126.6294666317153</v>
      </c>
      <c r="X29" s="354"/>
      <c r="Y29" s="354">
        <f>W29*$C$29</f>
        <v>8289.1620559643507</v>
      </c>
      <c r="Z29" s="354"/>
      <c r="AA29" s="354">
        <f>Y29*$C$29</f>
        <v>8454.9452970836373</v>
      </c>
      <c r="AB29" s="354"/>
      <c r="AC29" s="354">
        <f>AA29*$C$29</f>
        <v>8624.0442030253107</v>
      </c>
      <c r="AD29" s="354"/>
      <c r="AE29" s="354">
        <f>AC29*$C$29</f>
        <v>8796.5250870858163</v>
      </c>
      <c r="AF29" s="354"/>
      <c r="AG29" s="354">
        <f>AE29*$C$29</f>
        <v>8972.4555888275336</v>
      </c>
    </row>
    <row r="30" spans="1:33" s="339" customFormat="1" ht="14.25">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900970</v>
      </c>
      <c r="G34" s="355">
        <f>SUM(G21:G32)</f>
        <v>929463</v>
      </c>
      <c r="I34" s="355">
        <f>SUM(I21:I32)</f>
        <v>958951.21499999985</v>
      </c>
      <c r="K34" s="355">
        <f>SUM(K21:K32)</f>
        <v>989469.43672499992</v>
      </c>
      <c r="M34" s="355">
        <f>SUM(M21:M32)</f>
        <v>1021053.6737943746</v>
      </c>
      <c r="O34" s="355">
        <f>SUM(O21:O32)</f>
        <v>1053741.1942968578</v>
      </c>
      <c r="Q34" s="355">
        <f>SUM(Q21:Q32)</f>
        <v>1087570.5698553214</v>
      </c>
      <c r="S34" s="355">
        <f>SUM(S21:S32)</f>
        <v>1122581.7212334927</v>
      </c>
      <c r="U34" s="355">
        <f>SUM(U21:U32)</f>
        <v>1158815.9655385646</v>
      </c>
      <c r="W34" s="355">
        <f>SUM(W21:W32)</f>
        <v>1196316.0650755516</v>
      </c>
      <c r="Y34" s="355">
        <f>SUM(Y21:Y32)</f>
        <v>1235126.2779111965</v>
      </c>
      <c r="AA34" s="355">
        <f>SUM(AA21:AA32)</f>
        <v>1275292.410207249</v>
      </c>
      <c r="AC34" s="355">
        <f>SUM(AC21:AC32)</f>
        <v>1316861.8703850463</v>
      </c>
      <c r="AE34" s="355">
        <f>SUM(AE21:AE32)</f>
        <v>1359883.7251854774</v>
      </c>
      <c r="AG34" s="355">
        <f>SUM(AG21:AG32)</f>
        <v>1404408.757690663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1537923.2000000002</v>
      </c>
      <c r="G36" s="355">
        <f>G10-G34</f>
        <v>1570402.5300000003</v>
      </c>
      <c r="I36" s="355">
        <f>I10-I34</f>
        <v>1603410.9532499998</v>
      </c>
      <c r="K36" s="355">
        <f>K10-K34</f>
        <v>1636951.7857312495</v>
      </c>
      <c r="M36" s="355">
        <f>M10-M34</f>
        <v>1671028.0792232815</v>
      </c>
      <c r="O36" s="355">
        <f>O10-O34</f>
        <v>1705642.6025462393</v>
      </c>
      <c r="Q36" s="355">
        <f>Q10-Q34</f>
        <v>1740797.8219088523</v>
      </c>
      <c r="S36" s="355">
        <f>S10-S34</f>
        <v>1776495.8803247851</v>
      </c>
      <c r="U36" s="355">
        <f>U10-U34</f>
        <v>1812738.5760586695</v>
      </c>
      <c r="W36" s="355">
        <f>W10-W34</f>
        <v>1849527.3400616134</v>
      </c>
      <c r="Y36" s="355">
        <f>Y10-Y34</f>
        <v>1886863.2123543969</v>
      </c>
      <c r="AA36" s="355">
        <f>AA10-AA34</f>
        <v>1924746.8173149845</v>
      </c>
      <c r="AC36" s="355">
        <f>AC10-AC34</f>
        <v>1963178.3378252427</v>
      </c>
      <c r="AE36" s="355">
        <f>AE10-AE34</f>
        <v>2002157.4882300685</v>
      </c>
      <c r="AG36" s="355">
        <f>AG10-AG34</f>
        <v>2041683.4860602715</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Citi/Permanent Loan</v>
      </c>
      <c r="B39" s="358"/>
      <c r="C39" s="352"/>
      <c r="E39" s="354">
        <f>Application!AF637</f>
        <v>1336910.052278589</v>
      </c>
      <c r="F39" s="354"/>
      <c r="G39" s="354">
        <f>$E$39</f>
        <v>1336910.052278589</v>
      </c>
      <c r="H39" s="354"/>
      <c r="I39" s="354">
        <f>$E$39</f>
        <v>1336910.052278589</v>
      </c>
      <c r="J39" s="354"/>
      <c r="K39" s="354">
        <f>$E$39</f>
        <v>1336910.052278589</v>
      </c>
      <c r="L39" s="354"/>
      <c r="M39" s="354">
        <f>$E$39</f>
        <v>1336910.052278589</v>
      </c>
      <c r="N39" s="354"/>
      <c r="O39" s="354">
        <f>$E$39</f>
        <v>1336910.052278589</v>
      </c>
      <c r="P39" s="354"/>
      <c r="Q39" s="354">
        <f>$E$39</f>
        <v>1336910.052278589</v>
      </c>
      <c r="R39" s="354"/>
      <c r="S39" s="354">
        <f>$E$39</f>
        <v>1336910.052278589</v>
      </c>
      <c r="T39" s="354"/>
      <c r="U39" s="354">
        <f>$E$39</f>
        <v>1336910.052278589</v>
      </c>
      <c r="V39" s="354"/>
      <c r="W39" s="354">
        <f>$E$39</f>
        <v>1336910.052278589</v>
      </c>
      <c r="X39" s="354"/>
      <c r="Y39" s="354">
        <f>$E$39</f>
        <v>1336910.052278589</v>
      </c>
      <c r="Z39" s="354"/>
      <c r="AA39" s="354">
        <f>$E$39</f>
        <v>1336910.052278589</v>
      </c>
      <c r="AB39" s="354"/>
      <c r="AC39" s="354">
        <f>$E$39</f>
        <v>1336910.052278589</v>
      </c>
      <c r="AD39" s="354"/>
      <c r="AE39" s="354">
        <f>$E$39</f>
        <v>1336910.052278589</v>
      </c>
      <c r="AF39" s="354"/>
      <c r="AG39" s="354">
        <f>$E$39</f>
        <v>1336910.052278589</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1336910.052278589</v>
      </c>
      <c r="G42" s="355">
        <f>SUM(G39:G41)</f>
        <v>1336910.052278589</v>
      </c>
      <c r="I42" s="355">
        <f>SUM(I39:I41)</f>
        <v>1336910.052278589</v>
      </c>
      <c r="K42" s="355">
        <f>SUM(K39:K41)</f>
        <v>1336910.052278589</v>
      </c>
      <c r="M42" s="355">
        <f>SUM(M39:M41)</f>
        <v>1336910.052278589</v>
      </c>
      <c r="O42" s="355">
        <f>SUM(O39:O41)</f>
        <v>1336910.052278589</v>
      </c>
      <c r="Q42" s="355">
        <f>SUM(Q39:Q41)</f>
        <v>1336910.052278589</v>
      </c>
      <c r="S42" s="355">
        <f>SUM(S39:S41)</f>
        <v>1336910.052278589</v>
      </c>
      <c r="U42" s="355">
        <f>SUM(U39:U41)</f>
        <v>1336910.052278589</v>
      </c>
      <c r="W42" s="355">
        <f>SUM(W39:W41)</f>
        <v>1336910.052278589</v>
      </c>
      <c r="Y42" s="355">
        <f>SUM(Y39:Y41)</f>
        <v>1336910.052278589</v>
      </c>
      <c r="AA42" s="355">
        <f>SUM(AA39:AA41)</f>
        <v>1336910.052278589</v>
      </c>
      <c r="AC42" s="355">
        <f>SUM(AC39:AC41)</f>
        <v>1336910.052278589</v>
      </c>
      <c r="AE42" s="355">
        <f>SUM(AE39:AE41)</f>
        <v>1336910.052278589</v>
      </c>
      <c r="AG42" s="355">
        <f>SUM(AG39:AG41)</f>
        <v>1336910.052278589</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201013.14772141119</v>
      </c>
      <c r="G44" s="355">
        <f>G36-G42</f>
        <v>233492.47772141127</v>
      </c>
      <c r="I44" s="355">
        <f>I36-I42</f>
        <v>266500.9009714108</v>
      </c>
      <c r="K44" s="355">
        <f>K36-K42</f>
        <v>300041.7334526605</v>
      </c>
      <c r="M44" s="355">
        <f>M36-M42</f>
        <v>334118.02694469248</v>
      </c>
      <c r="O44" s="355">
        <f>O36-O42</f>
        <v>368732.55026765028</v>
      </c>
      <c r="Q44" s="355">
        <f>Q36-Q42</f>
        <v>403887.76963026333</v>
      </c>
      <c r="S44" s="355">
        <f>S36-S42</f>
        <v>439585.82804619614</v>
      </c>
      <c r="U44" s="355">
        <f>U36-U42</f>
        <v>475828.52378008049</v>
      </c>
      <c r="W44" s="355">
        <f>W36-W42</f>
        <v>512617.28778302437</v>
      </c>
      <c r="Y44" s="355">
        <f>Y36-Y42</f>
        <v>549953.16007580794</v>
      </c>
      <c r="AA44" s="355">
        <f>AA36-AA42</f>
        <v>587836.76503639552</v>
      </c>
      <c r="AC44" s="355">
        <f>AC36-AC42</f>
        <v>626268.28554665367</v>
      </c>
      <c r="AE44" s="355">
        <f>AE36-AE42</f>
        <v>665247.43595147948</v>
      </c>
      <c r="AG44" s="355">
        <f>AG36-AG42</f>
        <v>704773.43378168251</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7.8298832575096206E-2</v>
      </c>
      <c r="G46" s="359">
        <f>G44/(G4+G6+G8)</f>
        <v>8.8731914246339763E-2</v>
      </c>
      <c r="I46" s="359">
        <f>I44/(I4+I6+I8)</f>
        <v>9.8805648576895042E-2</v>
      </c>
      <c r="K46" s="359">
        <f>K44/(K4+K6+K8)</f>
        <v>0.10852777320823512</v>
      </c>
      <c r="M46" s="359">
        <f>M44/(M4+M6+M8)</f>
        <v>0.11790582705805969</v>
      </c>
      <c r="O46" s="359">
        <f>O44/(O4+O6+O8)</f>
        <v>0.12694715506955853</v>
      </c>
      <c r="Q46" s="359">
        <f>Q44/(Q4+Q6+Q8)</f>
        <v>0.13565891284389028</v>
      </c>
      <c r="S46" s="359">
        <f>S44/(S4+S6+S8)</f>
        <v>0.14404807115870905</v>
      </c>
      <c r="U46" s="359">
        <f>U44/(U4+U6+U8)</f>
        <v>0.15212142037551257</v>
      </c>
      <c r="W46" s="359">
        <f>W44/(W4+W6+W8)</f>
        <v>0.15988557473851564</v>
      </c>
      <c r="Y46" s="359">
        <f>Y44/(Y4+Y6+Y8)</f>
        <v>0.16734697656767936</v>
      </c>
      <c r="AA46" s="359">
        <f>AA44/(AA4+AA6+AA8)</f>
        <v>0.17451190034847652</v>
      </c>
      <c r="AC46" s="359">
        <f>AC44/(AC4+AC6+AC8)</f>
        <v>0.18138645672089193</v>
      </c>
      <c r="AE46" s="359">
        <f>AE44/(AE4+AE6+AE8)</f>
        <v>0.18797659637011493</v>
      </c>
      <c r="AG46" s="359">
        <f>AG44/(AG4+AG6+AG8)</f>
        <v>0.19428811382130515</v>
      </c>
    </row>
    <row r="47" spans="1:33" s="359" customFormat="1" ht="14.25">
      <c r="A47" s="359" t="s">
        <v>899</v>
      </c>
      <c r="C47" s="352"/>
      <c r="E47" s="359">
        <f>E44/E42</f>
        <v>0.15035652352139209</v>
      </c>
      <c r="G47" s="359">
        <f>G44/G42</f>
        <v>0.17465085053661894</v>
      </c>
      <c r="I47" s="359">
        <f>I44/I42</f>
        <v>0.19934093585218746</v>
      </c>
      <c r="K47" s="359">
        <f>K44/K42</f>
        <v>0.2244292598004469</v>
      </c>
      <c r="M47" s="359">
        <f>M44/M42</f>
        <v>0.24991810509258408</v>
      </c>
      <c r="O47" s="359">
        <f>O44/O42</f>
        <v>0.27580954278800857</v>
      </c>
      <c r="Q47" s="359">
        <f>Q44/Q42</f>
        <v>0.30210541759476583</v>
      </c>
      <c r="S47" s="359">
        <f>S44/S42</f>
        <v>0.32880733247310046</v>
      </c>
      <c r="U47" s="359">
        <f>U44/U42</f>
        <v>0.35591663251322914</v>
      </c>
      <c r="W47" s="359">
        <f>W44/W42</f>
        <v>0.38343438805724811</v>
      </c>
      <c r="Y47" s="359">
        <f>Y44/Y42</f>
        <v>0.41136137703391823</v>
      </c>
      <c r="AA47" s="359">
        <f>AA44/AA42</f>
        <v>0.4396980664738846</v>
      </c>
      <c r="AC47" s="359">
        <f>AC44/AC42</f>
        <v>0.46844459317159071</v>
      </c>
      <c r="AE47" s="359">
        <f>AE44/AE42</f>
        <v>0.49760074345888261</v>
      </c>
      <c r="AG47" s="359">
        <f>AG44/AG42</f>
        <v>0.52716593205390894</v>
      </c>
    </row>
    <row r="48" spans="1:33" s="360" customFormat="1" ht="14.25">
      <c r="A48" s="360" t="s">
        <v>897</v>
      </c>
      <c r="C48" s="361"/>
      <c r="E48" s="360">
        <f>E36/E42</f>
        <v>1.1503565235213922</v>
      </c>
      <c r="G48" s="360">
        <f>G36/G42</f>
        <v>1.1746508505366189</v>
      </c>
      <c r="I48" s="360">
        <f>I36/I42</f>
        <v>1.1993409358521874</v>
      </c>
      <c r="K48" s="360">
        <f>K36/K42</f>
        <v>1.2244292598004469</v>
      </c>
      <c r="M48" s="360">
        <f>M36/M42</f>
        <v>1.2499181050925841</v>
      </c>
      <c r="O48" s="360">
        <f>O36/O42</f>
        <v>1.2758095427880085</v>
      </c>
      <c r="Q48" s="360">
        <f>Q36/Q42</f>
        <v>1.3021054175947657</v>
      </c>
      <c r="S48" s="360">
        <f>S36/S42</f>
        <v>1.3288073324731005</v>
      </c>
      <c r="U48" s="360">
        <f>U36/U42</f>
        <v>1.355916632513229</v>
      </c>
      <c r="W48" s="360">
        <f>W36/W42</f>
        <v>1.3834343880572482</v>
      </c>
      <c r="Y48" s="360">
        <f>Y36/Y42</f>
        <v>1.4113613770339182</v>
      </c>
      <c r="AA48" s="360">
        <f>AA36/AA42</f>
        <v>1.4396980664738845</v>
      </c>
      <c r="AC48" s="360">
        <f>AC36/AC42</f>
        <v>1.4684445931715906</v>
      </c>
      <c r="AE48" s="360">
        <f>AE36/AE42</f>
        <v>1.4976007434588825</v>
      </c>
      <c r="AG48" s="360">
        <f>AG36/AG42</f>
        <v>1.527165932053909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1" t="s">
        <v>1348</v>
      </c>
      <c r="B51" s="3461"/>
      <c r="C51" s="3461"/>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201013.14772141119</v>
      </c>
      <c r="G59" s="1524">
        <f>G44-G57</f>
        <v>233492.47772141127</v>
      </c>
      <c r="I59" s="1524">
        <f>I44-I57</f>
        <v>266500.9009714108</v>
      </c>
      <c r="K59" s="1524">
        <f>K44-K57</f>
        <v>300041.7334526605</v>
      </c>
      <c r="M59" s="1524">
        <f>M44-M57</f>
        <v>334118.02694469248</v>
      </c>
      <c r="O59" s="1524">
        <f>O44-O57</f>
        <v>368732.55026765028</v>
      </c>
      <c r="Q59" s="1524">
        <f>Q44-Q57</f>
        <v>403887.76963026333</v>
      </c>
      <c r="S59" s="1524">
        <f>S44-S57</f>
        <v>439585.82804619614</v>
      </c>
      <c r="U59" s="1524">
        <f>U44-U57</f>
        <v>475828.52378008049</v>
      </c>
      <c r="W59" s="1524">
        <f>W44-W57</f>
        <v>512617.28778302437</v>
      </c>
      <c r="Y59" s="1524">
        <f>Y44-Y57</f>
        <v>549953.16007580794</v>
      </c>
      <c r="AA59" s="1524">
        <f>AA44-AA57</f>
        <v>587836.76503639552</v>
      </c>
      <c r="AC59" s="1524">
        <f>AC44-AC57</f>
        <v>626268.28554665367</v>
      </c>
      <c r="AE59" s="1524">
        <f>AE44-AE57</f>
        <v>665247.43595147948</v>
      </c>
      <c r="AG59" s="1524">
        <f>AG44-AG57</f>
        <v>704773.43378168251</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0.5</v>
      </c>
      <c r="E61" s="1526">
        <f>E59*$C$61</f>
        <v>100506.5738607056</v>
      </c>
      <c r="G61" s="1532">
        <f>G59*$C$61</f>
        <v>116746.23886070563</v>
      </c>
      <c r="H61" s="1532"/>
      <c r="I61" s="1532">
        <f>I59*$C$61</f>
        <v>133250.4504857054</v>
      </c>
      <c r="J61" s="1532"/>
      <c r="K61" s="1532">
        <f>K59*$C$61</f>
        <v>150020.86672633025</v>
      </c>
      <c r="L61" s="1532"/>
      <c r="M61" s="1532">
        <f>M59*$C$61</f>
        <v>167059.01347234624</v>
      </c>
      <c r="N61" s="1532"/>
      <c r="O61" s="1532">
        <f>O59*$C$61</f>
        <v>184366.27513382514</v>
      </c>
      <c r="P61" s="1532"/>
      <c r="Q61" s="1532">
        <f>Q59*$C$61</f>
        <v>201943.88481513166</v>
      </c>
      <c r="R61" s="1532"/>
      <c r="S61" s="1532">
        <f>S59*$C$61</f>
        <v>219792.91402309807</v>
      </c>
      <c r="T61" s="1532"/>
      <c r="U61" s="1532">
        <f>U59*$C$61</f>
        <v>237914.26189004024</v>
      </c>
      <c r="V61" s="1532"/>
      <c r="W61" s="1532">
        <f>W59*$C$61</f>
        <v>256308.64389151218</v>
      </c>
      <c r="Y61" s="1532">
        <f>Y59*$C$61</f>
        <v>274976.58003790397</v>
      </c>
      <c r="AA61" s="1532">
        <f>AA59*$C$61</f>
        <v>293918.38251819776</v>
      </c>
      <c r="AC61" s="1532">
        <f>AC59*$C$61</f>
        <v>313134.14277332684</v>
      </c>
      <c r="AE61" s="1532">
        <f>AE59*$C$61</f>
        <v>332623.71797573974</v>
      </c>
      <c r="AG61" s="1532">
        <f>AG59*$C$61</f>
        <v>352386.71689084126</v>
      </c>
    </row>
    <row r="62" spans="1:35" s="1532" customFormat="1">
      <c r="A62" s="3461" t="s">
        <v>1348</v>
      </c>
      <c r="B62" s="3461"/>
      <c r="C62" s="3461"/>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50253.286930352799</v>
      </c>
      <c r="G65" s="1522">
        <f>G59*$C$64</f>
        <v>58373.119430352817</v>
      </c>
      <c r="I65" s="1522">
        <f>I59*$C$64</f>
        <v>66625.225242852699</v>
      </c>
      <c r="K65" s="1522">
        <f>K59*$C$64</f>
        <v>75010.433363165124</v>
      </c>
      <c r="M65" s="1522">
        <f>M59*$C$64</f>
        <v>83529.50673617312</v>
      </c>
      <c r="O65" s="1522">
        <f>O59*$C$64</f>
        <v>92183.13756691257</v>
      </c>
      <c r="Q65" s="1522">
        <f>Q59*$C$64</f>
        <v>100971.94240756583</v>
      </c>
      <c r="S65" s="1522">
        <f>S59*$C$64</f>
        <v>109896.45701154904</v>
      </c>
      <c r="U65" s="1522">
        <f>U59*$C$64</f>
        <v>118957.13094502012</v>
      </c>
      <c r="W65" s="1522">
        <f>W59*$C$64</f>
        <v>128154.32194575609</v>
      </c>
      <c r="Y65" s="1522">
        <f>Y59*$C$64</f>
        <v>137488.29001895199</v>
      </c>
      <c r="AA65" s="1522">
        <f>AA59*$C$64</f>
        <v>146959.19125909888</v>
      </c>
      <c r="AC65" s="1522">
        <f>AC59*$C$64</f>
        <v>156567.07138666342</v>
      </c>
      <c r="AE65" s="1522">
        <f>AE59*$C$64</f>
        <v>166311.85898786987</v>
      </c>
      <c r="AG65" s="1522">
        <f>AG59*$C$64</f>
        <v>176193.35844542063</v>
      </c>
    </row>
    <row r="66" spans="1:33" s="1522" customFormat="1">
      <c r="A66" s="1527"/>
      <c r="B66" s="1527"/>
      <c r="C66" s="1533"/>
      <c r="E66" s="1526">
        <f>$E59*$C$64</f>
        <v>50253.286930352799</v>
      </c>
      <c r="G66" s="1522">
        <f>G59*$C$64</f>
        <v>58373.119430352817</v>
      </c>
      <c r="I66" s="1522">
        <f>I59*$C$64</f>
        <v>66625.225242852699</v>
      </c>
      <c r="K66" s="1522">
        <f>K59*$C$64</f>
        <v>75010.433363165124</v>
      </c>
      <c r="M66" s="1522">
        <f>M59*$C$64</f>
        <v>83529.50673617312</v>
      </c>
      <c r="O66" s="1522">
        <f>O59*$C$64</f>
        <v>92183.13756691257</v>
      </c>
      <c r="Q66" s="1522">
        <f>Q59*$C$64</f>
        <v>100971.94240756583</v>
      </c>
      <c r="S66" s="1522">
        <f>S59*$C$64</f>
        <v>109896.45701154904</v>
      </c>
      <c r="U66" s="1522">
        <f>U59*$C$64</f>
        <v>118957.13094502012</v>
      </c>
      <c r="W66" s="1522">
        <f>W59*$C$64</f>
        <v>128154.32194575609</v>
      </c>
      <c r="Y66" s="1522">
        <f>Y59*$C$64</f>
        <v>137488.29001895199</v>
      </c>
      <c r="AA66" s="1522">
        <f>AA59*$C$64</f>
        <v>146959.19125909888</v>
      </c>
      <c r="AC66" s="1522">
        <f>AC59*$C$64</f>
        <v>156567.07138666342</v>
      </c>
      <c r="AE66" s="1522">
        <f>AE59*$C$64</f>
        <v>166311.85898786987</v>
      </c>
      <c r="AG66" s="1522">
        <f>AG59*$C$64</f>
        <v>176193.35844542063</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100506.5738607056</v>
      </c>
      <c r="G69" s="1534">
        <f>SUM(G65:G68)</f>
        <v>116746.23886070563</v>
      </c>
      <c r="I69" s="1534">
        <f>SUM(I65:I68)</f>
        <v>133250.4504857054</v>
      </c>
      <c r="K69" s="1534">
        <f>SUM(K65:K68)</f>
        <v>150020.86672633025</v>
      </c>
      <c r="M69" s="1534">
        <f>SUM(M65:M68)</f>
        <v>167059.01347234624</v>
      </c>
      <c r="O69" s="1534">
        <f>SUM(O65:O68)</f>
        <v>184366.27513382514</v>
      </c>
      <c r="Q69" s="1534">
        <f>SUM(Q65:Q68)</f>
        <v>201943.88481513166</v>
      </c>
      <c r="S69" s="1534">
        <f>SUM(S65:S68)</f>
        <v>219792.91402309807</v>
      </c>
      <c r="U69" s="1534">
        <f>SUM(U65:U68)</f>
        <v>237914.26189004024</v>
      </c>
      <c r="W69" s="1534">
        <f>SUM(W65:W68)</f>
        <v>256308.64389151218</v>
      </c>
      <c r="Y69" s="1534">
        <f>SUM(Y65:Y68)</f>
        <v>274976.58003790397</v>
      </c>
      <c r="AA69" s="1534">
        <f>SUM(AA65:AA68)</f>
        <v>293918.38251819776</v>
      </c>
      <c r="AC69" s="1534">
        <f>SUM(AC65:AC68)</f>
        <v>313134.14277332684</v>
      </c>
      <c r="AE69" s="1534">
        <f>SUM(AE65:AE68)</f>
        <v>332623.71797573974</v>
      </c>
      <c r="AG69" s="1534">
        <f>SUM(AG65:AG68)</f>
        <v>352386.71689084126</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2036</v>
      </c>
      <c r="C74" s="349"/>
    </row>
    <row r="75" spans="1:33" s="348" customFormat="1">
      <c r="C75" s="349"/>
    </row>
    <row r="76" spans="1:33" s="367" customFormat="1" ht="30" customHeight="1">
      <c r="A76" s="3459" t="s">
        <v>2035</v>
      </c>
      <c r="B76" s="3460"/>
      <c r="C76" s="3460"/>
      <c r="D76" s="3460"/>
      <c r="E76" s="3460"/>
      <c r="F76" s="3460"/>
      <c r="G76" s="3460"/>
      <c r="H76" s="3460"/>
      <c r="I76" s="3460"/>
      <c r="J76" s="3460"/>
      <c r="K76" s="3460"/>
      <c r="L76" s="3460"/>
      <c r="M76" s="3460"/>
      <c r="N76" s="3460"/>
      <c r="O76" s="3460"/>
      <c r="P76" s="3460"/>
      <c r="Q76" s="3460"/>
      <c r="R76" s="3460"/>
      <c r="S76" s="3460"/>
      <c r="T76" s="3460"/>
      <c r="U76" s="3460"/>
      <c r="V76" s="3460"/>
      <c r="W76" s="3460"/>
      <c r="X76" s="3460"/>
      <c r="Y76" s="3460"/>
      <c r="Z76" s="3460"/>
      <c r="AA76" s="3460"/>
      <c r="AB76" s="3460"/>
      <c r="AC76" s="3460"/>
      <c r="AD76" s="3460"/>
      <c r="AE76" s="3460"/>
      <c r="AF76" s="3460"/>
      <c r="AG76" s="346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62" t="s">
        <v>961</v>
      </c>
      <c r="B1" s="3462"/>
      <c r="C1" s="3462"/>
      <c r="D1" s="3462"/>
      <c r="E1" s="3462"/>
      <c r="F1" s="3462"/>
      <c r="G1" s="3462"/>
      <c r="H1" s="3462"/>
      <c r="I1" s="3462"/>
      <c r="J1" s="3462"/>
      <c r="K1" s="325"/>
      <c r="L1" s="325"/>
    </row>
    <row r="2" spans="1:12">
      <c r="A2" s="648"/>
      <c r="B2" s="648"/>
      <c r="C2" s="648"/>
      <c r="D2" s="648"/>
      <c r="E2" s="648"/>
      <c r="F2" s="648"/>
      <c r="G2" s="648"/>
      <c r="H2" s="648"/>
      <c r="I2" s="648"/>
      <c r="J2" s="648"/>
    </row>
    <row r="3" spans="1:12" ht="99.75">
      <c r="A3" s="649" t="s">
        <v>962</v>
      </c>
      <c r="B3" s="649" t="s">
        <v>963</v>
      </c>
      <c r="C3" s="649" t="s">
        <v>2406</v>
      </c>
      <c r="D3" s="649" t="s">
        <v>964</v>
      </c>
      <c r="E3" s="380"/>
      <c r="F3" s="649" t="s">
        <v>965</v>
      </c>
      <c r="G3" s="649" t="s">
        <v>966</v>
      </c>
      <c r="H3" s="650"/>
      <c r="I3" s="649" t="s">
        <v>967</v>
      </c>
      <c r="J3" s="649" t="s">
        <v>968</v>
      </c>
      <c r="K3" s="325"/>
      <c r="L3" s="470"/>
    </row>
    <row r="4" spans="1:12">
      <c r="A4" s="651" t="str">
        <f>Application!B728</f>
        <v>1 Bedroom</v>
      </c>
      <c r="B4" s="1816">
        <f>Application!G728</f>
        <v>12</v>
      </c>
      <c r="C4" s="1817"/>
      <c r="D4" s="651">
        <f>Application!O728</f>
        <v>1749</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37</v>
      </c>
      <c r="C5" s="1817"/>
      <c r="D5" s="651">
        <f>Application!O729</f>
        <v>1379</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7</v>
      </c>
      <c r="C6" s="1817"/>
      <c r="D6" s="651">
        <f>Application!O730</f>
        <v>1135</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7</v>
      </c>
      <c r="C7" s="1817"/>
      <c r="D7" s="651">
        <f>Application!O731</f>
        <v>647</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8</v>
      </c>
      <c r="C8" s="1817"/>
      <c r="D8" s="651">
        <f>Application!O732</f>
        <v>2228</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21</v>
      </c>
      <c r="C9" s="1817"/>
      <c r="D9" s="651">
        <f>Application!O733</f>
        <v>1642</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4</v>
      </c>
      <c r="C10" s="1817"/>
      <c r="D10" s="651">
        <f>Application!O734</f>
        <v>1349</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4</v>
      </c>
      <c r="C11" s="1817"/>
      <c r="D11" s="651">
        <f>Application!O735</f>
        <v>764</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8</v>
      </c>
      <c r="C12" s="1817"/>
      <c r="D12" s="651">
        <f>Application!O736</f>
        <v>2562</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19</v>
      </c>
      <c r="C13" s="1817"/>
      <c r="D13" s="651">
        <f>Application!O737</f>
        <v>1885</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4</v>
      </c>
      <c r="C14" s="1817"/>
      <c r="D14" s="651">
        <f>Application!O738</f>
        <v>1546</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4</v>
      </c>
      <c r="C15" s="1817"/>
      <c r="D15" s="651">
        <f>Application!O739</f>
        <v>870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211218</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12510000</v>
      </c>
      <c r="C5" s="418">
        <f>'Sources and Uses Budget'!$C4</f>
        <v>12510000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62000</v>
      </c>
      <c r="C7" s="418">
        <f>'Sources and Uses Budget'!$C6</f>
        <v>62000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12572000</v>
      </c>
      <c r="C9" s="422">
        <f>SUM(C5:C8)</f>
        <v>12572000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12572000</v>
      </c>
      <c r="C13" s="422">
        <f>SUM(C9+C12)</f>
        <v>12572000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6374928</v>
      </c>
      <c r="C30" s="418">
        <f>'Sources and Uses Budget'!$C29</f>
        <v>6374928</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34557962</v>
      </c>
      <c r="C31" s="418">
        <f>'Sources and Uses Budget'!$C30</f>
        <v>34557962</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1624507</v>
      </c>
      <c r="C32" s="418">
        <f>'Sources and Uses Budget'!$C31</f>
        <v>1624507</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1056714.4849999999</v>
      </c>
      <c r="C33" s="418">
        <f>'Sources and Uses Budget'!$C32</f>
        <v>1056714.4849999999</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2842888</v>
      </c>
      <c r="C34" s="418">
        <f>'Sources and Uses Budget'!$C33</f>
        <v>2842888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46456999.484999999</v>
      </c>
      <c r="C39" s="422">
        <f>SUM(C30:C38)</f>
        <v>46456999.484999999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1256956.5150000001</v>
      </c>
      <c r="C41" s="418">
        <f>'Sources and Uses Budget'!$C40</f>
        <v>1256956.5150000001</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1256956.5150000001</v>
      </c>
      <c r="C43" s="422">
        <f>SUM(C41:C42)</f>
        <v>1256956.5150000001</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599500</v>
      </c>
      <c r="C44" s="418">
        <f>'Sources and Uses Budget'!$C43</f>
        <v>599500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3429560.6539354245</v>
      </c>
      <c r="C46" s="418">
        <f>'Sources and Uses Budget'!$C45</f>
        <v>3429560.6539354245</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518463.87853336753</v>
      </c>
      <c r="C47" s="418">
        <f>'Sources and Uses Budget'!$C46</f>
        <v>518463.87853336753</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235157.83271200204</v>
      </c>
      <c r="C50" s="418">
        <f>'Sources and Uses Budget'!$C49</f>
        <v>235157.83271200204</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25000</v>
      </c>
      <c r="C51" s="418">
        <f>'Sources and Uses Budget'!$C50</f>
        <v>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35000</v>
      </c>
      <c r="C52" s="418">
        <f>'Sources and Uses Budget'!$C51</f>
        <v>35000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325000</v>
      </c>
      <c r="C53" s="418">
        <f>'Sources and Uses Budget'!$C52</f>
        <v>325000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inspections/reports</v>
      </c>
      <c r="B54" s="418">
        <f>'Sources and Uses Budget'!$C53</f>
        <v>85000</v>
      </c>
      <c r="C54" s="418">
        <f>'Sources and Uses Budget'!$C53</f>
        <v>85000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4653182.3651807941</v>
      </c>
      <c r="C55" s="425">
        <f>SUM(C46:C54)</f>
        <v>4653182.3651807941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125700</v>
      </c>
      <c r="C57" s="418">
        <f>'Sources and Uses Budget'!$C56</f>
        <v>125700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5000</v>
      </c>
      <c r="C59" s="418">
        <f>'Sources and Uses Budget'!$C58</f>
        <v>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130700</v>
      </c>
      <c r="C63" s="422">
        <f>SUM(C57:C62)</f>
        <v>130700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65669338.36518079</v>
      </c>
      <c r="C64" s="422">
        <f>SUM(C9+C12+C14+C15+C17+C26+C28+C39+C43+C44+C55+C63)</f>
        <v>65669338.36518079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85000</v>
      </c>
      <c r="C66" s="418">
        <f>'Sources and Uses Budget'!$C65</f>
        <v>85000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Applicant legal</v>
      </c>
      <c r="B70" s="418">
        <f>'Sources and Uses Budget'!$C69</f>
        <v>165000</v>
      </c>
      <c r="C70" s="418">
        <f>'Sources and Uses Budget'!$C69</f>
        <v>165000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250000</v>
      </c>
      <c r="C71" s="422">
        <f>SUM(C66:C70)</f>
        <v>250000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550720.01306964725</v>
      </c>
      <c r="C76" s="418">
        <f>'Sources and Uses Budget'!$C75</f>
        <v>550720.01306964725</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550720.01306964725</v>
      </c>
      <c r="C78" s="422">
        <f>SUM(C73:C77)</f>
        <v>550720.01306964725</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2354675.2869565217</v>
      </c>
      <c r="C80" s="418">
        <f>'Sources and Uses Budget'!$C79</f>
        <v>2354675.2869565217</v>
      </c>
      <c r="D80" s="422">
        <f t="shared" si="1"/>
        <v>0</v>
      </c>
      <c r="E80" s="420"/>
      <c r="F80" s="419"/>
      <c r="G80" s="546"/>
    </row>
    <row r="81" spans="1:7" s="540" customFormat="1">
      <c r="A81" s="853" t="s">
        <v>61</v>
      </c>
      <c r="B81" s="418">
        <f>'Sources and Uses Budget'!$C80</f>
        <v>437151.08889278641</v>
      </c>
      <c r="C81" s="418">
        <f>'Sources and Uses Budget'!$C80</f>
        <v>437151.08889278641</v>
      </c>
      <c r="D81" s="422">
        <f>C81-B81</f>
        <v>0</v>
      </c>
      <c r="E81" s="420"/>
      <c r="F81" s="419"/>
      <c r="G81" s="546"/>
    </row>
    <row r="82" spans="1:7" s="540" customFormat="1">
      <c r="A82" s="423" t="s">
        <v>1374</v>
      </c>
      <c r="B82" s="422">
        <f>SUM(B80:B81)</f>
        <v>2791826.375849308</v>
      </c>
      <c r="C82" s="422">
        <f>SUM(C80:C81)</f>
        <v>2791826.375849308</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91914.742961992582</v>
      </c>
      <c r="C84" s="418">
        <f>'Sources and Uses Budget'!$C83</f>
        <v>91914.742961992582</v>
      </c>
      <c r="D84" s="422">
        <f t="shared" si="1"/>
        <v>0</v>
      </c>
      <c r="E84" s="420"/>
      <c r="F84" s="419"/>
      <c r="G84" s="546"/>
    </row>
    <row r="85" spans="1:7" s="540" customFormat="1">
      <c r="A85" s="421" t="s">
        <v>809</v>
      </c>
      <c r="B85" s="418">
        <f>'Sources and Uses Budget'!$C84</f>
        <v>36280</v>
      </c>
      <c r="C85" s="418">
        <f>'Sources and Uses Budget'!$C84</f>
        <v>36280</v>
      </c>
      <c r="D85" s="422">
        <f t="shared" si="1"/>
        <v>0</v>
      </c>
      <c r="E85" s="420"/>
      <c r="F85" s="419"/>
      <c r="G85" s="546"/>
    </row>
    <row r="86" spans="1:7" s="540" customFormat="1">
      <c r="A86" s="421" t="s">
        <v>810</v>
      </c>
      <c r="B86" s="418">
        <f>'Sources and Uses Budget'!$C85</f>
        <v>2633555</v>
      </c>
      <c r="C86" s="418">
        <f>'Sources and Uses Budget'!$C85</f>
        <v>2633555</v>
      </c>
      <c r="D86" s="422">
        <f t="shared" si="1"/>
        <v>0</v>
      </c>
      <c r="E86" s="420"/>
      <c r="F86" s="419"/>
      <c r="G86" s="546"/>
    </row>
    <row r="87" spans="1:7" s="540" customFormat="1">
      <c r="A87" s="421" t="s">
        <v>811</v>
      </c>
      <c r="B87" s="418">
        <f>'Sources and Uses Budget'!$C86</f>
        <v>505000</v>
      </c>
      <c r="C87" s="418">
        <f>'Sources and Uses Budget'!$C86</f>
        <v>505000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165000</v>
      </c>
      <c r="C89" s="418">
        <f>'Sources and Uses Budget'!$C88</f>
        <v>165000</v>
      </c>
      <c r="D89" s="422">
        <f t="shared" si="1"/>
        <v>0</v>
      </c>
      <c r="E89" s="420"/>
      <c r="F89" s="419"/>
      <c r="G89" s="546"/>
    </row>
    <row r="90" spans="1:7" s="540" customFormat="1">
      <c r="A90" s="421" t="s">
        <v>814</v>
      </c>
      <c r="B90" s="418">
        <f>'Sources and Uses Budget'!$C89</f>
        <v>160000</v>
      </c>
      <c r="C90" s="418">
        <f>'Sources and Uses Budget'!$C89</f>
        <v>160000</v>
      </c>
      <c r="D90" s="422">
        <f t="shared" si="1"/>
        <v>0</v>
      </c>
      <c r="E90" s="420"/>
      <c r="F90" s="419"/>
      <c r="G90" s="546"/>
    </row>
    <row r="91" spans="1:7" s="540" customFormat="1">
      <c r="A91" s="421" t="s">
        <v>815</v>
      </c>
      <c r="B91" s="418">
        <f>'Sources and Uses Budget'!$C90</f>
        <v>8500</v>
      </c>
      <c r="C91" s="418">
        <f>'Sources and Uses Budget'!$C90</f>
        <v>8500</v>
      </c>
      <c r="D91" s="422">
        <f t="shared" si="1"/>
        <v>0</v>
      </c>
      <c r="E91" s="420"/>
      <c r="F91" s="419"/>
      <c r="G91" s="546"/>
    </row>
    <row r="92" spans="1:7" s="540" customFormat="1">
      <c r="A92" s="427" t="s">
        <v>387</v>
      </c>
      <c r="B92" s="418">
        <f>'Sources and Uses Budget'!$C91</f>
        <v>95000</v>
      </c>
      <c r="C92" s="418">
        <f>'Sources and Uses Budget'!$C91</f>
        <v>95000</v>
      </c>
      <c r="D92" s="422">
        <f t="shared" si="1"/>
        <v>0</v>
      </c>
      <c r="E92" s="420"/>
      <c r="F92" s="419"/>
      <c r="G92" s="546"/>
    </row>
    <row r="93" spans="1:7" s="540" customFormat="1">
      <c r="A93" s="852" t="s">
        <v>1376</v>
      </c>
      <c r="B93" s="418">
        <f>'Sources and Uses Budget'!$C92</f>
        <v>13000</v>
      </c>
      <c r="C93" s="418">
        <f>'Sources and Uses Budget'!$C92</f>
        <v>13000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50000</v>
      </c>
      <c r="C95" s="418">
        <f>'Sources and Uses Budget'!$C94</f>
        <v>50000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3758249.7429619925</v>
      </c>
      <c r="C97" s="422">
        <f>SUM(C84:C96)</f>
        <v>3758249.7429619925</v>
      </c>
      <c r="D97" s="422">
        <f t="shared" si="1"/>
        <v>0</v>
      </c>
      <c r="E97" s="420"/>
      <c r="F97" s="419"/>
      <c r="G97" s="546"/>
    </row>
    <row r="98" spans="1:7" s="540" customFormat="1">
      <c r="A98" s="423" t="s">
        <v>817</v>
      </c>
      <c r="B98" s="422">
        <f>SUM(B64+B71+B78+B82+B97)</f>
        <v>73020134.497061729</v>
      </c>
      <c r="C98" s="422">
        <f>SUM(C64+C71+C78+C82+C97)</f>
        <v>73020134.497061729</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8670086.0272556636</v>
      </c>
      <c r="C100" s="418">
        <f>'Sources and Uses Budget'!$C99</f>
        <v>8670086.0272556636</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8670086.0272556636</v>
      </c>
      <c r="C105" s="422">
        <f>SUM(C100:C104)</f>
        <v>8670086.0272556636</v>
      </c>
      <c r="D105" s="422">
        <f t="shared" si="1"/>
        <v>0</v>
      </c>
      <c r="E105" s="420"/>
      <c r="F105" s="419"/>
      <c r="G105" s="544"/>
    </row>
    <row r="106" spans="1:7" s="539" customFormat="1">
      <c r="A106" s="423" t="s">
        <v>822</v>
      </c>
      <c r="B106" s="425">
        <f>SUM(B98+B105)</f>
        <v>81690220.524317399</v>
      </c>
      <c r="C106" s="425">
        <f>SUM(C98+C105)</f>
        <v>81690220.524317399</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Joseph Baclit</cp:lastModifiedBy>
  <cp:lastPrinted>2022-06-02T00:41:49Z</cp:lastPrinted>
  <dcterms:created xsi:type="dcterms:W3CDTF">2007-12-27T18:26:28Z</dcterms:created>
  <dcterms:modified xsi:type="dcterms:W3CDTF">2022-08-08T00:46:31Z</dcterms:modified>
</cp:coreProperties>
</file>