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X:\SP Affordable Housing\Deals\Montecito Village (Ramona, CA)\16. TCAC-CDLAC Application\"/>
    </mc:Choice>
  </mc:AlternateContent>
  <xr:revisionPtr revIDLastSave="0" documentId="13_ncr:1_{CD0D7A94-9618-4645-A1A8-C29859B50D58}" xr6:coauthVersionLast="47" xr6:coauthVersionMax="47" xr10:uidLastSave="{00000000-0000-0000-0000-000000000000}"/>
  <bookViews>
    <workbookView xWindow="-28920" yWindow="-120" windowWidth="23280" windowHeight="12600" tabRatio="83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1" i="13" l="1"/>
  <c r="G89" i="13"/>
  <c r="G86" i="13"/>
  <c r="G80" i="13"/>
  <c r="G79" i="13"/>
  <c r="G52" i="13"/>
  <c r="G51" i="13"/>
  <c r="G45" i="13"/>
  <c r="G43" i="13"/>
  <c r="G41" i="13"/>
  <c r="G40" i="13"/>
  <c r="J9" i="13"/>
  <c r="G27" i="13"/>
  <c r="G19" i="13"/>
  <c r="G20" i="13"/>
  <c r="G21" i="13"/>
  <c r="G22" i="13"/>
  <c r="G23" i="13"/>
  <c r="G24" i="13"/>
  <c r="G25" i="13"/>
  <c r="G18" i="13"/>
  <c r="D99" i="13"/>
  <c r="D95" i="13"/>
  <c r="D93" i="13"/>
  <c r="D91" i="13"/>
  <c r="D89" i="13"/>
  <c r="D86" i="13"/>
  <c r="D83" i="13"/>
  <c r="D80" i="13"/>
  <c r="D79" i="13"/>
  <c r="D76" i="13"/>
  <c r="D75" i="13"/>
  <c r="D65" i="13"/>
  <c r="D46" i="13"/>
  <c r="D47" i="13"/>
  <c r="D48" i="13"/>
  <c r="D49" i="13"/>
  <c r="D50" i="13"/>
  <c r="D51" i="13"/>
  <c r="D52" i="13"/>
  <c r="D53" i="13"/>
  <c r="D45" i="13"/>
  <c r="D43" i="13"/>
  <c r="D41" i="13"/>
  <c r="D40" i="13"/>
  <c r="D27" i="13"/>
  <c r="D19" i="13"/>
  <c r="D20" i="13"/>
  <c r="D21" i="13"/>
  <c r="D22" i="13"/>
  <c r="D23" i="13"/>
  <c r="D24" i="13"/>
  <c r="D25" i="13"/>
  <c r="D18" i="13"/>
  <c r="D9" i="13"/>
  <c r="W846" i="3"/>
  <c r="M959" i="3" l="1"/>
  <c r="M974" i="3"/>
  <c r="M960" i="3"/>
  <c r="W866" i="3" l="1"/>
  <c r="W861" i="3"/>
  <c r="W854" i="3"/>
  <c r="O733" i="3" l="1"/>
  <c r="O732" i="3"/>
  <c r="O731" i="3"/>
  <c r="O730" i="3"/>
  <c r="O728" i="3"/>
  <c r="O729" i="3"/>
  <c r="O727" i="3"/>
  <c r="O726" i="3"/>
  <c r="O725" i="3"/>
  <c r="O724" i="3"/>
  <c r="O723" i="3"/>
  <c r="O722" i="3"/>
  <c r="O721" i="3"/>
  <c r="O720" i="3"/>
  <c r="O719" i="3"/>
  <c r="O718"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I19" i="8"/>
  <c r="J19" i="8" s="1"/>
  <c r="I18" i="8"/>
  <c r="J18" i="8" s="1"/>
  <c r="I17" i="8"/>
  <c r="J17" i="8" s="1"/>
  <c r="J16" i="8"/>
  <c r="I16" i="8"/>
  <c r="I15" i="8"/>
  <c r="J15" i="8" s="1"/>
  <c r="I14" i="8"/>
  <c r="J14" i="8" s="1"/>
  <c r="I13" i="8"/>
  <c r="J13" i="8" s="1"/>
  <c r="I12" i="8"/>
  <c r="J12" i="8" s="1"/>
  <c r="I11" i="8"/>
  <c r="J11" i="8" s="1"/>
  <c r="I10" i="8"/>
  <c r="J10" i="8" s="1"/>
  <c r="I9" i="8"/>
  <c r="J9" i="8" s="1"/>
  <c r="I8" i="8"/>
  <c r="J8" i="8" s="1"/>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D86" i="11" s="1"/>
  <c r="C87" i="11"/>
  <c r="C88" i="11"/>
  <c r="C89" i="11"/>
  <c r="C90" i="11"/>
  <c r="C91" i="11"/>
  <c r="D91" i="11" s="1"/>
  <c r="C92" i="11"/>
  <c r="D92" i="11" s="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2"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12" i="13" s="1"/>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11" i="4" s="1"/>
  <c r="R7" i="4"/>
  <c r="R6" i="4"/>
  <c r="R5" i="4"/>
  <c r="R4" i="4"/>
  <c r="B5" i="11"/>
  <c r="C5" i="11"/>
  <c r="B6" i="11"/>
  <c r="C6" i="11"/>
  <c r="B7" i="11"/>
  <c r="C7" i="11"/>
  <c r="C8" i="11"/>
  <c r="B8" i="11"/>
  <c r="B10" i="11"/>
  <c r="B11" i="11"/>
  <c r="C10" i="11"/>
  <c r="C12" i="11" s="1"/>
  <c r="C11" i="11"/>
  <c r="B14" i="11"/>
  <c r="C14" i="11"/>
  <c r="B15" i="11"/>
  <c r="C15" i="11"/>
  <c r="B16" i="11"/>
  <c r="C16" i="11"/>
  <c r="B18" i="11"/>
  <c r="C18" i="11"/>
  <c r="B19" i="11"/>
  <c r="C19" i="11"/>
  <c r="B20" i="11"/>
  <c r="C20" i="11"/>
  <c r="B21" i="11"/>
  <c r="C21" i="11"/>
  <c r="B22" i="11"/>
  <c r="C22" i="11"/>
  <c r="B23" i="11"/>
  <c r="C23" i="11"/>
  <c r="D23" i="11" s="1"/>
  <c r="B24" i="11"/>
  <c r="B28" i="11"/>
  <c r="C28" i="11"/>
  <c r="B30" i="11"/>
  <c r="C30" i="11"/>
  <c r="D30" i="11"/>
  <c r="D33" i="11"/>
  <c r="D34" i="11"/>
  <c r="B41" i="11"/>
  <c r="C41" i="11"/>
  <c r="D41" i="11" s="1"/>
  <c r="C42" i="11"/>
  <c r="D42" i="11" s="1"/>
  <c r="B42" i="11"/>
  <c r="B43" i="11" s="1"/>
  <c r="B44" i="11"/>
  <c r="D44" i="11" s="1"/>
  <c r="C44" i="11"/>
  <c r="B46" i="11"/>
  <c r="D46" i="11" s="1"/>
  <c r="C46" i="11"/>
  <c r="B47" i="11"/>
  <c r="C47" i="11"/>
  <c r="D47" i="11" s="1"/>
  <c r="B48" i="11"/>
  <c r="B49" i="11"/>
  <c r="D49" i="11" s="1"/>
  <c r="B50" i="11"/>
  <c r="B51" i="11"/>
  <c r="D51" i="11"/>
  <c r="B52" i="11"/>
  <c r="B53" i="11"/>
  <c r="C48" i="11"/>
  <c r="C49" i="11"/>
  <c r="C50" i="11"/>
  <c r="C51" i="11"/>
  <c r="C52" i="11"/>
  <c r="C53" i="11"/>
  <c r="C55" i="11" s="1"/>
  <c r="B57" i="11"/>
  <c r="C57" i="11"/>
  <c r="B58" i="11"/>
  <c r="C58" i="11"/>
  <c r="B59" i="11"/>
  <c r="C59" i="11"/>
  <c r="B60" i="11"/>
  <c r="C60" i="11"/>
  <c r="B61" i="11"/>
  <c r="C61" i="11"/>
  <c r="B62" i="11"/>
  <c r="C62" i="11"/>
  <c r="B66" i="11"/>
  <c r="B71" i="11" s="1"/>
  <c r="C66" i="11"/>
  <c r="D66" i="11" s="1"/>
  <c r="B73" i="11"/>
  <c r="C73" i="11"/>
  <c r="B74" i="11"/>
  <c r="C74" i="11"/>
  <c r="B75" i="11"/>
  <c r="C75" i="11"/>
  <c r="B76" i="11"/>
  <c r="C76" i="11"/>
  <c r="B77" i="11"/>
  <c r="C77" i="11"/>
  <c r="B84" i="11"/>
  <c r="B97" i="11" s="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s="1"/>
  <c r="C11" i="4"/>
  <c r="B11" i="13" s="1"/>
  <c r="B26" i="13"/>
  <c r="C38" i="4"/>
  <c r="B38" i="13"/>
  <c r="C54" i="4"/>
  <c r="B54" i="13" s="1"/>
  <c r="C62" i="4"/>
  <c r="B62" i="13"/>
  <c r="C77" i="4"/>
  <c r="B77" i="4" s="1"/>
  <c r="C96" i="4"/>
  <c r="B96" i="4" s="1"/>
  <c r="B104" i="13"/>
  <c r="D8" i="4"/>
  <c r="D11" i="4"/>
  <c r="D26" i="4"/>
  <c r="D38" i="4"/>
  <c r="D42" i="4"/>
  <c r="D54" i="4"/>
  <c r="D62" i="4"/>
  <c r="D77" i="4"/>
  <c r="D96" i="4"/>
  <c r="D104" i="4"/>
  <c r="B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J105" i="4" s="1"/>
  <c r="K8" i="4"/>
  <c r="K11" i="4"/>
  <c r="L8" i="4"/>
  <c r="L11" i="4"/>
  <c r="M8" i="4"/>
  <c r="M11" i="4"/>
  <c r="N8" i="4"/>
  <c r="O8" i="4"/>
  <c r="Q8" i="4"/>
  <c r="Q11" i="4"/>
  <c r="B9" i="4"/>
  <c r="B10" i="4"/>
  <c r="E11" i="4"/>
  <c r="E63" i="4" s="1"/>
  <c r="F11" i="4"/>
  <c r="F63" i="4" s="1"/>
  <c r="F97" i="4" s="1"/>
  <c r="F105" i="4" s="1"/>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G675" i="3"/>
  <c r="Z675" i="3"/>
  <c r="BA679" i="3"/>
  <c r="BA680" i="3"/>
  <c r="AH731" i="3" s="1"/>
  <c r="BA681" i="3"/>
  <c r="BA682" i="3"/>
  <c r="BA683" i="3"/>
  <c r="BA684" i="3"/>
  <c r="BA685" i="3"/>
  <c r="BA686" i="3"/>
  <c r="G683" i="3"/>
  <c r="Z683" i="3"/>
  <c r="BA687" i="3"/>
  <c r="BA688" i="3"/>
  <c r="BA689" i="3"/>
  <c r="BA690" i="3"/>
  <c r="X718" i="3"/>
  <c r="AH718" i="3" s="1"/>
  <c r="X719" i="3"/>
  <c r="X720" i="3"/>
  <c r="X721" i="3"/>
  <c r="AH721" i="3" s="1"/>
  <c r="X722" i="3"/>
  <c r="AH722" i="3" s="1"/>
  <c r="X723" i="3"/>
  <c r="X724" i="3"/>
  <c r="X730" i="3"/>
  <c r="AH730" i="3" s="1"/>
  <c r="X731" i="3"/>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J63" i="13"/>
  <c r="J97" i="13" s="1"/>
  <c r="J105" i="13" s="1"/>
  <c r="J107" i="13" s="1"/>
  <c r="L12" i="4"/>
  <c r="D48" i="11"/>
  <c r="D5" i="11"/>
  <c r="D70" i="11"/>
  <c r="D52" i="11"/>
  <c r="I12" i="4"/>
  <c r="D6" i="11"/>
  <c r="L63" i="4"/>
  <c r="L97" i="4"/>
  <c r="L105" i="4"/>
  <c r="Q12" i="4"/>
  <c r="O63" i="4"/>
  <c r="O97" i="4"/>
  <c r="O105" i="4"/>
  <c r="D18" i="11"/>
  <c r="B8" i="4"/>
  <c r="D36" i="11"/>
  <c r="D61" i="11"/>
  <c r="D57" i="11"/>
  <c r="D20" i="11"/>
  <c r="D8" i="11"/>
  <c r="D102" i="11"/>
  <c r="D94" i="11"/>
  <c r="K12" i="4"/>
  <c r="C12" i="13"/>
  <c r="D63" i="4"/>
  <c r="D97" i="4"/>
  <c r="D105" i="4"/>
  <c r="B78" i="11"/>
  <c r="D7" i="11"/>
  <c r="J12" i="4"/>
  <c r="D22" i="11"/>
  <c r="O12" i="4"/>
  <c r="D95" i="11"/>
  <c r="D12" i="4"/>
  <c r="B9" i="11"/>
  <c r="C39" i="11"/>
  <c r="D39" i="11" s="1"/>
  <c r="D19" i="11"/>
  <c r="D89" i="11"/>
  <c r="D73" i="11"/>
  <c r="D35" i="11"/>
  <c r="D31" i="11"/>
  <c r="D32" i="11"/>
  <c r="D15" i="11"/>
  <c r="D14" i="11"/>
  <c r="Q63" i="4"/>
  <c r="Q97" i="4"/>
  <c r="Q105" i="4"/>
  <c r="D87" i="11"/>
  <c r="N63" i="4"/>
  <c r="N97" i="4"/>
  <c r="N105" i="4"/>
  <c r="N12" i="4"/>
  <c r="D60" i="11"/>
  <c r="M12" i="4"/>
  <c r="R8" i="4"/>
  <c r="D74" i="11"/>
  <c r="D59" i="11"/>
  <c r="D38" i="11"/>
  <c r="R42" i="4"/>
  <c r="P63" i="4"/>
  <c r="P97" i="4"/>
  <c r="P105" i="4"/>
  <c r="B38" i="4"/>
  <c r="C63" i="11"/>
  <c r="B63" i="11"/>
  <c r="C9" i="11"/>
  <c r="D58" i="11"/>
  <c r="D62" i="11"/>
  <c r="D101" i="11"/>
  <c r="D90" i="11"/>
  <c r="R62" i="4"/>
  <c r="R38" i="4"/>
  <c r="C63" i="13"/>
  <c r="C97" i="13"/>
  <c r="C105" i="13"/>
  <c r="D75" i="11"/>
  <c r="B39" i="11"/>
  <c r="D28" i="11"/>
  <c r="D103" i="11"/>
  <c r="D88" i="11"/>
  <c r="D21" i="11"/>
  <c r="D16" i="11"/>
  <c r="B12" i="11"/>
  <c r="F63" i="13"/>
  <c r="F97" i="13"/>
  <c r="F105" i="13"/>
  <c r="F107" i="13"/>
  <c r="AD199" i="20"/>
  <c r="B42" i="4"/>
  <c r="D77" i="11"/>
  <c r="C71" i="11"/>
  <c r="D71" i="11" s="1"/>
  <c r="M63" i="4"/>
  <c r="M97" i="4"/>
  <c r="M105" i="4"/>
  <c r="J63" i="4"/>
  <c r="J97" i="4"/>
  <c r="K63" i="4"/>
  <c r="K97" i="4"/>
  <c r="K105" i="4"/>
  <c r="B62" i="4"/>
  <c r="D104" i="11"/>
  <c r="T63" i="4"/>
  <c r="H63" i="13" s="1"/>
  <c r="D11" i="11"/>
  <c r="C12" i="4"/>
  <c r="B12" i="13" s="1"/>
  <c r="D9" i="11"/>
  <c r="B13" i="11"/>
  <c r="D63" i="11"/>
  <c r="D96" i="11"/>
  <c r="AZ846" i="3"/>
  <c r="D63" i="13" l="1"/>
  <c r="C78" i="11"/>
  <c r="D76" i="11"/>
  <c r="D53" i="11"/>
  <c r="B77" i="13"/>
  <c r="S63" i="4"/>
  <c r="S97" i="4" s="1"/>
  <c r="T97" i="4"/>
  <c r="D97" i="13"/>
  <c r="D105" i="13" s="1"/>
  <c r="B96" i="13"/>
  <c r="D78" i="11"/>
  <c r="B54" i="4"/>
  <c r="I105" i="4"/>
  <c r="E97" i="4"/>
  <c r="E105" i="4" s="1"/>
  <c r="B55" i="11"/>
  <c r="B64" i="11" s="1"/>
  <c r="B98" i="11" s="1"/>
  <c r="B106" i="11" s="1"/>
  <c r="G63" i="13"/>
  <c r="G97" i="13" s="1"/>
  <c r="G105" i="13" s="1"/>
  <c r="G107" i="13" s="1"/>
  <c r="C105" i="11"/>
  <c r="D105" i="11" s="1"/>
  <c r="C97" i="11"/>
  <c r="D97" i="11" s="1"/>
  <c r="N186" i="27"/>
  <c r="N193" i="27" s="1"/>
  <c r="D80" i="11"/>
  <c r="C82" i="11"/>
  <c r="D82" i="11" s="1"/>
  <c r="D50" i="11"/>
  <c r="C43" i="11"/>
  <c r="D43" i="11" s="1"/>
  <c r="C27" i="11"/>
  <c r="C13" i="11"/>
  <c r="D13" i="11" s="1"/>
  <c r="D12" i="11"/>
  <c r="D10" i="11"/>
  <c r="B11" i="4"/>
  <c r="B12" i="4" s="1"/>
  <c r="G63" i="4"/>
  <c r="G97" i="4" s="1"/>
  <c r="G105" i="4" s="1"/>
  <c r="R54" i="4"/>
  <c r="R63" i="4" s="1"/>
  <c r="R96" i="4"/>
  <c r="F12" i="4"/>
  <c r="H63" i="4"/>
  <c r="H97" i="4" s="1"/>
  <c r="H105" i="4" s="1"/>
  <c r="R12" i="4"/>
  <c r="G12" i="4"/>
  <c r="E12" i="4"/>
  <c r="AH733" i="3"/>
  <c r="AH729" i="3"/>
  <c r="AH727" i="3"/>
  <c r="AH724" i="3"/>
  <c r="AH720" i="3"/>
  <c r="AH719" i="3"/>
  <c r="AF1013"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55" i="11" l="1"/>
  <c r="E63" i="13"/>
  <c r="T105" i="4"/>
  <c r="H97" i="13"/>
  <c r="S105" i="4"/>
  <c r="E97" i="13"/>
  <c r="R97" i="4"/>
  <c r="R105" i="4" s="1"/>
  <c r="C97" i="4"/>
  <c r="C105" i="4" s="1"/>
  <c r="AG258" i="20" s="1"/>
  <c r="B63"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97" i="13" l="1"/>
  <c r="AC455" i="3"/>
  <c r="B105" i="13"/>
  <c r="H105" i="13"/>
  <c r="T107" i="4"/>
  <c r="H107" i="13" s="1"/>
  <c r="AD11" i="15" s="1"/>
  <c r="AD23" i="15" s="1"/>
  <c r="AD26" i="15" s="1"/>
  <c r="AD28" i="15" s="1"/>
  <c r="E105" i="13"/>
  <c r="S107" i="4"/>
  <c r="B105" i="4"/>
  <c r="AC454" i="3" s="1"/>
  <c r="F457" i="3" s="1"/>
  <c r="B97" i="4"/>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9" i="21"/>
  <c r="P29" i="21" s="1" a="1"/>
  <c r="P29" i="21" s="1"/>
  <c r="R29"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AB255" i="20"/>
  <c r="AG257" i="20" s="1"/>
  <c r="AG259" i="20" s="1"/>
  <c r="AK262" i="20" s="1"/>
  <c r="T801" i="20" s="1"/>
  <c r="AF801" i="20" s="1"/>
  <c r="N183" i="27"/>
  <c r="N184" i="27" s="1"/>
  <c r="AC456" i="3"/>
  <c r="AF540" i="20"/>
  <c r="E107" i="13"/>
  <c r="T11" i="15" s="1"/>
  <c r="T23" i="15" s="1"/>
  <c r="T26" i="15" s="1"/>
  <c r="T28" i="15" s="1"/>
  <c r="T29" i="15" s="1"/>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K11" i="7"/>
  <c r="K37" i="7" s="1"/>
  <c r="K45" i="7" s="1"/>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97C95A32-9080-4422-9DF4-2512C27F9571}">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<sst xmlns="http://schemas.openxmlformats.org/spreadsheetml/2006/main" count="5337" uniqueCount="2781">
  <si>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</si>
  <si>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</si>
  <si>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</si>
  <si>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</si>
  <si>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</si>
  <si>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</si>
  <si>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</si>
  <si>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</si>
  <si>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</si>
  <si>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</si>
  <si>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</si>
  <si>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</si>
  <si>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</si>
  <si>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</si>
  <si>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</si>
  <si>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</si>
  <si>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</si>
  <si>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</si>
  <si>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</si>
  <si>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</si>
  <si>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</si>
  <si>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</si>
  <si>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</si>
  <si>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</si>
  <si>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</si>
  <si>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</si>
  <si>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</si>
  <si>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</si>
  <si>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</si>
  <si>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</si>
  <si>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</si>
  <si>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</si>
  <si>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</si>
  <si>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</si>
  <si>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</si>
  <si>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</si>
  <si>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</si>
  <si>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</si>
  <si>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</si>
  <si>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</si>
  <si>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</si>
  <si>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</si>
  <si>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</si>
  <si>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</si>
  <si>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</si>
  <si>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</si>
  <si>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</si>
  <si>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</si>
  <si>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</si>
  <si>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</si>
  <si>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</si>
  <si>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</si>
  <si>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</si>
  <si>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</si>
  <si>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</si>
  <si>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</si>
  <si>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</si>
  <si>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</si>
  <si>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</si>
  <si>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</si>
  <si>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</si>
  <si>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</si>
  <si>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</si>
  <si>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</si>
  <si>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</si>
  <si>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</si>
  <si>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</si>
  <si>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</si>
  <si>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</si>
  <si>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</si>
  <si>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</si>
  <si>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</si>
  <si>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</si>
  <si>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</si>
  <si>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</si>
  <si>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</si>
  <si>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</si>
  <si>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</si>
  <si>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</si>
  <si>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</si>
  <si>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</si>
  <si>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</si>
  <si>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</si>
  <si>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</si>
  <si>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</si>
  <si>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</si>
  <si>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</si>
  <si>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</si>
  <si>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</si>
  <si>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</si>
  <si>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</si>
  <si>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</si>
  <si>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</si>
  <si>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</si>
  <si>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</si>
  <si>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</si>
  <si>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</si>
  <si>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</si>
  <si>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</si>
  <si>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</si>
  <si>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</si>
  <si>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</si>
  <si>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</si>
  <si>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</si>
  <si>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</si>
  <si>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</si>
  <si>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</si>
  <si>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</si>
  <si>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</si>
  <si>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</si>
  <si>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</si>
  <si>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</si>
  <si>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</si>
  <si>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</si>
  <si>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</si>
  <si>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</si>
  <si>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</si>
  <si>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</si>
  <si>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</si>
  <si>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</si>
  <si>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</si>
  <si>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</si>
  <si>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</si>
  <si>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</si>
  <si>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</si>
  <si>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</si>
  <si>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</si>
  <si>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</si>
  <si>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</si>
  <si>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</si>
  <si>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</si>
  <si>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</si>
  <si>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</si>
  <si>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</si>
  <si>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</si>
  <si>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</si>
  <si>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</si>
  <si>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</si>
  <si>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</si>
  <si>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</si>
  <si>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</si>
  <si>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</si>
  <si>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</si>
  <si>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</si>
  <si>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</si>
  <si>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</si>
  <si>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</si>
  <si>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</si>
  <si>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</si>
  <si>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</si>
  <si>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</si>
  <si>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</si>
  <si>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</si>
  <si>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</si>
  <si>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</si>
  <si>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</si>
  <si>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</si>
  <si>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</si>
  <si>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</si>
  <si>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</si>
  <si>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</si>
  <si>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</si>
  <si>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</si>
  <si>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</si>
  <si>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</si>
  <si>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</si>
  <si>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</si>
  <si>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</si>
  <si>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</si>
  <si>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</si>
  <si>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</si>
  <si>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</si>
  <si>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</si>
  <si>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</si>
  <si>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</si>
  <si>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</si>
  <si>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</si>
  <si>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</si>
  <si>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</si>
  <si>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</si>
  <si>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</si>
  <si>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</si>
  <si>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</si>
  <si>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</si>
  <si>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</si>
  <si>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</si>
  <si>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</si>
  <si>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</si>
  <si>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</si>
  <si>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</si>
  <si>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</si>
  <si>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</si>
  <si>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</si>
  <si>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</si>
  <si>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</si>
  <si>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</si>
  <si>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</si>
  <si>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</si>
  <si>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</si>
  <si>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</si>
  <si>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</si>
  <si>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</si>
  <si>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</si>
  <si>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</si>
  <si>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</si>
  <si>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</si>
  <si>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</si>
  <si>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</si>
  <si>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</si>
  <si>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</si>
  <si>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</si>
  <si>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</si>
  <si>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</si>
  <si>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</si>
  <si>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</si>
  <si>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</si>
  <si>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</si>
  <si>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</si>
  <si>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</si>
  <si>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</si>
  <si>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</si>
  <si>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</si>
  <si>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</si>
  <si>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</si>
  <si>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</si>
  <si>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</si>
  <si>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</si>
  <si>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</si>
  <si>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</si>
  <si>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</si>
  <si>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</si>
  <si>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</si>
  <si>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</si>
  <si>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</si>
  <si>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</si>
  <si>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</si>
  <si>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</si>
  <si>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</si>
  <si>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</si>
  <si>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</si>
  <si>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</si>
  <si>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</si>
  <si>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</si>
  <si>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</si>
  <si>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</si>
  <si>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</si>
  <si>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</si>
  <si>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</si>
  <si>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</si>
  <si>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</si>
  <si>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</si>
  <si>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</si>
  <si>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</si>
  <si>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</si>
  <si>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</si>
  <si>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</si>
  <si>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</si>
  <si>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</si>
  <si>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</si>
  <si>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</si>
  <si>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</si>
  <si>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</si>
  <si>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</si>
  <si>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</si>
  <si>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</si>
  <si>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</si>
  <si>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</si>
  <si>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</si>
  <si>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</si>
  <si>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</si>
  <si>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</si>
  <si>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</si>
  <si>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</si>
  <si>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</si>
  <si>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</si>
  <si>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</si>
  <si>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</si>
  <si>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</si>
  <si>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</si>
  <si>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</si>
  <si>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</si>
  <si>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</si>
  <si>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</si>
  <si>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</si>
  <si>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</si>
  <si>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</si>
  <si>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</si>
  <si>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</si>
  <si>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</si>
  <si>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</si>
  <si>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</si>
  <si>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</si>
  <si>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</si>
  <si>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</si>
  <si>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</si>
  <si>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</si>
  <si>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</si>
  <si>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</si>
  <si>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</si>
  <si>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</si>
  <si>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</si>
  <si>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</si>
  <si>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</si>
  <si>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</si>
  <si>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</si>
  <si>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</si>
  <si>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</si>
  <si>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</si>
  <si>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</si>
  <si>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</si>
  <si>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</si>
  <si>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</si>
  <si>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</si>
  <si>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</si>
  <si>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</si>
  <si>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</si>
  <si>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</si>
  <si>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</si>
  <si>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</si>
  <si>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</si>
  <si>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</si>
  <si>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</si>
  <si>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</si>
  <si>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</si>
  <si>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</si>
  <si>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</si>
  <si>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</si>
  <si>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</si>
  <si>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</si>
  <si>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</si>
  <si>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</si>
  <si>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</si>
  <si>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</si>
  <si>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</si>
  <si>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</si>
  <si>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</si>
  <si>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</si>
  <si>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</si>
  <si>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</si>
  <si>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</si>
  <si>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</si>
  <si>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</si>
  <si>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</si>
  <si>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</si>
  <si>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</si>
  <si>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</si>
  <si>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</si>
  <si>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</si>
  <si>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</si>
  <si>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</si>
  <si>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</si>
  <si>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</si>
  <si>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</si>
  <si>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</si>
  <si>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</si>
  <si>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</si>
  <si>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</si>
  <si>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</si>
  <si>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</si>
  <si>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</si>
  <si>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</si>
  <si>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</si>
  <si>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</si>
  <si>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</si>
  <si>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</si>
  <si>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</si>
  <si>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</si>
  <si>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</si>
  <si>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</si>
  <si>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</si>
  <si>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</si>
  <si>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</si>
  <si>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</si>
  <si>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</si>
  <si>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</si>
  <si>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</si>
  <si>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</si>
  <si>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</si>
  <si>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</si>
  <si>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</si>
  <si>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</si>
  <si>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</si>
  <si>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</si>
  <si>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</si>
  <si>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</si>
  <si>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</si>
  <si>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</si>
  <si>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</si>
  <si>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</si>
  <si>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</si>
  <si>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</si>
  <si>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</si>
  <si>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</si>
  <si>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</si>
  <si>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</si>
  <si>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</si>
  <si>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</si>
  <si>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</si>
  <si>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</si>
  <si>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</si>
  <si>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</si>
  <si>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</si>
  <si>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</si>
  <si>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</si>
  <si>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</si>
  <si>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</si>
  <si>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</si>
  <si>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</si>
  <si>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</si>
  <si>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</si>
  <si>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</si>
  <si>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</si>
  <si>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</si>
  <si>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</si>
  <si>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</si>
  <si>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</si>
  <si>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</si>
  <si>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</si>
  <si>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</si>
  <si>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</si>
  <si>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</si>
  <si>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</si>
  <si>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</si>
  <si>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</si>
  <si>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</si>
  <si>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</si>
  <si>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</si>
  <si>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</si>
  <si>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</si>
  <si>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</si>
  <si>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</si>
  <si>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</si>
  <si>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</si>
  <si>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</si>
  <si>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</si>
  <si>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</si>
  <si>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</si>
  <si>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</si>
  <si>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</si>
  <si>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</si>
  <si>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</si>
  <si>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</si>
  <si>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</si>
  <si>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</si>
  <si>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</si>
  <si>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</si>
  <si>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</si>
  <si>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</si>
  <si>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</si>
  <si>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</si>
  <si>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</si>
  <si>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</si>
  <si>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</si>
  <si>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</si>
  <si>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</si>
  <si>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</si>
  <si>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</si>
  <si>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</si>
  <si>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</si>
  <si>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</si>
  <si>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</si>
  <si>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</si>
  <si>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</si>
  <si>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</si>
  <si>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</si>
  <si>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</si>
  <si>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</si>
  <si>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</si>
  <si>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</si>
  <si>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</si>
  <si>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</si>
  <si>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</si>
  <si>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</si>
  <si>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</si>
  <si>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</si>
  <si>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</si>
  <si>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</si>
  <si>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</si>
  <si>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</si>
  <si>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</si>
  <si>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</si>
  <si>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</si>
  <si>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</si>
  <si>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</si>
  <si>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</si>
  <si>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</si>
  <si>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</si>
  <si>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</si>
  <si>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</si>
  <si>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</si>
  <si>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</si>
  <si>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</si>
  <si>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</si>
  <si>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</si>
  <si>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</si>
  <si>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</si>
  <si>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</si>
  <si>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</si>
  <si>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</si>
  <si>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</si>
  <si>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</si>
  <si>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</si>
  <si>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</si>
  <si>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</si>
  <si>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</si>
  <si>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</si>
  <si>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</si>
  <si>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</si>
  <si>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</si>
  <si>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</si>
  <si>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</si>
  <si>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</si>
  <si>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</si>
  <si>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</si>
  <si>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</si>
  <si>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</si>
  <si>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</si>
  <si>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</si>
  <si>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</si>
  <si>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</si>
  <si>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</si>
  <si>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</si>
  <si>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</si>
  <si>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</si>
  <si>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</si>
  <si>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</si>
  <si>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</si>
  <si>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</si>
  <si>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</si>
  <si>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</si>
  <si>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</si>
  <si>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</si>
  <si>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</si>
  <si>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</si>
  <si>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</si>
  <si>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</si>
  <si>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</si>
  <si>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</si>
  <si>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</si>
  <si>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</si>
  <si>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</si>
  <si>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</si>
  <si>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</si>
  <si>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</si>
  <si>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</si>
  <si>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</si>
  <si>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</si>
  <si>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</si>
  <si>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</si>
  <si>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</si>
  <si>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</si>
  <si>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</si>
  <si>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</si>
  <si>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</si>
  <si>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</si>
  <si>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</si>
  <si>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</si>
  <si>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</si>
  <si>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</si>
  <si>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</si>
  <si>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</si>
  <si>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</si>
  <si>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</si>
  <si>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</si>
  <si>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</si>
  <si>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</si>
  <si>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</si>
  <si>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</si>
  <si>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</si>
  <si>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</si>
  <si>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</si>
  <si>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</si>
  <si>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</si>
  <si>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</si>
  <si>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</si>
  <si>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</si>
  <si>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</si>
  <si>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</si>
  <si>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</si>
  <si>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</si>
  <si>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</si>
  <si>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</si>
  <si>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</si>
  <si>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</si>
  <si>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</si>
  <si>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</si>
  <si>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</si>
  <si>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</si>
  <si>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</si>
  <si>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</si>
  <si>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</si>
  <si>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</si>
  <si>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</si>
  <si>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</si>
  <si>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</si>
  <si>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</si>
  <si>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</si>
  <si>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</si>
  <si>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</si>
  <si>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</si>
  <si>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</si>
  <si>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</si>
  <si>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</si>
  <si>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</si>
  <si>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</si>
  <si>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</si>
  <si>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</si>
  <si>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</si>
  <si>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</si>
  <si>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</si>
  <si>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</si>
  <si>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</si>
  <si>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</si>
  <si>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</si>
  <si>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</si>
  <si>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</si>
  <si>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</si>
  <si>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</si>
  <si>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</si>
  <si>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</si>
  <si>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</si>
  <si>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</si>
  <si>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</si>
  <si>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</si>
  <si>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</si>
  <si>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</si>
  <si>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</si>
  <si>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</si>
  <si>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</si>
  <si>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</si>
  <si>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</si>
  <si>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</si>
  <si>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</si>
  <si>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</si>
  <si>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</si>
  <si>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</si>
  <si>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</si>
  <si>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</si>
  <si>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</si>
  <si>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</si>
  <si>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</si>
  <si>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</si>
  <si>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</si>
  <si>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</si>
  <si>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</si>
  <si>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</si>
  <si>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</si>
  <si>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</si>
  <si>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</si>
  <si>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</si>
  <si>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</si>
  <si>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</si>
  <si>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</si>
  <si>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</si>
  <si>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</si>
  <si>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</si>
  <si>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</si>
  <si>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</si>
  <si>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</si>
  <si>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</si>
  <si>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</si>
  <si>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</si>
  <si>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</si>
  <si>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</si>
  <si>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</si>
  <si>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</si>
  <si>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</si>
  <si>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</si>
  <si>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</si>
  <si>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</si>
  <si>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</si>
  <si>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</si>
  <si>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</si>
  <si>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</si>
  <si>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</si>
  <si>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</si>
  <si>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</si>
  <si>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</si>
  <si>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</si>
  <si>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</si>
  <si>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</si>
  <si>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</si>
  <si>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</si>
  <si>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</si>
  <si>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</si>
  <si>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</si>
  <si>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</si>
  <si>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</si>
  <si>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</si>
  <si>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</si>
  <si>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</si>
  <si>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</si>
  <si>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</si>
  <si>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</si>
  <si>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</si>
  <si>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</si>
  <si>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</si>
  <si>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</si>
  <si>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</si>
  <si>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</si>
  <si>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</si>
  <si>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</si>
  <si>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</si>
  <si>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</si>
  <si>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</si>
  <si>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</si>
  <si>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</si>
  <si>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</si>
  <si>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</si>
  <si>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</si>
  <si>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</si>
  <si>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</si>
  <si>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</si>
  <si>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</si>
  <si>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</si>
  <si>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</si>
  <si>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</si>
  <si>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</si>
  <si>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</si>
  <si>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</si>
  <si>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</si>
  <si>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</si>
  <si>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</si>
  <si>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</si>
  <si>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</si>
  <si>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</si>
  <si>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</si>
  <si>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</si>
  <si>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</si>
  <si>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</si>
  <si>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</si>
  <si>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</si>
  <si>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</si>
  <si>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</si>
  <si>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</si>
  <si>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</si>
  <si>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</si>
  <si>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</si>
  <si>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</si>
  <si>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</si>
  <si>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</si>
  <si>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</si>
  <si>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</si>
  <si>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</si>
  <si>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</si>
  <si>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</si>
  <si>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</si>
  <si>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</si>
  <si>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</si>
  <si>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</si>
  <si>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</si>
  <si>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</si>
  <si>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</si>
  <si>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</si>
  <si>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</si>
  <si>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</si>
  <si>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</si>
  <si>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</si>
  <si>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</si>
  <si>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</si>
  <si>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</si>
  <si>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</si>
  <si>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</si>
  <si>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</si>
  <si>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</si>
  <si>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</si>
  <si>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</si>
  <si>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</si>
  <si>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</si>
  <si>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</si>
  <si>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</si>
  <si>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</si>
  <si>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</si>
  <si>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</si>
  <si>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</si>
  <si>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</si>
  <si>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</si>
  <si>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</si>
  <si>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</si>
  <si>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</si>
  <si>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</si>
  <si>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</si>
  <si>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</si>
  <si>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</si>
  <si>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</si>
  <si>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</si>
  <si>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</si>
  <si>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</si>
  <si>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</si>
  <si>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</si>
  <si>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</si>
  <si>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</si>
  <si>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</si>
  <si>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</si>
  <si>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</si>
  <si>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</si>
  <si>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</si>
  <si>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</si>
  <si>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</si>
  <si>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</si>
  <si>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</si>
  <si>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</si>
  <si>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</si>
  <si>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</si>
  <si>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</si>
  <si>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</si>
  <si>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</si>
  <si>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</si>
  <si>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</si>
  <si>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</si>
  <si>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</si>
  <si>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</si>
  <si>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</si>
  <si>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</si>
  <si>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</si>
  <si>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</si>
  <si>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</si>
  <si>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</si>
  <si>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</si>
  <si>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</si>
  <si>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</si>
  <si>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</si>
  <si>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</si>
  <si>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</si>
  <si>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</si>
  <si>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</si>
  <si>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</si>
  <si>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</si>
  <si>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</si>
  <si>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</si>
  <si>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</si>
  <si>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</si>
  <si>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</si>
  <si>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</si>
  <si>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</si>
  <si>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</si>
  <si>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</si>
  <si>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</si>
  <si>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</si>
  <si>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</si>
  <si>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</si>
  <si>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</si>
  <si>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</si>
  <si>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</si>
  <si>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</si>
  <si>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</si>
  <si>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</si>
  <si>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</si>
  <si>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</si>
  <si>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</si>
  <si>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</si>
  <si>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</si>
  <si>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</si>
  <si>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</si>
  <si>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</si>
  <si>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</si>
  <si>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</si>
  <si>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</si>
  <si>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</si>
  <si>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</si>
  <si>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</si>
  <si>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</si>
  <si>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</si>
  <si>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</si>
  <si>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</si>
  <si>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</si>
  <si>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</si>
  <si>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</si>
  <si>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</si>
  <si>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</si>
  <si>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</si>
  <si>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</si>
  <si>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</si>
  <si>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</si>
  <si>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</si>
  <si>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</si>
  <si>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</si>
  <si>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</si>
  <si>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</si>
  <si>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</si>
  <si>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</si>
  <si>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</si>
  <si>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</si>
  <si>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</si>
  <si>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</si>
  <si>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</si>
  <si>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</si>
  <si>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</si>
  <si>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</si>
  <si>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</si>
  <si>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</si>
  <si>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</si>
  <si>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</si>
  <si>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</si>
  <si>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</si>
  <si>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</si>
  <si>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</si>
  <si>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</si>
  <si>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</si>
  <si>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</si>
  <si>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</si>
  <si>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</si>
  <si>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</si>
  <si>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</si>
  <si>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</si>
  <si>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</si>
  <si>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</si>
  <si>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</si>
  <si>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</si>
  <si>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</si>
  <si>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</si>
  <si>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</si>
  <si>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</si>
  <si>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</si>
  <si>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</si>
  <si>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</si>
  <si>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</si>
  <si>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</si>
  <si>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</si>
  <si>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</si>
  <si>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</si>
  <si>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</si>
  <si>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</si>
  <si>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</si>
  <si>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</si>
  <si>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</si>
  <si>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</si>
  <si>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</si>
  <si>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</si>
  <si>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</si>
  <si>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</si>
  <si>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</si>
  <si>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</si>
  <si>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</si>
  <si>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</si>
  <si>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</si>
  <si>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</si>
  <si>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</si>
  <si>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</si>
  <si>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</si>
  <si>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</si>
  <si>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</si>
  <si>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</si>
  <si>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</si>
  <si>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</si>
  <si>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</si>
  <si>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</si>
  <si>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</si>
  <si>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</si>
  <si>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</si>
  <si>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</si>
  <si>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</si>
  <si>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</si>
  <si>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</si>
  <si>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</si>
  <si>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</si>
  <si>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</si>
  <si>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</si>
  <si>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</si>
  <si>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</si>
  <si>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</si>
  <si>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</si>
  <si>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</si>
  <si>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</si>
  <si>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</si>
  <si>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</si>
  <si>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</si>
  <si>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</si>
  <si>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</si>
  <si>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</si>
  <si>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</si>
  <si>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</si>
  <si>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</si>
  <si>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</si>
  <si>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</si>
  <si>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</si>
  <si>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</si>
  <si>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</si>
  <si>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</si>
  <si>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</si>
  <si>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</si>
  <si>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</si>
  <si>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</si>
  <si>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</si>
  <si>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</si>
  <si>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</si>
  <si>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</si>
  <si>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</si>
  <si>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</si>
  <si>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</si>
  <si>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</si>
  <si>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</si>
  <si>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</si>
  <si>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</si>
  <si>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</si>
  <si>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</si>
  <si>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</si>
  <si>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</si>
  <si>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</si>
  <si>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</si>
  <si>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</si>
  <si>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</si>
  <si>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</si>
  <si>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</si>
  <si>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</si>
  <si>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</si>
  <si>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</si>
  <si>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</si>
  <si>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</si>
  <si>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</si>
  <si>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</si>
  <si>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</si>
  <si>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</si>
  <si>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</si>
  <si>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</si>
  <si>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</si>
  <si>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</si>
  <si>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</si>
  <si>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</si>
  <si>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</si>
  <si>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</si>
  <si>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</si>
  <si>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</si>
  <si>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</si>
  <si>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</si>
  <si>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</si>
  <si>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</si>
  <si>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</si>
  <si>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</si>
  <si>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</si>
  <si>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</si>
  <si>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</si>
  <si>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</si>
  <si>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</si>
  <si>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</si>
  <si>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</si>
  <si>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</si>
  <si>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</si>
  <si>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</si>
  <si>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</si>
  <si>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</si>
  <si>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</si>
  <si>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</si>
  <si>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</si>
  <si>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</si>
  <si>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</si>
  <si>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</si>
  <si>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</si>
  <si>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</si>
  <si>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</si>
  <si>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</si>
  <si>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</si>
  <si>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</si>
  <si>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</si>
  <si>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</si>
  <si>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</si>
  <si>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</si>
  <si>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</si>
  <si>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</si>
  <si>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</si>
  <si>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</si>
  <si>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</si>
  <si>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</si>
  <si>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</si>
  <si>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</si>
  <si>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</si>
  <si>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</si>
  <si>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</si>
  <si>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</si>
  <si>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</si>
  <si>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</si>
  <si>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</si>
  <si>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</si>
  <si>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</si>
  <si>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</si>
  <si>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</si>
  <si>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</si>
  <si>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</si>
  <si>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</si>
  <si>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</si>
  <si>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</si>
  <si>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</si>
  <si>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</si>
  <si>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</si>
  <si>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</si>
  <si>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</si>
  <si>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</si>
  <si>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</si>
  <si>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</si>
  <si>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</si>
  <si>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</si>
  <si>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</si>
  <si>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</si>
  <si>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</si>
  <si>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</si>
  <si>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</si>
  <si>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</si>
  <si>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</si>
  <si>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</si>
  <si>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</si>
  <si>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</si>
  <si>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</si>
  <si>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</si>
  <si>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</si>
  <si>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</si>
  <si>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</si>
  <si>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</si>
  <si>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</si>
  <si>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</si>
  <si>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</si>
  <si>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</si>
  <si>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</si>
  <si>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</si>
  <si>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</si>
  <si>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</si>
  <si>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</si>
  <si>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</si>
  <si>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</si>
  <si>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</si>
  <si>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</si>
  <si>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</si>
  <si>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</si>
  <si>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</si>
  <si>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</si>
  <si>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</si>
  <si>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</si>
  <si>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</si>
  <si>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</si>
  <si>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</si>
  <si>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</si>
  <si>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</si>
  <si>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</si>
  <si>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</si>
  <si>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</si>
  <si>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</si>
  <si>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</si>
  <si>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</si>
  <si>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</si>
  <si>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</si>
  <si>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</si>
  <si>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</si>
  <si>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</si>
  <si>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</si>
  <si>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</si>
  <si>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</si>
  <si>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</si>
  <si>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</si>
  <si>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</si>
  <si>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</si>
  <si>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</si>
  <si>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</si>
  <si>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</si>
  <si>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</si>
  <si>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</si>
  <si>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</si>
  <si>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</si>
  <si>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</si>
  <si>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</si>
  <si>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</si>
  <si>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</si>
  <si>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</si>
  <si>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</si>
  <si>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</si>
  <si>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</si>
  <si>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</si>
  <si>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</si>
  <si>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</si>
  <si>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</si>
  <si>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</si>
  <si>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</si>
  <si>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</si>
  <si>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</si>
  <si>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</si>
  <si>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</si>
  <si>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</si>
  <si>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</si>
  <si>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</si>
  <si>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</si>
  <si>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</si>
  <si>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</si>
  <si>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</si>
  <si>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</si>
  <si>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</si>
  <si>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</si>
  <si>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</si>
  <si>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</si>
  <si>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</si>
  <si>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</si>
  <si>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</si>
  <si>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</si>
  <si>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</si>
  <si>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</si>
  <si>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</si>
  <si>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</si>
  <si>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</si>
  <si>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</si>
  <si>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</si>
  <si>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</si>
  <si>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</si>
  <si>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</si>
  <si>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</si>
  <si>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</si>
  <si>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</si>
  <si>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</si>
  <si>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</si>
  <si>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</si>
  <si>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</si>
  <si>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</si>
  <si>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</si>
  <si>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</si>
  <si>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</si>
  <si>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</si>
  <si>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</si>
  <si>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</si>
  <si>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</si>
  <si>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</si>
  <si>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</si>
  <si>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</si>
  <si>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</si>
  <si>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</si>
  <si>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</si>
  <si>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</si>
  <si>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</si>
  <si>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</si>
  <si>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</si>
  <si>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</si>
  <si>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</si>
  <si>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</si>
  <si>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</si>
  <si>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</si>
  <si>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</si>
  <si>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</si>
  <si>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</si>
  <si>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</si>
  <si>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</si>
  <si>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</si>
  <si>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</si>
  <si>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</si>
  <si>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</si>
  <si>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</si>
  <si>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</si>
  <si>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</si>
  <si>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</si>
  <si>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</si>
  <si>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</si>
  <si>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</si>
  <si>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</si>
  <si>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</si>
  <si>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</si>
  <si>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</si>
  <si>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</si>
  <si>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</si>
  <si>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</si>
  <si>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</si>
  <si>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</si>
  <si>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</si>
  <si>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</si>
  <si>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</si>
  <si>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</si>
  <si>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</si>
  <si>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</si>
  <si>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</si>
  <si>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</si>
  <si>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</si>
  <si>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</si>
  <si>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</si>
  <si>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</si>
  <si>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</si>
  <si>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</si>
  <si>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</si>
  <si>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</si>
  <si>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</si>
  <si>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</si>
  <si>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</si>
  <si>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</si>
  <si>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</si>
  <si>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</si>
  <si>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</si>
  <si>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</si>
  <si>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</si>
  <si>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</si>
  <si>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</si>
  <si>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</si>
  <si>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</si>
  <si>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</si>
  <si>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</si>
  <si>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</si>
  <si>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</si>
  <si>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</si>
  <si>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</si>
  <si>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</si>
  <si>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</si>
  <si>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</si>
  <si>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</si>
  <si>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</si>
  <si>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</si>
  <si>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</si>
  <si>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</si>
  <si>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</si>
  <si>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</si>
  <si>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</si>
  <si>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</si>
  <si>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</si>
  <si>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</si>
  <si>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</si>
  <si>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</si>
  <si>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</si>
  <si>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</si>
  <si>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</si>
  <si>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</si>
  <si>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</si>
  <si>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</si>
  <si>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</si>
  <si>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</si>
  <si>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</si>
  <si>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</si>
  <si>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</si>
  <si>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</si>
  <si>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</si>
  <si>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</si>
  <si>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</si>
  <si>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</si>
  <si>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</si>
  <si>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</si>
  <si>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</si>
  <si>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</si>
  <si>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</si>
  <si>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</si>
  <si>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</si>
  <si>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</si>
  <si>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</si>
  <si>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</si>
  <si>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</si>
  <si>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</si>
  <si>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</si>
  <si>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</si>
  <si>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</si>
  <si>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</si>
  <si>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</si>
  <si>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</si>
  <si>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</si>
  <si>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</si>
  <si>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</si>
  <si>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</si>
  <si>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</si>
  <si>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</si>
  <si>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</si>
  <si>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</si>
  <si>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</si>
  <si>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</si>
  <si>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</si>
  <si>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</si>
  <si>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</si>
  <si>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</si>
  <si>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</si>
  <si>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</si>
  <si>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</si>
  <si>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</si>
  <si>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</si>
  <si>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</si>
  <si>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</si>
  <si>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</si>
  <si>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</si>
  <si>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</si>
  <si>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</si>
  <si>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</si>
  <si>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</si>
  <si>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</si>
  <si>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</si>
  <si>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</si>
  <si>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</si>
  <si>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</si>
  <si>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</si>
  <si>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</si>
  <si>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</si>
  <si>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</si>
  <si>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</si>
  <si>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</si>
  <si>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</si>
  <si>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</si>
  <si>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</si>
  <si>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</si>
  <si>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</si>
  <si>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</si>
  <si>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</si>
  <si>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</si>
  <si>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</si>
  <si>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</si>
  <si>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</si>
  <si>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</si>
  <si>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</si>
  <si>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</si>
  <si>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</si>
  <si>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</si>
  <si>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</si>
  <si>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</si>
  <si>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</si>
  <si>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</si>
  <si>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</si>
  <si>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</si>
  <si>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</si>
  <si>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</si>
  <si>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</si>
  <si>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</si>
  <si>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</si>
  <si>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</si>
  <si>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</si>
  <si>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</si>
  <si>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</si>
  <si>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</si>
  <si>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</si>
  <si>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</si>
  <si>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</si>
  <si>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</si>
  <si>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</si>
  <si>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</si>
  <si>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</si>
  <si>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</si>
  <si>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</si>
  <si>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</si>
  <si>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</si>
  <si>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</si>
  <si>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</si>
  <si>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</si>
  <si>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</si>
  <si>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</si>
  <si>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</si>
  <si>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</si>
  <si>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</si>
  <si>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</si>
  <si>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</si>
  <si>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</si>
  <si>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</si>
  <si>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</si>
  <si>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</si>
  <si>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</si>
  <si>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</si>
  <si>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</si>
  <si>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</si>
  <si>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</si>
  <si>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</si>
  <si>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</si>
  <si>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</si>
  <si>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</si>
  <si>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</si>
  <si>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</si>
  <si>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</si>
  <si>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</si>
  <si>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</si>
  <si>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</si>
  <si>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</si>
  <si>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</si>
  <si>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</si>
  <si>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</si>
  <si>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</si>
  <si>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</si>
  <si>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</si>
  <si>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</si>
  <si>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</si>
  <si>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</si>
  <si>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</si>
  <si>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</si>
  <si>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</si>
  <si>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</si>
  <si>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</si>
  <si>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</si>
  <si>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</si>
  <si>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</si>
  <si>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</si>
  <si>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</si>
  <si>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</si>
  <si>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</si>
  <si>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</si>
  <si>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</si>
  <si>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</si>
  <si>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</si>
  <si>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</si>
  <si>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</si>
  <si>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</si>
  <si>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</si>
  <si>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</si>
  <si>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</si>
  <si>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</si>
  <si>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</si>
  <si>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</si>
  <si>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</si>
  <si>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</si>
  <si>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</si>
  <si>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</si>
  <si>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</si>
  <si>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</si>
  <si>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</si>
  <si>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</si>
  <si>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</si>
  <si>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</si>
  <si>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</si>
  <si>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</si>
  <si>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</si>
  <si>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</si>
  <si>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</si>
  <si>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</si>
  <si>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</si>
  <si>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</si>
  <si>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</si>
  <si>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</si>
  <si>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</si>
  <si>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</si>
  <si>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</si>
  <si>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</si>
  <si>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</si>
  <si>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</si>
  <si>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</si>
  <si>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</si>
  <si>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</si>
  <si>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</si>
  <si>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</si>
  <si>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</si>
  <si>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</si>
  <si>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</si>
  <si>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</si>
  <si>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</si>
  <si>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</si>
  <si>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</si>
  <si>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</si>
  <si>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</si>
  <si>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</si>
  <si>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</si>
  <si>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</si>
  <si>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</si>
  <si>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</si>
  <si>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</si>
  <si>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</si>
  <si>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</si>
  <si>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</si>
  <si>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</si>
  <si>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</si>
  <si>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</si>
  <si>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</si>
  <si>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</si>
  <si>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</si>
  <si>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</si>
  <si>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</si>
  <si>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</si>
  <si>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</si>
  <si>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</si>
  <si>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</si>
  <si>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</si>
  <si>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</si>
  <si>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</si>
  <si>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</si>
  <si>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</si>
  <si>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</si>
  <si>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</si>
  <si>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</si>
  <si>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</si>
  <si>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</si>
  <si>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</si>
  <si>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</si>
  <si>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</si>
  <si>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</si>
  <si>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</si>
  <si>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</si>
  <si>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</si>
  <si>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</si>
  <si>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</si>
  <si>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</si>
  <si>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</si>
  <si>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</si>
  <si>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</si>
  <si>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</si>
  <si>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</si>
  <si>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</si>
  <si>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</si>
  <si>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</si>
  <si>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</si>
  <si>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</si>
  <si>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</si>
  <si>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</si>
  <si>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</si>
  <si>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</si>
  <si>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</si>
  <si>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</si>
  <si>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</si>
  <si>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</si>
  <si>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</si>
  <si>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</si>
  <si>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</si>
  <si>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</si>
  <si>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</si>
  <si>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</si>
  <si>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</si>
  <si>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</si>
  <si>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</si>
  <si>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</si>
  <si>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</si>
  <si>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</si>
  <si>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</si>
  <si>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</si>
  <si>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</si>
  <si>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</si>
  <si>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</si>
  <si>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</si>
  <si>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</si>
  <si>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</si>
  <si>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</si>
  <si>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</si>
  <si>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</si>
  <si>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</si>
  <si>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</si>
  <si>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</si>
  <si>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</si>
  <si>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</si>
  <si>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</si>
  <si>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</si>
  <si>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</si>
  <si>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</si>
  <si>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</si>
  <si>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</si>
  <si>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</si>
  <si>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</si>
  <si>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</si>
  <si>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</si>
  <si>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</si>
  <si>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</si>
  <si>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</si>
  <si>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</si>
  <si>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</si>
  <si>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</si>
  <si>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</si>
  <si>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</si>
  <si>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</si>
  <si>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</si>
  <si>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</si>
  <si>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</si>
  <si>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</si>
  <si>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</si>
  <si>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</si>
  <si>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</si>
  <si>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</si>
  <si>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</si>
  <si>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</si>
  <si>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</si>
  <si>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</si>
  <si>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</si>
  <si>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</si>
  <si>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</si>
  <si>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</si>
  <si>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</si>
  <si>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</si>
  <si>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</si>
  <si>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</si>
  <si>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</si>
  <si>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</si>
  <si>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</si>
  <si>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</si>
  <si>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</si>
  <si>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</si>
  <si>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</si>
  <si>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</si>
  <si>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</si>
  <si>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</si>
  <si>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</si>
  <si>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</si>
  <si>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</si>
  <si>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</si>
  <si>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</si>
  <si>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</si>
  <si>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</si>
  <si>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</si>
  <si>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</si>
  <si>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</si>
  <si>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</si>
  <si>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</si>
  <si>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</si>
  <si>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</si>
  <si>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</si>
  <si>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</si>
  <si>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</si>
  <si>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</si>
  <si>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</si>
  <si>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</si>
  <si>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</si>
  <si>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</si>
  <si>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</si>
  <si>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</si>
  <si>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</si>
  <si>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</si>
  <si>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</si>
  <si>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</si>
  <si>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</si>
  <si>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</si>
  <si>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</si>
  <si>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</si>
  <si>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</si>
  <si>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</si>
  <si>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</si>
  <si>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</si>
  <si>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</si>
  <si>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</si>
  <si>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</si>
  <si>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</si>
  <si>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</si>
  <si>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</si>
  <si>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</si>
  <si>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</si>
  <si>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</si>
  <si>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</si>
  <si>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</si>
  <si>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</si>
  <si>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</si>
  <si>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</si>
  <si>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</si>
  <si>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</si>
  <si>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</si>
  <si>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</si>
  <si>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</si>
  <si>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</si>
  <si>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</si>
  <si>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</si>
  <si>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</si>
  <si>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</si>
  <si>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</si>
  <si>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</si>
  <si>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</si>
  <si>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</si>
  <si>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</si>
  <si>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</si>
  <si>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</si>
  <si>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</si>
  <si>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</si>
  <si>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</si>
  <si>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</si>
  <si>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</si>
  <si>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</si>
  <si>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</si>
  <si>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</si>
  <si>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</si>
  <si>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</si>
  <si>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</si>
  <si>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</si>
  <si>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</si>
  <si>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</si>
  <si>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</si>
  <si>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</si>
  <si>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</si>
  <si>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</si>
  <si>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</si>
  <si>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</si>
  <si>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</si>
  <si>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</si>
  <si>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</si>
  <si>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</si>
  <si>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</si>
  <si>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</si>
  <si>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</si>
  <si>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</si>
  <si>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</si>
  <si>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</si>
  <si>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</si>
  <si>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</si>
  <si>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</si>
  <si>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</si>
  <si>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</si>
  <si>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</si>
  <si>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</si>
  <si>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</si>
  <si>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</si>
  <si>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</si>
  <si>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</si>
  <si>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</si>
  <si>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</si>
  <si>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</si>
  <si>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</si>
  <si>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</si>
  <si>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</si>
  <si>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</si>
  <si>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</si>
  <si>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</si>
  <si>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</si>
  <si>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</si>
  <si>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</si>
  <si>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</si>
  <si>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</si>
  <si>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</si>
  <si>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</si>
  <si>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</si>
  <si>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</si>
  <si>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</si>
  <si>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</si>
  <si>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</si>
  <si>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</si>
  <si>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</si>
  <si>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</si>
  <si>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</si>
  <si>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</si>
  <si>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</si>
  <si>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</si>
  <si>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</si>
  <si>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</si>
  <si>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</si>
  <si>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</si>
  <si>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</si>
  <si>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</si>
  <si>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</si>
  <si>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</si>
  <si>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</si>
  <si>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</si>
  <si>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</si>
  <si>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</si>
  <si>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</si>
  <si>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</si>
  <si>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</si>
  <si>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</si>
  <si>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</si>
  <si>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</si>
  <si>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</si>
  <si>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</si>
  <si>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</si>
  <si>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</si>
  <si>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</si>
  <si>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</si>
  <si>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</si>
  <si>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</si>
  <si>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</si>
  <si>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</si>
  <si>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</si>
  <si>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</si>
  <si>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</si>
  <si>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</si>
  <si>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</si>
  <si>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</si>
  <si>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</si>
  <si>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</si>
  <si>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</si>
  <si>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</si>
  <si>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</si>
  <si>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</si>
  <si>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</si>
  <si>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</si>
  <si>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</si>
  <si>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</si>
  <si>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</si>
  <si>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</si>
  <si>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</si>
  <si>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</si>
  <si>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</si>
  <si>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</si>
  <si>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</si>
  <si>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</si>
  <si>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</si>
  <si>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</si>
  <si>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</si>
  <si>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</si>
  <si>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</si>
  <si>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</si>
  <si>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</si>
  <si>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</si>
  <si>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</si>
  <si>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</si>
  <si>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</si>
  <si>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</si>
  <si>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</si>
  <si>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</si>
  <si>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</si>
  <si>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</si>
  <si>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</si>
  <si>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</si>
  <si>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</si>
  <si>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</si>
  <si>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</si>
  <si>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</si>
  <si>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</si>
  <si>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</si>
  <si>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</si>
  <si>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</si>
  <si>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</si>
  <si>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</si>
  <si>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</si>
  <si>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</si>
  <si>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</si>
  <si>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</si>
  <si>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</si>
  <si>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</si>
  <si>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</si>
  <si>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</si>
  <si>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</si>
  <si>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</si>
  <si>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</si>
  <si>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</si>
  <si>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</si>
  <si>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</si>
  <si>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</si>
  <si>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</si>
  <si>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</si>
  <si>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</si>
  <si>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</si>
  <si>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</si>
  <si>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</si>
  <si>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</si>
  <si>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</si>
  <si>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</si>
  <si>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</si>
  <si>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</si>
  <si>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</si>
  <si>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</si>
  <si>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</si>
  <si>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</si>
  <si>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</si>
  <si>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</si>
  <si>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</si>
  <si>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</si>
  <si>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</si>
  <si>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</si>
  <si>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</si>
  <si>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</si>
  <si>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</si>
  <si>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</si>
  <si>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</si>
  <si>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</si>
  <si>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</si>
  <si>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</si>
  <si>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</si>
  <si>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</si>
  <si>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</si>
  <si>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</si>
  <si>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</si>
  <si>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</si>
  <si>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</si>
  <si>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</si>
  <si>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</si>
  <si>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</si>
  <si>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</si>
  <si>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</si>
  <si>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</si>
  <si>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</si>
  <si>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</si>
  <si>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</si>
  <si>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</si>
  <si>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</si>
  <si>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</si>
  <si>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</si>
  <si>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</si>
  <si>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</si>
  <si>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</si>
  <si>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</si>
  <si>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</si>
  <si>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</si>
  <si>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</si>
  <si>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</si>
  <si>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</si>
  <si>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</si>
  <si>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</si>
  <si>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</si>
  <si>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</si>
  <si>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</si>
  <si>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</si>
  <si>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</si>
  <si>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</si>
  <si>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</si>
  <si>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</si>
  <si>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</si>
  <si>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</si>
  <si>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</si>
  <si>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</si>
  <si>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</si>
  <si>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</si>
  <si>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</si>
  <si>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</si>
  <si>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</si>
  <si>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</si>
  <si>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</si>
  <si>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</si>
  <si>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</si>
  <si>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</si>
  <si>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</si>
  <si>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</si>
  <si>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</si>
  <si>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</si>
  <si>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</si>
  <si>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</si>
  <si>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</si>
  <si>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</si>
  <si>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</si>
  <si>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</si>
  <si>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</si>
  <si>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</si>
  <si>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</si>
  <si>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</si>
  <si>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</si>
  <si>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</si>
  <si>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</si>
  <si>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</si>
  <si>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</si>
  <si>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</si>
  <si>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</si>
  <si>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</si>
  <si>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</si>
  <si>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</si>
  <si>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</si>
  <si>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</si>
  <si>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</si>
  <si>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</si>
  <si>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</si>
  <si>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</si>
  <si>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</si>
  <si>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</si>
  <si>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</si>
  <si>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</si>
  <si>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</si>
  <si>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</si>
  <si>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</si>
  <si>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</si>
  <si>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</si>
  <si>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</si>
  <si>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</si>
  <si>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</si>
  <si>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</si>
  <si>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</si>
  <si>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</si>
  <si>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</si>
  <si>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</si>
  <si>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</si>
  <si>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</si>
  <si>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</si>
  <si>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</si>
  <si>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</si>
  <si>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</si>
  <si>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</si>
  <si>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</si>
  <si>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</si>
  <si>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</si>
  <si>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</si>
  <si>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</si>
  <si>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</si>
  <si>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</si>
  <si>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</si>
  <si>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</si>
  <si>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</si>
  <si>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</si>
  <si>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</si>
  <si>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</si>
  <si>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</si>
  <si>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</si>
  <si>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</si>
  <si>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</si>
  <si>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</si>
  <si>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</si>
  <si>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</si>
  <si>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</si>
  <si>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</si>
  <si>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</si>
  <si>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</si>
  <si>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</si>
  <si>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</si>
  <si>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</si>
  <si>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</si>
  <si>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</si>
  <si>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</si>
  <si>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</si>
  <si>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</si>
  <si>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</si>
  <si>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</si>
  <si>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</si>
  <si>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</si>
  <si>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</si>
  <si>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</si>
  <si>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</si>
  <si>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</si>
  <si>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</si>
  <si>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</si>
  <si>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</si>
  <si>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</si>
  <si>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</si>
  <si>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</si>
  <si>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</si>
  <si>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</si>
  <si>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</si>
  <si>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</si>
  <si>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</si>
  <si>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</si>
  <si>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</si>
  <si>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</si>
  <si>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</si>
  <si>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</si>
  <si>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</si>
  <si>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</si>
  <si>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</si>
  <si>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</si>
  <si>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</si>
  <si>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</si>
  <si>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</si>
  <si>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</si>
  <si>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</si>
  <si>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</si>
  <si>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</si>
  <si>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</si>
  <si>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</si>
  <si>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</si>
  <si>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</si>
  <si>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</si>
  <si>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</si>
  <si>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</si>
  <si>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</si>
  <si>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</si>
  <si>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</si>
  <si>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</si>
  <si>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</si>
  <si>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</si>
  <si>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</si>
  <si>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</si>
  <si>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</si>
  <si>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</si>
  <si>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</si>
  <si>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</si>
  <si>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</si>
  <si>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</si>
  <si>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</si>
  <si>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</si>
  <si>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</si>
  <si>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</si>
  <si>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</si>
  <si>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</si>
  <si>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</si>
  <si>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</si>
  <si>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</si>
  <si>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</si>
  <si>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</si>
  <si>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</si>
  <si>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</si>
  <si>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</si>
  <si>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</si>
  <si>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</si>
  <si>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</si>
  <si>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</si>
  <si>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</si>
  <si>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</si>
  <si>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</si>
  <si>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</si>
  <si>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</si>
  <si>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</si>
  <si>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</si>
  <si>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</si>
  <si>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</si>
  <si>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</si>
  <si>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</si>
  <si>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</si>
  <si>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</si>
  <si>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</si>
  <si>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</si>
  <si>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</si>
  <si>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</si>
  <si>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</si>
  <si>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</si>
  <si>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</si>
  <si>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</si>
  <si>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</si>
  <si>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</si>
  <si>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</si>
  <si>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</si>
  <si>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</si>
  <si>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</si>
  <si>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</si>
  <si>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</si>
  <si>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</si>
  <si>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</si>
  <si>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</si>
  <si>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</si>
  <si>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</si>
  <si>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</si>
  <si>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</si>
  <si>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</si>
  <si>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</si>
  <si>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</si>
  <si>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</si>
  <si>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</si>
  <si>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</si>
  <si>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</si>
  <si>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</si>
  <si>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</si>
  <si>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</si>
  <si>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</si>
  <si>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</si>
  <si>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</si>
  <si>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</si>
  <si>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</si>
  <si>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</si>
  <si>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</si>
  <si>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</si>
  <si>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</si>
  <si>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</si>
  <si>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</si>
  <si>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</si>
  <si>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</si>
  <si>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</si>
  <si>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</si>
  <si>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</si>
  <si>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</si>
  <si>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</si>
  <si>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</si>
  <si>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</si>
  <si>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</si>
  <si>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</si>
  <si>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</si>
  <si>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</si>
  <si>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</si>
  <si>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</si>
  <si>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</si>
  <si>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</si>
  <si>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</si>
  <si>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</si>
  <si>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</si>
  <si>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</si>
  <si>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</si>
  <si>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</si>
  <si>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</si>
  <si>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</si>
  <si>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</si>
  <si>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</si>
  <si>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</si>
  <si>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</si>
  <si>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</si>
  <si>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</si>
  <si>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</si>
  <si>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</si>
  <si>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</si>
  <si>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</si>
  <si>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</si>
  <si>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</si>
  <si>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</si>
  <si>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</si>
  <si>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</si>
  <si>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</si>
  <si>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</si>
  <si>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</si>
  <si>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</si>
  <si>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</si>
  <si>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</si>
  <si>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</si>
  <si>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</si>
  <si>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</si>
  <si>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</si>
  <si>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</si>
  <si>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</si>
  <si>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</si>
  <si>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</si>
  <si>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</si>
  <si>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</si>
  <si>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</si>
  <si>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</si>
  <si>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</si>
  <si>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</si>
  <si>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</si>
  <si>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</si>
  <si>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</si>
  <si>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</si>
  <si>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</si>
  <si>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</si>
  <si>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</si>
  <si>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</si>
  <si>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</si>
  <si>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</si>
  <si>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</si>
  <si>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</si>
  <si>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</si>
  <si>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</si>
  <si>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</si>
  <si>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</si>
  <si>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</si>
  <si>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</si>
  <si>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</si>
  <si>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</si>
  <si>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</si>
  <si>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</si>
  <si>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</si>
  <si>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</si>
  <si>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</si>
  <si>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</si>
  <si>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</si>
  <si>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</si>
  <si>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</si>
  <si>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</si>
  <si>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</si>
  <si>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</si>
  <si>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</si>
  <si>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</si>
  <si>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</si>
  <si>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</si>
  <si>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</si>
  <si>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</si>
  <si>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</si>
  <si>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</si>
  <si>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</si>
  <si>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</si>
  <si>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</si>
  <si>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</si>
  <si>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</si>
  <si>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</si>
  <si>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</si>
  <si>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</si>
  <si>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</si>
  <si>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</si>
  <si>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</si>
  <si>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</si>
  <si>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</si>
  <si>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</si>
  <si>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</si>
  <si>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</si>
  <si>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</si>
  <si>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</si>
  <si>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</si>
  <si>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</si>
  <si>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</si>
  <si>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</si>
  <si>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</si>
  <si>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</si>
  <si>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</si>
  <si>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</si>
  <si>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</si>
  <si>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</si>
  <si>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</si>
  <si>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</si>
  <si>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</si>
  <si>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</si>
  <si>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</si>
  <si>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</si>
  <si>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</si>
  <si>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</si>
  <si>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</si>
  <si>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</si>
  <si>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</si>
  <si>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</si>
  <si>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</si>
  <si>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</si>
  <si>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</si>
  <si>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</si>
  <si>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</si>
  <si>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</si>
  <si>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</si>
  <si>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</si>
  <si>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</si>
  <si>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</si>
  <si>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</si>
  <si>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</si>
  <si>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</si>
  <si>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</si>
  <si>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</si>
  <si>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</si>
  <si>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</si>
  <si>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</si>
  <si>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</si>
  <si>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</si>
  <si>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</si>
  <si>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</si>
  <si>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</si>
  <si>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</si>
  <si>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</si>
  <si>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</si>
  <si>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</si>
  <si>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</si>
  <si>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</si>
  <si>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</si>
  <si>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</si>
  <si>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</si>
  <si>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</si>
  <si>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</si>
  <si>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</si>
  <si>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</si>
  <si>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</si>
  <si>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</si>
  <si>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</si>
  <si>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</si>
  <si>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</si>
  <si>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</si>
  <si>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</si>
  <si>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</si>
  <si>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</si>
  <si>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</si>
  <si>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</si>
  <si>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</si>
  <si>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</si>
  <si>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</si>
  <si>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</si>
  <si>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</si>
  <si>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</si>
  <si>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</si>
  <si>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</si>
  <si>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</si>
  <si>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</si>
  <si>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</si>
  <si>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</si>
  <si>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</si>
  <si>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</si>
  <si>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</si>
  <si>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</si>
  <si>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</si>
  <si>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</si>
  <si>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</si>
  <si>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</si>
  <si>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</si>
  <si>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</si>
  <si>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</si>
  <si>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</si>
  <si>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</si>
  <si>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</si>
  <si>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</si>
  <si>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</si>
  <si>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</si>
  <si>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</si>
  <si>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</si>
  <si>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</si>
  <si>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</si>
  <si>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</si>
  <si>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</si>
  <si>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</si>
  <si>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</si>
  <si>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</si>
  <si>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</si>
  <si>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</si>
  <si>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</si>
  <si>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</si>
  <si>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</si>
  <si>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</si>
  <si>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</si>
  <si>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</si>
  <si>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</si>
  <si>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</si>
  <si>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</si>
  <si>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</si>
  <si>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</si>
  <si>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</si>
  <si>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</si>
  <si>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</si>
  <si>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</si>
  <si>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</si>
  <si>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</si>
  <si>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</si>
  <si>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</si>
  <si>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</si>
  <si>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</si>
  <si>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</si>
  <si>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</si>
  <si>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</si>
  <si>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</si>
  <si>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</si>
  <si>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</si>
  <si>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</si>
  <si>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</si>
  <si>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</si>
  <si>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</si>
  <si>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</si>
  <si>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</si>
  <si>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</si>
  <si>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</si>
  <si>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</si>
  <si>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</si>
  <si>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</si>
  <si>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</si>
  <si>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</si>
  <si>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</si>
  <si>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</si>
  <si>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</si>
  <si>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</si>
  <si>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</si>
  <si>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</si>
  <si>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</si>
  <si>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</si>
  <si>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</si>
  <si>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</si>
  <si>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</si>
  <si>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</si>
  <si>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</si>
  <si>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</si>
  <si>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</si>
  <si>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</si>
  <si>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</si>
  <si>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</si>
  <si>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</si>
  <si>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</si>
  <si>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</si>
  <si>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</si>
  <si>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</si>
  <si>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</si>
  <si>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</si>
  <si>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</si>
  <si>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</si>
  <si>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</si>
  <si>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</si>
  <si>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</si>
  <si>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</si>
  <si>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</si>
  <si>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</si>
  <si>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</si>
  <si>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</si>
  <si>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</si>
  <si>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</si>
  <si>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</si>
  <si>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</si>
  <si>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</si>
  <si>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</si>
  <si>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</si>
  <si>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</si>
  <si>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</si>
  <si>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</si>
  <si>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</si>
  <si>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</si>
  <si>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</si>
  <si>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</si>
  <si>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</si>
  <si>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</si>
  <si>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</si>
  <si>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</si>
  <si>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</si>
  <si>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</si>
  <si>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</si>
  <si>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</si>
  <si>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</si>
  <si>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</si>
  <si>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</si>
  <si>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</si>
  <si>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</si>
  <si>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</si>
  <si>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</si>
  <si>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</si>
  <si>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</si>
  <si>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</si>
  <si>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</si>
  <si>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</si>
  <si>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</si>
  <si>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</si>
  <si>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</si>
  <si>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</si>
  <si>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</si>
  <si>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</si>
  <si>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</si>
  <si>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</si>
  <si>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</si>
  <si>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</si>
  <si>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</si>
  <si>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</si>
  <si>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</si>
  <si>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</si>
  <si>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</si>
  <si>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</si>
  <si>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</si>
  <si>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</si>
  <si>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</si>
  <si>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</si>
  <si>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</si>
  <si>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</si>
  <si>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</si>
  <si>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</si>
  <si>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</si>
  <si>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</si>
  <si>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</si>
  <si>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</si>
  <si>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</si>
  <si>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</si>
  <si>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</si>
  <si>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</si>
  <si>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</si>
  <si>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</si>
  <si>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</si>
  <si>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</si>
  <si>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</si>
  <si>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</si>
  <si>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</si>
  <si>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</si>
  <si>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</si>
  <si>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</si>
  <si>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</si>
  <si>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</si>
  <si>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</si>
  <si>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</si>
  <si>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</si>
  <si>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</si>
  <si>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</si>
  <si>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</si>
  <si>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</si>
  <si>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</si>
  <si>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</si>
  <si>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</si>
  <si>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</si>
  <si>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</si>
  <si>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</si>
  <si>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</si>
  <si>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</si>
  <si>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</si>
  <si>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</si>
  <si>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</si>
  <si>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</si>
  <si>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</si>
  <si>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</si>
  <si>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</si>
  <si>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</si>
  <si>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</si>
  <si>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</si>
  <si>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</si>
  <si>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</si>
  <si>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</si>
  <si>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</si>
  <si>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</si>
  <si>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</si>
  <si>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</si>
  <si>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</si>
  <si>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</si>
  <si>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</si>
  <si>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</si>
  <si>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</si>
  <si>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</si>
  <si>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</si>
  <si>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</si>
  <si>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</si>
  <si>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</si>
  <si>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</si>
  <si>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</si>
  <si>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</si>
  <si>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</si>
  <si>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</si>
  <si>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</si>
  <si>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</si>
  <si>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</si>
  <si>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</si>
  <si>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</si>
  <si>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</si>
  <si>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</si>
  <si>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</si>
  <si>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</si>
  <si>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</si>
  <si>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</si>
  <si>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</si>
  <si>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</si>
  <si>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</si>
  <si>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</si>
  <si>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</si>
  <si>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</si>
  <si>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</si>
  <si>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</si>
  <si>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</si>
  <si>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</si>
  <si>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Ramona Preservation LP</t>
  </si>
  <si>
    <t>Montecito Village</t>
  </si>
  <si>
    <t>San Diego Housing Commission</t>
  </si>
  <si>
    <t>Colin Miller</t>
  </si>
  <si>
    <t>Vice President Multihousing Finance</t>
  </si>
  <si>
    <t>1122 Broadway, Suite 300</t>
  </si>
  <si>
    <t>(619) 578-7569</t>
  </si>
  <si>
    <t>(619) 578-7356</t>
  </si>
  <si>
    <t>colinm@sdhc.org</t>
  </si>
  <si>
    <t>1464 Montecito Road</t>
  </si>
  <si>
    <t>Ramona</t>
  </si>
  <si>
    <t>760-157-09-00</t>
  </si>
  <si>
    <t>40%/60%</t>
  </si>
  <si>
    <t>701 5th Avenue, Suite 5700</t>
  </si>
  <si>
    <t>Seattle</t>
  </si>
  <si>
    <t>WA</t>
  </si>
  <si>
    <t>Chase Olson</t>
  </si>
  <si>
    <t>206-753-0960</t>
  </si>
  <si>
    <t>chaseo@secprop.com</t>
  </si>
  <si>
    <t>Security Properties</t>
  </si>
  <si>
    <t>Ramona Preservation GP LLC</t>
  </si>
  <si>
    <t>Administrative GP</t>
  </si>
  <si>
    <t>Las Palmas Housing &amp; Development Corporation</t>
  </si>
  <si>
    <t>531 Encinitas Blvd # 206</t>
  </si>
  <si>
    <t>Encinitas</t>
  </si>
  <si>
    <t>CA</t>
  </si>
  <si>
    <t>Noami Pines</t>
  </si>
  <si>
    <t>760-944-9050</t>
  </si>
  <si>
    <t>npines@laspalmashousing.com</t>
  </si>
  <si>
    <t>General Partner and Developer</t>
  </si>
  <si>
    <t>SP Tax Credit Developer II LLC</t>
  </si>
  <si>
    <t>701 5th Ave, Suite 5700</t>
  </si>
  <si>
    <t>Seattle, WA 98104</t>
  </si>
  <si>
    <t>Basis Architecture</t>
  </si>
  <si>
    <t>2130 4th Street</t>
  </si>
  <si>
    <t>San Rafael, CA</t>
  </si>
  <si>
    <t>Charlie Pick</t>
  </si>
  <si>
    <t>415-233-3778</t>
  </si>
  <si>
    <t>cpick@basisarch.com</t>
  </si>
  <si>
    <t>Downs, Pham &amp; Kuei</t>
  </si>
  <si>
    <t>235 Montgomery Street, 30th Floor</t>
  </si>
  <si>
    <t>San Francisco, CA 94104</t>
  </si>
  <si>
    <t>Daniel Felix</t>
  </si>
  <si>
    <t>415-964-4407</t>
  </si>
  <si>
    <t>dfelix@secprop.com</t>
  </si>
  <si>
    <t>TBD</t>
  </si>
  <si>
    <t>Carter &amp; Co</t>
  </si>
  <si>
    <t>543 Harbor Blvd, Suite 201</t>
  </si>
  <si>
    <t>Destin, FL 32541</t>
  </si>
  <si>
    <t>Ken Bryant</t>
  </si>
  <si>
    <t>850-650-0125</t>
  </si>
  <si>
    <t>ken@cartercpa.net</t>
  </si>
  <si>
    <t>6700 Antioch Road, Suite 450</t>
  </si>
  <si>
    <t>Merriam, Kansas 66204</t>
  </si>
  <si>
    <t>Rachel Denton</t>
  </si>
  <si>
    <t>913-312-4612</t>
  </si>
  <si>
    <t>Rachel.Denton@novoco.com</t>
  </si>
  <si>
    <t>The John Stewart Company</t>
  </si>
  <si>
    <t>1388 Sutter Street, 11th Floor</t>
  </si>
  <si>
    <t>San Francisco, CA 94109</t>
  </si>
  <si>
    <t>Jennifer Wood</t>
  </si>
  <si>
    <t>415-435-4400</t>
  </si>
  <si>
    <t>jwood@jsco.net</t>
  </si>
  <si>
    <t>CMFA</t>
  </si>
  <si>
    <t>2111 Palomar Airport Road, Suite 320</t>
  </si>
  <si>
    <t>Carlsbad, CA 92011</t>
  </si>
  <si>
    <t>Ben Barker</t>
  </si>
  <si>
    <t>bbarker@cmfa-ca.com</t>
  </si>
  <si>
    <t>760-795-9187</t>
  </si>
  <si>
    <t>Appraisal</t>
  </si>
  <si>
    <t>Family Affordable Multifamily Housing</t>
  </si>
  <si>
    <t>One or Two Story Garden</t>
  </si>
  <si>
    <t>RM-V5 Multi-Family Residential</t>
  </si>
  <si>
    <t>RM-V5 &amp; 24 units per acre</t>
  </si>
  <si>
    <t>no change proposed</t>
  </si>
  <si>
    <t>Montecito Village Affordable, LP</t>
  </si>
  <si>
    <t>Steve TeSelle</t>
  </si>
  <si>
    <t>Managing Director</t>
  </si>
  <si>
    <t>701 Fifth Avenue, Suite 5700, Seattle, WA 98104</t>
  </si>
  <si>
    <t>2 floors/35 feet (conforming)</t>
  </si>
  <si>
    <t>SP Tax Credit Developer II - DDF</t>
  </si>
  <si>
    <t>Seller Note</t>
  </si>
  <si>
    <t>Tax-Exempt Bond Mortgage</t>
  </si>
  <si>
    <t>n/a</t>
  </si>
  <si>
    <t>Taxable Bond Mortgage</t>
  </si>
  <si>
    <t>Seattle, WA</t>
  </si>
  <si>
    <t>Tax Credit Equity</t>
  </si>
  <si>
    <t>206-628-8005</t>
  </si>
  <si>
    <t>Provided</t>
  </si>
  <si>
    <t>Not Applicable</t>
  </si>
  <si>
    <t>L.A. LOMOD UA Analysis</t>
  </si>
  <si>
    <t>R4 - Tax Credit Equity</t>
  </si>
  <si>
    <t>780 Third Avenue, 16th Floor</t>
  </si>
  <si>
    <t>New York, NY</t>
  </si>
  <si>
    <t>Adam Cohen</t>
  </si>
  <si>
    <t>646-576-7665</t>
  </si>
  <si>
    <t>L.A. LOMOD</t>
  </si>
  <si>
    <t>Damages/Cleaning/Misc.</t>
  </si>
  <si>
    <t>Office Supplies/Telephone/Misc.</t>
  </si>
  <si>
    <t>Payload &amp; Benefits</t>
  </si>
  <si>
    <t>HVAC &amp; Plumbing</t>
  </si>
  <si>
    <t>Bond Issuer Fee</t>
  </si>
  <si>
    <t>HUD</t>
  </si>
  <si>
    <t>Project-based contract (PBC)</t>
  </si>
  <si>
    <t>2.0 per dwelling (legal nonconforming)</t>
  </si>
  <si>
    <t>Fannie Mae</t>
  </si>
  <si>
    <t>Suzie Cope</t>
  </si>
  <si>
    <t>646-398-4675</t>
  </si>
  <si>
    <t>Private Mortgage Insurance</t>
  </si>
  <si>
    <t>Fannie Mae MTEBS</t>
  </si>
  <si>
    <t>3033 East First Ave, Suite 837</t>
  </si>
  <si>
    <t>Denver, CO</t>
  </si>
  <si>
    <t>Lument - Tax-Exempt</t>
  </si>
  <si>
    <t>Lument - Taxable Tail</t>
  </si>
  <si>
    <t>Working Capital</t>
  </si>
  <si>
    <t>P&amp;P Bonds</t>
  </si>
  <si>
    <t>Legal and Due Diligence</t>
  </si>
  <si>
    <t>Third Party Reports &amp; Misc. DD</t>
  </si>
  <si>
    <t>Other Legal</t>
  </si>
  <si>
    <t>R4 Capital</t>
  </si>
  <si>
    <t>Acohen@r4cap.com</t>
  </si>
  <si>
    <t>New York, NY 10017</t>
  </si>
  <si>
    <t>1 bedroom</t>
  </si>
  <si>
    <t>2 bedroom</t>
  </si>
  <si>
    <t>3 bedroom</t>
  </si>
  <si>
    <t>4 bedroom</t>
  </si>
  <si>
    <t>August</t>
  </si>
  <si>
    <t>, Washington</t>
  </si>
  <si>
    <t>Vice President</t>
  </si>
  <si>
    <t>County of San Diego</t>
  </si>
  <si>
    <t>Fixed</t>
  </si>
  <si>
    <t>Below residual receipts line for cash flow</t>
  </si>
  <si>
    <t>Bureau Veritas</t>
  </si>
  <si>
    <t>6021 University Boulevard Suite 200</t>
  </si>
  <si>
    <t>Ellicott City, MD 21043</t>
  </si>
  <si>
    <t>Mary Venable</t>
  </si>
  <si>
    <t>702-401-6126</t>
  </si>
  <si>
    <t>mary.venable@bureauveritas.com</t>
  </si>
  <si>
    <t>Secured by Leasehold Interest</t>
  </si>
  <si>
    <t>Exisiting HAP Contract</t>
  </si>
  <si>
    <t>Novogradac</t>
  </si>
  <si>
    <t>Recurring Bond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</si>
</sst>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0" borderId="6" xfId="271" applyFont="1" applyBorder="1" applyAlignment="1">
      <alignment horizontal="center"/>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96" workbookViewId="0">
      <selection activeCell="E138" sqref="E13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2573</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2347</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2502</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2348</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2579</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2497</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2355</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2356</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660</v>
      </c>
      <c r="F42" s="1264" t="s">
        <v>1268</v>
      </c>
    </row>
    <row r="43" spans="1:38" s="1264"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2350</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1295</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2351</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1385</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4" t="s">
        <v>1270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4" t="s">
        <v>1272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7" t="s">
        <v>1276</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4" t="s">
        <v>1278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1279</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1037</v>
      </c>
      <c r="G119" s="4"/>
    </row>
    <row r="120" spans="2:16">
      <c r="F120" s="99" t="s">
        <v>1291</v>
      </c>
      <c r="G120" s="99"/>
    </row>
    <row r="121" spans="2:16">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585</v>
      </c>
    </row>
    <row r="130" spans="4:37">
      <c r="E130" s="4" t="s">
        <v>941</v>
      </c>
      <c r="F130" s="4"/>
    </row>
    <row r="131" spans="4:37"/>
    <row r="132" spans="4:37">
      <c r="D132" s="2" t="s">
        <v>582</v>
      </c>
      <c r="E132" s="2" t="s">
        <v>732</v>
      </c>
      <c r="G132" s="2"/>
      <c r="H132" s="2"/>
      <c r="I132" s="2"/>
      <c r="J132" s="2"/>
      <c r="K132" s="2"/>
      <c r="L132" s="2"/>
      <c r="M132" s="2"/>
      <c r="N132" s="2"/>
    </row>
    <row r="133" spans="4:37">
      <c r="D133" s="2"/>
      <c r="E133" s="119" t="s">
        <v>1363</v>
      </c>
      <c r="G133" s="2"/>
      <c r="H133" s="2"/>
      <c r="I133" s="2"/>
      <c r="J133" s="2"/>
      <c r="K133" s="2"/>
      <c r="L133" s="2"/>
      <c r="M133" s="2"/>
      <c r="N133" s="2"/>
    </row>
    <row r="134" spans="4:37" ht="12.75" customHeight="1">
      <c r="E134" s="119" t="s">
        <v>1361</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1362</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304</v>
      </c>
      <c r="E140" s="2" t="s">
        <v>2352</v>
      </c>
      <c r="F140" s="2"/>
      <c r="G140" s="2"/>
      <c r="H140" s="2"/>
    </row>
    <row r="141" spans="4:37">
      <c r="E141" t="s">
        <v>112</v>
      </c>
      <c r="F141" t="s">
        <v>52</v>
      </c>
    </row>
    <row r="142" spans="4:37">
      <c r="E142" t="s">
        <v>113</v>
      </c>
      <c r="F142" t="s">
        <v>474</v>
      </c>
    </row>
    <row r="143" spans="4:37"/>
    <row r="144" spans="4:37">
      <c r="D144" s="2" t="s">
        <v>430</v>
      </c>
      <c r="E144" s="2" t="s">
        <v>2353</v>
      </c>
    </row>
    <row r="145" spans="3:7">
      <c r="E145" s="218" t="s">
        <v>2354</v>
      </c>
      <c r="F145" s="218"/>
    </row>
    <row r="146" spans="3:7"/>
    <row r="147" spans="3:7">
      <c r="C147" s="2" t="s">
        <v>6</v>
      </c>
      <c r="G147" s="2" t="s">
        <v>381</v>
      </c>
    </row>
    <row r="148" spans="3:7">
      <c r="D148" s="2" t="s">
        <v>208</v>
      </c>
      <c r="E148" s="2" t="s">
        <v>135</v>
      </c>
    </row>
    <row r="149" spans="3:7">
      <c r="E149" t="s">
        <v>805</v>
      </c>
    </row>
    <row r="150" spans="3:7"/>
    <row r="151" spans="3:7">
      <c r="D151" s="2" t="s">
        <v>342</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565</v>
      </c>
      <c r="E170" s="2" t="s">
        <v>630</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660</v>
      </c>
      <c r="G207" s="1264" t="s">
        <v>1280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589</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4" t="s">
        <v>1255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15" customHeight="1">
      <c r="B343" s="2"/>
      <c r="E343" s="1269" t="s">
        <v>1340</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1342</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1341</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760</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2" t="s">
        <v>1331</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1364</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1365</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1375</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1381</v>
      </c>
      <c r="F392" s="3"/>
      <c r="G392" s="2"/>
      <c r="I392" s="120"/>
      <c r="J392" s="3"/>
      <c r="K392" s="3"/>
      <c r="L392" s="3"/>
      <c r="M392" s="3"/>
      <c r="N392" s="3"/>
      <c r="O392" s="3"/>
      <c r="P392" s="3"/>
      <c r="Q392" s="3"/>
      <c r="R392" s="3"/>
      <c r="S392" s="3"/>
    </row>
    <row r="393" spans="1:38" ht="13.15" customHeight="1">
      <c r="B393" s="2"/>
      <c r="D393" s="2"/>
      <c r="E393" s="3" t="s">
        <v>1380</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29" zoomScaleNormal="100" workbookViewId="0">
      <selection activeCell="BO14" sqref="BO1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6" t="s">
        <v>2409</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2456</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2" t="str">
        <f>IF(Application!H18="","",Application!H18)</f>
        <v>Montecito Village</v>
      </c>
      <c r="M4" s="2573"/>
      <c r="N4" s="2573"/>
      <c r="O4" s="2573"/>
      <c r="P4" s="2573"/>
      <c r="Q4" s="2573"/>
      <c r="R4" s="2573"/>
      <c r="S4" s="2573"/>
      <c r="T4" s="2573"/>
      <c r="U4" s="2573"/>
      <c r="V4" s="2573"/>
      <c r="W4" s="2573"/>
      <c r="X4" s="2573"/>
      <c r="Y4" s="2573"/>
      <c r="Z4" s="2573"/>
      <c r="AA4" s="2573"/>
      <c r="AB4" s="2573"/>
      <c r="AC4" s="2574"/>
      <c r="AD4" s="1206"/>
      <c r="AE4" s="1206"/>
      <c r="AF4" s="2219" t="s">
        <v>2457</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2458</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1786</v>
      </c>
      <c r="C6" s="1206"/>
      <c r="D6" s="1206"/>
      <c r="E6" s="1206"/>
      <c r="F6" s="1206"/>
      <c r="G6" s="1206"/>
      <c r="H6" s="1206"/>
      <c r="I6" s="1206"/>
      <c r="J6" s="1206"/>
      <c r="K6" s="1206"/>
      <c r="L6" s="2572" t="str">
        <f>IF(Application!H16="","",Application!H16)</f>
        <v>Ramona Preservation LP</v>
      </c>
      <c r="M6" s="2573"/>
      <c r="N6" s="2573"/>
      <c r="O6" s="2573"/>
      <c r="P6" s="2573"/>
      <c r="Q6" s="2573"/>
      <c r="R6" s="2573"/>
      <c r="S6" s="2573"/>
      <c r="T6" s="2573"/>
      <c r="U6" s="2573"/>
      <c r="V6" s="2573"/>
      <c r="W6" s="2573"/>
      <c r="X6" s="2573"/>
      <c r="Y6" s="2573"/>
      <c r="Z6" s="2573"/>
      <c r="AA6" s="2573"/>
      <c r="AB6" s="2573"/>
      <c r="AC6" s="2574"/>
      <c r="AD6" s="1206"/>
      <c r="AE6" s="1206"/>
      <c r="AF6" s="2575" t="s">
        <v>2459</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2460</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thickBot="1">
      <c r="A8" s="1212"/>
      <c r="B8" s="1214" t="s">
        <v>1787</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2461</v>
      </c>
      <c r="AG8" s="2575"/>
      <c r="AH8" s="2575"/>
      <c r="AI8" s="2575"/>
      <c r="AJ8" s="2575"/>
      <c r="AK8" s="2575"/>
      <c r="AL8" s="2575"/>
      <c r="AM8" s="2575"/>
      <c r="AN8" s="2575"/>
      <c r="AO8" s="2575"/>
      <c r="AP8" s="2565" t="s">
        <v>2413</v>
      </c>
      <c r="AQ8" s="2565"/>
      <c r="AR8" s="2565"/>
      <c r="AS8" s="2565"/>
      <c r="AT8" s="2565"/>
      <c r="AU8" s="2565"/>
      <c r="AV8" s="1206"/>
      <c r="AW8" s="1206"/>
      <c r="AX8" s="1206"/>
      <c r="AY8" s="1206"/>
      <c r="AZ8" s="1206"/>
      <c r="BA8" s="1206"/>
      <c r="BB8" s="1206"/>
      <c r="BC8" s="1206"/>
      <c r="BD8" s="1206"/>
      <c r="BE8" s="1216"/>
      <c r="BM8" s="1197" t="s">
        <v>2289</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2619</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2462</v>
      </c>
    </row>
    <row r="10" spans="1:65" ht="15">
      <c r="A10" s="1212"/>
      <c r="B10" s="1214" t="s">
        <v>1788</v>
      </c>
      <c r="C10" s="1214"/>
      <c r="D10" s="1214"/>
      <c r="E10" s="1214"/>
      <c r="F10" s="1214"/>
      <c r="G10" s="1214"/>
      <c r="H10" s="1214"/>
      <c r="I10" s="1214"/>
      <c r="J10" s="1214"/>
      <c r="K10" s="1214"/>
      <c r="L10" s="1214"/>
      <c r="M10" s="1206"/>
      <c r="N10" s="2547">
        <f>Application!AO627</f>
        <v>15250000</v>
      </c>
      <c r="O10" s="2547"/>
      <c r="P10" s="2547"/>
      <c r="Q10" s="2547"/>
      <c r="R10" s="2547"/>
      <c r="S10" s="2547"/>
      <c r="T10" s="2547"/>
      <c r="U10" s="1206"/>
      <c r="V10" s="1206"/>
      <c r="W10" s="1206"/>
      <c r="X10" s="1255"/>
      <c r="Y10" s="1255"/>
      <c r="Z10" s="1255"/>
      <c r="AA10" s="1255"/>
      <c r="AB10" s="1255"/>
      <c r="AC10" s="1255"/>
      <c r="AD10" s="1255"/>
      <c r="AE10" s="1255"/>
      <c r="AF10" s="2219" t="s">
        <v>2618</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2464</v>
      </c>
    </row>
    <row r="11" spans="1:65" ht="15">
      <c r="A11" s="1212"/>
      <c r="B11" s="1214" t="s">
        <v>1789</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2617</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2413</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2467</v>
      </c>
    </row>
    <row r="13" spans="1:65" thickBot="1">
      <c r="A13" s="1206"/>
      <c r="B13" s="2554" t="s">
        <v>1790</v>
      </c>
      <c r="C13" s="2555"/>
      <c r="D13" s="2555"/>
      <c r="E13" s="2555"/>
      <c r="F13" s="2555"/>
      <c r="G13" s="2555"/>
      <c r="H13" s="2555"/>
      <c r="I13" s="2555"/>
      <c r="J13" s="2555"/>
      <c r="K13" s="2555"/>
      <c r="L13" s="2555"/>
      <c r="M13" s="2555"/>
      <c r="N13" s="2555"/>
      <c r="O13" s="2555"/>
      <c r="P13" s="2556"/>
      <c r="Q13" s="2557" t="s">
        <v>676</v>
      </c>
      <c r="R13" s="2558"/>
      <c r="S13" s="2558"/>
      <c r="T13" s="2559"/>
      <c r="U13" s="1255"/>
      <c r="V13" s="1206"/>
      <c r="W13" s="1206"/>
      <c r="X13" s="1206"/>
      <c r="Y13" s="1206"/>
      <c r="Z13" s="1206"/>
      <c r="AA13" s="2548" t="s">
        <v>2463</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5"/>
      <c r="AU13" s="1255"/>
      <c r="AV13" s="1255"/>
      <c r="AW13" s="1255"/>
      <c r="AX13" s="1255"/>
      <c r="AY13" s="1255"/>
      <c r="AZ13" s="1255"/>
      <c r="BA13" s="1255"/>
      <c r="BB13" s="1255"/>
      <c r="BC13" s="1255"/>
      <c r="BD13" s="1255"/>
      <c r="BE13" s="1202"/>
      <c r="BM13" s="1197" t="s">
        <v>2468</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2465</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thickBot="1">
      <c r="A15" s="1206"/>
      <c r="B15" s="2560" t="s">
        <v>1791</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2466</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8" t="s">
        <v>1792</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1793</v>
      </c>
      <c r="C18" s="2541"/>
      <c r="D18" s="2541"/>
      <c r="E18" s="2541"/>
      <c r="F18" s="2541"/>
      <c r="G18" s="2541"/>
      <c r="H18" s="2541"/>
      <c r="I18" s="2542"/>
      <c r="J18" s="2543" t="s">
        <v>1694</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1794</v>
      </c>
      <c r="AU18" s="2544"/>
      <c r="AV18" s="2544"/>
      <c r="AW18" s="2544"/>
      <c r="AX18" s="2544"/>
      <c r="AY18" s="2546"/>
      <c r="AZ18" s="1206"/>
      <c r="BA18" s="1206"/>
      <c r="BB18" s="1206"/>
      <c r="BC18" s="1206"/>
      <c r="BD18" s="1206"/>
      <c r="BE18" s="1202"/>
    </row>
    <row r="19" spans="1:58" ht="15">
      <c r="A19" s="1206"/>
      <c r="B19" s="2517">
        <v>0.3</v>
      </c>
      <c r="C19" s="2518"/>
      <c r="D19" s="2518"/>
      <c r="E19" s="2518"/>
      <c r="F19" s="2518"/>
      <c r="G19" s="2518"/>
      <c r="H19" s="2518"/>
      <c r="I19" s="2519"/>
      <c r="J19" s="2520">
        <f t="shared" ref="J19:J28" si="0">SUM(P19:AS19)</f>
        <v>7</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2</v>
      </c>
      <c r="W19" s="2521"/>
      <c r="X19" s="2521"/>
      <c r="Y19" s="2521"/>
      <c r="Z19" s="2521"/>
      <c r="AA19" s="2522"/>
      <c r="AB19" s="2520" cm="1">
        <f t="array" ref="AB19">SUMPRODUCT((Application!$B$714:$B$738 = 'CalHFA Addendum'!AB$18)*(Application!$AC$714:$AC$738 = 'CalHFA Addendum'!$B19),Application!$G$714:$G$738)</f>
        <v>2</v>
      </c>
      <c r="AC19" s="2521"/>
      <c r="AD19" s="2521"/>
      <c r="AE19" s="2521"/>
      <c r="AF19" s="2521"/>
      <c r="AG19" s="2522"/>
      <c r="AH19" s="2520" cm="1">
        <f t="array" ref="AH19">SUMPRODUCT((Application!$B$714:$B$738 = 'CalHFA Addendum'!AH$18)*(Application!$AC$714:$AC$738 = 'CalHFA Addendum'!$B19),Application!$G$714:$G$738)</f>
        <v>2</v>
      </c>
      <c r="AI19" s="2521"/>
      <c r="AJ19" s="2521"/>
      <c r="AK19" s="2521"/>
      <c r="AL19" s="2521"/>
      <c r="AM19" s="2522"/>
      <c r="AN19" s="2520" cm="1">
        <f t="array" ref="AN19">SUMPRODUCT((Application!$B$714:$B$738 = 'CalHFA Addendum'!AN$18)*(Application!$AC$714:$AC$738 = 'CalHFA Addendum'!$B19),Application!$G$714:$G$738)</f>
        <v>1</v>
      </c>
      <c r="AO19" s="2521"/>
      <c r="AP19" s="2521"/>
      <c r="AQ19" s="2521"/>
      <c r="AR19" s="2521"/>
      <c r="AS19" s="2522"/>
      <c r="AT19" s="2523">
        <f t="shared" ref="AT19:AT29" si="1">J19/$J$29</f>
        <v>0.10144927536231885</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6"/>
      <c r="BA20" s="1206"/>
      <c r="BB20" s="1206"/>
      <c r="BC20" s="1206"/>
      <c r="BD20" s="1206"/>
      <c r="BE20" s="1202"/>
    </row>
    <row r="21" spans="1:58" ht="15">
      <c r="A21" s="1206"/>
      <c r="B21" s="2517">
        <v>0.5</v>
      </c>
      <c r="C21" s="2518"/>
      <c r="D21" s="2518"/>
      <c r="E21" s="2518"/>
      <c r="F21" s="2518"/>
      <c r="G21" s="2518"/>
      <c r="H21" s="2518"/>
      <c r="I21" s="2519"/>
      <c r="J21" s="2520">
        <f t="shared" si="0"/>
        <v>21</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6</v>
      </c>
      <c r="W21" s="2521"/>
      <c r="X21" s="2521"/>
      <c r="Y21" s="2521"/>
      <c r="Z21" s="2521"/>
      <c r="AA21" s="2522"/>
      <c r="AB21" s="2520" cm="1">
        <f t="array" ref="AB21">SUMPRODUCT((Application!$B$714:$B$738 = 'CalHFA Addendum'!AB$18)*(Application!$AC$714:$AC$738 = 'CalHFA Addendum'!$B21),Application!$G$714:$G$738)</f>
        <v>6</v>
      </c>
      <c r="AC21" s="2521"/>
      <c r="AD21" s="2521"/>
      <c r="AE21" s="2521"/>
      <c r="AF21" s="2521"/>
      <c r="AG21" s="2522"/>
      <c r="AH21" s="2520" cm="1">
        <f t="array" ref="AH21">SUMPRODUCT((Application!$B$714:$B$738 = 'CalHFA Addendum'!AH$18)*(Application!$AC$714:$AC$738 = 'CalHFA Addendum'!$B21),Application!$G$714:$G$738)</f>
        <v>6</v>
      </c>
      <c r="AI21" s="2521"/>
      <c r="AJ21" s="2521"/>
      <c r="AK21" s="2521"/>
      <c r="AL21" s="2521"/>
      <c r="AM21" s="2522"/>
      <c r="AN21" s="2520" cm="1">
        <f t="array" ref="AN21">SUMPRODUCT((Application!$B$714:$B$738 = 'CalHFA Addendum'!AN$18)*(Application!$AC$714:$AC$738 = 'CalHFA Addendum'!$B21),Application!$G$714:$G$738)</f>
        <v>3</v>
      </c>
      <c r="AO21" s="2521"/>
      <c r="AP21" s="2521"/>
      <c r="AQ21" s="2521"/>
      <c r="AR21" s="2521"/>
      <c r="AS21" s="2522"/>
      <c r="AT21" s="2523">
        <f t="shared" si="1"/>
        <v>0.30434782608695654</v>
      </c>
      <c r="AU21" s="2524"/>
      <c r="AV21" s="2524"/>
      <c r="AW21" s="2524"/>
      <c r="AX21" s="2524"/>
      <c r="AY21" s="2525"/>
      <c r="AZ21" s="1206"/>
      <c r="BA21" s="1206"/>
      <c r="BB21" s="1206"/>
      <c r="BC21" s="1206"/>
      <c r="BD21" s="1206"/>
      <c r="BE21" s="1202"/>
    </row>
    <row r="22" spans="1:58" ht="15">
      <c r="A22" s="1206"/>
      <c r="B22" s="2517">
        <v>0.6</v>
      </c>
      <c r="C22" s="2518"/>
      <c r="D22" s="2518"/>
      <c r="E22" s="2518"/>
      <c r="F22" s="2518"/>
      <c r="G22" s="2518"/>
      <c r="H22" s="2518"/>
      <c r="I22" s="2519"/>
      <c r="J22" s="2520">
        <f t="shared" si="0"/>
        <v>41</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8</v>
      </c>
      <c r="W22" s="2521"/>
      <c r="X22" s="2521"/>
      <c r="Y22" s="2521"/>
      <c r="Z22" s="2521"/>
      <c r="AA22" s="2522"/>
      <c r="AB22" s="2520" cm="1">
        <f t="array" ref="AB22">SUMPRODUCT((Application!$B$714:$B$738 = 'CalHFA Addendum'!AB$18)*(Application!$AC$714:$AC$738 = 'CalHFA Addendum'!$B22),Application!$G$714:$G$738)</f>
        <v>16</v>
      </c>
      <c r="AC22" s="2521"/>
      <c r="AD22" s="2521"/>
      <c r="AE22" s="2521"/>
      <c r="AF22" s="2521"/>
      <c r="AG22" s="2522"/>
      <c r="AH22" s="2520" cm="1">
        <f t="array" ref="AH22">SUMPRODUCT((Application!$B$714:$B$738 = 'CalHFA Addendum'!AH$18)*(Application!$AC$714:$AC$738 = 'CalHFA Addendum'!$B22),Application!$G$714:$G$738)</f>
        <v>13</v>
      </c>
      <c r="AI22" s="2521"/>
      <c r="AJ22" s="2521"/>
      <c r="AK22" s="2521"/>
      <c r="AL22" s="2521"/>
      <c r="AM22" s="2522"/>
      <c r="AN22" s="2520" cm="1">
        <f t="array" ref="AN22">SUMPRODUCT((Application!$B$714:$B$738 = 'CalHFA Addendum'!AN$18)*(Application!$AC$714:$AC$738 = 'CalHFA Addendum'!$B22),Application!$G$714:$G$738)</f>
        <v>4</v>
      </c>
      <c r="AO22" s="2521"/>
      <c r="AP22" s="2521"/>
      <c r="AQ22" s="2521"/>
      <c r="AR22" s="2521"/>
      <c r="AS22" s="2522"/>
      <c r="AT22" s="2523">
        <f t="shared" si="1"/>
        <v>0.59420289855072461</v>
      </c>
      <c r="AU22" s="2524"/>
      <c r="AV22" s="2524"/>
      <c r="AW22" s="2524"/>
      <c r="AX22" s="2524"/>
      <c r="AY22" s="2525"/>
      <c r="AZ22" s="1206"/>
      <c r="BA22" s="1206"/>
      <c r="BB22" s="1206"/>
      <c r="BC22" s="1206"/>
      <c r="BD22" s="1206"/>
      <c r="BE22" s="1202"/>
    </row>
    <row r="23" spans="1:58" ht="15">
      <c r="A23" s="1206"/>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6"/>
      <c r="BA23" s="1206"/>
      <c r="BB23" s="1206"/>
      <c r="BC23" s="1206"/>
      <c r="BD23" s="1206"/>
      <c r="BE23" s="1202"/>
    </row>
    <row r="24" spans="1:58" ht="15">
      <c r="A24" s="1206"/>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6"/>
      <c r="BA24" s="1206"/>
      <c r="BB24" s="1206"/>
      <c r="BC24" s="1206"/>
      <c r="BD24" s="1206"/>
      <c r="BE24" s="1202"/>
    </row>
    <row r="25" spans="1:58" ht="1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thickBot="1">
      <c r="A28" s="1206"/>
      <c r="B28" s="2526" t="s">
        <v>1795</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thickBot="1">
      <c r="A29" s="1206"/>
      <c r="B29" s="2506" t="s">
        <v>1694</v>
      </c>
      <c r="C29" s="2484"/>
      <c r="D29" s="2484"/>
      <c r="E29" s="2484"/>
      <c r="F29" s="2484"/>
      <c r="G29" s="2484"/>
      <c r="H29" s="2484"/>
      <c r="I29" s="2485"/>
      <c r="J29" s="2483">
        <f>SUM(J19:O28)</f>
        <v>69</v>
      </c>
      <c r="K29" s="2484"/>
      <c r="L29" s="2484"/>
      <c r="M29" s="2484"/>
      <c r="N29" s="2484"/>
      <c r="O29" s="2485"/>
      <c r="P29" s="2483">
        <f>SUM(P19:U28)</f>
        <v>0</v>
      </c>
      <c r="Q29" s="2484"/>
      <c r="R29" s="2484"/>
      <c r="S29" s="2484"/>
      <c r="T29" s="2484"/>
      <c r="U29" s="2485"/>
      <c r="V29" s="2483">
        <f>SUM(V19:AA28)</f>
        <v>16</v>
      </c>
      <c r="W29" s="2484"/>
      <c r="X29" s="2484"/>
      <c r="Y29" s="2484"/>
      <c r="Z29" s="2484"/>
      <c r="AA29" s="2485"/>
      <c r="AB29" s="2483">
        <f>SUM(AB19:AG28)</f>
        <v>24</v>
      </c>
      <c r="AC29" s="2484"/>
      <c r="AD29" s="2484"/>
      <c r="AE29" s="2484"/>
      <c r="AF29" s="2484"/>
      <c r="AG29" s="2485"/>
      <c r="AH29" s="2483">
        <f>SUM(AH19:AM28)</f>
        <v>21</v>
      </c>
      <c r="AI29" s="2484"/>
      <c r="AJ29" s="2484"/>
      <c r="AK29" s="2484"/>
      <c r="AL29" s="2484"/>
      <c r="AM29" s="2485"/>
      <c r="AN29" s="2483">
        <f>SUM(AN19:AS28)</f>
        <v>8</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7" t="s">
        <v>1796</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thickBot="1">
      <c r="A32" s="1206"/>
      <c r="B32" s="2502" t="s">
        <v>2469</v>
      </c>
      <c r="C32" s="2503"/>
      <c r="D32" s="2503"/>
      <c r="E32" s="2503"/>
      <c r="F32" s="2503"/>
      <c r="G32" s="2503"/>
      <c r="H32" s="2503"/>
      <c r="I32" s="2503"/>
      <c r="J32" s="2535" t="s">
        <v>2470</v>
      </c>
      <c r="K32" s="2536"/>
      <c r="L32" s="2536"/>
      <c r="M32" s="2536"/>
      <c r="N32" s="2535" t="s">
        <v>1797</v>
      </c>
      <c r="O32" s="2536"/>
      <c r="P32" s="2536"/>
      <c r="Q32" s="2538"/>
      <c r="R32" s="2496" t="s">
        <v>1798</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1799</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1800</v>
      </c>
      <c r="AT35" s="2514"/>
      <c r="AU35" s="2514"/>
      <c r="AV35" s="2514"/>
      <c r="AW35" s="2514"/>
      <c r="AX35" s="2515"/>
      <c r="AY35" s="2513" t="s">
        <v>1801</v>
      </c>
      <c r="AZ35" s="2514"/>
      <c r="BA35" s="2514"/>
      <c r="BB35" s="2514"/>
      <c r="BC35" s="2514"/>
      <c r="BD35" s="2516"/>
      <c r="BE35" s="1202"/>
    </row>
    <row r="36" spans="1:58" ht="15.75" customHeight="1">
      <c r="A36" s="1206"/>
      <c r="B36" s="2244" t="s">
        <v>1802</v>
      </c>
      <c r="C36" s="2245"/>
      <c r="D36" s="2245"/>
      <c r="E36" s="2245"/>
      <c r="F36" s="2245"/>
      <c r="G36" s="2245"/>
      <c r="H36" s="2245"/>
      <c r="I36" s="2245"/>
      <c r="J36" s="2476" t="s">
        <v>1803</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0.72463768115942029</v>
      </c>
      <c r="AZ36" s="2481"/>
      <c r="BA36" s="2481"/>
      <c r="BB36" s="2481"/>
      <c r="BC36" s="2481"/>
      <c r="BD36" s="2482"/>
      <c r="BE36" s="1202"/>
    </row>
    <row r="37" spans="1:58" ht="15.75" customHeight="1">
      <c r="A37" s="1206"/>
      <c r="B37" s="2244" t="s">
        <v>2471</v>
      </c>
      <c r="C37" s="2245"/>
      <c r="D37" s="2245"/>
      <c r="E37" s="2245"/>
      <c r="F37" s="2245"/>
      <c r="G37" s="2245"/>
      <c r="H37" s="2245"/>
      <c r="I37" s="2245"/>
      <c r="J37" s="2476" t="s">
        <v>1804</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0.14492753623188406</v>
      </c>
      <c r="AZ37" s="2481"/>
      <c r="BA37" s="2481"/>
      <c r="BB37" s="2481"/>
      <c r="BC37" s="2481"/>
      <c r="BD37" s="2482"/>
      <c r="BE37" s="1202"/>
    </row>
    <row r="38" spans="1:58" ht="15.75" customHeight="1">
      <c r="A38" s="1206"/>
      <c r="B38" s="2244" t="s">
        <v>2410</v>
      </c>
      <c r="C38" s="2245"/>
      <c r="D38" s="2245"/>
      <c r="E38" s="2245"/>
      <c r="F38" s="2245"/>
      <c r="G38" s="2245"/>
      <c r="H38" s="2245"/>
      <c r="I38" s="2245"/>
      <c r="J38" s="2476" t="s">
        <v>1805</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1806</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1806</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1807</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1807</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1808</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1809</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1810</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1811</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2472</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2180</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1812</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1813</v>
      </c>
      <c r="C51" s="2176"/>
      <c r="D51" s="2176"/>
      <c r="E51" s="2176"/>
      <c r="F51" s="2176"/>
      <c r="G51" s="2176"/>
      <c r="H51" s="2176"/>
      <c r="I51" s="2176"/>
      <c r="J51" s="2176" t="s">
        <v>2473</v>
      </c>
      <c r="K51" s="2176"/>
      <c r="L51" s="2176"/>
      <c r="M51" s="2176"/>
      <c r="N51" s="2176"/>
      <c r="O51" s="2176"/>
      <c r="P51" s="2176"/>
      <c r="Q51" s="2176"/>
      <c r="R51" s="2467" t="s">
        <v>2474</v>
      </c>
      <c r="S51" s="2467"/>
      <c r="T51" s="2467"/>
      <c r="U51" s="2467"/>
      <c r="V51" s="2467"/>
      <c r="W51" s="2467"/>
      <c r="X51" s="2467"/>
      <c r="Y51" s="2467"/>
      <c r="Z51" s="2467" t="s">
        <v>1814</v>
      </c>
      <c r="AA51" s="2467"/>
      <c r="AB51" s="2467"/>
      <c r="AC51" s="2467"/>
      <c r="AD51" s="2467"/>
      <c r="AE51" s="2467"/>
      <c r="AF51" s="2467"/>
      <c r="AG51" s="2467"/>
      <c r="AH51" s="2467" t="s">
        <v>1815</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2181</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2182</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1694</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1813</v>
      </c>
      <c r="C59" s="2464"/>
      <c r="D59" s="2464"/>
      <c r="E59" s="2464"/>
      <c r="F59" s="2464"/>
      <c r="G59" s="2464"/>
      <c r="H59" s="2464"/>
      <c r="I59" s="2465"/>
      <c r="J59" s="2429" t="s">
        <v>2475</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1816</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1817</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1818</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6"/>
      <c r="BE68" s="1202"/>
      <c r="BM68" s="1251" t="s">
        <v>2476</v>
      </c>
    </row>
    <row r="69" spans="1:65" ht="15.75" customHeight="1" thickTop="1" thickBot="1">
      <c r="A69" s="1206"/>
      <c r="B69" s="2234" t="s">
        <v>1819</v>
      </c>
      <c r="C69" s="2235"/>
      <c r="D69" s="2235"/>
      <c r="E69" s="2235"/>
      <c r="F69" s="2235"/>
      <c r="G69" s="2235"/>
      <c r="H69" s="2235"/>
      <c r="I69" s="2235"/>
      <c r="J69" s="2235"/>
      <c r="K69" s="2235"/>
      <c r="L69" s="2235"/>
      <c r="M69" s="2235"/>
      <c r="N69" s="2235"/>
      <c r="O69" s="2236" t="s">
        <v>1820</v>
      </c>
      <c r="P69" s="2237"/>
      <c r="Q69" s="2237"/>
      <c r="R69" s="2237"/>
      <c r="S69" s="2237"/>
      <c r="T69" s="2237"/>
      <c r="U69" s="2237"/>
      <c r="V69" s="2237"/>
      <c r="W69" s="2237"/>
      <c r="X69" s="2237"/>
      <c r="Y69" s="2237"/>
      <c r="Z69" s="2237"/>
      <c r="AA69" s="2238"/>
      <c r="AB69" s="1206"/>
      <c r="AC69" s="2239" t="s">
        <v>1821</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553</v>
      </c>
    </row>
    <row r="70" spans="1:65" ht="15.75" customHeight="1">
      <c r="A70" s="1206"/>
      <c r="B70" s="2244" t="s">
        <v>2477</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1822</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676</v>
      </c>
    </row>
    <row r="71" spans="1:65" ht="15.75" customHeight="1" thickBot="1">
      <c r="A71" s="1206"/>
      <c r="B71" s="2244" t="s">
        <v>2478</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1823</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2479</v>
      </c>
    </row>
    <row r="72" spans="1:65" ht="15.75" customHeight="1">
      <c r="A72" s="1206"/>
      <c r="B72" s="2244" t="s">
        <v>2480</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2481</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2482</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2183</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2616</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1858</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2608</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2615</v>
      </c>
      <c r="C81" s="1244"/>
      <c r="D81" s="1226"/>
      <c r="E81" s="1226"/>
      <c r="F81" s="1226"/>
      <c r="G81" s="1226"/>
      <c r="H81" s="1226"/>
      <c r="I81" s="1226"/>
      <c r="J81" s="1226"/>
      <c r="K81" s="1226"/>
      <c r="L81" s="1226"/>
      <c r="M81" s="1226"/>
      <c r="N81" s="1246"/>
      <c r="O81" s="2193" t="s">
        <v>2547</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2166</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2614</v>
      </c>
      <c r="AK83" s="2184"/>
      <c r="AL83" s="2184"/>
      <c r="AM83" s="2184"/>
      <c r="AN83" s="2184"/>
      <c r="AO83" s="2184"/>
      <c r="AP83" s="2184"/>
      <c r="AQ83" s="2184"/>
      <c r="AR83" s="2184"/>
      <c r="AS83" s="2184"/>
      <c r="AT83" s="2184"/>
      <c r="AU83" s="2184"/>
      <c r="AV83" s="2184"/>
      <c r="AW83" s="2184"/>
      <c r="AX83" s="2184"/>
      <c r="AY83" s="2205" t="s">
        <v>553</v>
      </c>
      <c r="AZ83" s="2205"/>
      <c r="BA83" s="2205"/>
      <c r="BB83" s="2206"/>
      <c r="BC83" s="1206"/>
      <c r="BD83" s="1206"/>
      <c r="BE83" s="1202"/>
    </row>
    <row r="84" spans="1:70" ht="15.75" customHeight="1">
      <c r="A84" s="1206"/>
      <c r="B84" s="2175"/>
      <c r="C84" s="2176"/>
      <c r="D84" s="2176"/>
      <c r="E84" s="2176"/>
      <c r="F84" s="2176"/>
      <c r="G84" s="2176"/>
      <c r="H84" s="2176"/>
      <c r="I84" s="2176" t="s">
        <v>1824</v>
      </c>
      <c r="J84" s="2176"/>
      <c r="K84" s="2176"/>
      <c r="L84" s="2176"/>
      <c r="M84" s="2176"/>
      <c r="N84" s="2176"/>
      <c r="O84" s="2176" t="s">
        <v>1825</v>
      </c>
      <c r="P84" s="2176"/>
      <c r="Q84" s="2176"/>
      <c r="R84" s="2176"/>
      <c r="S84" s="2176"/>
      <c r="T84" s="2176"/>
      <c r="U84" s="2176"/>
      <c r="V84" s="2177" t="s">
        <v>2184</v>
      </c>
      <c r="W84" s="2177"/>
      <c r="X84" s="2177"/>
      <c r="Y84" s="2177"/>
      <c r="Z84" s="2177"/>
      <c r="AA84" s="2177"/>
      <c r="AB84" s="2178" t="s">
        <v>1826</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2167</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2168</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2483</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1827</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2613</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1858</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2608</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2612</v>
      </c>
      <c r="C94" s="1244"/>
      <c r="D94" s="1226"/>
      <c r="E94" s="1226"/>
      <c r="F94" s="1226"/>
      <c r="G94" s="1226"/>
      <c r="H94" s="1226"/>
      <c r="I94" s="1226"/>
      <c r="J94" s="1226"/>
      <c r="K94" s="1226"/>
      <c r="L94" s="1226"/>
      <c r="M94" s="1226"/>
      <c r="N94" s="1246"/>
      <c r="O94" s="2193" t="s">
        <v>2547</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2611</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2610</v>
      </c>
      <c r="AK96" s="2184"/>
      <c r="AL96" s="2184"/>
      <c r="AM96" s="2184"/>
      <c r="AN96" s="2184"/>
      <c r="AO96" s="2184"/>
      <c r="AP96" s="2184"/>
      <c r="AQ96" s="2184"/>
      <c r="AR96" s="2184"/>
      <c r="AS96" s="2184"/>
      <c r="AT96" s="2184"/>
      <c r="AU96" s="2184"/>
      <c r="AV96" s="2184"/>
      <c r="AW96" s="2184"/>
      <c r="AX96" s="2184"/>
      <c r="AY96" s="2205" t="s">
        <v>553</v>
      </c>
      <c r="AZ96" s="2205"/>
      <c r="BA96" s="2205"/>
      <c r="BB96" s="2206"/>
      <c r="BC96" s="1206"/>
      <c r="BD96" s="1206"/>
      <c r="BE96" s="1202"/>
      <c r="BQ96" s="1245" t="str">
        <f>Application!M243</f>
        <v>Ramona Preservation GP LLC</v>
      </c>
      <c r="BR96" s="1245">
        <f>Application!AH245</f>
        <v>0</v>
      </c>
    </row>
    <row r="97" spans="1:70" ht="15.75" customHeight="1">
      <c r="A97" s="1206"/>
      <c r="B97" s="2175"/>
      <c r="C97" s="2176"/>
      <c r="D97" s="2176"/>
      <c r="E97" s="2176"/>
      <c r="F97" s="2176"/>
      <c r="G97" s="2176"/>
      <c r="H97" s="2176"/>
      <c r="I97" s="2176" t="s">
        <v>1824</v>
      </c>
      <c r="J97" s="2176"/>
      <c r="K97" s="2176"/>
      <c r="L97" s="2176"/>
      <c r="M97" s="2176"/>
      <c r="N97" s="2176"/>
      <c r="O97" s="2176" t="s">
        <v>1825</v>
      </c>
      <c r="P97" s="2176"/>
      <c r="Q97" s="2176"/>
      <c r="R97" s="2176"/>
      <c r="S97" s="2176"/>
      <c r="T97" s="2176"/>
      <c r="U97" s="2176"/>
      <c r="V97" s="2177" t="s">
        <v>2184</v>
      </c>
      <c r="W97" s="2177"/>
      <c r="X97" s="2177"/>
      <c r="Y97" s="2177"/>
      <c r="Z97" s="2177"/>
      <c r="AA97" s="2177"/>
      <c r="AB97" s="2178" t="s">
        <v>1826</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Las Palmas Housing &amp; Development Corporation</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2167</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2168</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2483</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1827</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2609</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1858</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2608</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2607</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1824</v>
      </c>
      <c r="J108" s="2176"/>
      <c r="K108" s="2176"/>
      <c r="L108" s="2176"/>
      <c r="M108" s="2176"/>
      <c r="N108" s="2176"/>
      <c r="O108" s="2176" t="s">
        <v>1825</v>
      </c>
      <c r="P108" s="2176"/>
      <c r="Q108" s="2176"/>
      <c r="R108" s="2176"/>
      <c r="S108" s="2176"/>
      <c r="T108" s="2176"/>
      <c r="U108" s="2176"/>
      <c r="V108" s="2177" t="s">
        <v>2184</v>
      </c>
      <c r="W108" s="2177"/>
      <c r="X108" s="2177"/>
      <c r="Y108" s="2177"/>
      <c r="Z108" s="2177"/>
      <c r="AA108" s="2177"/>
      <c r="AB108" s="2178" t="s">
        <v>1826</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2167</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2168</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1827</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2606</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1858</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2484</v>
      </c>
      <c r="C117" s="2184"/>
      <c r="D117" s="2184"/>
      <c r="E117" s="2184"/>
      <c r="F117" s="2184"/>
      <c r="G117" s="2184"/>
      <c r="H117" s="2184"/>
      <c r="I117" s="2184"/>
      <c r="J117" s="2184"/>
      <c r="K117" s="2184"/>
      <c r="L117" s="2184"/>
      <c r="M117" s="2184"/>
      <c r="N117" s="2184"/>
      <c r="O117" s="2184"/>
      <c r="P117" s="2184"/>
      <c r="Q117" s="2205" t="s">
        <v>553</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2185</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1828</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2169</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1684</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2170</v>
      </c>
      <c r="J127" s="2176"/>
      <c r="K127" s="2176"/>
      <c r="L127" s="2176"/>
      <c r="M127" s="2176"/>
      <c r="N127" s="2176"/>
      <c r="O127" s="2436" t="s">
        <v>2171</v>
      </c>
      <c r="P127" s="2436"/>
      <c r="Q127" s="2436"/>
      <c r="R127" s="2436"/>
      <c r="S127" s="2436"/>
      <c r="T127" s="2436"/>
      <c r="U127" s="2437"/>
      <c r="V127" s="1206"/>
      <c r="W127" s="1206"/>
      <c r="X127" s="2399" t="s">
        <v>2183</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2172</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2173</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1829</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1830</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1825</v>
      </c>
      <c r="J134" s="2411"/>
      <c r="K134" s="2411"/>
      <c r="L134" s="2411"/>
      <c r="M134" s="2411"/>
      <c r="N134" s="2411"/>
      <c r="O134" s="2411"/>
      <c r="P134" s="2411" t="s">
        <v>2184</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2172</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2173</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1831</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1832</v>
      </c>
      <c r="C140" s="2419"/>
      <c r="D140" s="2419"/>
      <c r="E140" s="2419"/>
      <c r="F140" s="2419"/>
      <c r="G140" s="2419"/>
      <c r="H140" s="2419"/>
      <c r="I140" s="2419"/>
      <c r="J140" s="2419"/>
      <c r="K140" s="2419"/>
      <c r="L140" s="2419"/>
      <c r="M140" s="2419"/>
      <c r="N140" s="2419"/>
      <c r="O140" s="2419"/>
      <c r="P140" s="2419"/>
      <c r="Q140" s="2419"/>
      <c r="R140" s="2420" t="s">
        <v>2186</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251</v>
      </c>
      <c r="BD140" s="1206"/>
      <c r="BE140" s="1202"/>
    </row>
    <row r="141" spans="1:57" ht="15.75" customHeight="1">
      <c r="A141" s="1206"/>
      <c r="B141" s="2422" t="s">
        <v>2187</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1833</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2188</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1834</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2189</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1825</v>
      </c>
      <c r="J155" s="2411"/>
      <c r="K155" s="2411"/>
      <c r="L155" s="2411"/>
      <c r="M155" s="2411"/>
      <c r="N155" s="2411"/>
      <c r="O155" s="2411"/>
      <c r="P155" s="2411" t="s">
        <v>2190</v>
      </c>
      <c r="Q155" s="2411"/>
      <c r="R155" s="2411"/>
      <c r="S155" s="2411"/>
      <c r="T155" s="2411"/>
      <c r="U155" s="2412"/>
      <c r="V155" s="1206"/>
      <c r="W155" s="1206"/>
      <c r="X155" s="2396"/>
      <c r="Y155" s="2397"/>
      <c r="Z155" s="2397"/>
      <c r="AA155" s="2397"/>
      <c r="AB155" s="2397"/>
      <c r="AC155" s="2397"/>
      <c r="AD155" s="2397"/>
      <c r="AE155" s="2411" t="s">
        <v>1825</v>
      </c>
      <c r="AF155" s="2411"/>
      <c r="AG155" s="2411"/>
      <c r="AH155" s="2411"/>
      <c r="AI155" s="2411"/>
      <c r="AJ155" s="2411"/>
      <c r="AK155" s="2411"/>
      <c r="AL155" s="2411" t="s">
        <v>2184</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2172</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2172</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2173</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2174</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1835</v>
      </c>
      <c r="D161" s="2397"/>
      <c r="E161" s="2397"/>
      <c r="F161" s="2397"/>
      <c r="G161" s="2397"/>
      <c r="H161" s="2397"/>
      <c r="I161" s="2397"/>
      <c r="J161" s="2397"/>
      <c r="K161" s="2397"/>
      <c r="L161" s="2397"/>
      <c r="M161" s="2397"/>
      <c r="N161" s="2397"/>
      <c r="O161" s="2397"/>
      <c r="P161" s="2397"/>
      <c r="Q161" s="2397" t="s">
        <v>1836</v>
      </c>
      <c r="R161" s="2397"/>
      <c r="S161" s="2397"/>
      <c r="T161" s="2178" t="s">
        <v>2175</v>
      </c>
      <c r="U161" s="2178"/>
      <c r="V161" s="2178"/>
      <c r="W161" s="2178"/>
      <c r="X161" s="2178"/>
      <c r="Y161" s="2178"/>
      <c r="Z161" s="2178"/>
      <c r="AA161" s="2178"/>
      <c r="AB161" s="2397" t="s">
        <v>1837</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1838</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1839</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1840</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1811</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170</v>
      </c>
      <c r="D166" s="2406"/>
      <c r="E166" s="2406"/>
      <c r="F166" s="2407" t="s">
        <v>1841</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170</v>
      </c>
      <c r="D167" s="2406"/>
      <c r="E167" s="2406"/>
      <c r="F167" s="2407" t="s">
        <v>1841</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170</v>
      </c>
      <c r="D168" s="2377"/>
      <c r="E168" s="2377"/>
      <c r="F168" s="2378" t="s">
        <v>1841</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1842</v>
      </c>
      <c r="D170" s="2181"/>
      <c r="E170" s="2181"/>
      <c r="F170" s="2181"/>
      <c r="G170" s="2181"/>
      <c r="H170" s="2181"/>
      <c r="I170" s="2181"/>
      <c r="J170" s="2181"/>
      <c r="K170" s="2181"/>
      <c r="L170" s="2181"/>
      <c r="M170" s="2181"/>
      <c r="N170" s="2182"/>
      <c r="O170" s="1206"/>
      <c r="P170" s="2393" t="s">
        <v>1843</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1844</v>
      </c>
      <c r="D171" s="2397"/>
      <c r="E171" s="2397"/>
      <c r="F171" s="2397"/>
      <c r="G171" s="2397"/>
      <c r="H171" s="2397"/>
      <c r="I171" s="2397" t="s">
        <v>1845</v>
      </c>
      <c r="J171" s="2397"/>
      <c r="K171" s="2397"/>
      <c r="L171" s="2397"/>
      <c r="M171" s="2397"/>
      <c r="N171" s="2398"/>
      <c r="O171" s="1206"/>
      <c r="P171" s="2399" t="s">
        <v>2183</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2485</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2600</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2621</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1835</v>
      </c>
      <c r="D182" s="2181"/>
      <c r="E182" s="2181"/>
      <c r="F182" s="2181"/>
      <c r="G182" s="2181"/>
      <c r="H182" s="2181"/>
      <c r="I182" s="2181"/>
      <c r="J182" s="2181"/>
      <c r="K182" s="2181"/>
      <c r="L182" s="2181"/>
      <c r="M182" s="2181"/>
      <c r="N182" s="2181" t="s">
        <v>1846</v>
      </c>
      <c r="O182" s="2181"/>
      <c r="P182" s="2181"/>
      <c r="Q182" s="2181"/>
      <c r="R182" s="2181"/>
      <c r="S182" s="2181"/>
      <c r="T182" s="2181"/>
      <c r="U182" s="2213" t="s">
        <v>1835</v>
      </c>
      <c r="V182" s="2213"/>
      <c r="W182" s="2213"/>
      <c r="X182" s="2213"/>
      <c r="Y182" s="2213"/>
      <c r="Z182" s="2213"/>
      <c r="AA182" s="2213"/>
      <c r="AB182" s="2213"/>
      <c r="AC182" s="2213"/>
      <c r="AD182" s="2213"/>
      <c r="AE182" s="2214"/>
      <c r="AF182" s="1206"/>
      <c r="AG182" s="1206"/>
      <c r="AH182" s="2368" t="s">
        <v>2605</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2486</v>
      </c>
      <c r="D183" s="2358"/>
      <c r="E183" s="2358"/>
      <c r="F183" s="2358"/>
      <c r="G183" s="2358"/>
      <c r="H183" s="2358"/>
      <c r="I183" s="2358"/>
      <c r="J183" s="2358"/>
      <c r="K183" s="2358"/>
      <c r="L183" s="2358"/>
      <c r="M183" s="2358"/>
      <c r="N183" s="2371">
        <f>'Sources and Uses Budget'!B105</f>
        <v>29638776</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2604</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6"/>
      <c r="B184" s="1206"/>
      <c r="C184" s="2357" t="s">
        <v>2487</v>
      </c>
      <c r="D184" s="2358"/>
      <c r="E184" s="2358"/>
      <c r="F184" s="2358"/>
      <c r="G184" s="2358"/>
      <c r="H184" s="2358"/>
      <c r="I184" s="2358"/>
      <c r="J184" s="2358"/>
      <c r="K184" s="2358"/>
      <c r="L184" s="2358"/>
      <c r="M184" s="2358"/>
      <c r="N184" s="2371">
        <f>N183/J29</f>
        <v>429547.47826086957</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2603</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6"/>
      <c r="B185" s="1206"/>
      <c r="C185" s="2374" t="s">
        <v>2488</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2602</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2489</v>
      </c>
      <c r="D186" s="2358"/>
      <c r="E186" s="2358"/>
      <c r="F186" s="2358"/>
      <c r="G186" s="2358"/>
      <c r="H186" s="2358"/>
      <c r="I186" s="2358"/>
      <c r="J186" s="2358"/>
      <c r="K186" s="2358"/>
      <c r="L186" s="2358"/>
      <c r="M186" s="2358"/>
      <c r="N186" s="2359">
        <f>SUM('Sources and Uses Budget'!B85:B86)</f>
        <v>25000</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2490</v>
      </c>
      <c r="D187" s="2358"/>
      <c r="E187" s="2358"/>
      <c r="F187" s="2358"/>
      <c r="G187" s="2358"/>
      <c r="H187" s="2358"/>
      <c r="I187" s="2358"/>
      <c r="J187" s="2358"/>
      <c r="K187" s="2358"/>
      <c r="L187" s="2358"/>
      <c r="M187" s="2358"/>
      <c r="N187" s="2359">
        <f>'Sources and Uses Budget'!B8</f>
        <v>0</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1847</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2491</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1847</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2492</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2601</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301</v>
      </c>
      <c r="D190" s="2355"/>
      <c r="E190" s="2350" t="s">
        <v>1841</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2600</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301</v>
      </c>
      <c r="D191" s="2349"/>
      <c r="E191" s="2350" t="s">
        <v>1841</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301</v>
      </c>
      <c r="D192" s="2338"/>
      <c r="E192" s="2339" t="s">
        <v>1841</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1848</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1849</v>
      </c>
      <c r="D193" s="2334"/>
      <c r="E193" s="2334"/>
      <c r="F193" s="2334"/>
      <c r="G193" s="2334"/>
      <c r="H193" s="2334"/>
      <c r="I193" s="2334"/>
      <c r="J193" s="2334"/>
      <c r="K193" s="2334"/>
      <c r="L193" s="2334"/>
      <c r="M193" s="2334"/>
      <c r="N193" s="2335">
        <f>SUM(N185:T192)</f>
        <v>25000</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2599</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2493</v>
      </c>
      <c r="D194" s="2314"/>
      <c r="E194" s="2314"/>
      <c r="F194" s="2314"/>
      <c r="G194" s="2314"/>
      <c r="H194" s="2314"/>
      <c r="I194" s="2314"/>
      <c r="J194" s="2314"/>
      <c r="K194" s="2314"/>
      <c r="L194" s="2314"/>
      <c r="M194" s="2314"/>
      <c r="N194" s="2315">
        <f>(N183-N193)/J29</f>
        <v>429185.15942028986</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2598</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2597</v>
      </c>
      <c r="D198" s="2589"/>
      <c r="E198" s="2589"/>
      <c r="F198" s="2589"/>
      <c r="G198" s="2589"/>
      <c r="H198" s="2589"/>
      <c r="I198" s="2589"/>
      <c r="J198" s="2589"/>
      <c r="K198" s="2589"/>
      <c r="L198" s="2589"/>
      <c r="M198" s="2589"/>
      <c r="N198" s="2589"/>
      <c r="O198" s="2590" t="s">
        <v>2596</v>
      </c>
      <c r="P198" s="2590"/>
      <c r="Q198" s="2590"/>
      <c r="R198" s="2590"/>
      <c r="S198" s="2590"/>
      <c r="T198" s="2590"/>
      <c r="U198" s="2590"/>
      <c r="V198" s="2590"/>
      <c r="W198" s="2590"/>
      <c r="X198" s="2590" t="s">
        <v>2595</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2594</v>
      </c>
      <c r="D199" s="2587"/>
      <c r="E199" s="2587"/>
      <c r="F199" s="2587"/>
      <c r="G199" s="2587"/>
      <c r="H199" s="2587"/>
      <c r="I199" s="2587"/>
      <c r="J199" s="2587"/>
      <c r="K199" s="2587"/>
      <c r="L199" s="2587"/>
      <c r="M199" s="2587"/>
      <c r="N199" s="2587"/>
      <c r="O199" s="2319" t="s">
        <v>2593</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864</v>
      </c>
      <c r="D200" s="2587"/>
      <c r="E200" s="2587"/>
      <c r="F200" s="2587"/>
      <c r="G200" s="2587"/>
      <c r="H200" s="2587"/>
      <c r="I200" s="2587"/>
      <c r="J200" s="2587"/>
      <c r="K200" s="2587"/>
      <c r="L200" s="2587"/>
      <c r="M200" s="2587"/>
      <c r="N200" s="2587"/>
      <c r="O200" s="2319" t="s">
        <v>2593</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2592</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2591</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2590</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2589</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2588</v>
      </c>
      <c r="D205" s="2259"/>
      <c r="E205" s="2259"/>
      <c r="F205" s="2302"/>
      <c r="G205" s="2258" t="s">
        <v>2587</v>
      </c>
      <c r="H205" s="2259"/>
      <c r="I205" s="2259"/>
      <c r="J205" s="2259"/>
      <c r="K205" s="2259"/>
      <c r="L205" s="2259"/>
      <c r="M205" s="2259"/>
      <c r="N205" s="2259"/>
      <c r="O205" s="2302"/>
      <c r="P205" s="2305" t="s">
        <v>2586</v>
      </c>
      <c r="Q205" s="2306"/>
      <c r="R205" s="2306"/>
      <c r="S205" s="2306"/>
      <c r="T205" s="2307"/>
      <c r="U205" s="2252" t="s">
        <v>2585</v>
      </c>
      <c r="V205" s="2253"/>
      <c r="W205" s="2253"/>
      <c r="X205" s="2254"/>
      <c r="Y205" s="2252" t="s">
        <v>2584</v>
      </c>
      <c r="Z205" s="2253"/>
      <c r="AA205" s="2253"/>
      <c r="AB205" s="2254"/>
      <c r="AC205" s="2252" t="s">
        <v>2583</v>
      </c>
      <c r="AD205" s="2253"/>
      <c r="AE205" s="2253"/>
      <c r="AF205" s="2254"/>
      <c r="AG205" s="2258" t="s">
        <v>2582</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2150</v>
      </c>
      <c r="H207" s="2266"/>
      <c r="I207" s="2266"/>
      <c r="J207" s="2266"/>
      <c r="K207" s="2266"/>
      <c r="L207" s="2266"/>
      <c r="M207" s="2266"/>
      <c r="N207" s="2266"/>
      <c r="O207" s="2266"/>
      <c r="P207" s="2267"/>
      <c r="Q207" s="2268"/>
      <c r="R207" s="2268"/>
      <c r="S207" s="2268"/>
      <c r="T207" s="2268"/>
      <c r="U207" s="2269" t="s">
        <v>2150</v>
      </c>
      <c r="V207" s="2269"/>
      <c r="W207" s="2269"/>
      <c r="X207" s="2269"/>
      <c r="Y207" s="2269" t="s">
        <v>2150</v>
      </c>
      <c r="Z207" s="2269"/>
      <c r="AA207" s="2269"/>
      <c r="AB207" s="2269"/>
      <c r="AC207" s="2270" t="s">
        <v>2150</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2150</v>
      </c>
      <c r="H208" s="2266"/>
      <c r="I208" s="2266"/>
      <c r="J208" s="2266"/>
      <c r="K208" s="2266"/>
      <c r="L208" s="2266"/>
      <c r="M208" s="2266"/>
      <c r="N208" s="2266"/>
      <c r="O208" s="2266"/>
      <c r="P208" s="2267"/>
      <c r="Q208" s="2267"/>
      <c r="R208" s="2267"/>
      <c r="S208" s="2267"/>
      <c r="T208" s="2267"/>
      <c r="U208" s="2269" t="s">
        <v>2150</v>
      </c>
      <c r="V208" s="2269"/>
      <c r="W208" s="2269"/>
      <c r="X208" s="2269"/>
      <c r="Y208" s="2269" t="s">
        <v>2150</v>
      </c>
      <c r="Z208" s="2269"/>
      <c r="AA208" s="2269"/>
      <c r="AB208" s="2269"/>
      <c r="AC208" s="2270" t="s">
        <v>2150</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2150</v>
      </c>
      <c r="H209" s="2266"/>
      <c r="I209" s="2266"/>
      <c r="J209" s="2266"/>
      <c r="K209" s="2266"/>
      <c r="L209" s="2266"/>
      <c r="M209" s="2266"/>
      <c r="N209" s="2266"/>
      <c r="O209" s="2266"/>
      <c r="P209" s="2267"/>
      <c r="Q209" s="2267"/>
      <c r="R209" s="2267"/>
      <c r="S209" s="2267"/>
      <c r="T209" s="2267"/>
      <c r="U209" s="2269" t="s">
        <v>2150</v>
      </c>
      <c r="V209" s="2269"/>
      <c r="W209" s="2269"/>
      <c r="X209" s="2269"/>
      <c r="Y209" s="2269" t="s">
        <v>2150</v>
      </c>
      <c r="Z209" s="2269"/>
      <c r="AA209" s="2269"/>
      <c r="AB209" s="2269"/>
      <c r="AC209" s="2270" t="s">
        <v>2150</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2150</v>
      </c>
      <c r="H210" s="2266"/>
      <c r="I210" s="2266"/>
      <c r="J210" s="2266"/>
      <c r="K210" s="2266"/>
      <c r="L210" s="2266"/>
      <c r="M210" s="2266"/>
      <c r="N210" s="2266"/>
      <c r="O210" s="2266"/>
      <c r="P210" s="2267"/>
      <c r="Q210" s="2267"/>
      <c r="R210" s="2267"/>
      <c r="S210" s="2267"/>
      <c r="T210" s="2267"/>
      <c r="U210" s="2269" t="s">
        <v>2150</v>
      </c>
      <c r="V210" s="2269"/>
      <c r="W210" s="2269"/>
      <c r="X210" s="2269"/>
      <c r="Y210" s="2269" t="s">
        <v>2150</v>
      </c>
      <c r="Z210" s="2269"/>
      <c r="AA210" s="2269"/>
      <c r="AB210" s="2269"/>
      <c r="AC210" s="2270" t="s">
        <v>2150</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2150</v>
      </c>
      <c r="V211" s="2269"/>
      <c r="W211" s="2269"/>
      <c r="X211" s="2269"/>
      <c r="Y211" s="2269" t="s">
        <v>2150</v>
      </c>
      <c r="Z211" s="2269"/>
      <c r="AA211" s="2269"/>
      <c r="AB211" s="2269"/>
      <c r="AC211" s="2270" t="s">
        <v>2150</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2150</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2150</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2150</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2581</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2580</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1850</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1851</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1852</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1853</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1854</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1855</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2494</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1856</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1857</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1858</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443</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1859</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1860</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7" sqref="AK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1386</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9906704</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18151481</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505</v>
      </c>
      <c r="C12" s="1285"/>
      <c r="D12" s="1285"/>
      <c r="E12" s="1285"/>
      <c r="F12" s="1285"/>
      <c r="G12" s="1285"/>
      <c r="H12" s="1285"/>
      <c r="I12" s="1285"/>
      <c r="J12" s="1285"/>
      <c r="K12" s="1285"/>
      <c r="L12" s="1285"/>
      <c r="M12" s="1285"/>
      <c r="N12" s="1285"/>
      <c r="O12" s="1285"/>
      <c r="P12" s="1285"/>
      <c r="Q12" s="1285"/>
      <c r="R12" s="1285"/>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813</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59" t="s">
        <v>978</v>
      </c>
      <c r="D18" s="1759"/>
      <c r="E18" s="1759"/>
      <c r="F18" s="1759"/>
      <c r="G18" s="1759"/>
      <c r="H18" s="1759"/>
      <c r="I18" s="1759"/>
      <c r="J18" s="1759"/>
      <c r="K18" s="1759"/>
      <c r="L18" s="1759"/>
      <c r="M18" s="1759"/>
      <c r="N18" s="1759"/>
      <c r="O18" s="1759"/>
      <c r="P18" s="1759"/>
      <c r="Q18" s="1759"/>
      <c r="R18" s="1759"/>
      <c r="S18" s="1760"/>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59" t="s">
        <v>978</v>
      </c>
      <c r="D19" s="1759"/>
      <c r="E19" s="1759"/>
      <c r="F19" s="1759"/>
      <c r="G19" s="1759"/>
      <c r="H19" s="1759"/>
      <c r="I19" s="1759"/>
      <c r="J19" s="1759"/>
      <c r="K19" s="1759"/>
      <c r="L19" s="1759"/>
      <c r="M19" s="1759"/>
      <c r="N19" s="1759"/>
      <c r="O19" s="1759"/>
      <c r="P19" s="1759"/>
      <c r="Q19" s="1759"/>
      <c r="R19" s="1759"/>
      <c r="S19" s="1760"/>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1369</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9906704</v>
      </c>
      <c r="U23" s="2614"/>
      <c r="V23" s="2614"/>
      <c r="W23" s="2614"/>
      <c r="X23" s="2614"/>
      <c r="Y23" s="2613">
        <f>Y11+Y22</f>
        <v>0</v>
      </c>
      <c r="Z23" s="2614"/>
      <c r="AA23" s="2614"/>
      <c r="AB23" s="2614"/>
      <c r="AC23" s="2614"/>
      <c r="AD23" s="2613">
        <f>AD11+AD22</f>
        <v>18151481</v>
      </c>
      <c r="AE23" s="2614"/>
      <c r="AF23" s="2614"/>
      <c r="AG23" s="2614"/>
      <c r="AH23" s="2614"/>
      <c r="AI23" s="2613">
        <f>AI11+AI22</f>
        <v>0</v>
      </c>
      <c r="AJ23" s="2614"/>
      <c r="AK23" s="2614"/>
      <c r="AL23" s="2614"/>
      <c r="AM23" s="2614"/>
    </row>
    <row r="24" spans="1:40" ht="12.95"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56609820</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1370</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9906704</v>
      </c>
      <c r="U26" s="2614"/>
      <c r="V26" s="2614"/>
      <c r="W26" s="2614"/>
      <c r="X26" s="2614"/>
      <c r="Y26" s="2613">
        <f>Y23*Y25</f>
        <v>0</v>
      </c>
      <c r="Z26" s="2614"/>
      <c r="AA26" s="2614"/>
      <c r="AB26" s="2614"/>
      <c r="AC26" s="2614"/>
      <c r="AD26" s="2613">
        <f>AD23*AD25</f>
        <v>18151481</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9906704</v>
      </c>
      <c r="U28" s="2614"/>
      <c r="V28" s="2614"/>
      <c r="W28" s="2614"/>
      <c r="X28" s="2614"/>
      <c r="Y28" s="2613">
        <f>IF(ISERROR((Y26*Y27)),0,(Y26*Y27))</f>
        <v>0</v>
      </c>
      <c r="Z28" s="2614"/>
      <c r="AA28" s="2614"/>
      <c r="AB28" s="2614"/>
      <c r="AC28" s="2614"/>
      <c r="AD28" s="2613">
        <f>IF(ISERROR((AD26*AD27)),0,(AD26*AD27))</f>
        <v>18151481</v>
      </c>
      <c r="AE28" s="2614"/>
      <c r="AF28" s="2614"/>
      <c r="AG28" s="2614"/>
      <c r="AH28" s="2614"/>
      <c r="AI28" s="2613">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28058185</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1372</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1371</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1254</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9906704</v>
      </c>
      <c r="Z38" s="2614"/>
      <c r="AA38" s="2614"/>
      <c r="AB38" s="2614"/>
      <c r="AC38" s="2614"/>
      <c r="AD38" s="2614">
        <f>IF(T24&gt;=(T23+Y23+AD23+AI23),AD28+AI28,0)</f>
        <v>18151481</v>
      </c>
      <c r="AE38" s="2614"/>
      <c r="AF38" s="2614"/>
      <c r="AG38" s="2614"/>
      <c r="AH38" s="2614"/>
    </row>
    <row r="39" spans="1:76" ht="12.95" customHeight="1">
      <c r="B39" s="2620" t="s">
        <v>1877</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396268</v>
      </c>
      <c r="Z40" s="2614"/>
      <c r="AA40" s="2614"/>
      <c r="AB40" s="2614"/>
      <c r="AC40" s="2614"/>
      <c r="AD40" s="2613">
        <f>ROUND(AD38*AD39,0)</f>
        <v>726059</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1122327</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1382</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594</v>
      </c>
      <c r="C46" s="435" t="s">
        <v>283</v>
      </c>
    </row>
    <row r="47" spans="1:76" ht="12.95" customHeight="1">
      <c r="D47" s="435" t="s">
        <v>284</v>
      </c>
      <c r="AB47" s="2630">
        <f>'Sources and Uses Budget'!B105-MAX(IF('Sources and Uses Budget'!B15="",0,'Sources and Uses Budget'!B15),IF(Application!AG394="",0,Application!AG394))</f>
        <v>29638776</v>
      </c>
      <c r="AC47" s="2631"/>
      <c r="AD47" s="2631"/>
      <c r="AE47" s="2631"/>
      <c r="AF47" s="2632"/>
    </row>
    <row r="48" spans="1:76" ht="12.95" customHeight="1">
      <c r="D48" s="435" t="s">
        <v>21</v>
      </c>
      <c r="AB48" s="2630">
        <f>Application!AO639-MAX(IF('Sources and Uses Budget'!B15="",0,'Sources and Uses Budget'!B15),IF(Application!AG394="",0,Application!AG394))</f>
        <v>19762299</v>
      </c>
      <c r="AC48" s="2631"/>
      <c r="AD48" s="2631"/>
      <c r="AE48" s="2631"/>
      <c r="AF48" s="2632"/>
    </row>
    <row r="49" spans="1:76" ht="12.95" customHeight="1">
      <c r="D49" s="435" t="s">
        <v>91</v>
      </c>
      <c r="AB49" s="2630">
        <f>AB47-AB48</f>
        <v>9876477</v>
      </c>
      <c r="AC49" s="2631"/>
      <c r="AD49" s="2631"/>
      <c r="AE49" s="2631"/>
      <c r="AF49" s="2632"/>
    </row>
    <row r="50" spans="1:76" ht="12.95" customHeight="1">
      <c r="D50" s="435" t="s">
        <v>688</v>
      </c>
      <c r="AA50" s="446"/>
      <c r="AB50" s="2657">
        <v>0.88</v>
      </c>
      <c r="AC50" s="2658"/>
      <c r="AD50" s="2658"/>
      <c r="AE50" s="2658"/>
      <c r="AF50" s="2659"/>
    </row>
    <row r="51" spans="1:76" s="448" customFormat="1" ht="12.95" customHeight="1">
      <c r="A51" s="433"/>
      <c r="B51" s="433"/>
      <c r="C51" s="433"/>
      <c r="D51" s="433"/>
      <c r="E51" s="2660" t="s">
        <v>2037</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11223269</v>
      </c>
      <c r="AC54" s="2631"/>
      <c r="AD54" s="2631"/>
      <c r="AE54" s="2631"/>
      <c r="AF54" s="2632"/>
    </row>
    <row r="55" spans="1:76" ht="12.95" customHeight="1">
      <c r="D55" s="435" t="s">
        <v>334</v>
      </c>
      <c r="AB55" s="2630">
        <f>(AB54/10)</f>
        <v>1122326.8999999999</v>
      </c>
      <c r="AC55" s="2631"/>
      <c r="AD55" s="2631"/>
      <c r="AE55" s="2631"/>
      <c r="AF55" s="2632"/>
    </row>
    <row r="56" spans="1:76" ht="12.95" customHeight="1">
      <c r="D56" s="435" t="s">
        <v>764</v>
      </c>
      <c r="AB56" s="2661">
        <f>(IF((Y41&lt;AB55),Y41,AB55))</f>
        <v>1122326.8999999999</v>
      </c>
      <c r="AC56" s="2662"/>
      <c r="AD56" s="2662"/>
      <c r="AE56" s="2662"/>
      <c r="AF56" s="2663"/>
    </row>
    <row r="57" spans="1:76" ht="12.95" customHeight="1">
      <c r="D57" s="435" t="s">
        <v>763</v>
      </c>
      <c r="AB57" s="2630">
        <f>ROUND((10*AB56*AB50),0)</f>
        <v>9876477</v>
      </c>
      <c r="AC57" s="2631"/>
      <c r="AD57" s="2631"/>
      <c r="AE57" s="2631"/>
      <c r="AF57" s="2632"/>
    </row>
    <row r="58" spans="1:76" ht="12.95" customHeight="1">
      <c r="D58" s="435"/>
      <c r="AB58" s="454"/>
      <c r="AC58" s="454"/>
      <c r="AD58" s="454"/>
      <c r="AE58" s="454"/>
      <c r="AF58" s="454"/>
    </row>
    <row r="59" spans="1:76" ht="12.95" customHeight="1">
      <c r="D59" s="435" t="s">
        <v>762</v>
      </c>
      <c r="AB59" s="2653">
        <f>AB49-AB57</f>
        <v>0</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597</v>
      </c>
      <c r="C63" s="219" t="s">
        <v>1354</v>
      </c>
      <c r="Y63" s="2654" t="s">
        <v>1001</v>
      </c>
      <c r="Z63" s="2654"/>
      <c r="AA63" s="2654"/>
      <c r="AB63" s="2654"/>
      <c r="AC63" s="2654"/>
      <c r="AD63" s="2654" t="s">
        <v>370</v>
      </c>
      <c r="AE63" s="2654"/>
      <c r="AF63" s="2654"/>
      <c r="AG63" s="2654"/>
      <c r="AH63" s="2654"/>
    </row>
    <row r="64" spans="1:76" ht="12.95"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0</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2035</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2036</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0.3</v>
      </c>
      <c r="Z67" s="2671"/>
      <c r="AA67" s="2671"/>
      <c r="AB67" s="2671"/>
      <c r="AC67" s="2671"/>
      <c r="AD67" s="2671">
        <f>IF(Application!Z205="15% set-aside with qualifying low value rehab", 0.95,0.13)</f>
        <v>0.13</v>
      </c>
      <c r="AE67" s="2671"/>
      <c r="AF67" s="2671"/>
      <c r="AG67" s="2671"/>
      <c r="AH67" s="2671"/>
    </row>
    <row r="68" spans="1:36" ht="12.95" customHeight="1">
      <c r="C68" s="435"/>
      <c r="D68" s="219" t="s">
        <v>2633</v>
      </c>
      <c r="Y68" s="2614">
        <f>ROUND(Y64*Y67,0)</f>
        <v>0</v>
      </c>
      <c r="Z68" s="2672"/>
      <c r="AA68" s="2672"/>
      <c r="AB68" s="2672"/>
      <c r="AC68" s="2672"/>
      <c r="AD68" s="2614">
        <f>ROUND(AD64*AD67,0)</f>
        <v>0</v>
      </c>
      <c r="AE68" s="2672"/>
      <c r="AF68" s="2672"/>
      <c r="AG68" s="2672"/>
      <c r="AH68" s="2672"/>
    </row>
    <row r="69" spans="1:36" ht="12.95" customHeight="1">
      <c r="C69" s="435"/>
      <c r="D69" s="219" t="s">
        <v>2634</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1356</v>
      </c>
      <c r="AB72" s="2657"/>
      <c r="AC72" s="2658"/>
      <c r="AD72" s="2658"/>
      <c r="AE72" s="2658"/>
      <c r="AF72" s="2659"/>
    </row>
    <row r="73" spans="1:36" ht="12.95" customHeight="1">
      <c r="A73" s="435"/>
      <c r="C73" s="435"/>
      <c r="D73" s="435"/>
      <c r="E73" s="2673" t="s">
        <v>1357</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1358</v>
      </c>
      <c r="AB77" s="2666">
        <f>ROUND(IF(ISERROR((AB59/AB72)),0,(AB59/AB72)),0)</f>
        <v>0</v>
      </c>
      <c r="AC77" s="2666"/>
      <c r="AD77" s="2666"/>
      <c r="AE77" s="2666"/>
      <c r="AF77" s="2666"/>
    </row>
    <row r="78" spans="1:36" ht="12.95" customHeight="1">
      <c r="C78" s="435"/>
      <c r="D78" s="219" t="s">
        <v>1359</v>
      </c>
      <c r="AB78" s="2667">
        <f>MIN(Y69,AB77)</f>
        <v>0</v>
      </c>
      <c r="AC78" s="2668"/>
      <c r="AD78" s="2668"/>
      <c r="AE78" s="2668"/>
      <c r="AF78" s="2669"/>
    </row>
    <row r="79" spans="1:36" ht="12.95" customHeight="1">
      <c r="C79" s="435"/>
      <c r="D79" s="219" t="s">
        <v>1360</v>
      </c>
      <c r="AB79" s="2670">
        <f>AB78*AB72</f>
        <v>0</v>
      </c>
      <c r="AC79" s="2670"/>
      <c r="AD79" s="2670"/>
      <c r="AE79" s="2670"/>
      <c r="AF79" s="2670"/>
    </row>
    <row r="80" spans="1:36" ht="12.95" customHeight="1">
      <c r="C80" s="435"/>
      <c r="D80" s="435"/>
      <c r="AB80" s="456"/>
      <c r="AC80" s="456"/>
      <c r="AD80" s="456"/>
      <c r="AE80" s="456"/>
      <c r="AF80" s="456"/>
    </row>
    <row r="81" spans="1:78" ht="12.95" customHeight="1">
      <c r="D81" s="435" t="s">
        <v>762</v>
      </c>
      <c r="AB81" s="2653">
        <f>AB49-(AB57+AB79)</f>
        <v>0</v>
      </c>
      <c r="AC81" s="2653"/>
      <c r="AD81" s="2653"/>
      <c r="AE81" s="2653"/>
      <c r="AF81" s="2653"/>
    </row>
    <row r="82" spans="1:78" ht="12.95" customHeight="1">
      <c r="F82" s="556"/>
      <c r="J82" s="556" t="str">
        <f>IF(AB81&gt;0,"FUNDING GAP MUST NOT EXCEED ZERO","")</f>
        <v/>
      </c>
    </row>
    <row r="83" spans="1:78" ht="12.95" customHeight="1">
      <c r="D83" s="557"/>
    </row>
    <row r="84" spans="1:78" ht="12.95"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2.95" customHeight="1" thickTop="1"/>
    <row r="86" spans="1:78" ht="12.95" customHeight="1">
      <c r="A86" s="435"/>
      <c r="C86" s="219"/>
    </row>
    <row r="87" spans="1:78" ht="12.95" customHeight="1">
      <c r="D87" s="219"/>
      <c r="AB87" s="2619"/>
      <c r="AC87" s="2619"/>
      <c r="AD87" s="2619"/>
      <c r="AE87" s="2619"/>
      <c r="AF87" s="2619"/>
    </row>
    <row r="88" spans="1:78" ht="12.95"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G62" sqref="G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2406</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1556100</v>
      </c>
      <c r="G4" s="235">
        <f>E4*$C$4</f>
        <v>1595002.4999999998</v>
      </c>
      <c r="I4" s="235">
        <f>G4*$C$4</f>
        <v>1634877.5624999995</v>
      </c>
      <c r="K4" s="235">
        <f>I4*$C$4</f>
        <v>1675749.5015624994</v>
      </c>
      <c r="M4" s="235">
        <f>K4*$C$4</f>
        <v>1717643.2391015617</v>
      </c>
      <c r="O4" s="235">
        <f>M4*$C$4</f>
        <v>1760584.3200791006</v>
      </c>
      <c r="Q4" s="235">
        <f>O4*$C$4</f>
        <v>1804598.928081078</v>
      </c>
      <c r="S4" s="235">
        <f>Q4*$C$4</f>
        <v>1849713.9012831047</v>
      </c>
      <c r="U4" s="235">
        <f>S4*$C$4</f>
        <v>1895956.7488151821</v>
      </c>
      <c r="W4" s="235">
        <f>U4*$C$4</f>
        <v>1943355.6675355616</v>
      </c>
      <c r="Y4" s="235">
        <f>W4*$C$4</f>
        <v>1991939.5592239504</v>
      </c>
      <c r="AA4" s="235">
        <f>Y4*$C$4</f>
        <v>2041738.0482045489</v>
      </c>
      <c r="AC4" s="235">
        <f>AA4*$C$4</f>
        <v>2092781.4994096623</v>
      </c>
      <c r="AE4" s="235">
        <f>AC4*$C$4</f>
        <v>2145101.0368949035</v>
      </c>
      <c r="AG4" s="235">
        <f>AE4*$C$4</f>
        <v>2198728.562817276</v>
      </c>
    </row>
    <row r="5" spans="1:34" s="225" customFormat="1" ht="14.25">
      <c r="B5" s="225" t="s">
        <v>848</v>
      </c>
      <c r="C5" s="254">
        <f>IF(Application!$D$211="Special Needs",0.1,0.05)</f>
        <v>0.05</v>
      </c>
      <c r="E5" s="237">
        <f>-E4*$C$5</f>
        <v>-77805</v>
      </c>
      <c r="F5" s="237"/>
      <c r="G5" s="237">
        <f>-G4*$C$5</f>
        <v>-79750.125</v>
      </c>
      <c r="H5" s="237"/>
      <c r="I5" s="237">
        <f>-I4*$C$5</f>
        <v>-81743.878124999988</v>
      </c>
      <c r="J5" s="237"/>
      <c r="K5" s="237">
        <f>-K4*$C$5</f>
        <v>-83787.475078124975</v>
      </c>
      <c r="L5" s="237"/>
      <c r="M5" s="237">
        <f>-M4*$C$5</f>
        <v>-85882.161955078089</v>
      </c>
      <c r="N5" s="237"/>
      <c r="O5" s="237">
        <f>-O4*$C$5</f>
        <v>-88029.216003955036</v>
      </c>
      <c r="P5" s="237"/>
      <c r="Q5" s="237">
        <f>-Q4*$C$5</f>
        <v>-90229.946404053902</v>
      </c>
      <c r="R5" s="237"/>
      <c r="S5" s="237">
        <f>-S4*$C$5</f>
        <v>-92485.695064155239</v>
      </c>
      <c r="T5" s="237"/>
      <c r="U5" s="237">
        <f>-U4*$C$5</f>
        <v>-94797.837440759118</v>
      </c>
      <c r="V5" s="237"/>
      <c r="W5" s="237">
        <f>-W4*$C$5</f>
        <v>-97167.783376778083</v>
      </c>
      <c r="X5" s="237"/>
      <c r="Y5" s="237">
        <f>-Y4*$C$5</f>
        <v>-99596.977961197525</v>
      </c>
      <c r="Z5" s="237"/>
      <c r="AA5" s="237">
        <f>-AA4*$C$5</f>
        <v>-102086.90241022746</v>
      </c>
      <c r="AB5" s="237"/>
      <c r="AC5" s="237">
        <f>-AC4*$C$5</f>
        <v>-104639.07497048313</v>
      </c>
      <c r="AD5" s="237"/>
      <c r="AE5" s="237">
        <f>-AE4*$C$5</f>
        <v>-107255.05184474518</v>
      </c>
      <c r="AF5" s="237"/>
      <c r="AG5" s="237">
        <f>-AG4*$C$5</f>
        <v>-109936.42814086381</v>
      </c>
    </row>
    <row r="6" spans="1:34" s="225" customFormat="1" ht="14.25">
      <c r="A6" s="225" t="s">
        <v>846</v>
      </c>
      <c r="C6" s="253">
        <v>1.0249999999999999</v>
      </c>
      <c r="E6" s="238">
        <f>Application!Z809</f>
        <v>572568</v>
      </c>
      <c r="F6" s="238"/>
      <c r="G6" s="238">
        <f>E6*$C$6</f>
        <v>586882.19999999995</v>
      </c>
      <c r="H6" s="238"/>
      <c r="I6" s="238">
        <f>G6*$C$6</f>
        <v>601554.25499999989</v>
      </c>
      <c r="J6" s="238"/>
      <c r="K6" s="238">
        <f>I6*$C$6</f>
        <v>616593.11137499986</v>
      </c>
      <c r="L6" s="238"/>
      <c r="M6" s="238">
        <f>K6*$C$6</f>
        <v>632007.9391593748</v>
      </c>
      <c r="N6" s="238"/>
      <c r="O6" s="238">
        <f>M6*$C$6</f>
        <v>647808.1376383591</v>
      </c>
      <c r="P6" s="238"/>
      <c r="Q6" s="238">
        <f>O6*$C$6</f>
        <v>664003.34107931796</v>
      </c>
      <c r="R6" s="238"/>
      <c r="S6" s="238">
        <f>Q6*$C$6</f>
        <v>680603.42460630089</v>
      </c>
      <c r="T6" s="238"/>
      <c r="U6" s="238">
        <f>S6*$C$6</f>
        <v>697618.51022145839</v>
      </c>
      <c r="V6" s="238"/>
      <c r="W6" s="238">
        <f>U6*$C$6</f>
        <v>715058.97297699482</v>
      </c>
      <c r="X6" s="238"/>
      <c r="Y6" s="238">
        <f>W6*$C$6</f>
        <v>732935.44730141957</v>
      </c>
      <c r="Z6" s="238"/>
      <c r="AA6" s="238">
        <f>Y6*$C$6</f>
        <v>751258.83348395501</v>
      </c>
      <c r="AB6" s="238"/>
      <c r="AC6" s="238">
        <f>AA6*$C$6</f>
        <v>770040.30432105379</v>
      </c>
      <c r="AD6" s="238"/>
      <c r="AE6" s="238">
        <f>AC6*$C$6</f>
        <v>789291.31192908005</v>
      </c>
      <c r="AF6" s="238"/>
      <c r="AG6" s="238">
        <f>AE6*$C$6</f>
        <v>809023.59472730698</v>
      </c>
    </row>
    <row r="7" spans="1:34" s="225" customFormat="1" ht="14.25">
      <c r="B7" s="225" t="s">
        <v>848</v>
      </c>
      <c r="C7" s="254">
        <f>IF(Application!$D$211="Special Needs",0.1,0.05)</f>
        <v>0.05</v>
      </c>
      <c r="E7" s="237">
        <f>-E6*$C$7</f>
        <v>-28628.400000000001</v>
      </c>
      <c r="F7" s="237"/>
      <c r="G7" s="237">
        <f>-G6*$C$7</f>
        <v>-29344.11</v>
      </c>
      <c r="H7" s="237"/>
      <c r="I7" s="237">
        <f>-I6*$C$7</f>
        <v>-30077.712749999995</v>
      </c>
      <c r="J7" s="237"/>
      <c r="K7" s="237">
        <f>-K6*$C$7</f>
        <v>-30829.655568749993</v>
      </c>
      <c r="L7" s="237"/>
      <c r="M7" s="237">
        <f>-M6*$C$7</f>
        <v>-31600.39695796874</v>
      </c>
      <c r="N7" s="237"/>
      <c r="O7" s="237">
        <f>-O6*$C$7</f>
        <v>-32390.406881917956</v>
      </c>
      <c r="P7" s="237"/>
      <c r="Q7" s="237">
        <f>-Q6*$C$7</f>
        <v>-33200.167053965903</v>
      </c>
      <c r="R7" s="237"/>
      <c r="S7" s="237">
        <f>-S6*$C$7</f>
        <v>-34030.171230315049</v>
      </c>
      <c r="T7" s="237"/>
      <c r="U7" s="237">
        <f>-U6*$C$7</f>
        <v>-34880.925511072921</v>
      </c>
      <c r="V7" s="237"/>
      <c r="W7" s="237">
        <f>-W6*$C$7</f>
        <v>-35752.948648849742</v>
      </c>
      <c r="X7" s="237"/>
      <c r="Y7" s="237">
        <f>-Y6*$C$7</f>
        <v>-36646.772365070981</v>
      </c>
      <c r="Z7" s="237"/>
      <c r="AA7" s="237">
        <f>-AA6*$C$7</f>
        <v>-37562.941674197755</v>
      </c>
      <c r="AB7" s="237"/>
      <c r="AC7" s="237">
        <f>-AC6*$C$7</f>
        <v>-38502.015216052692</v>
      </c>
      <c r="AD7" s="237"/>
      <c r="AE7" s="237">
        <f>-AE6*$C$7</f>
        <v>-39464.565596454006</v>
      </c>
      <c r="AF7" s="237"/>
      <c r="AG7" s="237">
        <f>-AG6*$C$7</f>
        <v>-40451.179736365353</v>
      </c>
    </row>
    <row r="8" spans="1:34" s="225" customFormat="1" ht="14.25">
      <c r="A8" s="225" t="s">
        <v>289</v>
      </c>
      <c r="C8" s="253">
        <v>1.0249999999999999</v>
      </c>
      <c r="E8" s="238">
        <f>Application!Z817</f>
        <v>1250</v>
      </c>
      <c r="F8" s="238"/>
      <c r="G8" s="238">
        <f>E8*$C$8</f>
        <v>1281.25</v>
      </c>
      <c r="H8" s="238"/>
      <c r="I8" s="238">
        <f>G8*$C$8</f>
        <v>1313.2812499999998</v>
      </c>
      <c r="J8" s="238"/>
      <c r="K8" s="238">
        <f>I8*$C$8</f>
        <v>1346.1132812499995</v>
      </c>
      <c r="L8" s="238"/>
      <c r="M8" s="238">
        <f>K8*$C$8</f>
        <v>1379.7661132812493</v>
      </c>
      <c r="N8" s="238"/>
      <c r="O8" s="238">
        <f>M8*$C$8</f>
        <v>1414.2602661132805</v>
      </c>
      <c r="P8" s="238"/>
      <c r="Q8" s="238">
        <f>O8*$C$8</f>
        <v>1449.6167727661125</v>
      </c>
      <c r="R8" s="238"/>
      <c r="S8" s="238">
        <f>Q8*$C$8</f>
        <v>1485.8571920852651</v>
      </c>
      <c r="T8" s="238"/>
      <c r="U8" s="238">
        <f>S8*$C$8</f>
        <v>1523.0036218873965</v>
      </c>
      <c r="V8" s="238"/>
      <c r="W8" s="238">
        <f>U8*$C$8</f>
        <v>1561.0787124345813</v>
      </c>
      <c r="X8" s="238"/>
      <c r="Y8" s="238">
        <f>W8*$C$8</f>
        <v>1600.1056802454457</v>
      </c>
      <c r="Z8" s="238"/>
      <c r="AA8" s="238">
        <f>Y8*$C$8</f>
        <v>1640.1083222515817</v>
      </c>
      <c r="AB8" s="238"/>
      <c r="AC8" s="238">
        <f>AA8*$C$8</f>
        <v>1681.111030307871</v>
      </c>
      <c r="AD8" s="238"/>
      <c r="AE8" s="238">
        <f>AC8*$C$8</f>
        <v>1723.1388060655677</v>
      </c>
      <c r="AF8" s="238"/>
      <c r="AG8" s="238">
        <f>AE8*$C$8</f>
        <v>1766.2172762172067</v>
      </c>
    </row>
    <row r="9" spans="1:34" s="225" customFormat="1" ht="14.25">
      <c r="B9" s="225" t="s">
        <v>848</v>
      </c>
      <c r="C9" s="254">
        <f>IF(Application!$D$211="Special Needs",0.1,0.05)</f>
        <v>0.05</v>
      </c>
      <c r="E9" s="237">
        <f>-E8*$C$9</f>
        <v>-62.5</v>
      </c>
      <c r="F9" s="237"/>
      <c r="G9" s="237">
        <f>-G8*$C$9</f>
        <v>-64.0625</v>
      </c>
      <c r="H9" s="237"/>
      <c r="I9" s="237">
        <f>-I8*$C$9</f>
        <v>-65.664062499999986</v>
      </c>
      <c r="J9" s="237"/>
      <c r="K9" s="237">
        <f>-K8*$C$9</f>
        <v>-67.305664062499986</v>
      </c>
      <c r="L9" s="237"/>
      <c r="M9" s="237">
        <f>-M8*$C$9</f>
        <v>-68.988305664062466</v>
      </c>
      <c r="N9" s="237"/>
      <c r="O9" s="237">
        <f>-O8*$C$9</f>
        <v>-70.713013305664035</v>
      </c>
      <c r="P9" s="237"/>
      <c r="Q9" s="237">
        <f>-Q8*$C$9</f>
        <v>-72.480838638305627</v>
      </c>
      <c r="R9" s="237"/>
      <c r="S9" s="237">
        <f>-S8*$C$9</f>
        <v>-74.292859604263256</v>
      </c>
      <c r="T9" s="237"/>
      <c r="U9" s="237">
        <f>-U8*$C$9</f>
        <v>-76.150181094369827</v>
      </c>
      <c r="V9" s="237"/>
      <c r="W9" s="237">
        <f>-W8*$C$9</f>
        <v>-78.053935621729067</v>
      </c>
      <c r="X9" s="237"/>
      <c r="Y9" s="237">
        <f>-Y8*$C$9</f>
        <v>-80.005284012272284</v>
      </c>
      <c r="Z9" s="237"/>
      <c r="AA9" s="237">
        <f>-AA8*$C$9</f>
        <v>-82.005416112579098</v>
      </c>
      <c r="AB9" s="237"/>
      <c r="AC9" s="237">
        <f>-AC8*$C$9</f>
        <v>-84.05555151539356</v>
      </c>
      <c r="AD9" s="237"/>
      <c r="AE9" s="237">
        <f>-AE8*$C$9</f>
        <v>-86.15694030327839</v>
      </c>
      <c r="AF9" s="237"/>
      <c r="AG9" s="237">
        <f>-AG8*$C$9</f>
        <v>-88.31086381086034</v>
      </c>
    </row>
    <row r="10" spans="1:34" s="225" customFormat="1" ht="14.25">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2023422.1</v>
      </c>
      <c r="G11" s="239">
        <f>SUM(G4:G10)</f>
        <v>2074007.6524999996</v>
      </c>
      <c r="I11" s="239">
        <f>SUM(I4:I10)</f>
        <v>2125857.8438124992</v>
      </c>
      <c r="K11" s="239">
        <f>SUM(K4:K10)</f>
        <v>2179004.2899078117</v>
      </c>
      <c r="M11" s="239">
        <f>SUM(M4:M10)</f>
        <v>2233479.3971555065</v>
      </c>
      <c r="O11" s="239">
        <f>SUM(O4:O10)</f>
        <v>2289316.3820843939</v>
      </c>
      <c r="Q11" s="239">
        <f>SUM(Q4:Q10)</f>
        <v>2346549.2916365042</v>
      </c>
      <c r="S11" s="239">
        <f>SUM(S4:S10)</f>
        <v>2405213.0239274162</v>
      </c>
      <c r="U11" s="239">
        <f>SUM(U4:U10)</f>
        <v>2465343.3495256016</v>
      </c>
      <c r="W11" s="239">
        <f>SUM(W4:W10)</f>
        <v>2526976.933263741</v>
      </c>
      <c r="Y11" s="239">
        <f>SUM(Y4:Y10)</f>
        <v>2590151.3565953346</v>
      </c>
      <c r="AA11" s="239">
        <f>SUM(AA4:AA10)</f>
        <v>2654905.1405102178</v>
      </c>
      <c r="AC11" s="239">
        <f>SUM(AC4:AC10)</f>
        <v>2721277.7690229733</v>
      </c>
      <c r="AE11" s="239">
        <f>SUM(AE4:AE10)</f>
        <v>2789309.7132485467</v>
      </c>
      <c r="AG11" s="239">
        <f>SUM(AG4:AG10)</f>
        <v>2859042.4560797601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45250</v>
      </c>
      <c r="G15" s="235">
        <f>E15*$C$14</f>
        <v>46833.75</v>
      </c>
      <c r="I15" s="235">
        <f>G15*$C$14</f>
        <v>48472.931249999994</v>
      </c>
      <c r="K15" s="235">
        <f>I15*$C$14</f>
        <v>50169.483843749993</v>
      </c>
      <c r="M15" s="235">
        <f>K15*$C$14</f>
        <v>51925.41577828124</v>
      </c>
      <c r="O15" s="235">
        <f>M15*$C$14</f>
        <v>53742.805330521078</v>
      </c>
      <c r="Q15" s="235">
        <f>O15*$C$14</f>
        <v>55623.803517089313</v>
      </c>
      <c r="S15" s="235">
        <f>Q15*$C$14</f>
        <v>57570.636640187433</v>
      </c>
      <c r="U15" s="235">
        <f>S15*$C$14</f>
        <v>59585.608922593987</v>
      </c>
      <c r="W15" s="235">
        <f>U15*$C$14</f>
        <v>61671.105234884773</v>
      </c>
      <c r="Y15" s="235">
        <f>W15*$C$14</f>
        <v>63829.593918105733</v>
      </c>
      <c r="AA15" s="235">
        <f>Y15*$C$14</f>
        <v>66063.629705239422</v>
      </c>
      <c r="AC15" s="235">
        <f>AA15*$C$14</f>
        <v>68375.856744922799</v>
      </c>
      <c r="AE15" s="235">
        <f>AC15*$C$14</f>
        <v>70769.011730995087</v>
      </c>
      <c r="AG15" s="235">
        <f>AE15*$C$14</f>
        <v>73245.927141579916</v>
      </c>
    </row>
    <row r="16" spans="1:34" s="225" customFormat="1" ht="14.25">
      <c r="A16" s="225" t="s">
        <v>345</v>
      </c>
      <c r="C16" s="249"/>
      <c r="E16" s="238">
        <f>Application!W849</f>
        <v>57120</v>
      </c>
      <c r="F16" s="238"/>
      <c r="G16" s="238">
        <f t="shared" ref="G16:AG21" si="0">E16*$C$14</f>
        <v>59119.199999999997</v>
      </c>
      <c r="H16" s="238"/>
      <c r="I16" s="238">
        <f t="shared" si="0"/>
        <v>61188.371999999996</v>
      </c>
      <c r="J16" s="238"/>
      <c r="K16" s="238">
        <f t="shared" si="0"/>
        <v>63329.965019999989</v>
      </c>
      <c r="L16" s="238"/>
      <c r="M16" s="238">
        <f t="shared" si="0"/>
        <v>65546.513795699982</v>
      </c>
      <c r="N16" s="238"/>
      <c r="O16" s="238">
        <f t="shared" si="0"/>
        <v>67840.64177854947</v>
      </c>
      <c r="P16" s="238"/>
      <c r="Q16" s="238">
        <f t="shared" si="0"/>
        <v>70215.064240798703</v>
      </c>
      <c r="R16" s="238"/>
      <c r="S16" s="238">
        <f t="shared" si="0"/>
        <v>72672.591489226659</v>
      </c>
      <c r="T16" s="238"/>
      <c r="U16" s="238">
        <f t="shared" si="0"/>
        <v>75216.132191349592</v>
      </c>
      <c r="V16" s="238"/>
      <c r="W16" s="238">
        <f t="shared" si="0"/>
        <v>77848.696818046825</v>
      </c>
      <c r="X16" s="238"/>
      <c r="Y16" s="238">
        <f t="shared" si="0"/>
        <v>80573.401206678463</v>
      </c>
      <c r="Z16" s="238"/>
      <c r="AA16" s="238">
        <f t="shared" si="0"/>
        <v>83393.470248912199</v>
      </c>
      <c r="AB16" s="238"/>
      <c r="AC16" s="238">
        <f t="shared" si="0"/>
        <v>86312.241707624125</v>
      </c>
      <c r="AD16" s="238"/>
      <c r="AE16" s="238">
        <f t="shared" si="0"/>
        <v>89333.17016739097</v>
      </c>
      <c r="AF16" s="238"/>
      <c r="AG16" s="238">
        <f t="shared" si="0"/>
        <v>92459.831123249649</v>
      </c>
    </row>
    <row r="17" spans="1:33" s="225" customFormat="1" ht="14.25">
      <c r="A17" s="225" t="s">
        <v>569</v>
      </c>
      <c r="C17" s="249"/>
      <c r="E17" s="238">
        <f>Application!W855</f>
        <v>145707</v>
      </c>
      <c r="F17" s="238"/>
      <c r="G17" s="238">
        <f t="shared" si="0"/>
        <v>150806.745</v>
      </c>
      <c r="H17" s="238"/>
      <c r="I17" s="238">
        <f t="shared" si="0"/>
        <v>156084.98107499999</v>
      </c>
      <c r="J17" s="238"/>
      <c r="K17" s="238">
        <f t="shared" si="0"/>
        <v>161547.95541262499</v>
      </c>
      <c r="L17" s="238"/>
      <c r="M17" s="238">
        <f t="shared" si="0"/>
        <v>167202.13385206685</v>
      </c>
      <c r="N17" s="238"/>
      <c r="O17" s="238">
        <f t="shared" si="0"/>
        <v>173054.20853688917</v>
      </c>
      <c r="P17" s="238"/>
      <c r="Q17" s="238">
        <f t="shared" si="0"/>
        <v>179111.10583568027</v>
      </c>
      <c r="R17" s="238"/>
      <c r="S17" s="238">
        <f t="shared" si="0"/>
        <v>185379.99453992906</v>
      </c>
      <c r="T17" s="238"/>
      <c r="U17" s="238">
        <f t="shared" si="0"/>
        <v>191868.29434882657</v>
      </c>
      <c r="V17" s="238"/>
      <c r="W17" s="238">
        <f t="shared" si="0"/>
        <v>198583.6846510355</v>
      </c>
      <c r="X17" s="238"/>
      <c r="Y17" s="238">
        <f t="shared" si="0"/>
        <v>205534.11361382171</v>
      </c>
      <c r="Z17" s="238"/>
      <c r="AA17" s="238">
        <f t="shared" si="0"/>
        <v>212727.80759030546</v>
      </c>
      <c r="AB17" s="238"/>
      <c r="AC17" s="238">
        <f t="shared" si="0"/>
        <v>220173.28085596612</v>
      </c>
      <c r="AD17" s="238"/>
      <c r="AE17" s="238">
        <f t="shared" si="0"/>
        <v>227879.34568592493</v>
      </c>
      <c r="AF17" s="238"/>
      <c r="AG17" s="238">
        <f t="shared" si="0"/>
        <v>235855.12278493229</v>
      </c>
    </row>
    <row r="18" spans="1:33" s="225" customFormat="1" ht="14.25">
      <c r="A18" s="225" t="s">
        <v>852</v>
      </c>
      <c r="C18" s="249"/>
      <c r="E18" s="238">
        <f>Application!W862</f>
        <v>199876</v>
      </c>
      <c r="F18" s="238"/>
      <c r="G18" s="238">
        <f t="shared" si="0"/>
        <v>206871.65999999997</v>
      </c>
      <c r="H18" s="238"/>
      <c r="I18" s="238">
        <f t="shared" si="0"/>
        <v>214112.16809999995</v>
      </c>
      <c r="J18" s="238"/>
      <c r="K18" s="238">
        <f t="shared" si="0"/>
        <v>221606.09398349994</v>
      </c>
      <c r="L18" s="238"/>
      <c r="M18" s="238">
        <f t="shared" si="0"/>
        <v>229362.30727292242</v>
      </c>
      <c r="N18" s="238"/>
      <c r="O18" s="238">
        <f t="shared" si="0"/>
        <v>237389.9880274747</v>
      </c>
      <c r="P18" s="238"/>
      <c r="Q18" s="238">
        <f t="shared" si="0"/>
        <v>245698.63760843629</v>
      </c>
      <c r="R18" s="238"/>
      <c r="S18" s="238">
        <f t="shared" si="0"/>
        <v>254298.08992473152</v>
      </c>
      <c r="T18" s="238"/>
      <c r="U18" s="238">
        <f t="shared" si="0"/>
        <v>263198.5230720971</v>
      </c>
      <c r="V18" s="238"/>
      <c r="W18" s="238">
        <f t="shared" si="0"/>
        <v>272410.47137962049</v>
      </c>
      <c r="X18" s="238"/>
      <c r="Y18" s="238">
        <f t="shared" si="0"/>
        <v>281944.83787790721</v>
      </c>
      <c r="Z18" s="238"/>
      <c r="AA18" s="238">
        <f t="shared" si="0"/>
        <v>291812.90720363392</v>
      </c>
      <c r="AB18" s="238"/>
      <c r="AC18" s="238">
        <f t="shared" si="0"/>
        <v>302026.35895576107</v>
      </c>
      <c r="AD18" s="238"/>
      <c r="AE18" s="238">
        <f t="shared" si="0"/>
        <v>312597.2815192127</v>
      </c>
      <c r="AF18" s="238"/>
      <c r="AG18" s="238">
        <f t="shared" si="0"/>
        <v>323538.18637238513</v>
      </c>
    </row>
    <row r="19" spans="1:33" s="225" customFormat="1" ht="14.25">
      <c r="A19" s="225" t="s">
        <v>155</v>
      </c>
      <c r="C19" s="249"/>
      <c r="E19" s="238">
        <f>Application!W863</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4.25">
      <c r="A20" s="225" t="s">
        <v>391</v>
      </c>
      <c r="C20" s="249"/>
      <c r="E20" s="238">
        <f>Application!W872</f>
        <v>115877</v>
      </c>
      <c r="F20" s="238"/>
      <c r="G20" s="238">
        <f t="shared" si="0"/>
        <v>119932.69499999999</v>
      </c>
      <c r="H20" s="238"/>
      <c r="I20" s="238">
        <f t="shared" si="0"/>
        <v>124130.33932499998</v>
      </c>
      <c r="J20" s="238"/>
      <c r="K20" s="238">
        <f t="shared" si="0"/>
        <v>128474.90120137497</v>
      </c>
      <c r="L20" s="238"/>
      <c r="M20" s="238">
        <f t="shared" si="0"/>
        <v>132971.52274342309</v>
      </c>
      <c r="N20" s="238"/>
      <c r="O20" s="238">
        <f t="shared" si="0"/>
        <v>137625.52603944289</v>
      </c>
      <c r="P20" s="238"/>
      <c r="Q20" s="238">
        <f t="shared" si="0"/>
        <v>142442.41945082339</v>
      </c>
      <c r="R20" s="238"/>
      <c r="S20" s="238">
        <f t="shared" si="0"/>
        <v>147427.9041316022</v>
      </c>
      <c r="T20" s="238"/>
      <c r="U20" s="238">
        <f t="shared" si="0"/>
        <v>152587.88077620827</v>
      </c>
      <c r="V20" s="238"/>
      <c r="W20" s="238">
        <f t="shared" si="0"/>
        <v>157928.45660337555</v>
      </c>
      <c r="X20" s="238"/>
      <c r="Y20" s="238">
        <f t="shared" si="0"/>
        <v>163455.95258449367</v>
      </c>
      <c r="Z20" s="238"/>
      <c r="AA20" s="238">
        <f t="shared" si="0"/>
        <v>169176.91092495093</v>
      </c>
      <c r="AB20" s="238"/>
      <c r="AC20" s="238">
        <f t="shared" si="0"/>
        <v>175098.10280732421</v>
      </c>
      <c r="AD20" s="238"/>
      <c r="AE20" s="238">
        <f t="shared" si="0"/>
        <v>181226.53640558053</v>
      </c>
      <c r="AF20" s="238"/>
      <c r="AG20" s="238">
        <f t="shared" si="0"/>
        <v>187569.46517977584</v>
      </c>
    </row>
    <row r="21" spans="1:33" s="225" customFormat="1" ht="14.25">
      <c r="A21" s="242" t="s">
        <v>2780</v>
      </c>
      <c r="B21" s="242"/>
      <c r="C21" s="249"/>
      <c r="E21" s="248">
        <f>Application!W879</f>
        <v>8850</v>
      </c>
      <c r="F21" s="238"/>
      <c r="G21" s="248">
        <f t="shared" si="0"/>
        <v>9159.75</v>
      </c>
      <c r="H21" s="238"/>
      <c r="I21" s="248">
        <f t="shared" si="0"/>
        <v>9480.3412499999995</v>
      </c>
      <c r="J21" s="238"/>
      <c r="K21" s="248">
        <f t="shared" si="0"/>
        <v>9812.1531937499985</v>
      </c>
      <c r="L21" s="238"/>
      <c r="M21" s="248">
        <f t="shared" si="0"/>
        <v>10155.578555531247</v>
      </c>
      <c r="N21" s="238"/>
      <c r="O21" s="248">
        <f t="shared" si="0"/>
        <v>10511.02380497484</v>
      </c>
      <c r="P21" s="238"/>
      <c r="Q21" s="248">
        <f t="shared" si="0"/>
        <v>10878.90963814896</v>
      </c>
      <c r="R21" s="238"/>
      <c r="S21" s="248">
        <f t="shared" si="0"/>
        <v>11259.671475484172</v>
      </c>
      <c r="T21" s="238"/>
      <c r="U21" s="248">
        <f t="shared" si="0"/>
        <v>11653.759977126118</v>
      </c>
      <c r="V21" s="238"/>
      <c r="W21" s="248">
        <f t="shared" si="0"/>
        <v>12061.64157632553</v>
      </c>
      <c r="X21" s="238"/>
      <c r="Y21" s="248">
        <f t="shared" si="0"/>
        <v>12483.799031496923</v>
      </c>
      <c r="Z21" s="238"/>
      <c r="AA21" s="248">
        <f t="shared" si="0"/>
        <v>12920.731997599314</v>
      </c>
      <c r="AB21" s="238"/>
      <c r="AC21" s="248">
        <f t="shared" si="0"/>
        <v>13372.957617515289</v>
      </c>
      <c r="AD21" s="238"/>
      <c r="AE21" s="248">
        <f t="shared" si="0"/>
        <v>13841.011134128323</v>
      </c>
      <c r="AF21" s="238"/>
      <c r="AG21" s="248">
        <f t="shared" si="0"/>
        <v>14325.446523822813</v>
      </c>
    </row>
    <row r="22" spans="1:33" s="239" customFormat="1" ht="15">
      <c r="A22" s="239" t="s">
        <v>853</v>
      </c>
      <c r="C22" s="249"/>
      <c r="E22" s="239">
        <f>SUM(E15:E21)</f>
        <v>672680</v>
      </c>
      <c r="G22" s="239">
        <f>SUM(G15:G21)</f>
        <v>696223.79999999993</v>
      </c>
      <c r="I22" s="239">
        <f>SUM(I15:I21)</f>
        <v>720591.63299999991</v>
      </c>
      <c r="K22" s="239">
        <f>SUM(K15:K21)</f>
        <v>745812.34015499975</v>
      </c>
      <c r="M22" s="239">
        <f>SUM(M15:M21)</f>
        <v>771915.77206042479</v>
      </c>
      <c r="O22" s="239">
        <f>SUM(O15:O21)</f>
        <v>798932.82408253953</v>
      </c>
      <c r="Q22" s="239">
        <f>SUM(Q15:Q21)</f>
        <v>826895.47292542853</v>
      </c>
      <c r="S22" s="239">
        <f>SUM(S15:S21)</f>
        <v>855836.8144778182</v>
      </c>
      <c r="U22" s="239">
        <f>SUM(U15:U21)</f>
        <v>885791.10298454191</v>
      </c>
      <c r="W22" s="239">
        <f>SUM(W15:W21)</f>
        <v>916793.79158900073</v>
      </c>
      <c r="Y22" s="239">
        <f>SUM(Y15:Y21)</f>
        <v>948881.57429461577</v>
      </c>
      <c r="AA22" s="239">
        <f>SUM(AA15:AA21)</f>
        <v>982092.42939492723</v>
      </c>
      <c r="AC22" s="239">
        <f>SUM(AC15:AC21)</f>
        <v>1016465.6644237495</v>
      </c>
      <c r="AE22" s="239">
        <f>SUM(AE15:AE21)</f>
        <v>1052041.9626785808</v>
      </c>
      <c r="AG22" s="239">
        <f>SUM(AG15:AG21)</f>
        <v>1088863.431372331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1867</v>
      </c>
      <c r="C24" s="249">
        <v>1</v>
      </c>
      <c r="E24" s="945">
        <v>80000</v>
      </c>
      <c r="F24" s="238"/>
      <c r="G24" s="238">
        <f>E24*$C$24</f>
        <v>80000</v>
      </c>
      <c r="H24" s="238"/>
      <c r="I24" s="238">
        <f>G24*$C$24</f>
        <v>80000</v>
      </c>
      <c r="J24" s="238"/>
      <c r="K24" s="238">
        <f>I24*$C$24</f>
        <v>80000</v>
      </c>
      <c r="L24" s="238"/>
      <c r="M24" s="238">
        <f>K24*$C$24</f>
        <v>80000</v>
      </c>
      <c r="N24" s="238"/>
      <c r="O24" s="238">
        <f>M24*$C$24</f>
        <v>80000</v>
      </c>
      <c r="P24" s="238"/>
      <c r="Q24" s="238">
        <f>O24*$C$24</f>
        <v>80000</v>
      </c>
      <c r="R24" s="238"/>
      <c r="S24" s="238">
        <f>Q24*$C$24</f>
        <v>80000</v>
      </c>
      <c r="T24" s="238"/>
      <c r="U24" s="238">
        <f>S24*$C$24</f>
        <v>80000</v>
      </c>
      <c r="V24" s="238"/>
      <c r="W24" s="238">
        <f>U24*$C$24</f>
        <v>80000</v>
      </c>
      <c r="X24" s="238"/>
      <c r="Y24" s="238">
        <f>W24*$C$24</f>
        <v>80000</v>
      </c>
      <c r="Z24" s="238"/>
      <c r="AA24" s="238">
        <f>Y24*$C$24</f>
        <v>80000</v>
      </c>
      <c r="AB24" s="238"/>
      <c r="AC24" s="238">
        <f>AA24*$C$24</f>
        <v>80000</v>
      </c>
      <c r="AD24" s="238"/>
      <c r="AE24" s="238">
        <f>AC24*$C$24</f>
        <v>80000</v>
      </c>
      <c r="AF24" s="238"/>
      <c r="AG24" s="238">
        <f>AE24*$C$24</f>
        <v>80000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19300</v>
      </c>
      <c r="F27" s="238"/>
      <c r="G27" s="238">
        <f>E27*$C$27</f>
        <v>19975.5</v>
      </c>
      <c r="H27" s="238"/>
      <c r="I27" s="238">
        <f>G27*$C$27</f>
        <v>20674.642499999998</v>
      </c>
      <c r="J27" s="238"/>
      <c r="K27" s="238">
        <f>I27*$C$27</f>
        <v>21398.254987499997</v>
      </c>
      <c r="L27" s="238"/>
      <c r="M27" s="238">
        <f>K27*$C$27</f>
        <v>22147.193912062496</v>
      </c>
      <c r="N27" s="238"/>
      <c r="O27" s="238">
        <f>M27*$C$27</f>
        <v>22922.345698984682</v>
      </c>
      <c r="P27" s="238"/>
      <c r="Q27" s="238">
        <f>O27*$C$27</f>
        <v>23724.627798449143</v>
      </c>
      <c r="R27" s="238"/>
      <c r="S27" s="238">
        <f>Q27*$C$27</f>
        <v>24554.989771394859</v>
      </c>
      <c r="T27" s="238"/>
      <c r="U27" s="238">
        <f>S27*$C$27</f>
        <v>25414.414413393679</v>
      </c>
      <c r="V27" s="238"/>
      <c r="W27" s="238">
        <f>U27*$C$27</f>
        <v>26303.918917862455</v>
      </c>
      <c r="X27" s="238"/>
      <c r="Y27" s="238">
        <f>W27*$C$27</f>
        <v>27224.55607998764</v>
      </c>
      <c r="Z27" s="238"/>
      <c r="AA27" s="238">
        <f>Y27*$C$27</f>
        <v>28177.415542787207</v>
      </c>
      <c r="AB27" s="238"/>
      <c r="AC27" s="238">
        <f>AA27*$C$27</f>
        <v>29163.625086784756</v>
      </c>
      <c r="AD27" s="238"/>
      <c r="AE27" s="238">
        <f>AC27*$C$27</f>
        <v>30184.351964822221</v>
      </c>
      <c r="AF27" s="238"/>
      <c r="AG27" s="238">
        <f>AE27*$C$27</f>
        <v>31240.804283590995</v>
      </c>
    </row>
    <row r="28" spans="1:33" s="225" customFormat="1" ht="14.25">
      <c r="A28" s="225" t="s">
        <v>856</v>
      </c>
      <c r="C28" s="253"/>
      <c r="E28" s="238">
        <f>Application!AC889</f>
        <v>21000</v>
      </c>
      <c r="F28" s="238"/>
      <c r="G28" s="238">
        <f>$E$28</f>
        <v>21000</v>
      </c>
      <c r="H28" s="238"/>
      <c r="I28" s="238">
        <f>$E$28</f>
        <v>21000</v>
      </c>
      <c r="J28" s="238"/>
      <c r="K28" s="238">
        <f>$E$28</f>
        <v>21000</v>
      </c>
      <c r="L28" s="238"/>
      <c r="M28" s="238">
        <f>$E$28</f>
        <v>21000</v>
      </c>
      <c r="N28" s="238"/>
      <c r="O28" s="238">
        <f>$E$28</f>
        <v>21000</v>
      </c>
      <c r="P28" s="238"/>
      <c r="Q28" s="238">
        <f>$E$28</f>
        <v>21000</v>
      </c>
      <c r="R28" s="238"/>
      <c r="S28" s="238">
        <f>$E$28</f>
        <v>21000</v>
      </c>
      <c r="T28" s="238"/>
      <c r="U28" s="238">
        <f>$E$28</f>
        <v>21000</v>
      </c>
      <c r="V28" s="238"/>
      <c r="W28" s="238">
        <f>$E$28</f>
        <v>21000</v>
      </c>
      <c r="X28" s="238"/>
      <c r="Y28" s="238">
        <f>$E$28</f>
        <v>21000</v>
      </c>
      <c r="Z28" s="238"/>
      <c r="AA28" s="238">
        <f>$E$28</f>
        <v>21000</v>
      </c>
      <c r="AB28" s="238"/>
      <c r="AC28" s="238">
        <f>$E$28</f>
        <v>21000</v>
      </c>
      <c r="AD28" s="238"/>
      <c r="AE28" s="238">
        <f>$E$28</f>
        <v>21000</v>
      </c>
      <c r="AF28" s="238"/>
      <c r="AG28" s="238">
        <f>$E$28</f>
        <v>21000</v>
      </c>
    </row>
    <row r="29" spans="1:33" s="225" customFormat="1" ht="14.25">
      <c r="A29" s="225" t="s">
        <v>1865</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1866</v>
      </c>
      <c r="C31" s="253">
        <v>1.02</v>
      </c>
      <c r="E31" s="238">
        <f>Application!AC892</f>
        <v>11625</v>
      </c>
      <c r="F31" s="238"/>
      <c r="G31" s="238">
        <f>E31*$C$31</f>
        <v>11857.5</v>
      </c>
      <c r="H31" s="238"/>
      <c r="I31" s="238">
        <f>G31*$C$31</f>
        <v>12094.65</v>
      </c>
      <c r="J31" s="238"/>
      <c r="K31" s="238">
        <f>I31*$C$31</f>
        <v>12336.543</v>
      </c>
      <c r="L31" s="238"/>
      <c r="M31" s="238">
        <f>K31*$C$31</f>
        <v>12583.273859999999</v>
      </c>
      <c r="N31" s="238"/>
      <c r="O31" s="238">
        <f>M31*$C$31</f>
        <v>12834.939337199999</v>
      </c>
      <c r="P31" s="238"/>
      <c r="Q31" s="238">
        <f>O31*$C$31</f>
        <v>13091.638123944</v>
      </c>
      <c r="R31" s="238"/>
      <c r="S31" s="238">
        <f>Q31*$C$31</f>
        <v>13353.47088642288</v>
      </c>
      <c r="T31" s="238"/>
      <c r="U31" s="238">
        <f>S31*$C$31</f>
        <v>13620.540304151338</v>
      </c>
      <c r="V31" s="238"/>
      <c r="W31" s="238">
        <f>U31*$C$31</f>
        <v>13892.951110234366</v>
      </c>
      <c r="X31" s="238"/>
      <c r="Y31" s="238">
        <f>W31*$C$31</f>
        <v>14170.810132439054</v>
      </c>
      <c r="Z31" s="238"/>
      <c r="AA31" s="238">
        <f>Y31*$C$31</f>
        <v>14454.226335087835</v>
      </c>
      <c r="AB31" s="238"/>
      <c r="AC31" s="238">
        <f>AA31*$C$31</f>
        <v>14743.310861789592</v>
      </c>
      <c r="AD31" s="238"/>
      <c r="AE31" s="238">
        <f>AC31*$C$31</f>
        <v>15038.177079025385</v>
      </c>
      <c r="AF31" s="238"/>
      <c r="AG31" s="238">
        <f>AE31*$C$31</f>
        <v>15338.940620605892</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804605</v>
      </c>
      <c r="G35" s="239">
        <f>SUM(G22:G33)</f>
        <v>829056.79999999993</v>
      </c>
      <c r="I35" s="239">
        <f>SUM(I22:I33)</f>
        <v>854360.9254999999</v>
      </c>
      <c r="K35" s="239">
        <f>SUM(K22:K33)</f>
        <v>880547.13814249972</v>
      </c>
      <c r="M35" s="239">
        <f>SUM(M22:M33)</f>
        <v>907646.23983248719</v>
      </c>
      <c r="O35" s="239">
        <f>SUM(O22:O33)</f>
        <v>935690.10911872424</v>
      </c>
      <c r="Q35" s="239">
        <f>SUM(Q22:Q33)</f>
        <v>964711.73884782172</v>
      </c>
      <c r="S35" s="239">
        <f>SUM(S22:S33)</f>
        <v>994745.27513563598</v>
      </c>
      <c r="U35" s="239">
        <f>SUM(U22:U33)</f>
        <v>1025826.057702087</v>
      </c>
      <c r="W35" s="239">
        <f>SUM(W22:W33)</f>
        <v>1057990.6616170974</v>
      </c>
      <c r="Y35" s="239">
        <f>SUM(Y22:Y33)</f>
        <v>1091276.9405070425</v>
      </c>
      <c r="AA35" s="239">
        <f>SUM(AA22:AA33)</f>
        <v>1125724.0712728023</v>
      </c>
      <c r="AC35" s="239">
        <f>SUM(AC22:AC33)</f>
        <v>1161372.600372324</v>
      </c>
      <c r="AE35" s="239">
        <f>SUM(AE22:AE33)</f>
        <v>1198264.4917224285</v>
      </c>
      <c r="AG35" s="239">
        <f>SUM(AG22:AG33)</f>
        <v>1236443.1762765278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1218817.1000000001</v>
      </c>
      <c r="G37" s="239">
        <f>G11-G35</f>
        <v>1244950.8524999996</v>
      </c>
      <c r="I37" s="239">
        <f>I11-I35</f>
        <v>1271496.9183124993</v>
      </c>
      <c r="K37" s="239">
        <f>K11-K35</f>
        <v>1298457.1517653121</v>
      </c>
      <c r="M37" s="239">
        <f>M11-M35</f>
        <v>1325833.1573230193</v>
      </c>
      <c r="O37" s="239">
        <f>O11-O35</f>
        <v>1353626.2729656696</v>
      </c>
      <c r="Q37" s="239">
        <f>Q11-Q35</f>
        <v>1381837.5527886825</v>
      </c>
      <c r="S37" s="239">
        <f>S11-S35</f>
        <v>1410467.7487917803</v>
      </c>
      <c r="U37" s="239">
        <f>U11-U35</f>
        <v>1439517.2918235147</v>
      </c>
      <c r="W37" s="239">
        <f>W11-W35</f>
        <v>1468986.2716466435</v>
      </c>
      <c r="Y37" s="239">
        <f>Y11-Y35</f>
        <v>1498874.4160882921</v>
      </c>
      <c r="AA37" s="239">
        <f>AA11-AA35</f>
        <v>1529181.0692374154</v>
      </c>
      <c r="AC37" s="239">
        <f>AC11-AC35</f>
        <v>1559905.1686506493</v>
      </c>
      <c r="AE37" s="239">
        <f>AE11-AE35</f>
        <v>1591045.2215261182</v>
      </c>
      <c r="AG37" s="239">
        <f>AG11-AG35</f>
        <v>1622599.2798032323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 - Tax-Exempt</v>
      </c>
      <c r="B40" s="242"/>
      <c r="C40" s="236"/>
      <c r="E40" s="238">
        <f>Application!AF627</f>
        <v>871540</v>
      </c>
      <c r="F40" s="238"/>
      <c r="G40" s="238">
        <f>$E$40</f>
        <v>871540</v>
      </c>
      <c r="H40" s="238"/>
      <c r="I40" s="238">
        <f>$E$40</f>
        <v>871540</v>
      </c>
      <c r="J40" s="238"/>
      <c r="K40" s="238">
        <f>$E$40</f>
        <v>871540</v>
      </c>
      <c r="L40" s="238"/>
      <c r="M40" s="238">
        <f>$E$40</f>
        <v>871540</v>
      </c>
      <c r="N40" s="238"/>
      <c r="O40" s="238">
        <f>$E$40</f>
        <v>871540</v>
      </c>
      <c r="P40" s="238"/>
      <c r="Q40" s="238">
        <f>$E$40</f>
        <v>871540</v>
      </c>
      <c r="R40" s="238"/>
      <c r="S40" s="238">
        <f>$E$40</f>
        <v>871540</v>
      </c>
      <c r="T40" s="238"/>
      <c r="U40" s="238">
        <f>$E$40</f>
        <v>871540</v>
      </c>
      <c r="V40" s="238"/>
      <c r="W40" s="238">
        <f>$E$40</f>
        <v>871540</v>
      </c>
      <c r="X40" s="238"/>
      <c r="Y40" s="238">
        <f>$E$40</f>
        <v>871540</v>
      </c>
      <c r="Z40" s="238"/>
      <c r="AA40" s="238">
        <f>$E$40</f>
        <v>871540</v>
      </c>
      <c r="AB40" s="238"/>
      <c r="AC40" s="238">
        <f>$E$40</f>
        <v>871540</v>
      </c>
      <c r="AD40" s="238"/>
      <c r="AE40" s="238">
        <f>$E$40</f>
        <v>871540</v>
      </c>
      <c r="AF40" s="238"/>
      <c r="AG40" s="238">
        <f>$E$40</f>
        <v>871540</v>
      </c>
    </row>
    <row r="41" spans="1:33" s="225" customFormat="1" ht="14.25">
      <c r="A41" s="241" t="s">
        <v>2752</v>
      </c>
      <c r="B41" s="242"/>
      <c r="C41" s="236"/>
      <c r="E41" s="238">
        <v>149641</v>
      </c>
      <c r="F41" s="238"/>
      <c r="G41" s="238">
        <f>$E$41</f>
        <v>149641</v>
      </c>
      <c r="H41" s="238"/>
      <c r="I41" s="238">
        <f>$E$41</f>
        <v>149641</v>
      </c>
      <c r="J41" s="238"/>
      <c r="K41" s="238">
        <f>$E$41</f>
        <v>149641</v>
      </c>
      <c r="L41" s="238"/>
      <c r="M41" s="238">
        <f>$E$41</f>
        <v>149641</v>
      </c>
      <c r="N41" s="238"/>
      <c r="O41" s="238">
        <f>$E$41</f>
        <v>149641</v>
      </c>
      <c r="P41" s="238"/>
      <c r="Q41" s="238">
        <f>$E$41</f>
        <v>149641</v>
      </c>
      <c r="R41" s="238"/>
      <c r="S41" s="238">
        <f>$E$41</f>
        <v>149641</v>
      </c>
      <c r="T41" s="238"/>
      <c r="U41" s="238">
        <f>$E$41</f>
        <v>149641</v>
      </c>
      <c r="V41" s="238"/>
      <c r="W41" s="238">
        <f>$E$41</f>
        <v>149641</v>
      </c>
      <c r="X41" s="238"/>
      <c r="Y41" s="238">
        <f>$E$41</f>
        <v>149641</v>
      </c>
      <c r="Z41" s="238"/>
      <c r="AA41" s="238">
        <f>$E$41</f>
        <v>149641</v>
      </c>
      <c r="AB41" s="238"/>
      <c r="AC41" s="238">
        <f>$E$41</f>
        <v>149641</v>
      </c>
      <c r="AD41" s="238"/>
      <c r="AE41" s="238">
        <f>$E$41</f>
        <v>149641</v>
      </c>
      <c r="AF41" s="238"/>
      <c r="AG41" s="238">
        <f>$E$41</f>
        <v>149641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1021181</v>
      </c>
      <c r="G43" s="239">
        <f>SUM(G40:G42)</f>
        <v>1021181</v>
      </c>
      <c r="I43" s="239">
        <f>SUM(I40:I42)</f>
        <v>1021181</v>
      </c>
      <c r="K43" s="239">
        <f>SUM(K40:K42)</f>
        <v>1021181</v>
      </c>
      <c r="M43" s="239">
        <f>SUM(M40:M42)</f>
        <v>1021181</v>
      </c>
      <c r="O43" s="239">
        <f>SUM(O40:O42)</f>
        <v>1021181</v>
      </c>
      <c r="Q43" s="239">
        <f>SUM(Q40:Q42)</f>
        <v>1021181</v>
      </c>
      <c r="S43" s="239">
        <f>SUM(S40:S42)</f>
        <v>1021181</v>
      </c>
      <c r="U43" s="239">
        <f>SUM(U40:U42)</f>
        <v>1021181</v>
      </c>
      <c r="W43" s="239">
        <f>SUM(W40:W42)</f>
        <v>1021181</v>
      </c>
      <c r="Y43" s="239">
        <f>SUM(Y40:Y42)</f>
        <v>1021181</v>
      </c>
      <c r="AA43" s="239">
        <f>SUM(AA40:AA42)</f>
        <v>1021181</v>
      </c>
      <c r="AC43" s="239">
        <f>SUM(AC40:AC42)</f>
        <v>1021181</v>
      </c>
      <c r="AE43" s="239">
        <f>SUM(AE40:AE42)</f>
        <v>1021181</v>
      </c>
      <c r="AG43" s="239">
        <f>SUM(AG40:AG42)</f>
        <v>1021181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197636.10000000009</v>
      </c>
      <c r="G45" s="239">
        <f>G37-G43</f>
        <v>223769.85249999957</v>
      </c>
      <c r="I45" s="239">
        <f>I37-I43</f>
        <v>250315.9183124993</v>
      </c>
      <c r="K45" s="239">
        <f>K37-K43</f>
        <v>277276.15176531207</v>
      </c>
      <c r="M45" s="239">
        <f>M37-M43</f>
        <v>304652.15732301935</v>
      </c>
      <c r="O45" s="239">
        <f>O37-O43</f>
        <v>332445.27296566963</v>
      </c>
      <c r="Q45" s="239">
        <f>Q37-Q43</f>
        <v>360656.55278868251</v>
      </c>
      <c r="S45" s="239">
        <f>S37-S43</f>
        <v>389286.74879178032</v>
      </c>
      <c r="U45" s="239">
        <f>U37-U43</f>
        <v>418336.29182351474</v>
      </c>
      <c r="W45" s="239">
        <f>W37-W43</f>
        <v>447805.27164664352</v>
      </c>
      <c r="Y45" s="239">
        <f>Y37-Y43</f>
        <v>477693.41608829214</v>
      </c>
      <c r="AA45" s="239">
        <f>AA37-AA43</f>
        <v>508000.06923741545</v>
      </c>
      <c r="AC45" s="239">
        <f>AC37-AC43</f>
        <v>538724.16865064926</v>
      </c>
      <c r="AE45" s="239">
        <f>AE37-AE43</f>
        <v>569864.22152611823</v>
      </c>
      <c r="AG45" s="239">
        <f>AG37-AG43</f>
        <v>601418.27980323229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9.2790473623867248E-2</v>
      </c>
      <c r="G47" s="243">
        <f>G45/(G4+G6+G8)</f>
        <v>0.10249786668759633</v>
      </c>
      <c r="I47" s="243">
        <f>I45/(I4+I6+I8)</f>
        <v>0.11186078273719618</v>
      </c>
      <c r="K47" s="243">
        <f>K45/(K4+K6+K8)</f>
        <v>0.12088656520643691</v>
      </c>
      <c r="M47" s="243">
        <f>M45/(M4+M6+M8)</f>
        <v>0.12958236813174304</v>
      </c>
      <c r="O47" s="243">
        <f>O45/(O4+O6+O8)</f>
        <v>0.13795516067107913</v>
      </c>
      <c r="Q47" s="243">
        <f>Q45/(Q4+Q6+Q8)</f>
        <v>0.1460117315116358</v>
      </c>
      <c r="S47" s="243">
        <f>S45/(S4+S6+S8)</f>
        <v>0.15375869316902205</v>
      </c>
      <c r="U47" s="243">
        <f>U45/(U4+U6+U8)</f>
        <v>0.16120248618060165</v>
      </c>
      <c r="W47" s="243">
        <f>W45/(W4+W6+W8)</f>
        <v>0.1683493831955413</v>
      </c>
      <c r="Y47" s="243">
        <f>Y45/(Y4+Y6+Y8)</f>
        <v>0.17520549296408439</v>
      </c>
      <c r="AA47" s="243">
        <f>AA45/(AA4+AA6+AA8)</f>
        <v>0.18177676422849479</v>
      </c>
      <c r="AC47" s="243">
        <f>AC45/(AC4+AC6+AC8)</f>
        <v>0.18806898951806206</v>
      </c>
      <c r="AE47" s="243">
        <f>AE45/(AE4+AE6+AE8)</f>
        <v>0.19408780885049476</v>
      </c>
      <c r="AG47" s="243">
        <f>AG45/(AG4+AG6+AG8)</f>
        <v>0.19983871334197895</v>
      </c>
    </row>
    <row r="48" spans="1:33" s="243" customFormat="1" ht="14.25">
      <c r="A48" s="243" t="s">
        <v>862</v>
      </c>
      <c r="C48" s="236"/>
      <c r="E48" s="243">
        <f>E45/E43</f>
        <v>0.19353679710061203</v>
      </c>
      <c r="G48" s="243">
        <f>G45/G43</f>
        <v>0.21912849191279465</v>
      </c>
      <c r="I48" s="243">
        <f>I45/I43</f>
        <v>0.24512394797053538</v>
      </c>
      <c r="K48" s="243">
        <f>K45/K43</f>
        <v>0.27152498113979018</v>
      </c>
      <c r="M48" s="243">
        <f>M45/M43</f>
        <v>0.29833316260586451</v>
      </c>
      <c r="O48" s="243">
        <f>O45/O43</f>
        <v>0.32554980259686545</v>
      </c>
      <c r="Q48" s="243">
        <f>Q45/Q43</f>
        <v>0.35317593334451242</v>
      </c>
      <c r="S48" s="243">
        <f>S45/S43</f>
        <v>0.3812122912507972</v>
      </c>
      <c r="U48" s="243">
        <f>U45/U43</f>
        <v>0.40965929822775271</v>
      </c>
      <c r="W48" s="243">
        <f>W45/W43</f>
        <v>0.43851704217630716</v>
      </c>
      <c r="Y48" s="243">
        <f>Y45/Y43</f>
        <v>0.46778525656890613</v>
      </c>
      <c r="AA48" s="243">
        <f>AA45/AA43</f>
        <v>0.4974632990991954</v>
      </c>
      <c r="AC48" s="243">
        <f>AC45/AC43</f>
        <v>0.52755012936066115</v>
      </c>
      <c r="AE48" s="243">
        <f>AE45/AE43</f>
        <v>0.55804428551463281</v>
      </c>
      <c r="AG48" s="243">
        <f>AG45/AG43</f>
        <v>0.58894385990655163</v>
      </c>
    </row>
    <row r="49" spans="1:35" s="244" customFormat="1" ht="14.25">
      <c r="A49" s="244" t="s">
        <v>860</v>
      </c>
      <c r="C49" s="245"/>
      <c r="E49" s="244">
        <f>E37/E43</f>
        <v>1.1935367971006121</v>
      </c>
      <c r="G49" s="244">
        <f>G37/G43</f>
        <v>1.2191284919127947</v>
      </c>
      <c r="I49" s="244">
        <f>I37/I43</f>
        <v>1.2451239479705354</v>
      </c>
      <c r="K49" s="244">
        <f>K37/K43</f>
        <v>1.2715249811397902</v>
      </c>
      <c r="M49" s="244">
        <f>M37/M43</f>
        <v>1.2983331626058645</v>
      </c>
      <c r="O49" s="244">
        <f>O37/O43</f>
        <v>1.3255498025968655</v>
      </c>
      <c r="Q49" s="244">
        <f>Q37/Q43</f>
        <v>1.3531759333445124</v>
      </c>
      <c r="S49" s="244">
        <f>S37/S43</f>
        <v>1.3812122912507971</v>
      </c>
      <c r="U49" s="244">
        <f>U37/U43</f>
        <v>1.4096592982277527</v>
      </c>
      <c r="W49" s="244">
        <f>W37/W43</f>
        <v>1.4385170421763072</v>
      </c>
      <c r="Y49" s="244">
        <f>Y37/Y43</f>
        <v>1.4677852565689062</v>
      </c>
      <c r="AA49" s="244">
        <f>AA37/AA43</f>
        <v>1.4974632990991954</v>
      </c>
      <c r="AC49" s="244">
        <f>AC37/AC43</f>
        <v>1.527550129360661</v>
      </c>
      <c r="AE49" s="244">
        <f>AE37/AE43</f>
        <v>1.5580442855146328</v>
      </c>
      <c r="AG49" s="244">
        <f>AG37/AG43</f>
        <v>1.5889438599065515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1288</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197636.10000000009</v>
      </c>
      <c r="G60" s="997">
        <f>G45-G58</f>
        <v>223769.85249999957</v>
      </c>
      <c r="I60" s="997">
        <f>I45-I58</f>
        <v>250315.9183124993</v>
      </c>
      <c r="K60" s="997">
        <f>K45-K58</f>
        <v>277276.15176531207</v>
      </c>
      <c r="M60" s="997">
        <f>M45-M58</f>
        <v>304652.15732301935</v>
      </c>
      <c r="O60" s="997">
        <f>O45-O58</f>
        <v>332445.27296566963</v>
      </c>
      <c r="Q60" s="997">
        <f>Q45-Q58</f>
        <v>360656.55278868251</v>
      </c>
      <c r="S60" s="997">
        <f>S45-S58</f>
        <v>389286.74879178032</v>
      </c>
      <c r="U60" s="997">
        <f>U45-U58</f>
        <v>418336.29182351474</v>
      </c>
      <c r="W60" s="997">
        <f>W45-W58</f>
        <v>447805.27164664352</v>
      </c>
      <c r="Y60" s="997">
        <f>Y45-Y58</f>
        <v>477693.41608829214</v>
      </c>
      <c r="AA60" s="997">
        <f>AA45-AA58</f>
        <v>508000.06923741545</v>
      </c>
      <c r="AC60" s="997">
        <f>AC45-AC58</f>
        <v>538724.16865064926</v>
      </c>
      <c r="AE60" s="997">
        <f>AE45-AE58</f>
        <v>569864.22152611823</v>
      </c>
      <c r="AG60" s="997">
        <f>AG45-AG58</f>
        <v>601418.27980323229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197636.10000000009</v>
      </c>
      <c r="G62" s="997">
        <f>G60*$C$62</f>
        <v>223769.85249999957</v>
      </c>
      <c r="I62" s="997">
        <f>I60*$C$62</f>
        <v>250315.9183124993</v>
      </c>
      <c r="K62" s="997">
        <f>K60*$C$62</f>
        <v>277276.15176531207</v>
      </c>
      <c r="M62" s="997">
        <f>M60*$C$62</f>
        <v>304652.15732301935</v>
      </c>
      <c r="O62" s="997">
        <f>O60*$C$62</f>
        <v>332445.27296566963</v>
      </c>
      <c r="Q62" s="997">
        <f>Q60*$C$62</f>
        <v>360656.55278868251</v>
      </c>
      <c r="S62" s="997">
        <f>S60*$C$62</f>
        <v>389286.74879178032</v>
      </c>
      <c r="U62" s="997">
        <f>U60*$C$62</f>
        <v>418336.29182351474</v>
      </c>
      <c r="W62" s="997">
        <f>W60*$C$62</f>
        <v>447805.27164664352</v>
      </c>
      <c r="Y62" s="997">
        <f>Y60*$C$62</f>
        <v>477693.41608829214</v>
      </c>
      <c r="AA62" s="997">
        <f>AA60*$C$62</f>
        <v>508000.06923741545</v>
      </c>
      <c r="AC62" s="997">
        <f>AC60*$C$62</f>
        <v>538724.16865064926</v>
      </c>
      <c r="AE62" s="997">
        <f>AE60*$C$62</f>
        <v>569864.22152611823</v>
      </c>
      <c r="AG62" s="997">
        <f>AG60*$C$62</f>
        <v>601418.27980323229</v>
      </c>
    </row>
    <row r="63" spans="1:35" s="997" customFormat="1">
      <c r="A63" s="2676" t="s">
        <v>2770</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2720</v>
      </c>
      <c r="B66" s="999"/>
      <c r="C66" s="998"/>
      <c r="E66" s="999">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1909</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1908</v>
      </c>
      <c r="C75" s="192"/>
    </row>
    <row r="76" spans="1:35" s="233" customFormat="1">
      <c r="C76" s="192"/>
    </row>
    <row r="77" spans="1:35" s="250" customFormat="1" ht="30" customHeight="1">
      <c r="A77" s="2674" t="s">
        <v>1907</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40" sqref="D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923</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924</v>
      </c>
      <c r="B3" s="457" t="s">
        <v>925</v>
      </c>
      <c r="C3" s="457" t="s">
        <v>2254</v>
      </c>
      <c r="D3" s="1190" t="s">
        <v>926</v>
      </c>
      <c r="E3" s="218"/>
      <c r="F3" s="1190" t="s">
        <v>927</v>
      </c>
      <c r="G3" s="457" t="s">
        <v>928</v>
      </c>
      <c r="H3" s="458"/>
      <c r="I3" s="457" t="s">
        <v>929</v>
      </c>
      <c r="J3" s="457" t="s">
        <v>930</v>
      </c>
      <c r="K3" s="218"/>
      <c r="L3" s="328"/>
    </row>
    <row r="4" spans="1:12">
      <c r="A4" s="459" t="str">
        <f>Application!B718</f>
        <v>1 Bedroom</v>
      </c>
      <c r="B4" s="1121">
        <f>Application!G718</f>
        <v>2</v>
      </c>
      <c r="C4" s="1122" t="s">
        <v>386</v>
      </c>
      <c r="D4" s="459">
        <f>Application!O718</f>
        <v>814</v>
      </c>
      <c r="E4" s="460"/>
      <c r="F4" s="1123">
        <v>2080</v>
      </c>
      <c r="G4" s="459">
        <f>F4*B4</f>
        <v>4160</v>
      </c>
      <c r="H4" s="460"/>
      <c r="I4" s="459">
        <f t="shared" ref="I4:I27" si="0">IF(F4=0,"",(F4-D4))</f>
        <v>1266</v>
      </c>
      <c r="J4" s="459">
        <f t="shared" ref="J4:J27" si="1">IF(F4=0,"",(I4*B4))</f>
        <v>2532</v>
      </c>
      <c r="K4" s="218"/>
      <c r="L4" s="328"/>
    </row>
    <row r="5" spans="1:12">
      <c r="A5" s="459" t="str">
        <f>Application!B719</f>
        <v>1 Bedroom</v>
      </c>
      <c r="B5" s="1121">
        <f>Application!G719</f>
        <v>6</v>
      </c>
      <c r="C5" s="1122" t="s">
        <v>386</v>
      </c>
      <c r="D5" s="459">
        <f>Application!O719</f>
        <v>1382</v>
      </c>
      <c r="E5" s="460"/>
      <c r="F5" s="1123">
        <v>2080</v>
      </c>
      <c r="G5" s="459">
        <f t="shared" ref="G5:G38" si="2">F5*B5</f>
        <v>12480</v>
      </c>
      <c r="H5" s="460"/>
      <c r="I5" s="459">
        <f t="shared" si="0"/>
        <v>698</v>
      </c>
      <c r="J5" s="459">
        <f t="shared" si="1"/>
        <v>4188</v>
      </c>
      <c r="K5" s="218"/>
      <c r="L5" s="328"/>
    </row>
    <row r="6" spans="1:12">
      <c r="A6" s="459" t="str">
        <f>Application!B720</f>
        <v>1 Bedroom</v>
      </c>
      <c r="B6" s="1121">
        <f>Application!G720</f>
        <v>7</v>
      </c>
      <c r="C6" s="1122" t="s">
        <v>386</v>
      </c>
      <c r="D6" s="459">
        <f>Application!O720</f>
        <v>1666</v>
      </c>
      <c r="E6" s="460"/>
      <c r="F6" s="1123">
        <v>2080</v>
      </c>
      <c r="G6" s="459">
        <f t="shared" si="2"/>
        <v>14560</v>
      </c>
      <c r="H6" s="460"/>
      <c r="I6" s="459">
        <f t="shared" si="0"/>
        <v>414</v>
      </c>
      <c r="J6" s="459">
        <f t="shared" si="1"/>
        <v>2898</v>
      </c>
      <c r="K6" s="218"/>
      <c r="L6" s="328"/>
    </row>
    <row r="7" spans="1:12">
      <c r="A7" s="459" t="str">
        <f>Application!B721</f>
        <v>1 Bedroom</v>
      </c>
      <c r="B7" s="1121">
        <f>Application!G721</f>
        <v>1</v>
      </c>
      <c r="C7" s="1122" t="s">
        <v>386</v>
      </c>
      <c r="D7" s="459">
        <f>Application!O721</f>
        <v>1657</v>
      </c>
      <c r="E7" s="460"/>
      <c r="F7" s="1123">
        <v>2095</v>
      </c>
      <c r="G7" s="459">
        <f t="shared" si="2"/>
        <v>2095</v>
      </c>
      <c r="H7" s="460"/>
      <c r="I7" s="459">
        <f t="shared" si="0"/>
        <v>438</v>
      </c>
      <c r="J7" s="459">
        <f t="shared" si="1"/>
        <v>438</v>
      </c>
      <c r="K7" s="218"/>
      <c r="L7" s="328"/>
    </row>
    <row r="8" spans="1:12">
      <c r="A8" s="459" t="str">
        <f>Application!B722</f>
        <v>2 Bedrooms</v>
      </c>
      <c r="B8" s="1121">
        <f>Application!G722</f>
        <v>2</v>
      </c>
      <c r="C8" s="1122" t="s">
        <v>386</v>
      </c>
      <c r="D8" s="459">
        <f>Application!O722</f>
        <v>976</v>
      </c>
      <c r="E8" s="460"/>
      <c r="F8" s="1123">
        <v>2330</v>
      </c>
      <c r="G8" s="459">
        <f t="shared" si="2"/>
        <v>4660</v>
      </c>
      <c r="H8" s="460"/>
      <c r="I8" s="459">
        <f t="shared" si="0"/>
        <v>1354</v>
      </c>
      <c r="J8" s="459">
        <f t="shared" si="1"/>
        <v>2708</v>
      </c>
      <c r="K8" s="218"/>
      <c r="L8" s="328"/>
    </row>
    <row r="9" spans="1:12">
      <c r="A9" s="459" t="str">
        <f>Application!B723</f>
        <v>2 Bedrooms</v>
      </c>
      <c r="B9" s="1121">
        <f>Application!G723</f>
        <v>6</v>
      </c>
      <c r="C9" s="1122" t="s">
        <v>386</v>
      </c>
      <c r="D9" s="459">
        <f>Application!O723</f>
        <v>1658</v>
      </c>
      <c r="E9" s="460"/>
      <c r="F9" s="1123">
        <v>2330</v>
      </c>
      <c r="G9" s="459">
        <f t="shared" si="2"/>
        <v>13980</v>
      </c>
      <c r="H9" s="460"/>
      <c r="I9" s="459">
        <f t="shared" si="0"/>
        <v>672</v>
      </c>
      <c r="J9" s="459">
        <f t="shared" si="1"/>
        <v>4032</v>
      </c>
      <c r="K9" s="218"/>
      <c r="L9" s="328"/>
    </row>
    <row r="10" spans="1:12">
      <c r="A10" s="459" t="str">
        <f>Application!B724</f>
        <v>2 Bedrooms</v>
      </c>
      <c r="B10" s="1121">
        <f>Application!G724</f>
        <v>15</v>
      </c>
      <c r="C10" s="1122" t="s">
        <v>386</v>
      </c>
      <c r="D10" s="459">
        <f>Application!O724</f>
        <v>1999</v>
      </c>
      <c r="E10" s="460"/>
      <c r="F10" s="1123">
        <v>2330</v>
      </c>
      <c r="G10" s="459">
        <f t="shared" si="2"/>
        <v>34950</v>
      </c>
      <c r="H10" s="460"/>
      <c r="I10" s="459">
        <f t="shared" si="0"/>
        <v>331</v>
      </c>
      <c r="J10" s="459">
        <f t="shared" si="1"/>
        <v>4965</v>
      </c>
      <c r="K10" s="218"/>
      <c r="L10" s="328"/>
    </row>
    <row r="11" spans="1:12">
      <c r="A11" s="459" t="str">
        <f>Application!B725</f>
        <v>2 Bedrooms</v>
      </c>
      <c r="B11" s="1121">
        <f>Application!G725</f>
        <v>1</v>
      </c>
      <c r="C11" s="1122" t="s">
        <v>386</v>
      </c>
      <c r="D11" s="459">
        <f>Application!O725</f>
        <v>1948</v>
      </c>
      <c r="E11" s="460"/>
      <c r="F11" s="1123">
        <v>2350</v>
      </c>
      <c r="G11" s="459">
        <f t="shared" si="2"/>
        <v>2350</v>
      </c>
      <c r="H11" s="460"/>
      <c r="I11" s="459">
        <f t="shared" si="0"/>
        <v>402</v>
      </c>
      <c r="J11" s="459">
        <f t="shared" si="1"/>
        <v>402</v>
      </c>
      <c r="K11" s="218"/>
      <c r="L11" s="328"/>
    </row>
    <row r="12" spans="1:12">
      <c r="A12" s="459" t="str">
        <f>Application!B726</f>
        <v>3 Bedrooms</v>
      </c>
      <c r="B12" s="1121">
        <f>Application!G726</f>
        <v>2</v>
      </c>
      <c r="C12" s="1122" t="s">
        <v>386</v>
      </c>
      <c r="D12" s="459">
        <f>Application!O726</f>
        <v>1072</v>
      </c>
      <c r="E12" s="460"/>
      <c r="F12" s="1123">
        <v>2825</v>
      </c>
      <c r="G12" s="459">
        <f t="shared" si="2"/>
        <v>5650</v>
      </c>
      <c r="H12" s="460"/>
      <c r="I12" s="459">
        <f t="shared" si="0"/>
        <v>1753</v>
      </c>
      <c r="J12" s="459">
        <f t="shared" si="1"/>
        <v>3506</v>
      </c>
      <c r="K12" s="218"/>
      <c r="L12" s="328"/>
    </row>
    <row r="13" spans="1:12">
      <c r="A13" s="459" t="str">
        <f>Application!B727</f>
        <v>3 Bedrooms</v>
      </c>
      <c r="B13" s="1121">
        <f>Application!G727</f>
        <v>6</v>
      </c>
      <c r="C13" s="1122" t="s">
        <v>386</v>
      </c>
      <c r="D13" s="459">
        <f>Application!O727</f>
        <v>1860</v>
      </c>
      <c r="E13" s="460"/>
      <c r="F13" s="1123">
        <v>2825</v>
      </c>
      <c r="G13" s="459">
        <f t="shared" si="2"/>
        <v>16950</v>
      </c>
      <c r="H13" s="460"/>
      <c r="I13" s="459">
        <f t="shared" si="0"/>
        <v>965</v>
      </c>
      <c r="J13" s="459">
        <f t="shared" si="1"/>
        <v>5790</v>
      </c>
      <c r="K13" s="218"/>
      <c r="L13" s="328"/>
    </row>
    <row r="14" spans="1:12">
      <c r="A14" s="459" t="str">
        <f>Application!B728</f>
        <v>3 Bedrooms</v>
      </c>
      <c r="B14" s="1121">
        <f>Application!G728</f>
        <v>1</v>
      </c>
      <c r="C14" s="1122" t="s">
        <v>386</v>
      </c>
      <c r="D14" s="459">
        <f>Application!O728</f>
        <v>2282</v>
      </c>
      <c r="E14" s="460"/>
      <c r="F14" s="1123">
        <v>2810</v>
      </c>
      <c r="G14" s="459">
        <f t="shared" si="2"/>
        <v>2810</v>
      </c>
      <c r="H14" s="460"/>
      <c r="I14" s="459">
        <f t="shared" si="0"/>
        <v>528</v>
      </c>
      <c r="J14" s="459">
        <f t="shared" si="1"/>
        <v>528</v>
      </c>
      <c r="K14" s="218"/>
      <c r="L14" s="328"/>
    </row>
    <row r="15" spans="1:12">
      <c r="A15" s="459" t="str">
        <f>Application!B729</f>
        <v>3 Bedrooms</v>
      </c>
      <c r="B15" s="1121">
        <f>Application!G729</f>
        <v>12</v>
      </c>
      <c r="C15" s="1122" t="s">
        <v>386</v>
      </c>
      <c r="D15" s="459">
        <f>Application!O729</f>
        <v>2254</v>
      </c>
      <c r="E15" s="460"/>
      <c r="F15" s="1123">
        <v>2825</v>
      </c>
      <c r="G15" s="459">
        <f t="shared" si="2"/>
        <v>33900</v>
      </c>
      <c r="H15" s="460"/>
      <c r="I15" s="459">
        <f t="shared" si="0"/>
        <v>571</v>
      </c>
      <c r="J15" s="459">
        <f t="shared" si="1"/>
        <v>6852</v>
      </c>
      <c r="K15" s="218"/>
      <c r="L15" s="328"/>
    </row>
    <row r="16" spans="1:12">
      <c r="A16" s="459" t="str">
        <f>Application!B730</f>
        <v>4 Bedrooms</v>
      </c>
      <c r="B16" s="1121">
        <f>Application!G730</f>
        <v>1</v>
      </c>
      <c r="C16" s="1122" t="s">
        <v>386</v>
      </c>
      <c r="D16" s="459">
        <f>Application!O730</f>
        <v>1222</v>
      </c>
      <c r="E16" s="460"/>
      <c r="F16" s="1123">
        <v>3325</v>
      </c>
      <c r="G16" s="459">
        <f t="shared" si="2"/>
        <v>3325</v>
      </c>
      <c r="H16" s="460"/>
      <c r="I16" s="459">
        <f t="shared" si="0"/>
        <v>2103</v>
      </c>
      <c r="J16" s="459">
        <f t="shared" si="1"/>
        <v>2103</v>
      </c>
      <c r="K16" s="218"/>
      <c r="L16" s="328"/>
    </row>
    <row r="17" spans="1:12">
      <c r="A17" s="459" t="str">
        <f>Application!B731</f>
        <v>4 Bedrooms</v>
      </c>
      <c r="B17" s="1121">
        <f>Application!G731</f>
        <v>3</v>
      </c>
      <c r="C17" s="1122" t="s">
        <v>386</v>
      </c>
      <c r="D17" s="459">
        <f>Application!O731</f>
        <v>2101</v>
      </c>
      <c r="E17" s="460"/>
      <c r="F17" s="1123">
        <v>3325</v>
      </c>
      <c r="G17" s="459">
        <f t="shared" si="2"/>
        <v>9975</v>
      </c>
      <c r="H17" s="460"/>
      <c r="I17" s="459">
        <f t="shared" si="0"/>
        <v>1224</v>
      </c>
      <c r="J17" s="459">
        <f t="shared" si="1"/>
        <v>3672</v>
      </c>
      <c r="K17" s="218"/>
      <c r="L17" s="328"/>
    </row>
    <row r="18" spans="1:12">
      <c r="A18" s="459" t="str">
        <f>Application!B732</f>
        <v>4 Bedrooms</v>
      </c>
      <c r="B18" s="1121">
        <f>Application!G732</f>
        <v>1</v>
      </c>
      <c r="C18" s="1122" t="s">
        <v>386</v>
      </c>
      <c r="D18" s="459">
        <f>Application!O732</f>
        <v>2567</v>
      </c>
      <c r="E18" s="460"/>
      <c r="F18" s="1123">
        <v>3315</v>
      </c>
      <c r="G18" s="459">
        <f t="shared" si="2"/>
        <v>3315</v>
      </c>
      <c r="H18" s="460"/>
      <c r="I18" s="459">
        <f t="shared" si="0"/>
        <v>748</v>
      </c>
      <c r="J18" s="459">
        <f t="shared" si="1"/>
        <v>748</v>
      </c>
      <c r="K18" s="218"/>
      <c r="L18" s="328"/>
    </row>
    <row r="19" spans="1:12">
      <c r="A19" s="459" t="str">
        <f>Application!B733</f>
        <v>4 Bedrooms</v>
      </c>
      <c r="B19" s="1121">
        <f>Application!G733</f>
        <v>3</v>
      </c>
      <c r="C19" s="1122" t="s">
        <v>386</v>
      </c>
      <c r="D19" s="459">
        <f>Application!O733</f>
        <v>2541</v>
      </c>
      <c r="E19" s="460"/>
      <c r="F19" s="1123">
        <v>3325</v>
      </c>
      <c r="G19" s="459">
        <f t="shared" si="2"/>
        <v>9975</v>
      </c>
      <c r="H19" s="460"/>
      <c r="I19" s="459">
        <f t="shared" si="0"/>
        <v>784</v>
      </c>
      <c r="J19" s="459">
        <f t="shared" si="1"/>
        <v>2352</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127421</v>
      </c>
      <c r="E40" s="460"/>
      <c r="F40" s="460"/>
      <c r="G40" s="463">
        <f>SUM(G4:G38)*12</f>
        <v>2101620</v>
      </c>
      <c r="H40" s="464"/>
      <c r="I40" s="462"/>
      <c r="J40" s="463">
        <f>SUM(J4:J38)*12</f>
        <v>572568</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988</v>
      </c>
    </row>
    <row r="2" spans="1:1" ht="15.75">
      <c r="A2" s="338"/>
    </row>
    <row r="3" spans="1:1" ht="15.75">
      <c r="A3" s="339" t="s">
        <v>983</v>
      </c>
    </row>
    <row r="4" spans="1:1" ht="15.75">
      <c r="A4" s="339" t="s">
        <v>984</v>
      </c>
    </row>
    <row r="5" spans="1:1" ht="15.75">
      <c r="A5" s="339" t="s">
        <v>985</v>
      </c>
    </row>
    <row r="6" spans="1:1" ht="15.75">
      <c r="A6" s="339" t="s">
        <v>987</v>
      </c>
    </row>
    <row r="7" spans="1:1" ht="15.75">
      <c r="A7" s="339" t="s">
        <v>986</v>
      </c>
    </row>
    <row r="8" spans="1:1" ht="15.75">
      <c r="A8" s="374" t="s">
        <v>1046</v>
      </c>
    </row>
    <row r="9" spans="1:1" ht="15.7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1321</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0</v>
      </c>
      <c r="C9" s="290">
        <f>SUM(C5:C8)</f>
        <v>0</v>
      </c>
      <c r="D9" s="290">
        <f t="shared" si="0"/>
        <v>0</v>
      </c>
      <c r="E9" s="288"/>
      <c r="F9" s="287"/>
      <c r="G9" s="383"/>
    </row>
    <row r="10" spans="1:7" s="380" customFormat="1">
      <c r="A10" s="395" t="s">
        <v>602</v>
      </c>
      <c r="B10" s="286">
        <f>'Sources and Uses Budget'!$C9</f>
        <v>17250000</v>
      </c>
      <c r="C10" s="286">
        <f>'Sources and Uses Budget'!$C9</f>
        <v>17250000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17250000</v>
      </c>
      <c r="C12" s="290">
        <f>SUM(C10:C11)</f>
        <v>17250000</v>
      </c>
      <c r="D12" s="290">
        <f t="shared" si="0"/>
        <v>0</v>
      </c>
      <c r="E12" s="288"/>
      <c r="F12" s="287"/>
      <c r="G12" s="383"/>
    </row>
    <row r="13" spans="1:7" s="380" customFormat="1">
      <c r="A13" s="396" t="s">
        <v>84</v>
      </c>
      <c r="B13" s="290">
        <f>SUM(B9+B12)</f>
        <v>17250000</v>
      </c>
      <c r="C13" s="290">
        <f>SUM(C9+C12)</f>
        <v>17250000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5600000</v>
      </c>
      <c r="C19" s="286">
        <f>'Sources and Uses Budget'!$C18</f>
        <v>5600000</v>
      </c>
      <c r="D19" s="290">
        <f t="shared" si="0"/>
        <v>0</v>
      </c>
      <c r="E19" s="288"/>
      <c r="F19" s="287"/>
      <c r="G19" s="383"/>
    </row>
    <row r="20" spans="1:7" s="380" customFormat="1">
      <c r="A20" s="145" t="s">
        <v>608</v>
      </c>
      <c r="B20" s="286">
        <f>'Sources and Uses Budget'!$C19</f>
        <v>336000</v>
      </c>
      <c r="C20" s="286">
        <f>'Sources and Uses Budget'!$C19</f>
        <v>336000</v>
      </c>
      <c r="D20" s="290">
        <f t="shared" si="0"/>
        <v>0</v>
      </c>
      <c r="E20" s="288"/>
      <c r="F20" s="287"/>
      <c r="G20" s="383"/>
    </row>
    <row r="21" spans="1:7" s="380" customFormat="1">
      <c r="A21" s="145" t="s">
        <v>137</v>
      </c>
      <c r="B21" s="286">
        <f>'Sources and Uses Budget'!$C20</f>
        <v>112000</v>
      </c>
      <c r="C21" s="286">
        <f>'Sources and Uses Budget'!$C20</f>
        <v>112000</v>
      </c>
      <c r="D21" s="290">
        <f t="shared" si="0"/>
        <v>0</v>
      </c>
      <c r="E21" s="288"/>
      <c r="F21" s="287"/>
      <c r="G21" s="383"/>
    </row>
    <row r="22" spans="1:7" s="380" customFormat="1">
      <c r="A22" s="145" t="s">
        <v>138</v>
      </c>
      <c r="B22" s="286">
        <f>'Sources and Uses Budget'!$C21</f>
        <v>336000</v>
      </c>
      <c r="C22" s="286">
        <f>'Sources and Uses Budget'!$C21</f>
        <v>336000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64400</v>
      </c>
      <c r="C24" s="286">
        <f>'Sources and Uses Budget'!$C23</f>
        <v>64400</v>
      </c>
      <c r="D24" s="290">
        <f t="shared" si="0"/>
        <v>0</v>
      </c>
      <c r="E24" s="288"/>
      <c r="F24" s="287"/>
      <c r="G24" s="383"/>
    </row>
    <row r="25" spans="1:7" s="380" customFormat="1">
      <c r="A25" s="542" t="s">
        <v>1749</v>
      </c>
      <c r="B25" s="286">
        <f>'Sources and Uses Budget'!$C24</f>
        <v>0</v>
      </c>
      <c r="C25" s="286">
        <f>'Sources and Uses Budget'!$C24</f>
        <v>0</v>
      </c>
      <c r="D25" s="290">
        <f t="shared" si="0"/>
        <v>0</v>
      </c>
      <c r="E25" s="288"/>
      <c r="F25" s="287"/>
      <c r="G25" s="383"/>
    </row>
    <row r="26" spans="1:7" s="380" customFormat="1">
      <c r="A26" s="155" t="str">
        <f>'Sources and Uses Budget'!A25</f>
        <v>P&amp;P Bonds</v>
      </c>
      <c r="B26" s="286">
        <f>'Sources and Uses Budget'!$C25</f>
        <v>75600</v>
      </c>
      <c r="C26" s="286">
        <f>'Sources and Uses Budget'!$C25</f>
        <v>75600</v>
      </c>
      <c r="D26" s="290">
        <f t="shared" si="0"/>
        <v>0</v>
      </c>
      <c r="E26" s="288"/>
      <c r="F26" s="287"/>
      <c r="G26" s="383"/>
    </row>
    <row r="27" spans="1:7" s="380" customFormat="1">
      <c r="A27" s="1053" t="s">
        <v>133</v>
      </c>
      <c r="B27" s="290">
        <f>SUM(B18:B26)</f>
        <v>6524000</v>
      </c>
      <c r="C27" s="290">
        <f>SUM(C18:C26)</f>
        <v>6524000</v>
      </c>
      <c r="D27" s="290">
        <f>SUM(D18:D26)</f>
        <v>0</v>
      </c>
      <c r="E27" s="288"/>
      <c r="F27" s="287"/>
      <c r="G27" s="383"/>
    </row>
    <row r="28" spans="1:7" s="380" customFormat="1">
      <c r="A28" s="291" t="s">
        <v>141</v>
      </c>
      <c r="B28" s="286">
        <f>'Sources and Uses Budget'!$C$27</f>
        <v>505000</v>
      </c>
      <c r="C28" s="286">
        <f>'Sources and Uses Budget'!$C$27</f>
        <v>505000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1749</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250000</v>
      </c>
      <c r="C41" s="286">
        <f>'Sources and Uses Budget'!$C40</f>
        <v>250000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300000</v>
      </c>
      <c r="C43" s="290">
        <f>SUM(C41:C42)</f>
        <v>300000</v>
      </c>
      <c r="D43" s="290">
        <f t="shared" si="0"/>
        <v>0</v>
      </c>
      <c r="E43" s="288"/>
      <c r="F43" s="287"/>
      <c r="G43" s="383"/>
    </row>
    <row r="44" spans="1:7" s="380" customFormat="1">
      <c r="A44" s="291" t="s">
        <v>148</v>
      </c>
      <c r="B44" s="286">
        <f>'Sources and Uses Budget'!$C43</f>
        <v>50000</v>
      </c>
      <c r="C44" s="286">
        <f>'Sources and Uses Budget'!$C43</f>
        <v>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289822</v>
      </c>
      <c r="C46" s="286">
        <f>'Sources and Uses Budget'!$C45</f>
        <v>289822</v>
      </c>
      <c r="D46" s="290">
        <f t="shared" si="0"/>
        <v>0</v>
      </c>
      <c r="E46" s="288"/>
      <c r="F46" s="287"/>
      <c r="G46" s="383"/>
    </row>
    <row r="47" spans="1:7" s="380" customFormat="1">
      <c r="A47" s="145" t="s">
        <v>151</v>
      </c>
      <c r="B47" s="286">
        <f>'Sources and Uses Budget'!$C46</f>
        <v>177000</v>
      </c>
      <c r="C47" s="286">
        <f>'Sources and Uses Budget'!$C46</f>
        <v>177000</v>
      </c>
      <c r="D47" s="290">
        <f t="shared" si="0"/>
        <v>0</v>
      </c>
      <c r="E47" s="288"/>
      <c r="F47" s="287"/>
      <c r="G47" s="383"/>
    </row>
    <row r="48" spans="1:7" s="380" customFormat="1" ht="12" customHeight="1">
      <c r="A48" s="198" t="s">
        <v>152</v>
      </c>
      <c r="B48" s="286">
        <f>'Sources and Uses Budget'!$C47</f>
        <v>132750</v>
      </c>
      <c r="C48" s="286">
        <f>'Sources and Uses Budget'!$C47</f>
        <v>132750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33188</v>
      </c>
      <c r="C50" s="286">
        <f>'Sources and Uses Budget'!$C49</f>
        <v>33188</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7500</v>
      </c>
      <c r="C52" s="286">
        <f>'Sources and Uses Budget'!$C51</f>
        <v>7500</v>
      </c>
      <c r="D52" s="290">
        <f t="shared" si="0"/>
        <v>0</v>
      </c>
      <c r="E52" s="288"/>
      <c r="F52" s="287"/>
      <c r="G52" s="383"/>
    </row>
    <row r="53" spans="1:7" s="380" customFormat="1">
      <c r="A53" s="145" t="s">
        <v>155</v>
      </c>
      <c r="B53" s="286">
        <f>'Sources and Uses Budget'!$C52</f>
        <v>75366</v>
      </c>
      <c r="C53" s="286">
        <f>'Sources and Uses Budget'!$C52</f>
        <v>75366</v>
      </c>
      <c r="D53" s="290">
        <f t="shared" si="0"/>
        <v>0</v>
      </c>
      <c r="E53" s="288"/>
      <c r="F53" s="287"/>
      <c r="G53" s="383"/>
    </row>
    <row r="54" spans="1:7" s="380" customFormat="1">
      <c r="A54" s="155" t="str">
        <f>'Sources and Uses Budget'!A53</f>
        <v>Legal and Due Diligence</v>
      </c>
      <c r="B54" s="286">
        <f>'Sources and Uses Budget'!$C53</f>
        <v>160000</v>
      </c>
      <c r="C54" s="286">
        <f>'Sources and Uses Budget'!$C53</f>
        <v>160000</v>
      </c>
      <c r="D54" s="290">
        <f t="shared" si="0"/>
        <v>0</v>
      </c>
      <c r="E54" s="288"/>
      <c r="F54" s="287"/>
      <c r="G54" s="383"/>
    </row>
    <row r="55" spans="1:7" s="381" customFormat="1">
      <c r="A55" s="291" t="s">
        <v>157</v>
      </c>
      <c r="B55" s="293">
        <f>SUM(B46:B54)</f>
        <v>875626</v>
      </c>
      <c r="C55" s="293">
        <f>SUM(C46:C54)</f>
        <v>875626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19056226</v>
      </c>
      <c r="C64" s="290">
        <f>SUM(C9+C12+C14+C15+C17+C26+C28+C39+C43+C44+C55+C63)</f>
        <v>19056226</v>
      </c>
      <c r="D64" s="290">
        <f t="shared" si="0"/>
        <v>0</v>
      </c>
      <c r="E64" s="288"/>
      <c r="F64" s="287"/>
      <c r="G64" s="383"/>
    </row>
    <row r="65" spans="1:7" s="380" customFormat="1" ht="24">
      <c r="A65" s="141" t="s">
        <v>1753</v>
      </c>
      <c r="B65" s="284"/>
      <c r="C65" s="284"/>
      <c r="D65" s="284"/>
      <c r="E65" s="303"/>
      <c r="F65" s="284"/>
      <c r="G65" s="383"/>
    </row>
    <row r="66" spans="1:7" s="380" customFormat="1">
      <c r="A66" s="145" t="s">
        <v>171</v>
      </c>
      <c r="B66" s="286">
        <f>'Sources and Uses Budget'!$C65</f>
        <v>187700</v>
      </c>
      <c r="C66" s="286">
        <f>'Sources and Uses Budget'!$C65</f>
        <v>187700</v>
      </c>
      <c r="D66" s="290">
        <f t="shared" si="0"/>
        <v>0</v>
      </c>
      <c r="E66" s="288"/>
      <c r="F66" s="287"/>
      <c r="G66" s="383"/>
    </row>
    <row r="67" spans="1:7" s="380" customFormat="1" ht="24">
      <c r="A67" s="304" t="s">
        <v>1750</v>
      </c>
      <c r="B67" s="286">
        <f>'Sources and Uses Budget'!$C66</f>
        <v>0</v>
      </c>
      <c r="C67" s="286">
        <f>'Sources and Uses Budget'!$C66</f>
        <v>0</v>
      </c>
      <c r="D67" s="290"/>
      <c r="E67" s="288"/>
      <c r="F67" s="287"/>
      <c r="G67" s="383"/>
    </row>
    <row r="68" spans="1:7" s="380" customFormat="1" ht="24">
      <c r="A68" s="304" t="s">
        <v>1751</v>
      </c>
      <c r="B68" s="286">
        <f>'Sources and Uses Budget'!$C67</f>
        <v>0</v>
      </c>
      <c r="C68" s="286">
        <f>'Sources and Uses Budget'!$C67</f>
        <v>0</v>
      </c>
      <c r="D68" s="290"/>
      <c r="E68" s="288"/>
      <c r="F68" s="287"/>
      <c r="G68" s="383"/>
    </row>
    <row r="69" spans="1:7" s="380" customFormat="1">
      <c r="A69" s="304" t="s">
        <v>1757</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1754</v>
      </c>
      <c r="B71" s="290">
        <f>SUM(B66:B70)</f>
        <v>187700</v>
      </c>
      <c r="C71" s="290">
        <f>SUM(C66:C70)</f>
        <v>187700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613</v>
      </c>
      <c r="B76" s="286">
        <f>'Sources and Uses Budget'!$C75</f>
        <v>463184</v>
      </c>
      <c r="C76" s="286">
        <f>'Sources and Uses Budget'!$C75</f>
        <v>463184</v>
      </c>
      <c r="D76" s="290">
        <f t="shared" si="0"/>
        <v>0</v>
      </c>
      <c r="E76" s="288"/>
      <c r="F76" s="287"/>
      <c r="G76" s="383"/>
    </row>
    <row r="77" spans="1:7" s="380" customFormat="1">
      <c r="A77" s="292" t="s">
        <v>34</v>
      </c>
      <c r="B77" s="286">
        <f>'Sources and Uses Budget'!$C76</f>
        <v>50000</v>
      </c>
      <c r="C77" s="286">
        <f>'Sources and Uses Budget'!$C76</f>
        <v>50000</v>
      </c>
      <c r="D77" s="290">
        <f t="shared" si="0"/>
        <v>0</v>
      </c>
      <c r="E77" s="288"/>
      <c r="F77" s="287"/>
      <c r="G77" s="383"/>
    </row>
    <row r="78" spans="1:7" s="380" customFormat="1">
      <c r="A78" s="291" t="s">
        <v>614</v>
      </c>
      <c r="B78" s="290">
        <f>SUM(B73:B77)</f>
        <v>513184</v>
      </c>
      <c r="C78" s="290">
        <f>SUM(C73:C77)</f>
        <v>513184</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652400</v>
      </c>
      <c r="C80" s="286">
        <f>'Sources and Uses Budget'!$C79</f>
        <v>652400</v>
      </c>
      <c r="D80" s="290">
        <f t="shared" si="1"/>
        <v>0</v>
      </c>
      <c r="E80" s="288"/>
      <c r="F80" s="287"/>
      <c r="G80" s="383"/>
    </row>
    <row r="81" spans="1:7" s="380" customFormat="1">
      <c r="A81" s="544" t="s">
        <v>58</v>
      </c>
      <c r="B81" s="286">
        <f>'Sources and Uses Budget'!$C80</f>
        <v>35000</v>
      </c>
      <c r="C81" s="286">
        <f>'Sources and Uses Budget'!$C80</f>
        <v>35000</v>
      </c>
      <c r="D81" s="290">
        <f>C81-B81</f>
        <v>0</v>
      </c>
      <c r="E81" s="288"/>
      <c r="F81" s="287"/>
      <c r="G81" s="383"/>
    </row>
    <row r="82" spans="1:7" s="380" customFormat="1">
      <c r="A82" s="291" t="s">
        <v>1313</v>
      </c>
      <c r="B82" s="290">
        <f>SUM(B80:B81)</f>
        <v>687400</v>
      </c>
      <c r="C82" s="290">
        <f>SUM(C80:C81)</f>
        <v>687400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91206</v>
      </c>
      <c r="C84" s="286">
        <f>'Sources and Uses Budget'!$C83</f>
        <v>91206</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25000</v>
      </c>
      <c r="C87" s="286">
        <f>'Sources and Uses Budget'!$C86</f>
        <v>25000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50000</v>
      </c>
      <c r="C90" s="286">
        <f>'Sources and Uses Budget'!$C89</f>
        <v>50000</v>
      </c>
      <c r="D90" s="290">
        <f t="shared" si="1"/>
        <v>0</v>
      </c>
      <c r="E90" s="288"/>
      <c r="F90" s="287"/>
      <c r="G90" s="383"/>
    </row>
    <row r="91" spans="1:7" s="380" customFormat="1">
      <c r="A91" s="289" t="s">
        <v>781</v>
      </c>
      <c r="B91" s="286">
        <f>'Sources and Uses Budget'!$C90</f>
        <v>0</v>
      </c>
      <c r="C91" s="286">
        <f>'Sources and Uses Budget'!$C90</f>
        <v>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1315</v>
      </c>
      <c r="B93" s="286">
        <f>'Sources and Uses Budget'!$C92</f>
        <v>0</v>
      </c>
      <c r="C93" s="286">
        <f>'Sources and Uses Budget'!$C92</f>
        <v>0</v>
      </c>
      <c r="D93" s="290">
        <f t="shared" si="1"/>
        <v>0</v>
      </c>
      <c r="E93" s="288"/>
      <c r="F93" s="287"/>
      <c r="G93" s="383"/>
    </row>
    <row r="94" spans="1:7" s="380" customFormat="1">
      <c r="A94" s="292" t="s">
        <v>34</v>
      </c>
      <c r="B94" s="286">
        <f>'Sources and Uses Budget'!$C93</f>
        <v>115000</v>
      </c>
      <c r="C94" s="286">
        <f>'Sources and Uses Budget'!$C93</f>
        <v>115000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293125</v>
      </c>
      <c r="C96" s="286">
        <f>'Sources and Uses Budget'!$C95</f>
        <v>293125</v>
      </c>
      <c r="D96" s="290">
        <f t="shared" si="1"/>
        <v>0</v>
      </c>
      <c r="E96" s="288"/>
      <c r="F96" s="287"/>
      <c r="G96" s="383"/>
    </row>
    <row r="97" spans="1:7" s="380" customFormat="1">
      <c r="A97" s="291" t="s">
        <v>782</v>
      </c>
      <c r="B97" s="290">
        <f>SUM(B84:B96)</f>
        <v>589331</v>
      </c>
      <c r="C97" s="290">
        <f>SUM(C84:C96)</f>
        <v>589331</v>
      </c>
      <c r="D97" s="290">
        <f t="shared" si="1"/>
        <v>0</v>
      </c>
      <c r="E97" s="288"/>
      <c r="F97" s="287"/>
      <c r="G97" s="383"/>
    </row>
    <row r="98" spans="1:7" s="380" customFormat="1">
      <c r="A98" s="291" t="s">
        <v>783</v>
      </c>
      <c r="B98" s="290">
        <f>SUM(B64+B71+B78+B82+B97)</f>
        <v>21033841</v>
      </c>
      <c r="C98" s="290">
        <f>SUM(C64+C71+C78+C82+C97)</f>
        <v>21033841</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2156535</v>
      </c>
      <c r="C100" s="286">
        <f>'Sources and Uses Budget'!$C99</f>
        <v>2156535</v>
      </c>
      <c r="D100" s="290">
        <f t="shared" si="1"/>
        <v>0</v>
      </c>
      <c r="E100" s="288"/>
      <c r="F100" s="287"/>
      <c r="G100" s="383"/>
    </row>
    <row r="101" spans="1:7" s="380" customFormat="1">
      <c r="A101" s="304" t="s">
        <v>1755</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1756</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2156535</v>
      </c>
      <c r="C105" s="290">
        <f>SUM(C100:C104)</f>
        <v>2156535</v>
      </c>
      <c r="D105" s="290">
        <f t="shared" si="1"/>
        <v>0</v>
      </c>
      <c r="E105" s="288"/>
      <c r="F105" s="287"/>
      <c r="G105" s="383"/>
    </row>
    <row r="106" spans="1:7" s="380" customFormat="1">
      <c r="A106" s="291" t="s">
        <v>788</v>
      </c>
      <c r="B106" s="293">
        <f>SUM(B98+B105)</f>
        <v>23190376</v>
      </c>
      <c r="C106" s="293">
        <f>SUM(C98+C105)</f>
        <v>23190376</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1066</v>
      </c>
      <c r="B2" s="1302"/>
      <c r="C2" s="1266"/>
      <c r="D2" s="1266"/>
      <c r="E2" s="1266"/>
      <c r="F2" s="1266"/>
      <c r="G2" s="1266"/>
    </row>
    <row r="3" spans="1:9" s="173" customFormat="1">
      <c r="A3" s="1302" t="s">
        <v>1007</v>
      </c>
      <c r="B3" s="1302"/>
      <c r="C3" s="1266"/>
      <c r="D3" s="1266"/>
      <c r="E3" s="1266"/>
      <c r="F3" s="1266"/>
      <c r="G3" s="1266"/>
      <c r="I3" t="s">
        <v>308</v>
      </c>
    </row>
    <row r="4" spans="1:9">
      <c r="I4" s="3" t="s">
        <v>1067</v>
      </c>
    </row>
    <row r="5" spans="1:9">
      <c r="A5" s="1304" t="s">
        <v>1008</v>
      </c>
      <c r="B5" s="1304"/>
      <c r="C5" s="1266"/>
      <c r="D5" s="1266"/>
      <c r="E5" s="1266"/>
      <c r="F5" s="1266"/>
      <c r="G5" s="1266"/>
      <c r="I5" s="3" t="s">
        <v>1068</v>
      </c>
    </row>
    <row r="6" spans="1:9">
      <c r="A6" s="1304" t="s">
        <v>827</v>
      </c>
      <c r="B6" s="1304"/>
      <c r="C6" s="1266"/>
      <c r="D6" s="1266"/>
      <c r="E6" s="1266"/>
      <c r="F6" s="1266"/>
      <c r="G6" s="1266"/>
      <c r="I6" t="s">
        <v>599</v>
      </c>
    </row>
    <row r="7" spans="1:9" ht="11.8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5" t="s">
        <v>1166</v>
      </c>
      <c r="B11" s="1285"/>
      <c r="C11" s="1285"/>
      <c r="D11" s="1285"/>
      <c r="E11" s="1285"/>
      <c r="F11" s="1285"/>
      <c r="G11" s="1285"/>
    </row>
    <row r="12" spans="1:9">
      <c r="A12" s="172"/>
      <c r="B12" s="172"/>
      <c r="E12" s="2"/>
    </row>
    <row r="13" spans="1:9" ht="13.15" customHeight="1">
      <c r="C13" s="172"/>
      <c r="D13" s="1287" t="s">
        <v>1165</v>
      </c>
      <c r="E13" s="1287"/>
      <c r="F13" s="1287"/>
    </row>
    <row r="14" spans="1:9">
      <c r="C14" s="172"/>
      <c r="D14" s="1287"/>
      <c r="E14" s="1287"/>
      <c r="F14" s="1287"/>
    </row>
    <row r="15" spans="1:9">
      <c r="A15" s="175"/>
      <c r="B15" s="175"/>
      <c r="C15" s="175"/>
      <c r="D15" s="1284" t="s">
        <v>1148</v>
      </c>
      <c r="E15" s="1284"/>
      <c r="F15" s="1284"/>
    </row>
    <row r="16" spans="1:9">
      <c r="A16" s="175"/>
      <c r="B16" s="175"/>
      <c r="C16" s="175"/>
      <c r="D16" s="218"/>
    </row>
    <row r="17" spans="1:6" ht="14.25">
      <c r="A17" s="176"/>
      <c r="B17" s="468" t="s">
        <v>308</v>
      </c>
      <c r="C17" s="175"/>
      <c r="D17" s="1264" t="s">
        <v>1149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1150</v>
      </c>
      <c r="E21" s="1288"/>
      <c r="F21" s="1288"/>
    </row>
    <row r="22" spans="1:6" ht="14.25">
      <c r="A22" s="176"/>
      <c r="B22" s="176"/>
      <c r="D22" s="35"/>
    </row>
    <row r="23" spans="1:6" ht="14.25">
      <c r="A23" s="176"/>
      <c r="B23" s="468" t="s">
        <v>308</v>
      </c>
      <c r="D23" s="1264" t="s">
        <v>1151</v>
      </c>
      <c r="E23" s="1264"/>
      <c r="F23" s="1264"/>
    </row>
    <row r="24" spans="1:6" ht="14.25">
      <c r="A24" s="176"/>
      <c r="B24" s="176"/>
      <c r="D24" s="1264"/>
      <c r="E24" s="1264"/>
      <c r="F24" s="1264"/>
    </row>
    <row r="25" spans="1:6"/>
    <row r="26" spans="1:6" ht="14.25">
      <c r="A26" s="176"/>
      <c r="B26" s="468" t="s">
        <v>308</v>
      </c>
      <c r="D26" s="1264" t="s">
        <v>1152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1153</v>
      </c>
      <c r="E32" s="1264"/>
      <c r="F32" s="1264"/>
    </row>
    <row r="33" spans="1:6">
      <c r="D33" s="1264"/>
      <c r="E33" s="1264"/>
      <c r="F33" s="1264"/>
    </row>
    <row r="34" spans="1:6" ht="14.25">
      <c r="A34" s="176"/>
      <c r="B34" s="176"/>
      <c r="D34" s="220"/>
    </row>
    <row r="35" spans="1:6" ht="14.45" customHeight="1">
      <c r="A35" s="176"/>
      <c r="B35" s="468" t="s">
        <v>308</v>
      </c>
      <c r="D35" s="1264" t="s">
        <v>1154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1157</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1158</v>
      </c>
      <c r="E54" s="1264"/>
      <c r="F54" s="1264"/>
      <c r="G54" s="3"/>
    </row>
    <row r="55" spans="1:7" ht="14.25">
      <c r="A55" s="176"/>
      <c r="B55" s="176"/>
      <c r="C55" s="385"/>
      <c r="D55" s="1264"/>
      <c r="E55" s="1264"/>
      <c r="F55" s="1264"/>
      <c r="G55" s="3"/>
    </row>
    <row r="56" spans="1:7">
      <c r="D56" s="220"/>
    </row>
    <row r="57" spans="1:7" ht="14.25">
      <c r="A57" s="176"/>
      <c r="B57" s="468" t="s">
        <v>308</v>
      </c>
      <c r="D57" s="1264" t="s">
        <v>1159</v>
      </c>
      <c r="E57" s="1264"/>
      <c r="F57" s="1264"/>
    </row>
    <row r="58" spans="1:7">
      <c r="D58" s="1264"/>
      <c r="E58" s="1264"/>
      <c r="F58" s="1264"/>
    </row>
    <row r="59" spans="1:7">
      <c r="D59" s="1264"/>
      <c r="E59" s="1264"/>
      <c r="F59" s="1264"/>
    </row>
    <row r="60" spans="1:7">
      <c r="D60" s="3"/>
    </row>
    <row r="61" spans="1:7" ht="14.25">
      <c r="A61" s="176"/>
      <c r="B61" s="468" t="s">
        <v>308</v>
      </c>
      <c r="D61" s="1264" t="s">
        <v>1160</v>
      </c>
      <c r="E61" s="1264"/>
      <c r="F61" s="1264"/>
    </row>
    <row r="62" spans="1:7">
      <c r="D62" s="1264"/>
      <c r="E62" s="1264"/>
      <c r="F62" s="1264"/>
    </row>
    <row r="63" spans="1:7"/>
    <row r="64" spans="1:7" ht="14.25">
      <c r="A64" s="176"/>
      <c r="B64" s="468" t="s">
        <v>308</v>
      </c>
      <c r="D64" s="1264" t="s">
        <v>1161</v>
      </c>
      <c r="E64" s="1264"/>
      <c r="F64" s="1264"/>
    </row>
    <row r="65" spans="1:7">
      <c r="D65" s="1264"/>
      <c r="E65" s="1264"/>
      <c r="F65" s="1264"/>
    </row>
    <row r="66" spans="1:7">
      <c r="D66" s="1264"/>
      <c r="E66" s="1264"/>
      <c r="F66" s="1264"/>
    </row>
    <row r="67" spans="1:7">
      <c r="D67"/>
    </row>
    <row r="68" spans="1:7" ht="14.25">
      <c r="A68" s="176"/>
      <c r="B68" s="468" t="s">
        <v>308</v>
      </c>
      <c r="D68" s="1264" t="s">
        <v>1162</v>
      </c>
      <c r="E68" s="1264"/>
      <c r="F68" s="1264"/>
    </row>
    <row r="69" spans="1:7">
      <c r="D69" s="1264"/>
      <c r="E69" s="1264"/>
      <c r="F69" s="1264"/>
    </row>
    <row r="70" spans="1:7" ht="14.25">
      <c r="A70" s="176"/>
      <c r="B70" s="176"/>
      <c r="D70" s="35"/>
    </row>
    <row r="71" spans="1:7">
      <c r="A71" s="1285" t="s">
        <v>1069</v>
      </c>
      <c r="B71" s="1285"/>
      <c r="C71" s="1285"/>
      <c r="D71" s="1285"/>
      <c r="E71" s="1285"/>
      <c r="F71" s="1285"/>
      <c r="G71" s="1285"/>
    </row>
    <row r="72" spans="1:7"/>
    <row r="73" spans="1:7">
      <c r="C73" s="177"/>
      <c r="D73" s="1296" t="s">
        <v>1167</v>
      </c>
      <c r="E73" s="1296"/>
      <c r="F73" s="1296"/>
    </row>
    <row r="74" spans="1:7">
      <c r="A74" s="35"/>
      <c r="B74" s="35"/>
      <c r="D74" s="1264" t="s">
        <v>1194</v>
      </c>
      <c r="E74" s="1264"/>
      <c r="F74" s="1264"/>
    </row>
    <row r="75" spans="1:7">
      <c r="A75" s="35"/>
      <c r="B75" s="35"/>
    </row>
    <row r="76" spans="1:7" ht="14.25">
      <c r="A76" s="176"/>
      <c r="B76" s="468" t="s">
        <v>308</v>
      </c>
      <c r="D76" s="1264" t="s">
        <v>1168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1267</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1169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1170</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1171</v>
      </c>
      <c r="E114" s="1306"/>
      <c r="F114" s="1306"/>
      <c r="G114"/>
    </row>
    <row r="115" spans="1:7" ht="14.25">
      <c r="A115" s="176"/>
      <c r="B115" s="176"/>
      <c r="C115"/>
      <c r="D115" s="1306"/>
      <c r="E115" s="1306"/>
      <c r="F115" s="1306"/>
      <c r="G115"/>
    </row>
    <row r="116" spans="1:7"/>
    <row r="117" spans="1:7" ht="14.25">
      <c r="A117" s="176"/>
      <c r="B117" s="468" t="s">
        <v>308</v>
      </c>
      <c r="D117" s="1264" t="s">
        <v>1172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1174</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1175</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1176</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1070</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1071</v>
      </c>
      <c r="B172" s="1285"/>
      <c r="C172" s="1285"/>
      <c r="D172" s="1285"/>
      <c r="E172" s="1285"/>
      <c r="F172" s="1285"/>
      <c r="G172" s="1285"/>
    </row>
    <row r="173" spans="1:7" ht="12" customHeight="1">
      <c r="A173" s="2"/>
      <c r="B173" s="2"/>
      <c r="E173" s="2"/>
    </row>
    <row r="174" spans="1:7" ht="13.15" customHeight="1">
      <c r="A174" s="2"/>
      <c r="B174" s="2"/>
      <c r="D174" s="1307" t="s">
        <v>1179</v>
      </c>
      <c r="E174" s="1307"/>
      <c r="F174" s="1307"/>
    </row>
    <row r="175" spans="1:7">
      <c r="A175" s="2"/>
      <c r="B175" s="2"/>
      <c r="D175" s="1307"/>
      <c r="E175" s="1307"/>
      <c r="F175" s="1307"/>
    </row>
    <row r="176" spans="1:7">
      <c r="A176" s="2"/>
      <c r="B176" s="2"/>
      <c r="D176" s="1294" t="s">
        <v>1180</v>
      </c>
      <c r="E176" s="1294"/>
      <c r="F176" s="1294"/>
    </row>
    <row r="177" spans="1:7" ht="12" customHeight="1">
      <c r="A177" s="2"/>
      <c r="B177" s="2"/>
      <c r="E177" s="2"/>
    </row>
    <row r="178" spans="1:7" ht="14.25">
      <c r="A178" s="176"/>
      <c r="B178" s="468" t="s">
        <v>308</v>
      </c>
      <c r="D178" s="1279" t="s">
        <v>1178</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1087</v>
      </c>
      <c r="E183" s="1300"/>
      <c r="F183" s="1300"/>
    </row>
    <row r="184" spans="1:7">
      <c r="D184" s="1300"/>
      <c r="E184" s="1300"/>
      <c r="F184" s="1300"/>
    </row>
    <row r="185" spans="1:7">
      <c r="D185" s="475"/>
      <c r="E185" s="475"/>
      <c r="F185" s="475"/>
    </row>
    <row r="186" spans="1:7" ht="14.25">
      <c r="A186" s="176"/>
      <c r="B186" s="468" t="s">
        <v>308</v>
      </c>
      <c r="C186" s="385"/>
      <c r="D186" s="1264" t="s">
        <v>1177</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1072</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1201</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1195</v>
      </c>
      <c r="E197" s="1264"/>
      <c r="F197" s="1264"/>
    </row>
    <row r="198" spans="1:6" ht="14.25">
      <c r="A198" s="176"/>
      <c r="B198" s="176"/>
      <c r="D198" s="1264"/>
      <c r="E198" s="1264"/>
      <c r="F198" s="1264"/>
    </row>
    <row r="199" spans="1:6"/>
    <row r="200" spans="1:6" ht="14.25">
      <c r="A200" s="176"/>
      <c r="B200" s="468" t="s">
        <v>308</v>
      </c>
      <c r="D200" s="1264" t="s">
        <v>1196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1198</v>
      </c>
      <c r="E210" s="1264"/>
      <c r="F210" s="1264"/>
    </row>
    <row r="211" spans="1:7" ht="14.25">
      <c r="A211" s="176"/>
      <c r="B211" s="176"/>
      <c r="D211" s="1264"/>
      <c r="E211" s="1264"/>
      <c r="F211" s="1264"/>
    </row>
    <row r="212" spans="1:7" ht="14.25">
      <c r="A212" s="176"/>
      <c r="B212" s="176"/>
      <c r="D212" s="1282" t="s">
        <v>908</v>
      </c>
      <c r="E212" s="1282"/>
      <c r="F212" s="1282"/>
    </row>
    <row r="213" spans="1:7" ht="14.25">
      <c r="A213" s="176"/>
      <c r="B213" s="176"/>
      <c r="D213" s="35"/>
      <c r="E213" s="35"/>
      <c r="F213" s="35"/>
    </row>
    <row r="214" spans="1:7" ht="14.45" customHeight="1">
      <c r="A214" s="176"/>
      <c r="B214" s="468" t="s">
        <v>308</v>
      </c>
      <c r="D214" s="1264" t="s">
        <v>1200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1199</v>
      </c>
      <c r="E220" s="1264"/>
      <c r="F220" s="1264"/>
    </row>
    <row r="221" spans="1:7" ht="14.25">
      <c r="A221" s="176"/>
      <c r="B221" s="176"/>
      <c r="D221" s="1264"/>
      <c r="E221" s="1264"/>
      <c r="F221" s="1264"/>
    </row>
    <row r="222" spans="1:7">
      <c r="D222" s="19"/>
    </row>
    <row r="223" spans="1:7">
      <c r="A223" s="1285" t="s">
        <v>1073</v>
      </c>
      <c r="B223" s="1285"/>
      <c r="C223" s="1285"/>
      <c r="D223" s="1285"/>
      <c r="E223" s="1285"/>
      <c r="F223" s="1285"/>
      <c r="G223" s="1285"/>
    </row>
    <row r="224" spans="1:7">
      <c r="D224" s="19"/>
    </row>
    <row r="225" spans="1:6">
      <c r="C225" s="177"/>
      <c r="D225" s="1283" t="s">
        <v>1202</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1203</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1204</v>
      </c>
      <c r="E231" s="1264"/>
      <c r="F231" s="1264"/>
    </row>
    <row r="232" spans="1:6">
      <c r="D232" s="1264"/>
      <c r="E232" s="1264"/>
      <c r="F232" s="1264"/>
    </row>
    <row r="233" spans="1:6">
      <c r="D233" s="1290" t="s">
        <v>900</v>
      </c>
      <c r="E233" s="1290"/>
      <c r="F233" s="1290"/>
    </row>
    <row r="234" spans="1:6">
      <c r="D234" s="35"/>
      <c r="E234" s="35"/>
      <c r="F234" s="35"/>
    </row>
    <row r="235" spans="1:6" ht="14.45" customHeight="1">
      <c r="A235" s="176"/>
      <c r="B235" s="468" t="s">
        <v>308</v>
      </c>
      <c r="D235" s="1264" t="s">
        <v>1206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1205</v>
      </c>
      <c r="E241" s="1264"/>
      <c r="F241" s="1264"/>
    </row>
    <row r="242" spans="1:7">
      <c r="D242" s="1264"/>
      <c r="E242" s="1264"/>
      <c r="F242" s="1264"/>
    </row>
    <row r="243" spans="1:7">
      <c r="D243" s="1264"/>
      <c r="E243" s="1264"/>
      <c r="F243" s="1264"/>
    </row>
    <row r="244" spans="1:7">
      <c r="D244" s="178"/>
      <c r="E244" s="35"/>
      <c r="F244" s="35"/>
    </row>
    <row r="245" spans="1:7">
      <c r="A245" s="1285" t="s">
        <v>1074</v>
      </c>
      <c r="B245" s="1285"/>
      <c r="C245" s="1285"/>
      <c r="D245" s="1285"/>
      <c r="E245" s="1285"/>
      <c r="F245" s="1285"/>
      <c r="G245" s="1285"/>
    </row>
    <row r="246" spans="1:7">
      <c r="D246" s="178"/>
      <c r="E246" s="35"/>
      <c r="F246" s="35"/>
    </row>
    <row r="247" spans="1:7">
      <c r="C247" s="172"/>
      <c r="D247" s="1296" t="s">
        <v>1207</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1208</v>
      </c>
      <c r="E251" s="1289"/>
      <c r="F251" s="1289"/>
    </row>
    <row r="252" spans="1:7">
      <c r="E252" s="35"/>
      <c r="F252" s="35"/>
    </row>
    <row r="253" spans="1:7" ht="14.25">
      <c r="A253" s="176"/>
      <c r="B253" s="468" t="s">
        <v>308</v>
      </c>
      <c r="D253" s="1264" t="s">
        <v>1209</v>
      </c>
      <c r="E253" s="1264"/>
      <c r="F253" s="1264"/>
    </row>
    <row r="254" spans="1:7" ht="14.25">
      <c r="A254" s="176"/>
      <c r="B254" s="176"/>
      <c r="D254" s="1264"/>
      <c r="E254" s="1264"/>
      <c r="F254" s="1264"/>
    </row>
    <row r="255" spans="1:7">
      <c r="D255" s="35"/>
      <c r="E255" s="35"/>
      <c r="F255" s="35"/>
    </row>
    <row r="256" spans="1:7" ht="14.25">
      <c r="A256" s="176"/>
      <c r="B256" s="468" t="s">
        <v>308</v>
      </c>
      <c r="D256" s="1264" t="s">
        <v>1210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1211</v>
      </c>
      <c r="E260" s="1264"/>
      <c r="F260" s="1264"/>
    </row>
    <row r="261" spans="1:7" ht="14.25">
      <c r="A261" s="176"/>
      <c r="B261" s="176"/>
      <c r="D261" s="1264"/>
      <c r="E261" s="1264"/>
      <c r="F261" s="1264"/>
    </row>
    <row r="262" spans="1:7">
      <c r="A262" s="13"/>
      <c r="B262" s="13"/>
      <c r="E262" s="35"/>
      <c r="F262" s="35"/>
    </row>
    <row r="263" spans="1:7">
      <c r="A263" s="1285" t="s">
        <v>1075</v>
      </c>
      <c r="B263" s="1285"/>
      <c r="C263" s="1285"/>
      <c r="D263" s="1285"/>
      <c r="E263" s="1285"/>
      <c r="F263" s="1285"/>
      <c r="G263" s="1285"/>
    </row>
    <row r="264" spans="1:7">
      <c r="A264" s="13"/>
      <c r="B264" s="13"/>
      <c r="D264" s="35"/>
      <c r="E264" s="35"/>
      <c r="F264" s="35"/>
    </row>
    <row r="265" spans="1:7">
      <c r="C265" s="13"/>
      <c r="D265" s="1283" t="s">
        <v>689</v>
      </c>
      <c r="E265" s="1283"/>
      <c r="F265" s="1283"/>
    </row>
    <row r="266" spans="1:7">
      <c r="C266" s="13"/>
      <c r="D266" s="1284" t="s">
        <v>1212</v>
      </c>
      <c r="E266" s="1284"/>
      <c r="F266" s="1284"/>
    </row>
    <row r="267" spans="1:7">
      <c r="C267" s="13"/>
      <c r="D267" s="173"/>
    </row>
    <row r="268" spans="1:7">
      <c r="B268" s="468" t="s">
        <v>308</v>
      </c>
      <c r="D268" s="1284" t="s">
        <v>1213</v>
      </c>
      <c r="E268" s="1284"/>
      <c r="F268" s="1284"/>
    </row>
    <row r="269" spans="1:7" ht="14.25">
      <c r="A269" s="176"/>
      <c r="B269" s="176"/>
      <c r="D269" s="341"/>
      <c r="E269" s="342"/>
      <c r="F269" s="342"/>
    </row>
    <row r="270" spans="1:7" ht="13.15" customHeight="1">
      <c r="B270" s="468" t="s">
        <v>308</v>
      </c>
      <c r="D270" s="1314" t="s">
        <v>1214</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1215</v>
      </c>
      <c r="E276" s="1314"/>
      <c r="F276" s="1314"/>
    </row>
    <row r="277" spans="1:6">
      <c r="D277" s="1314"/>
      <c r="E277" s="1314"/>
      <c r="F277" s="1314"/>
    </row>
    <row r="278" spans="1:6" ht="14.25">
      <c r="A278" s="176"/>
      <c r="B278" s="176"/>
      <c r="D278" s="341"/>
      <c r="E278" s="342"/>
      <c r="F278" s="342"/>
    </row>
    <row r="279" spans="1:6">
      <c r="B279" s="468" t="s">
        <v>308</v>
      </c>
      <c r="D279" s="1284" t="s">
        <v>1216</v>
      </c>
      <c r="E279" s="1284"/>
      <c r="F279" s="1284"/>
    </row>
    <row r="280" spans="1:6">
      <c r="E280" s="35"/>
      <c r="F280" s="35"/>
    </row>
    <row r="281" spans="1:6" ht="14.25">
      <c r="A281" s="176"/>
      <c r="B281" s="468" t="s">
        <v>308</v>
      </c>
      <c r="D281" s="1264" t="s">
        <v>1217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1218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1219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996</v>
      </c>
      <c r="E314" s="1310"/>
      <c r="F314" s="1310"/>
      <c r="G314"/>
    </row>
    <row r="315" spans="1:7" ht="13.5" thickTop="1">
      <c r="D315" s="1311" t="s">
        <v>1220</v>
      </c>
      <c r="E315" s="1311"/>
      <c r="F315" s="1311"/>
      <c r="G315"/>
    </row>
    <row r="316" spans="1:7">
      <c r="A316" s="218"/>
      <c r="B316" s="218"/>
      <c r="C316" s="218"/>
      <c r="D316" s="220"/>
      <c r="E316" s="220"/>
      <c r="F316" s="35"/>
      <c r="G316"/>
    </row>
    <row r="317" spans="1:7" ht="14.25">
      <c r="A317" s="176"/>
      <c r="B317" s="468" t="s">
        <v>308</v>
      </c>
      <c r="C317" s="218"/>
      <c r="D317" s="1312" t="s">
        <v>1221</v>
      </c>
      <c r="E317" s="1312"/>
      <c r="F317" s="1312"/>
      <c r="G317"/>
    </row>
    <row r="318" spans="1:7">
      <c r="A318" s="218"/>
      <c r="B318" s="218"/>
      <c r="C318" s="218"/>
      <c r="D318" s="220"/>
      <c r="E318" s="220"/>
      <c r="F318" s="35"/>
      <c r="G318"/>
    </row>
    <row r="319" spans="1:7">
      <c r="A319" s="218"/>
      <c r="B319" s="468" t="s">
        <v>308</v>
      </c>
      <c r="C319" s="218"/>
      <c r="D319" s="1267" t="s">
        <v>1222</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1223</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1224</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1225</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1226</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1227</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1228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1229</v>
      </c>
      <c r="E405" s="1284"/>
      <c r="F405" s="1284"/>
    </row>
    <row r="406" spans="1:7">
      <c r="D406" s="1309" t="s">
        <v>1004</v>
      </c>
      <c r="E406" s="1309"/>
      <c r="F406" s="1309"/>
    </row>
    <row r="407" spans="1:7">
      <c r="D407" s="1264" t="s">
        <v>1230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1231</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1232</v>
      </c>
      <c r="E416" s="1264"/>
      <c r="F416" s="1264"/>
      <c r="G416"/>
    </row>
    <row r="417" spans="1:7">
      <c r="D417" s="1264"/>
      <c r="E417" s="1264"/>
      <c r="F417" s="1264"/>
      <c r="G417"/>
    </row>
    <row r="418" spans="1:7">
      <c r="D418" s="35"/>
      <c r="E418" s="35"/>
      <c r="F418" s="35"/>
      <c r="G418"/>
    </row>
    <row r="419" spans="1:7" ht="14.25">
      <c r="B419" s="468" t="s">
        <v>308</v>
      </c>
      <c r="C419" s="176"/>
      <c r="D419" s="1264" t="s">
        <v>1233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1235</v>
      </c>
      <c r="E440" s="1284"/>
      <c r="F440" s="1284"/>
    </row>
    <row r="441" spans="1:7">
      <c r="A441" s="35"/>
      <c r="B441" s="35"/>
    </row>
    <row r="442" spans="1:7">
      <c r="A442" s="1285" t="s">
        <v>1076</v>
      </c>
      <c r="B442" s="1285"/>
      <c r="C442" s="1285"/>
      <c r="D442" s="1285"/>
      <c r="E442" s="1285"/>
      <c r="F442" s="1285"/>
      <c r="G442" s="1285"/>
    </row>
    <row r="443" spans="1:7">
      <c r="A443" s="35"/>
      <c r="B443" s="35"/>
    </row>
    <row r="444" spans="1:7">
      <c r="D444" s="1315" t="s">
        <v>894</v>
      </c>
      <c r="E444" s="1315"/>
      <c r="F444" s="1315"/>
    </row>
    <row r="445" spans="1:7" ht="14.25">
      <c r="A445" s="176"/>
      <c r="B445" s="176"/>
      <c r="D445" s="1312" t="s">
        <v>1236</v>
      </c>
      <c r="E445" s="1312"/>
      <c r="F445" s="1312"/>
    </row>
    <row r="446" spans="1:7" ht="14.25">
      <c r="A446" s="176"/>
      <c r="B446" s="176"/>
      <c r="D446" s="481"/>
      <c r="E446" s="3"/>
      <c r="F446" s="3"/>
    </row>
    <row r="447" spans="1:7" ht="14.25">
      <c r="A447" s="176"/>
      <c r="B447" s="468" t="s">
        <v>308</v>
      </c>
      <c r="D447" s="1267" t="s">
        <v>1237</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1238</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1239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1240</v>
      </c>
      <c r="E459" s="1284"/>
      <c r="F459" s="1284"/>
      <c r="G459"/>
    </row>
    <row r="460" spans="1:7" ht="14.25">
      <c r="A460" s="176"/>
      <c r="B460" s="176"/>
      <c r="D460" s="118"/>
      <c r="E460" s="3"/>
      <c r="F460" s="3"/>
      <c r="G460"/>
    </row>
    <row r="461" spans="1:7" ht="14.25">
      <c r="A461" s="176"/>
      <c r="B461" s="468" t="s">
        <v>308</v>
      </c>
      <c r="D461" s="1264" t="s">
        <v>1241</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1242</v>
      </c>
      <c r="E464" s="1284"/>
      <c r="F464" s="1284"/>
      <c r="G464"/>
    </row>
    <row r="465" spans="1:7" ht="14.25">
      <c r="A465" s="176"/>
      <c r="B465" s="176"/>
      <c r="D465" s="35"/>
    </row>
    <row r="466" spans="1:7">
      <c r="A466" s="1285" t="s">
        <v>1077</v>
      </c>
      <c r="B466" s="1285"/>
      <c r="C466" s="1285"/>
      <c r="D466" s="1285"/>
      <c r="E466" s="1285"/>
      <c r="F466" s="1285"/>
      <c r="G466" s="1285"/>
    </row>
    <row r="467" spans="1:7" ht="12" customHeight="1">
      <c r="A467" s="176"/>
      <c r="B467" s="176"/>
      <c r="D467" s="35"/>
    </row>
    <row r="468" spans="1:7">
      <c r="C468" s="172"/>
      <c r="D468" s="1283" t="s">
        <v>801</v>
      </c>
      <c r="E468" s="1283"/>
      <c r="F468" s="1283"/>
    </row>
    <row r="469" spans="1:7" ht="13.15" customHeight="1">
      <c r="A469" s="175"/>
      <c r="B469" s="175"/>
      <c r="C469" s="175"/>
      <c r="D469" s="1316" t="s">
        <v>1120</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1111</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1114</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1112</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1113</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1257</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1115</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1078</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1079</v>
      </c>
      <c r="B514" s="1286"/>
      <c r="C514" s="1286"/>
      <c r="D514" s="1286"/>
      <c r="E514" s="1286"/>
      <c r="F514" s="1286"/>
      <c r="G514" s="1286"/>
    </row>
    <row r="515" spans="1:7">
      <c r="A515" s="35"/>
      <c r="B515" s="35"/>
      <c r="C515" s="179"/>
      <c r="D515" s="35"/>
      <c r="F515" s="35"/>
    </row>
    <row r="516" spans="1:7">
      <c r="C516" s="179"/>
      <c r="D516" s="1283" t="s">
        <v>690</v>
      </c>
      <c r="E516" s="1283"/>
      <c r="F516" s="1283"/>
    </row>
    <row r="517" spans="1:7">
      <c r="C517" s="179"/>
      <c r="D517" s="1284" t="s">
        <v>1136</v>
      </c>
      <c r="E517" s="1284"/>
      <c r="F517" s="1284"/>
    </row>
    <row r="518" spans="1:7">
      <c r="C518" s="179"/>
      <c r="D518" s="118"/>
      <c r="E518" s="118"/>
      <c r="F518" s="118"/>
    </row>
    <row r="519" spans="1:7" ht="13.15" customHeight="1">
      <c r="A519" s="176"/>
      <c r="B519" s="468" t="s">
        <v>308</v>
      </c>
      <c r="C519" s="179"/>
      <c r="D519" s="1284" t="s">
        <v>895</v>
      </c>
      <c r="E519" s="1284"/>
      <c r="F519" s="1284"/>
      <c r="G519"/>
    </row>
    <row r="520" spans="1:7" ht="13.15" customHeight="1">
      <c r="A520" s="179"/>
      <c r="B520" s="179"/>
      <c r="C520" s="179"/>
      <c r="D520" s="118"/>
      <c r="E520"/>
      <c r="F520"/>
      <c r="G520"/>
    </row>
    <row r="521" spans="1:7" ht="14.25">
      <c r="A521" s="176"/>
      <c r="B521" s="468" t="s">
        <v>308</v>
      </c>
      <c r="C521" s="179"/>
      <c r="D521" s="1264" t="s">
        <v>1137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1138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1139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1258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1143</v>
      </c>
      <c r="E543" s="1284"/>
      <c r="F543" s="1284"/>
    </row>
    <row r="544" spans="1:7">
      <c r="A544" s="13"/>
      <c r="B544" s="13"/>
      <c r="C544" s="179"/>
      <c r="D544" s="1284" t="s">
        <v>828</v>
      </c>
      <c r="E544" s="1284"/>
      <c r="F544" s="1284"/>
    </row>
    <row r="545" spans="1:7">
      <c r="A545" s="13"/>
      <c r="B545" s="13"/>
      <c r="C545" s="179"/>
      <c r="D545" s="3"/>
      <c r="E545" s="1289" t="s">
        <v>1144</v>
      </c>
      <c r="F545" s="1289"/>
    </row>
    <row r="546" spans="1:7" ht="14.25">
      <c r="A546" s="176"/>
      <c r="B546" s="176"/>
      <c r="C546" s="179"/>
      <c r="E546" s="35"/>
      <c r="F546" s="35"/>
    </row>
    <row r="547" spans="1:7" ht="14.25">
      <c r="A547" s="176"/>
      <c r="B547" s="468" t="s">
        <v>308</v>
      </c>
      <c r="C547" s="179"/>
      <c r="D547" s="1284" t="s">
        <v>1145</v>
      </c>
      <c r="E547" s="1284"/>
      <c r="F547" s="1284"/>
    </row>
    <row r="548" spans="1:7">
      <c r="C548" s="179"/>
      <c r="D548" s="1264" t="s">
        <v>1146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1080</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1096</v>
      </c>
      <c r="E560" s="1301"/>
      <c r="F560" s="1301"/>
    </row>
    <row r="561" spans="1:6">
      <c r="A561"/>
      <c r="B561"/>
      <c r="C561" s="175"/>
      <c r="D561" s="255"/>
    </row>
    <row r="562" spans="1:6">
      <c r="A562" s="175"/>
      <c r="B562" s="468" t="s">
        <v>308</v>
      </c>
      <c r="D562" s="1301" t="s">
        <v>901</v>
      </c>
      <c r="E562" s="1301"/>
      <c r="F562" s="1301"/>
    </row>
    <row r="563" spans="1:6">
      <c r="A563" s="13"/>
      <c r="B563" s="13"/>
      <c r="D563" s="218"/>
    </row>
    <row r="564" spans="1:6">
      <c r="A564" s="13"/>
      <c r="B564" s="468" t="s">
        <v>308</v>
      </c>
      <c r="D564" s="1301" t="s">
        <v>1097</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1098</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1099</v>
      </c>
      <c r="E573" s="1301"/>
      <c r="F573" s="1301"/>
    </row>
    <row r="574" spans="1:6">
      <c r="A574" s="13"/>
      <c r="B574" s="13"/>
      <c r="D574" s="1301"/>
      <c r="E574" s="1301"/>
      <c r="F574" s="1301"/>
    </row>
    <row r="575" spans="1:6">
      <c r="A575" s="13"/>
      <c r="B575" s="13"/>
      <c r="D575" s="255"/>
    </row>
    <row r="576" spans="1:6">
      <c r="A576" s="13"/>
      <c r="B576" s="468" t="s">
        <v>308</v>
      </c>
      <c r="D576" s="1301" t="s">
        <v>1100</v>
      </c>
      <c r="E576" s="1301"/>
      <c r="F576" s="1301"/>
    </row>
    <row r="577" spans="1:7">
      <c r="A577" s="13"/>
      <c r="B577" s="13"/>
      <c r="D577" s="1301"/>
      <c r="E577" s="1301"/>
      <c r="F577" s="1301"/>
    </row>
    <row r="578" spans="1:7">
      <c r="A578" s="13"/>
      <c r="B578" s="13"/>
      <c r="D578" s="255"/>
    </row>
    <row r="579" spans="1:7" ht="14.25">
      <c r="A579" s="176"/>
      <c r="B579" s="468" t="s">
        <v>308</v>
      </c>
      <c r="D579" s="1301" t="s">
        <v>896</v>
      </c>
      <c r="E579" s="1301"/>
      <c r="F579" s="1301"/>
    </row>
    <row r="580" spans="1:7" ht="14.25">
      <c r="A580" s="176"/>
      <c r="B580" s="176"/>
      <c r="D580" s="255"/>
    </row>
    <row r="581" spans="1:7" ht="14.25">
      <c r="A581" s="176"/>
      <c r="B581" s="468" t="s">
        <v>308</v>
      </c>
      <c r="D581" s="1301" t="s">
        <v>1101</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1081</v>
      </c>
      <c r="B588" s="1285"/>
      <c r="C588" s="1285"/>
      <c r="D588" s="1285"/>
      <c r="E588" s="1285"/>
      <c r="F588" s="1285"/>
      <c r="G588" s="1285"/>
    </row>
    <row r="589" spans="1:7"/>
    <row r="590" spans="1:7">
      <c r="D590" s="1277" t="s">
        <v>1181</v>
      </c>
      <c r="E590" s="1277"/>
      <c r="F590" s="1277"/>
    </row>
    <row r="591" spans="1:7">
      <c r="D591" s="1278" t="s">
        <v>1182</v>
      </c>
      <c r="E591" s="1278"/>
      <c r="F591" s="1278"/>
    </row>
    <row r="592" spans="1:7">
      <c r="D592" s="478"/>
      <c r="E592" s="433"/>
      <c r="F592" s="433"/>
    </row>
    <row r="593" spans="1:7" ht="14.25">
      <c r="A593" s="176"/>
      <c r="B593" s="468" t="s">
        <v>308</v>
      </c>
      <c r="D593" s="1279" t="s">
        <v>1183</v>
      </c>
      <c r="E593" s="1279"/>
      <c r="F593" s="1279"/>
    </row>
    <row r="594" spans="1:7">
      <c r="D594" s="1279"/>
      <c r="E594" s="1279"/>
      <c r="F594" s="1279"/>
    </row>
    <row r="595" spans="1:7">
      <c r="D595" s="1279"/>
      <c r="E595" s="1279"/>
      <c r="F595" s="1279"/>
    </row>
    <row r="596" spans="1:7"/>
    <row r="597" spans="1:7">
      <c r="A597" s="1285" t="s">
        <v>1082</v>
      </c>
      <c r="B597" s="1285"/>
      <c r="C597" s="1285"/>
      <c r="D597" s="1285"/>
      <c r="E597" s="1285"/>
      <c r="F597" s="1285"/>
      <c r="G597" s="1285"/>
    </row>
    <row r="598" spans="1:7">
      <c r="A598" s="35"/>
      <c r="B598" s="35"/>
    </row>
    <row r="599" spans="1:7">
      <c r="A599" s="172"/>
      <c r="B599" s="172"/>
      <c r="C599" s="172"/>
      <c r="D599" s="1280" t="s">
        <v>1184</v>
      </c>
      <c r="E599" s="1280"/>
      <c r="F599" s="1280"/>
    </row>
    <row r="600" spans="1:7">
      <c r="A600" s="172"/>
      <c r="B600" s="172"/>
      <c r="C600" s="172"/>
      <c r="D600" s="1280"/>
      <c r="E600" s="1280"/>
      <c r="F600" s="1280"/>
    </row>
    <row r="601" spans="1:7">
      <c r="C601" s="175"/>
      <c r="D601" s="1278" t="s">
        <v>1185</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1186</v>
      </c>
      <c r="E605" s="1281"/>
      <c r="F605" s="1281"/>
    </row>
    <row r="606" spans="1:7">
      <c r="D606" s="1281"/>
      <c r="E606" s="1281"/>
      <c r="F606" s="1281"/>
    </row>
    <row r="607" spans="1:7">
      <c r="D607"/>
    </row>
    <row r="608" spans="1:7">
      <c r="B608" s="468" t="s">
        <v>308</v>
      </c>
      <c r="D608" s="1281" t="s">
        <v>1187</v>
      </c>
      <c r="E608" s="1281"/>
      <c r="F608" s="1281"/>
    </row>
    <row r="609" spans="1:7">
      <c r="C609" s="180"/>
      <c r="D609" s="1281"/>
      <c r="E609" s="1281"/>
      <c r="F609" s="1281"/>
    </row>
    <row r="610" spans="1:7">
      <c r="C610" s="180"/>
    </row>
    <row r="611" spans="1:7">
      <c r="B611" s="468" t="s">
        <v>308</v>
      </c>
      <c r="C611" s="180"/>
      <c r="D611" s="1281" t="s">
        <v>1188</v>
      </c>
      <c r="E611" s="1281"/>
      <c r="F611" s="1281"/>
    </row>
    <row r="612" spans="1:7">
      <c r="C612" s="180"/>
      <c r="D612" s="1281"/>
      <c r="E612" s="1281"/>
      <c r="F612" s="1281"/>
    </row>
    <row r="613" spans="1:7">
      <c r="C613" s="180"/>
    </row>
    <row r="614" spans="1:7">
      <c r="A614" s="1285" t="s">
        <v>1083</v>
      </c>
      <c r="B614" s="1285"/>
      <c r="C614" s="1285"/>
      <c r="D614" s="1285"/>
      <c r="E614" s="1285"/>
      <c r="F614" s="1285"/>
      <c r="G614" s="1285"/>
    </row>
    <row r="615" spans="1:7">
      <c r="A615" s="172"/>
      <c r="B615" s="172"/>
      <c r="C615" s="172"/>
    </row>
    <row r="616" spans="1:7">
      <c r="C616" s="13"/>
      <c r="D616" s="1277" t="s">
        <v>1189</v>
      </c>
      <c r="E616" s="1277"/>
      <c r="F616" s="1277"/>
    </row>
    <row r="617" spans="1:7">
      <c r="A617" s="13"/>
      <c r="B617" s="13"/>
      <c r="D617" s="2"/>
    </row>
    <row r="618" spans="1:7" ht="14.25">
      <c r="A618" s="176"/>
      <c r="B618" s="468" t="s">
        <v>308</v>
      </c>
      <c r="D618" s="1279" t="s">
        <v>1190</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1191</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1192</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1193</v>
      </c>
      <c r="E633" s="1308"/>
      <c r="F633" s="1308"/>
    </row>
    <row r="634" spans="1:7">
      <c r="A634" s="179"/>
      <c r="B634" s="179"/>
      <c r="C634" s="179"/>
      <c r="D634" s="480"/>
      <c r="E634" s="480"/>
      <c r="F634" s="480"/>
    </row>
    <row r="635" spans="1:7">
      <c r="A635" s="1285" t="s">
        <v>1084</v>
      </c>
      <c r="B635" s="1285"/>
      <c r="C635" s="1285"/>
      <c r="D635" s="1285"/>
      <c r="E635" s="1285"/>
      <c r="F635" s="1285"/>
      <c r="G635" s="1285"/>
    </row>
    <row r="636" spans="1:7">
      <c r="A636" s="35"/>
      <c r="B636" s="35"/>
      <c r="C636" s="179"/>
      <c r="D636" s="35"/>
      <c r="E636" s="35"/>
      <c r="F636" s="35"/>
    </row>
    <row r="637" spans="1:7">
      <c r="C637" s="172"/>
      <c r="D637" s="1283" t="s">
        <v>1243</v>
      </c>
      <c r="E637" s="1283"/>
      <c r="F637" s="1283"/>
    </row>
    <row r="638" spans="1:7">
      <c r="A638" s="175"/>
      <c r="B638" s="175"/>
      <c r="C638" s="175"/>
      <c r="D638" s="1284" t="s">
        <v>1244</v>
      </c>
      <c r="E638" s="1284"/>
      <c r="F638" s="1284"/>
    </row>
    <row r="639" spans="1:7">
      <c r="A639" s="175"/>
      <c r="B639" s="175"/>
      <c r="C639" s="175"/>
      <c r="D639" s="118"/>
      <c r="E639" s="118"/>
      <c r="F639" s="118"/>
    </row>
    <row r="640" spans="1:7" ht="14.45" customHeight="1">
      <c r="A640" s="176"/>
      <c r="B640" s="468" t="s">
        <v>308</v>
      </c>
      <c r="C640" s="179"/>
      <c r="D640" s="1264" t="s">
        <v>1245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1095</v>
      </c>
      <c r="E646" s="1298"/>
      <c r="F646" s="1298"/>
    </row>
    <row r="647" spans="1:11" ht="14.25">
      <c r="A647" s="176"/>
      <c r="B647" s="176"/>
      <c r="C647" s="179"/>
      <c r="D647" s="1297" t="s">
        <v>1246</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1247</v>
      </c>
      <c r="E652" s="1299"/>
      <c r="F652" s="1299"/>
    </row>
    <row r="653" spans="1:11">
      <c r="A653" s="179"/>
      <c r="B653" s="179"/>
      <c r="C653" s="179"/>
      <c r="D653" s="35"/>
      <c r="E653" s="35"/>
      <c r="F653" s="35"/>
    </row>
    <row r="654" spans="1:11">
      <c r="A654" s="1285" t="s">
        <v>1085</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1121</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897</v>
      </c>
      <c r="E660" s="1284"/>
      <c r="F660" s="1284"/>
      <c r="H660" s="181"/>
      <c r="I660" s="181"/>
      <c r="J660" s="181"/>
      <c r="K660" s="181"/>
    </row>
    <row r="661" spans="1:11">
      <c r="A661" s="175"/>
      <c r="B661" s="175"/>
      <c r="C661" s="175"/>
      <c r="D661" s="1284" t="s">
        <v>907</v>
      </c>
      <c r="E661" s="1284"/>
      <c r="F661" s="1284"/>
      <c r="H661" s="181"/>
      <c r="I661" s="181"/>
      <c r="J661" s="181"/>
      <c r="K661" s="181"/>
    </row>
    <row r="662" spans="1:11">
      <c r="A662" s="175"/>
      <c r="B662" s="175"/>
      <c r="C662" s="175"/>
      <c r="D662" s="3"/>
      <c r="E662" s="1268" t="s">
        <v>1122</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935</v>
      </c>
      <c r="E669" s="1284"/>
      <c r="F669" s="1284"/>
      <c r="H669" s="181"/>
      <c r="I669" s="181"/>
      <c r="J669" s="181"/>
      <c r="K669" s="181"/>
    </row>
    <row r="670" spans="1:11" ht="14.25">
      <c r="A670" s="176"/>
      <c r="B670" s="176"/>
      <c r="C670" s="175"/>
      <c r="D670" s="1284" t="s">
        <v>907</v>
      </c>
      <c r="E670" s="1284"/>
      <c r="F670" s="1284"/>
      <c r="H670" s="181"/>
      <c r="I670" s="181"/>
      <c r="J670" s="181"/>
      <c r="K670" s="181"/>
    </row>
    <row r="671" spans="1:11">
      <c r="A671" s="175"/>
      <c r="B671" s="175"/>
      <c r="C671" s="175"/>
      <c r="D671" s="3"/>
      <c r="E671" s="1289" t="s">
        <v>1124</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1128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1129</v>
      </c>
      <c r="E724" s="1291"/>
      <c r="F724" s="1291"/>
      <c r="H724" s="181"/>
      <c r="I724" s="181"/>
      <c r="J724" s="181"/>
      <c r="K724" s="181"/>
    </row>
    <row r="725" spans="1:11">
      <c r="A725" s="175"/>
      <c r="B725" s="175"/>
      <c r="C725" s="175"/>
      <c r="D725" s="369"/>
      <c r="H725" s="181"/>
      <c r="I725" s="181"/>
      <c r="J725" s="181"/>
      <c r="K725" s="181"/>
    </row>
    <row r="726" spans="1:11">
      <c r="A726" s="1286" t="s">
        <v>1086</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1102</v>
      </c>
      <c r="E728" s="1296"/>
      <c r="F728" s="1296"/>
      <c r="G728" s="183"/>
      <c r="H728" s="181"/>
      <c r="I728" s="181"/>
      <c r="J728" s="181"/>
      <c r="K728" s="181"/>
    </row>
    <row r="729" spans="1:11">
      <c r="A729" s="175"/>
      <c r="B729" s="175"/>
      <c r="C729" s="175"/>
      <c r="D729" s="1288" t="s">
        <v>1103</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1106</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1107</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1108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1109</v>
      </c>
      <c r="B754" s="1285"/>
      <c r="C754" s="1285"/>
      <c r="D754" s="1285"/>
      <c r="E754" s="1285"/>
      <c r="F754" s="1285"/>
      <c r="G754" s="1285"/>
    </row>
    <row r="755" spans="1:11">
      <c r="A755" s="175"/>
      <c r="B755" s="175"/>
      <c r="C755" s="175"/>
      <c r="D755" s="184"/>
      <c r="F755" s="35"/>
      <c r="G755" s="183"/>
    </row>
    <row r="756" spans="1:11">
      <c r="D756" s="1293" t="s">
        <v>1093</v>
      </c>
      <c r="E756" s="1293"/>
      <c r="F756" s="1293"/>
      <c r="G756" s="183"/>
    </row>
    <row r="757" spans="1:11">
      <c r="A757" s="345"/>
      <c r="B757" s="345"/>
      <c r="C757" s="345"/>
      <c r="D757" s="1294" t="s">
        <v>1110</v>
      </c>
      <c r="E757" s="1294"/>
      <c r="F757" s="1294"/>
      <c r="G757" s="183"/>
    </row>
    <row r="758" spans="1:11">
      <c r="D758" s="433"/>
      <c r="E758" s="433"/>
      <c r="F758" s="433"/>
      <c r="G758" s="183"/>
    </row>
    <row r="759" spans="1:11" ht="14.25">
      <c r="A759" s="176"/>
      <c r="B759" s="468" t="s">
        <v>308</v>
      </c>
      <c r="D759" s="1294" t="s">
        <v>1003</v>
      </c>
      <c r="E759" s="1294"/>
      <c r="F759" s="1294"/>
      <c r="G759" s="183"/>
    </row>
    <row r="760" spans="1:11">
      <c r="D760" s="433"/>
      <c r="E760" s="1295" t="s">
        <v>1094</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1002</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884</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1"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2056</v>
      </c>
      <c r="B2" s="1318"/>
      <c r="C2" s="1318"/>
      <c r="D2" s="1318"/>
      <c r="E2" s="1318"/>
      <c r="F2" s="1318"/>
      <c r="G2" s="1318"/>
      <c r="H2" s="1318"/>
      <c r="I2" s="1318"/>
      <c r="J2" s="1318"/>
    </row>
    <row r="3" spans="1:10" ht="15">
      <c r="A3" s="1321" t="s">
        <v>1374</v>
      </c>
      <c r="B3" s="1322"/>
      <c r="C3" s="1322"/>
      <c r="D3" s="1322"/>
      <c r="E3" s="1322"/>
      <c r="F3" s="1322"/>
      <c r="G3" s="1322"/>
      <c r="H3" s="1322"/>
      <c r="I3" s="1322"/>
      <c r="J3" s="1322"/>
    </row>
    <row r="4" spans="1:10" ht="12.75"/>
    <row r="5" spans="1:10" ht="12.75" customHeight="1">
      <c r="A5" s="1319" t="s">
        <v>2357</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2059</v>
      </c>
      <c r="B9" s="447"/>
      <c r="C9" s="447"/>
      <c r="D9" s="447"/>
      <c r="E9" s="447"/>
      <c r="F9" s="447"/>
      <c r="G9" s="447"/>
      <c r="H9" s="447"/>
      <c r="I9" s="447"/>
      <c r="J9" s="447"/>
    </row>
    <row r="10" spans="1:10" ht="12.75"/>
    <row r="11" spans="1:10" ht="12.75" customHeight="1">
      <c r="A11" s="1323" t="s">
        <v>2061</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2060</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1293</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1294</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2057</v>
      </c>
      <c r="B72" s="1320"/>
      <c r="C72" s="1320"/>
      <c r="D72" s="1320"/>
      <c r="E72" s="1320"/>
      <c r="F72" s="1320"/>
      <c r="G72" s="1320"/>
      <c r="H72" s="1320"/>
      <c r="I72" s="1320"/>
    </row>
    <row r="73" spans="1:9" ht="12.75">
      <c r="A73" s="1271" t="s">
        <v>2355</v>
      </c>
      <c r="B73" s="1271"/>
      <c r="C73" s="1271"/>
      <c r="D73" s="1271"/>
      <c r="E73" s="1271"/>
    </row>
    <row r="74" spans="1:9" ht="12.75">
      <c r="A74" s="1271" t="s">
        <v>2356</v>
      </c>
      <c r="B74" s="1271"/>
      <c r="C74" s="1271"/>
      <c r="D74" s="1271"/>
      <c r="E74" s="1271"/>
    </row>
    <row r="75" spans="1:9" ht="12.75">
      <c r="A75" s="1271" t="s">
        <v>2058</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242" zoomScale="85" zoomScaleNormal="85" workbookViewId="0">
      <selection activeCell="I256" sqref="I25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2577</v>
      </c>
      <c r="B2" s="1324"/>
      <c r="C2" s="1324"/>
      <c r="D2" s="1324"/>
      <c r="E2" s="1324"/>
      <c r="F2" s="1324"/>
      <c r="G2" s="1324"/>
      <c r="H2" s="1324"/>
      <c r="I2" s="1324"/>
    </row>
    <row r="3" spans="1:13">
      <c r="A3" s="1325" t="s">
        <v>2623</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2622</v>
      </c>
      <c r="B6" s="1339"/>
      <c r="C6" s="1339"/>
      <c r="D6" s="1339"/>
      <c r="E6" s="1339"/>
      <c r="F6" s="1339"/>
      <c r="G6" s="1339"/>
      <c r="I6" s="524" t="s">
        <v>2067</v>
      </c>
    </row>
    <row r="7" spans="1:13">
      <c r="A7" s="1339"/>
      <c r="B7" s="1339"/>
      <c r="C7" s="1339"/>
      <c r="D7" s="1339"/>
      <c r="E7" s="1339"/>
      <c r="F7" s="1339"/>
      <c r="G7" s="1339"/>
      <c r="I7" s="524" t="s">
        <v>2068</v>
      </c>
    </row>
    <row r="8" spans="1:13">
      <c r="A8" s="515"/>
      <c r="B8" s="515"/>
      <c r="C8" s="516"/>
      <c r="D8" s="516"/>
      <c r="E8" s="516"/>
      <c r="F8" s="516"/>
    </row>
    <row r="9" spans="1:13">
      <c r="A9" s="1285" t="s">
        <v>1166</v>
      </c>
      <c r="B9" s="1285"/>
      <c r="C9" s="1285"/>
      <c r="D9" s="1285"/>
      <c r="E9" s="1285"/>
      <c r="F9" s="1285"/>
      <c r="G9" s="1285"/>
      <c r="H9" s="1063"/>
      <c r="I9" s="1064"/>
    </row>
    <row r="10" spans="1:13">
      <c r="A10" s="516"/>
      <c r="B10" s="516"/>
      <c r="E10" s="435"/>
    </row>
    <row r="11" spans="1:13" ht="13.7" customHeight="1">
      <c r="C11" s="516"/>
      <c r="D11" s="1338" t="s">
        <v>1165</v>
      </c>
      <c r="E11" s="1338"/>
      <c r="F11" s="1338"/>
    </row>
    <row r="12" spans="1:13">
      <c r="C12" s="516"/>
      <c r="D12" s="1338"/>
      <c r="E12" s="1338"/>
      <c r="F12" s="1338"/>
    </row>
    <row r="13" spans="1:13">
      <c r="A13" s="517"/>
      <c r="B13" s="517"/>
      <c r="C13" s="517"/>
      <c r="D13" s="1308" t="s">
        <v>1148</v>
      </c>
      <c r="E13" s="1308"/>
      <c r="F13" s="1308"/>
      <c r="M13" s="96"/>
    </row>
    <row r="14" spans="1:13">
      <c r="A14" s="517"/>
      <c r="B14" s="517"/>
      <c r="C14" s="517"/>
      <c r="D14" s="510"/>
      <c r="L14" s="336"/>
    </row>
    <row r="15" spans="1:13" ht="14.25">
      <c r="A15" s="518"/>
      <c r="B15" s="519" t="s">
        <v>2727</v>
      </c>
      <c r="C15" s="517"/>
      <c r="D15" s="1279" t="s">
        <v>2218</v>
      </c>
      <c r="E15" s="1279"/>
      <c r="F15" s="1279"/>
      <c r="I15" s="524" t="s">
        <v>2069</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2216</v>
      </c>
      <c r="F18" s="479"/>
      <c r="I18" s="524"/>
    </row>
    <row r="19" spans="1:9">
      <c r="A19" s="517"/>
      <c r="B19" s="517"/>
      <c r="C19" s="517"/>
      <c r="I19" s="524"/>
    </row>
    <row r="20" spans="1:9" ht="14.25">
      <c r="A20" s="518"/>
      <c r="B20" s="519" t="s">
        <v>2727</v>
      </c>
      <c r="D20" s="1279" t="s">
        <v>2219</v>
      </c>
      <c r="E20" s="1279"/>
      <c r="F20" s="1279"/>
      <c r="I20" s="524" t="s">
        <v>2070</v>
      </c>
    </row>
    <row r="21" spans="1:9" ht="14.25">
      <c r="A21" s="518"/>
      <c r="D21" s="1279"/>
      <c r="E21" s="1279"/>
      <c r="F21" s="1279"/>
      <c r="I21" s="524"/>
    </row>
    <row r="22" spans="1:9" ht="14.25">
      <c r="A22" s="518"/>
      <c r="D22" s="423"/>
      <c r="E22" s="96" t="s">
        <v>2215</v>
      </c>
      <c r="F22" s="423"/>
      <c r="I22" s="524"/>
    </row>
    <row r="23" spans="1:9" ht="14.25">
      <c r="A23" s="518"/>
      <c r="B23" s="518"/>
      <c r="D23" s="480"/>
      <c r="I23" s="524"/>
    </row>
    <row r="24" spans="1:9" ht="14.25">
      <c r="A24" s="518"/>
      <c r="B24" s="519" t="s">
        <v>2728</v>
      </c>
      <c r="D24" s="1279" t="s">
        <v>1151</v>
      </c>
      <c r="E24" s="1279"/>
      <c r="F24" s="1279"/>
      <c r="I24" s="524" t="s">
        <v>2070</v>
      </c>
    </row>
    <row r="25" spans="1:9" ht="14.25">
      <c r="A25" s="518"/>
      <c r="B25" s="518"/>
      <c r="D25" s="1279"/>
      <c r="E25" s="1279"/>
      <c r="F25" s="1279"/>
      <c r="I25" s="524"/>
    </row>
    <row r="26" spans="1:9">
      <c r="I26" s="524"/>
    </row>
    <row r="27" spans="1:9" ht="14.25">
      <c r="A27" s="518"/>
      <c r="B27" s="519" t="s">
        <v>2727</v>
      </c>
      <c r="D27" s="1279" t="s">
        <v>2358</v>
      </c>
      <c r="E27" s="1279"/>
      <c r="F27" s="1279"/>
      <c r="I27" s="524" t="s">
        <v>2073</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2727</v>
      </c>
      <c r="D33" s="1279" t="s">
        <v>2359</v>
      </c>
      <c r="E33" s="1279"/>
      <c r="F33" s="1279"/>
      <c r="I33" s="524" t="s">
        <v>2069</v>
      </c>
    </row>
    <row r="34" spans="1:9">
      <c r="D34" s="1279"/>
      <c r="E34" s="1279"/>
      <c r="F34" s="1279"/>
      <c r="I34" s="524"/>
    </row>
    <row r="35" spans="1:9" ht="14.25">
      <c r="A35" s="518"/>
      <c r="B35" s="518"/>
      <c r="D35" s="481"/>
      <c r="I35" s="524"/>
    </row>
    <row r="36" spans="1:9" ht="14.45" customHeight="1">
      <c r="A36" s="518"/>
      <c r="B36" s="519" t="s">
        <v>2727</v>
      </c>
      <c r="D36" s="1279" t="s">
        <v>1318</v>
      </c>
      <c r="E36" s="1279"/>
      <c r="F36" s="1279"/>
      <c r="I36" s="524" t="s">
        <v>2140</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2728</v>
      </c>
      <c r="D41" s="1279" t="s">
        <v>1155</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2728</v>
      </c>
      <c r="D47" s="1279" t="s">
        <v>1156</v>
      </c>
      <c r="E47" s="1279"/>
      <c r="F47" s="1279"/>
      <c r="I47" s="524" t="s">
        <v>2140</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2727</v>
      </c>
      <c r="D52" s="1279" t="s">
        <v>1157</v>
      </c>
      <c r="E52" s="1279"/>
      <c r="F52" s="1279"/>
      <c r="I52" s="524" t="s">
        <v>2140</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2727</v>
      </c>
      <c r="D56" s="1335" t="s">
        <v>1158</v>
      </c>
      <c r="E56" s="1335"/>
      <c r="F56" s="1335"/>
      <c r="I56" s="524"/>
    </row>
    <row r="57" spans="1:9" ht="14.25">
      <c r="A57" s="518"/>
      <c r="B57" s="518"/>
      <c r="D57" s="1335"/>
      <c r="E57" s="1335"/>
      <c r="F57" s="1335"/>
      <c r="I57" s="524"/>
    </row>
    <row r="58" spans="1:9" ht="14.25">
      <c r="A58" s="518"/>
      <c r="B58" s="518"/>
      <c r="D58" s="423" t="s">
        <v>2217</v>
      </c>
      <c r="E58" s="479"/>
      <c r="F58" s="479"/>
      <c r="I58" s="524"/>
    </row>
    <row r="59" spans="1:9" ht="14.25">
      <c r="A59" s="518"/>
      <c r="B59" s="518"/>
      <c r="D59" s="479"/>
      <c r="E59" s="336" t="s">
        <v>2216</v>
      </c>
      <c r="F59" s="479"/>
      <c r="I59" s="524"/>
    </row>
    <row r="60" spans="1:9">
      <c r="D60" s="481"/>
      <c r="I60" s="524"/>
    </row>
    <row r="61" spans="1:9" ht="14.25">
      <c r="A61" s="518"/>
      <c r="B61" s="519" t="s">
        <v>2727</v>
      </c>
      <c r="D61" s="1279" t="s">
        <v>1159</v>
      </c>
      <c r="E61" s="1279"/>
      <c r="F61" s="1279"/>
      <c r="I61" s="524" t="s">
        <v>2071</v>
      </c>
    </row>
    <row r="62" spans="1:9">
      <c r="D62" s="1279"/>
      <c r="E62" s="1279"/>
      <c r="F62" s="1279"/>
      <c r="I62" s="524"/>
    </row>
    <row r="63" spans="1:9">
      <c r="D63" s="1279"/>
      <c r="E63" s="1279"/>
      <c r="F63" s="1279"/>
      <c r="I63" s="524"/>
    </row>
    <row r="64" spans="1:9">
      <c r="I64" s="524"/>
    </row>
    <row r="65" spans="1:9" ht="14.25">
      <c r="A65" s="518"/>
      <c r="B65" s="519" t="s">
        <v>2728</v>
      </c>
      <c r="D65" s="1279" t="s">
        <v>1160</v>
      </c>
      <c r="E65" s="1279"/>
      <c r="F65" s="1279"/>
      <c r="I65" s="524" t="s">
        <v>2072</v>
      </c>
    </row>
    <row r="66" spans="1:9">
      <c r="D66" s="1279"/>
      <c r="E66" s="1279"/>
      <c r="F66" s="1279"/>
      <c r="I66" s="524"/>
    </row>
    <row r="67" spans="1:9">
      <c r="I67" s="524"/>
    </row>
    <row r="68" spans="1:9" ht="14.25">
      <c r="A68" s="518"/>
      <c r="B68" s="519" t="s">
        <v>2727</v>
      </c>
      <c r="D68" s="1279" t="s">
        <v>1161</v>
      </c>
      <c r="E68" s="1279"/>
      <c r="F68" s="1279"/>
      <c r="I68" s="524"/>
    </row>
    <row r="69" spans="1:9">
      <c r="D69" s="1279"/>
      <c r="E69" s="1279"/>
      <c r="F69" s="1279"/>
      <c r="I69" s="524" t="s">
        <v>2073</v>
      </c>
    </row>
    <row r="70" spans="1:9">
      <c r="D70" s="1279"/>
      <c r="E70" s="1279"/>
      <c r="F70" s="1279"/>
      <c r="I70" s="524"/>
    </row>
    <row r="71" spans="1:9">
      <c r="I71" s="524"/>
    </row>
    <row r="72" spans="1:9" ht="14.25">
      <c r="A72" s="518"/>
      <c r="B72" s="519" t="s">
        <v>2727</v>
      </c>
      <c r="D72" s="1279" t="s">
        <v>1162</v>
      </c>
      <c r="E72" s="1279"/>
      <c r="F72" s="1279"/>
      <c r="I72" s="524" t="s">
        <v>2073</v>
      </c>
    </row>
    <row r="73" spans="1:9">
      <c r="D73" s="1279"/>
      <c r="E73" s="1279"/>
      <c r="F73" s="1279"/>
      <c r="I73" s="524"/>
    </row>
    <row r="74" spans="1:9" ht="14.25">
      <c r="A74" s="518"/>
      <c r="B74" s="518"/>
      <c r="D74" s="480"/>
      <c r="I74" s="524"/>
    </row>
    <row r="75" spans="1:9">
      <c r="A75" s="1285" t="s">
        <v>1069</v>
      </c>
      <c r="B75" s="1285"/>
      <c r="C75" s="1285"/>
      <c r="D75" s="1285"/>
      <c r="E75" s="1285"/>
      <c r="F75" s="1285"/>
      <c r="G75" s="1285"/>
      <c r="H75" s="1063"/>
      <c r="I75" s="1256"/>
    </row>
    <row r="76" spans="1:9">
      <c r="I76" s="524"/>
    </row>
    <row r="77" spans="1:9">
      <c r="C77" s="520"/>
      <c r="D77" s="1307" t="s">
        <v>1167</v>
      </c>
      <c r="E77" s="1307"/>
      <c r="F77" s="1307"/>
      <c r="I77" s="524"/>
    </row>
    <row r="78" spans="1:9">
      <c r="A78" s="480"/>
      <c r="B78" s="480"/>
      <c r="D78" s="1279" t="s">
        <v>1194</v>
      </c>
      <c r="E78" s="1279"/>
      <c r="F78" s="1279"/>
      <c r="I78" s="524"/>
    </row>
    <row r="79" spans="1:9">
      <c r="A79" s="480"/>
      <c r="B79" s="480"/>
      <c r="I79" s="524"/>
    </row>
    <row r="80" spans="1:9" ht="13.7" customHeight="1">
      <c r="A80" s="518"/>
      <c r="B80" s="519" t="s">
        <v>2727</v>
      </c>
      <c r="D80" s="1279" t="s">
        <v>1351</v>
      </c>
      <c r="E80" s="1279"/>
      <c r="F80" s="1279"/>
      <c r="I80" s="524" t="s">
        <v>2074</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2727</v>
      </c>
      <c r="D89" s="1279" t="s">
        <v>1928</v>
      </c>
      <c r="E89" s="1279"/>
      <c r="F89" s="1279"/>
      <c r="I89" s="524" t="s">
        <v>2075</v>
      </c>
    </row>
    <row r="90" spans="1:9" ht="14.25">
      <c r="A90" s="518"/>
      <c r="B90" s="518"/>
      <c r="D90" s="1279"/>
      <c r="E90" s="1279"/>
      <c r="F90" s="1279"/>
      <c r="I90" s="524"/>
    </row>
    <row r="91" spans="1:9" ht="14.25">
      <c r="A91" s="518"/>
      <c r="B91" s="518"/>
      <c r="D91" s="479"/>
      <c r="E91" s="479"/>
      <c r="F91" s="479"/>
      <c r="I91" s="524"/>
    </row>
    <row r="92" spans="1:9" ht="14.25">
      <c r="A92" s="518"/>
      <c r="B92" s="519" t="s">
        <v>2727</v>
      </c>
      <c r="D92" s="1279" t="s">
        <v>1931</v>
      </c>
      <c r="E92" s="1279"/>
      <c r="F92" s="1279"/>
      <c r="I92" s="524" t="s">
        <v>2076</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2727</v>
      </c>
      <c r="D96" s="1279" t="s">
        <v>1930</v>
      </c>
      <c r="E96" s="1279"/>
      <c r="F96" s="1279"/>
      <c r="I96" s="524" t="s">
        <v>2121</v>
      </c>
    </row>
    <row r="97" spans="1:9" s="1022" customFormat="1" ht="14.25">
      <c r="A97" s="1020"/>
      <c r="B97" s="1020"/>
      <c r="C97" s="1021"/>
      <c r="D97" s="1279"/>
      <c r="E97" s="1279"/>
      <c r="F97" s="1279"/>
      <c r="I97" s="1257"/>
    </row>
    <row r="98" spans="1:9" ht="14.25">
      <c r="A98" s="518"/>
      <c r="B98" s="518"/>
      <c r="D98" s="423"/>
      <c r="E98" s="336" t="s">
        <v>2220</v>
      </c>
      <c r="F98" s="479"/>
      <c r="I98" s="524"/>
    </row>
    <row r="99" spans="1:9" ht="14.25">
      <c r="A99" s="518"/>
      <c r="B99" s="518"/>
      <c r="D99" s="416"/>
      <c r="E99" s="416"/>
      <c r="F99" s="416"/>
      <c r="I99" s="524"/>
    </row>
    <row r="100" spans="1:9" ht="14.25">
      <c r="A100" s="518"/>
      <c r="B100" s="519" t="s">
        <v>2728</v>
      </c>
      <c r="D100" s="1279" t="s">
        <v>1929</v>
      </c>
      <c r="E100" s="1279"/>
      <c r="F100" s="1279"/>
      <c r="I100" s="524" t="s">
        <v>2077</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2728</v>
      </c>
      <c r="D103" s="1279" t="s">
        <v>1298</v>
      </c>
      <c r="E103" s="1279"/>
      <c r="F103" s="1279"/>
      <c r="I103" s="524" t="s">
        <v>2078</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2728</v>
      </c>
      <c r="D119" s="1306" t="s">
        <v>1169</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2727</v>
      </c>
      <c r="C128" s="433"/>
      <c r="D128" s="1306" t="s">
        <v>2360</v>
      </c>
      <c r="E128" s="1306"/>
      <c r="F128" s="1306"/>
      <c r="I128" s="524" t="s">
        <v>2079</v>
      </c>
    </row>
    <row r="129" spans="1:9" ht="14.25">
      <c r="A129" s="518"/>
      <c r="B129" s="518"/>
      <c r="C129" s="433"/>
      <c r="D129" s="1306"/>
      <c r="E129" s="1306"/>
      <c r="F129" s="1306"/>
      <c r="I129" s="524"/>
    </row>
    <row r="130" spans="1:9">
      <c r="I130" s="524"/>
    </row>
    <row r="131" spans="1:9" ht="14.25">
      <c r="A131" s="518"/>
      <c r="B131" s="519" t="s">
        <v>2727</v>
      </c>
      <c r="D131" s="1279" t="s">
        <v>1172</v>
      </c>
      <c r="E131" s="1279"/>
      <c r="F131" s="1279"/>
      <c r="I131" s="524" t="s">
        <v>2079</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2727</v>
      </c>
      <c r="D137" s="1279" t="s">
        <v>1173</v>
      </c>
      <c r="E137" s="1279"/>
      <c r="F137" s="1279"/>
      <c r="I137" s="524" t="s">
        <v>2080</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2728</v>
      </c>
      <c r="D151" s="1279" t="s">
        <v>1281</v>
      </c>
      <c r="E151" s="1279"/>
      <c r="F151" s="1279"/>
      <c r="I151" s="524" t="s">
        <v>2081</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2384</v>
      </c>
      <c r="E169" s="1337"/>
      <c r="F169" s="1337"/>
      <c r="G169" s="541"/>
      <c r="I169" s="524"/>
    </row>
    <row r="170" spans="1:9" ht="13.7" customHeight="1">
      <c r="D170" s="1312"/>
      <c r="E170" s="1312"/>
      <c r="F170" s="1312"/>
      <c r="G170" s="1312"/>
      <c r="I170" s="524"/>
    </row>
    <row r="171" spans="1:9" ht="14.45" customHeight="1">
      <c r="A171" s="523"/>
      <c r="B171" s="519" t="s">
        <v>2727</v>
      </c>
      <c r="C171" s="510"/>
      <c r="D171" s="1267" t="s">
        <v>2572</v>
      </c>
      <c r="E171" s="1267"/>
      <c r="F171" s="1267"/>
      <c r="G171" s="510"/>
      <c r="I171" s="524" t="s">
        <v>2076</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2727</v>
      </c>
      <c r="C177" s="510"/>
      <c r="D177" s="1267" t="s">
        <v>1175</v>
      </c>
      <c r="E177" s="1267"/>
      <c r="F177" s="1267"/>
      <c r="G177" s="510"/>
      <c r="I177" s="524" t="s">
        <v>2082</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2728</v>
      </c>
      <c r="D182" s="1301" t="s">
        <v>2361</v>
      </c>
      <c r="E182" s="1301"/>
      <c r="F182" s="1301"/>
      <c r="I182" s="524" t="s">
        <v>2083</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2362</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2062</v>
      </c>
      <c r="C189" s="423"/>
      <c r="D189" s="423"/>
      <c r="E189" s="423"/>
      <c r="F189" s="423"/>
      <c r="I189" s="524"/>
    </row>
    <row r="190" spans="1:9" ht="12" customHeight="1">
      <c r="A190" s="516"/>
      <c r="B190" s="516"/>
      <c r="C190" s="516"/>
      <c r="I190" s="524"/>
    </row>
    <row r="191" spans="1:9">
      <c r="A191" s="1285" t="s">
        <v>1071</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1932</v>
      </c>
      <c r="E193" s="1307"/>
      <c r="F193" s="1307"/>
      <c r="I193" s="524"/>
    </row>
    <row r="194" spans="1:9">
      <c r="A194" s="435"/>
      <c r="B194" s="435"/>
      <c r="D194" s="1307"/>
      <c r="E194" s="1307"/>
      <c r="F194" s="1307"/>
      <c r="I194" s="524"/>
    </row>
    <row r="195" spans="1:9">
      <c r="A195" s="435"/>
      <c r="B195" s="435"/>
      <c r="D195" s="1294" t="s">
        <v>1299</v>
      </c>
      <c r="E195" s="1294"/>
      <c r="F195" s="1294"/>
      <c r="I195" s="524"/>
    </row>
    <row r="196" spans="1:9">
      <c r="A196" s="435"/>
      <c r="B196" s="435"/>
      <c r="D196" s="423"/>
      <c r="E196" s="423"/>
      <c r="F196" s="423"/>
      <c r="I196" s="524"/>
    </row>
    <row r="197" spans="1:9">
      <c r="A197" s="435"/>
      <c r="B197" s="519" t="s">
        <v>2728</v>
      </c>
      <c r="D197" s="1284" t="s">
        <v>1933</v>
      </c>
      <c r="E197" s="1284"/>
      <c r="F197" s="1284"/>
      <c r="I197" s="524" t="s">
        <v>2132</v>
      </c>
    </row>
    <row r="198" spans="1:9">
      <c r="A198" s="435"/>
      <c r="B198" s="435"/>
      <c r="D198" s="1288" t="s">
        <v>2198</v>
      </c>
      <c r="E198" s="1288"/>
      <c r="F198" s="1288"/>
      <c r="I198" s="524"/>
    </row>
    <row r="199" spans="1:9">
      <c r="A199" s="435"/>
      <c r="B199" s="435"/>
      <c r="D199" s="96" t="s">
        <v>1934</v>
      </c>
      <c r="E199" s="1336" t="s">
        <v>2221</v>
      </c>
      <c r="F199" s="1336"/>
      <c r="I199" s="524"/>
    </row>
    <row r="200" spans="1:9">
      <c r="A200" s="435"/>
      <c r="B200" s="435"/>
      <c r="D200" s="3"/>
      <c r="E200" s="3"/>
      <c r="F200" s="3"/>
      <c r="I200" s="524"/>
    </row>
    <row r="201" spans="1:9">
      <c r="A201" s="435"/>
      <c r="B201" s="519" t="s">
        <v>2728</v>
      </c>
      <c r="D201" s="1288" t="s">
        <v>1935</v>
      </c>
      <c r="E201" s="1288"/>
      <c r="F201" s="1288"/>
      <c r="I201" s="524" t="s">
        <v>2133</v>
      </c>
    </row>
    <row r="202" spans="1:9">
      <c r="A202" s="435"/>
      <c r="B202" s="435"/>
      <c r="D202" s="1284" t="s">
        <v>2198</v>
      </c>
      <c r="E202" s="1284"/>
      <c r="F202" s="1284"/>
      <c r="I202" s="524"/>
    </row>
    <row r="203" spans="1:9">
      <c r="A203" s="435"/>
      <c r="B203" s="435"/>
      <c r="D203" s="57" t="s">
        <v>1936</v>
      </c>
      <c r="E203" s="1336" t="s">
        <v>2222</v>
      </c>
      <c r="F203" s="1336"/>
      <c r="I203" s="524"/>
    </row>
    <row r="204" spans="1:9">
      <c r="A204" s="435"/>
      <c r="B204" s="435"/>
      <c r="D204" s="3"/>
      <c r="E204" s="3"/>
      <c r="F204" s="3"/>
      <c r="I204" s="524"/>
    </row>
    <row r="205" spans="1:9">
      <c r="A205" s="435"/>
      <c r="B205" s="519" t="s">
        <v>2728</v>
      </c>
      <c r="D205" s="1288" t="s">
        <v>1937</v>
      </c>
      <c r="E205" s="1288"/>
      <c r="F205" s="1288"/>
      <c r="I205" s="524" t="s">
        <v>2134</v>
      </c>
    </row>
    <row r="206" spans="1:9">
      <c r="A206" s="435"/>
      <c r="B206" s="435"/>
      <c r="D206" s="1284" t="s">
        <v>2198</v>
      </c>
      <c r="E206" s="1284"/>
      <c r="F206" s="1284"/>
      <c r="I206" s="524"/>
    </row>
    <row r="207" spans="1:9">
      <c r="A207" s="435"/>
      <c r="B207" s="435"/>
      <c r="D207" s="57" t="s">
        <v>1934</v>
      </c>
      <c r="E207" s="1336" t="s">
        <v>2223</v>
      </c>
      <c r="F207" s="1336"/>
      <c r="I207" s="524"/>
    </row>
    <row r="208" spans="1:9">
      <c r="A208" s="435"/>
      <c r="B208" s="435"/>
      <c r="D208" s="423"/>
      <c r="E208" s="423"/>
      <c r="F208" s="423"/>
      <c r="I208" s="524"/>
    </row>
    <row r="209" spans="1:9" ht="14.25" customHeight="1">
      <c r="A209" s="518"/>
      <c r="B209" s="519" t="s">
        <v>2728</v>
      </c>
      <c r="D209" s="417" t="s">
        <v>2191</v>
      </c>
      <c r="E209" s="416"/>
      <c r="F209" s="416"/>
      <c r="I209" s="524" t="s">
        <v>2135</v>
      </c>
    </row>
    <row r="210" spans="1:9" ht="14.25">
      <c r="A210" s="518"/>
      <c r="B210" s="518"/>
      <c r="D210" s="1284" t="s">
        <v>2198</v>
      </c>
      <c r="E210" s="1284"/>
      <c r="F210" s="1284"/>
      <c r="I210" s="524"/>
    </row>
    <row r="211" spans="1:9">
      <c r="D211" s="416"/>
      <c r="E211" s="1336" t="s">
        <v>2224</v>
      </c>
      <c r="F211" s="1336"/>
      <c r="I211" s="524"/>
    </row>
    <row r="212" spans="1:9">
      <c r="D212" s="481"/>
      <c r="I212" s="524"/>
    </row>
    <row r="213" spans="1:9">
      <c r="B213" s="519" t="s">
        <v>2728</v>
      </c>
      <c r="D213" s="1288" t="s">
        <v>1938</v>
      </c>
      <c r="E213" s="1288"/>
      <c r="F213" s="1288"/>
      <c r="I213" s="524" t="s">
        <v>2136</v>
      </c>
    </row>
    <row r="214" spans="1:9">
      <c r="D214" s="1284" t="s">
        <v>2198</v>
      </c>
      <c r="E214" s="1284"/>
      <c r="F214" s="1284"/>
      <c r="I214" s="524"/>
    </row>
    <row r="215" spans="1:9">
      <c r="D215" s="57" t="s">
        <v>1934</v>
      </c>
      <c r="E215" s="1336" t="s">
        <v>2225</v>
      </c>
      <c r="F215" s="1336"/>
      <c r="I215" s="524"/>
    </row>
    <row r="216" spans="1:9">
      <c r="D216" s="485"/>
      <c r="E216" s="485"/>
      <c r="F216" s="485"/>
      <c r="I216" s="524"/>
    </row>
    <row r="217" spans="1:9" ht="14.25">
      <c r="A217" s="518"/>
      <c r="B217" s="519" t="s">
        <v>2728</v>
      </c>
      <c r="D217" s="1279" t="s">
        <v>1320</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1072</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1201</v>
      </c>
      <c r="E225" s="1308"/>
      <c r="F225" s="1308"/>
      <c r="I225" s="524"/>
    </row>
    <row r="226" spans="1:9" ht="12" customHeight="1">
      <c r="A226" s="524"/>
      <c r="B226" s="524"/>
      <c r="C226" s="524"/>
      <c r="I226" s="524"/>
    </row>
    <row r="227" spans="1:9" ht="13.7" customHeight="1">
      <c r="A227" s="524"/>
      <c r="C227" s="524"/>
      <c r="D227" s="1277" t="s">
        <v>554</v>
      </c>
      <c r="E227" s="1277"/>
      <c r="F227" s="1277"/>
      <c r="I227" s="524" t="s">
        <v>2084</v>
      </c>
    </row>
    <row r="228" spans="1:9" ht="14.25">
      <c r="A228" s="518"/>
      <c r="B228" s="519" t="s">
        <v>2727</v>
      </c>
      <c r="D228" s="1279" t="s">
        <v>1939</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2727</v>
      </c>
      <c r="D233" s="1279" t="s">
        <v>1940</v>
      </c>
      <c r="E233" s="1279"/>
      <c r="F233" s="1279"/>
      <c r="I233" s="524" t="s">
        <v>2085</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1197</v>
      </c>
      <c r="E239" s="1279"/>
      <c r="F239" s="1279"/>
      <c r="I239" s="524" t="s">
        <v>2084</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2727</v>
      </c>
      <c r="D245" s="1279" t="s">
        <v>2363</v>
      </c>
      <c r="E245" s="1279"/>
      <c r="F245" s="1279"/>
      <c r="I245" s="524" t="s">
        <v>2123</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2192</v>
      </c>
      <c r="I248" s="524"/>
    </row>
    <row r="249" spans="1:9" ht="14.25">
      <c r="A249" s="518"/>
      <c r="B249" s="518"/>
      <c r="D249" s="480"/>
      <c r="E249" s="480"/>
      <c r="F249" s="480"/>
      <c r="I249" s="524"/>
    </row>
    <row r="250" spans="1:9" ht="14.45" customHeight="1">
      <c r="A250" s="518"/>
      <c r="B250" s="519" t="s">
        <v>2728</v>
      </c>
      <c r="D250" s="1279" t="s">
        <v>2364</v>
      </c>
      <c r="E250" s="1279"/>
      <c r="F250" s="1279"/>
      <c r="I250" s="524" t="s">
        <v>2141</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2727</v>
      </c>
      <c r="D256" s="423" t="s">
        <v>2365</v>
      </c>
      <c r="E256" s="479"/>
      <c r="F256" s="479"/>
      <c r="I256" s="524" t="s">
        <v>2122</v>
      </c>
    </row>
    <row r="257" spans="1:9" ht="14.25">
      <c r="A257" s="518"/>
      <c r="B257" s="518"/>
      <c r="E257" s="1071" t="s">
        <v>2193</v>
      </c>
      <c r="I257" s="524"/>
    </row>
    <row r="258" spans="1:9">
      <c r="D258" s="480"/>
      <c r="E258" s="480"/>
      <c r="F258" s="480"/>
      <c r="I258" s="524"/>
    </row>
    <row r="259" spans="1:9" ht="14.25">
      <c r="A259" s="518"/>
      <c r="B259" s="519" t="s">
        <v>2727</v>
      </c>
      <c r="D259" s="1279" t="s">
        <v>1199</v>
      </c>
      <c r="E259" s="1279"/>
      <c r="F259" s="1279"/>
      <c r="I259" s="524"/>
    </row>
    <row r="260" spans="1:9" ht="14.25">
      <c r="A260" s="518"/>
      <c r="B260" s="518"/>
      <c r="D260" s="1279"/>
      <c r="E260" s="1279"/>
      <c r="F260" s="1279"/>
      <c r="I260" s="524"/>
    </row>
    <row r="261" spans="1:9">
      <c r="D261" s="525"/>
      <c r="I261" s="524"/>
    </row>
    <row r="262" spans="1:9">
      <c r="A262" s="1285" t="s">
        <v>1073</v>
      </c>
      <c r="B262" s="1285"/>
      <c r="C262" s="1285"/>
      <c r="D262" s="1285"/>
      <c r="E262" s="1285"/>
      <c r="F262" s="1285"/>
      <c r="G262" s="1285"/>
      <c r="H262" s="1063"/>
      <c r="I262" s="1256"/>
    </row>
    <row r="263" spans="1:9">
      <c r="D263" s="525"/>
      <c r="I263" s="524"/>
    </row>
    <row r="264" spans="1:9">
      <c r="C264" s="520"/>
      <c r="D264" s="1277" t="s">
        <v>1202</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2124</v>
      </c>
    </row>
    <row r="267" spans="1:9" ht="14.45" customHeight="1">
      <c r="A267" s="518"/>
      <c r="B267" s="519" t="s">
        <v>2727</v>
      </c>
      <c r="D267" s="1279" t="s">
        <v>1300</v>
      </c>
      <c r="E267" s="1279"/>
      <c r="F267" s="1279"/>
      <c r="I267" s="524"/>
    </row>
    <row r="268" spans="1:9">
      <c r="D268" s="1279"/>
      <c r="E268" s="1279"/>
      <c r="F268" s="1279"/>
      <c r="I268" s="524"/>
    </row>
    <row r="269" spans="1:9">
      <c r="E269" s="1071" t="s">
        <v>2194</v>
      </c>
      <c r="I269" s="524"/>
    </row>
    <row r="270" spans="1:9">
      <c r="D270" s="480"/>
      <c r="E270" s="480"/>
      <c r="F270" s="480"/>
      <c r="I270" s="524"/>
    </row>
    <row r="271" spans="1:9" ht="14.45" customHeight="1">
      <c r="A271" s="518"/>
      <c r="B271" s="519" t="s">
        <v>2728</v>
      </c>
      <c r="D271" s="1279" t="s">
        <v>2366</v>
      </c>
      <c r="E271" s="1279"/>
      <c r="F271" s="1279"/>
      <c r="I271" s="524" t="s">
        <v>2142</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2728</v>
      </c>
      <c r="D278" s="1279" t="s">
        <v>1205</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1074</v>
      </c>
      <c r="B282" s="1285"/>
      <c r="C282" s="1285"/>
      <c r="D282" s="1285"/>
      <c r="E282" s="1285"/>
      <c r="F282" s="1285"/>
      <c r="G282" s="1285"/>
      <c r="H282" s="1063"/>
      <c r="I282" s="1256"/>
    </row>
    <row r="283" spans="1:9">
      <c r="D283" s="526"/>
      <c r="E283" s="480"/>
      <c r="F283" s="480"/>
      <c r="I283" s="524"/>
    </row>
    <row r="284" spans="1:9">
      <c r="C284" s="516"/>
      <c r="D284" s="1307" t="s">
        <v>1207</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1208</v>
      </c>
      <c r="E288" s="1332"/>
      <c r="F288" s="1332"/>
      <c r="I288" s="524"/>
    </row>
    <row r="289" spans="1:9">
      <c r="E289" s="480"/>
      <c r="F289" s="480"/>
      <c r="I289" s="524"/>
    </row>
    <row r="290" spans="1:9" ht="14.25">
      <c r="A290" s="518"/>
      <c r="B290" s="519" t="s">
        <v>2727</v>
      </c>
      <c r="D290" s="1279" t="s">
        <v>1209</v>
      </c>
      <c r="E290" s="1279"/>
      <c r="F290" s="1279"/>
      <c r="I290" s="524" t="s">
        <v>2086</v>
      </c>
    </row>
    <row r="291" spans="1:9" ht="14.25">
      <c r="A291" s="518"/>
      <c r="B291" s="518"/>
      <c r="D291" s="1279"/>
      <c r="E291" s="1279"/>
      <c r="F291" s="1279"/>
      <c r="I291" s="524"/>
    </row>
    <row r="292" spans="1:9">
      <c r="D292" s="480"/>
      <c r="E292" s="480"/>
      <c r="F292" s="480"/>
      <c r="I292" s="524"/>
    </row>
    <row r="293" spans="1:9" ht="14.25">
      <c r="A293" s="518"/>
      <c r="B293" s="519" t="s">
        <v>2727</v>
      </c>
      <c r="D293" s="1279" t="s">
        <v>1210</v>
      </c>
      <c r="E293" s="1279"/>
      <c r="F293" s="1279"/>
      <c r="I293" s="524" t="s">
        <v>2086</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2728</v>
      </c>
      <c r="D297" s="1279" t="s">
        <v>1211</v>
      </c>
      <c r="E297" s="1279"/>
      <c r="F297" s="1279"/>
      <c r="I297" s="524" t="s">
        <v>2086</v>
      </c>
    </row>
    <row r="298" spans="1:9" ht="14.25">
      <c r="A298" s="518"/>
      <c r="B298" s="518"/>
      <c r="D298" s="1279"/>
      <c r="E298" s="1279"/>
      <c r="F298" s="1279"/>
      <c r="I298" s="524"/>
    </row>
    <row r="299" spans="1:9">
      <c r="A299" s="524"/>
      <c r="B299" s="524"/>
      <c r="E299" s="480"/>
      <c r="F299" s="480"/>
      <c r="I299" s="524"/>
    </row>
    <row r="300" spans="1:9">
      <c r="A300" s="1285" t="s">
        <v>1075</v>
      </c>
      <c r="B300" s="1285"/>
      <c r="C300" s="1285"/>
      <c r="D300" s="1285"/>
      <c r="E300" s="1285"/>
      <c r="F300" s="1285"/>
      <c r="G300" s="1285"/>
      <c r="H300" s="1063"/>
      <c r="I300" s="1256"/>
    </row>
    <row r="301" spans="1:9">
      <c r="A301" s="524"/>
      <c r="B301" s="524"/>
      <c r="D301" s="480"/>
      <c r="E301" s="480"/>
      <c r="F301" s="480"/>
      <c r="I301" s="524"/>
    </row>
    <row r="302" spans="1:9">
      <c r="C302" s="524"/>
      <c r="D302" s="1277" t="s">
        <v>689</v>
      </c>
      <c r="E302" s="1277"/>
      <c r="F302" s="1277"/>
      <c r="I302" s="524"/>
    </row>
    <row r="303" spans="1:9">
      <c r="C303" s="524"/>
      <c r="D303" s="1308" t="s">
        <v>1212</v>
      </c>
      <c r="E303" s="1308"/>
      <c r="F303" s="1308"/>
      <c r="I303" s="524"/>
    </row>
    <row r="304" spans="1:9">
      <c r="C304" s="524"/>
      <c r="D304" s="527"/>
      <c r="I304" s="524"/>
    </row>
    <row r="305" spans="1:9">
      <c r="B305" s="519" t="s">
        <v>2727</v>
      </c>
      <c r="D305" s="1308" t="s">
        <v>1213</v>
      </c>
      <c r="E305" s="1308"/>
      <c r="F305" s="1308"/>
      <c r="I305" s="524" t="s">
        <v>2087</v>
      </c>
    </row>
    <row r="306" spans="1:9" ht="14.25">
      <c r="A306" s="518"/>
      <c r="B306" s="518"/>
      <c r="D306" s="528"/>
      <c r="E306" s="529"/>
      <c r="F306" s="529"/>
      <c r="I306" s="524"/>
    </row>
    <row r="307" spans="1:9" ht="13.7" customHeight="1">
      <c r="B307" s="519" t="s">
        <v>2728</v>
      </c>
      <c r="D307" s="1329" t="s">
        <v>1323</v>
      </c>
      <c r="E307" s="1329"/>
      <c r="F307" s="1329"/>
      <c r="I307" s="524" t="s">
        <v>2087</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2728</v>
      </c>
      <c r="D313" s="1329" t="s">
        <v>1215</v>
      </c>
      <c r="E313" s="1329"/>
      <c r="F313" s="1329"/>
      <c r="I313" s="524" t="s">
        <v>2087</v>
      </c>
    </row>
    <row r="314" spans="1:9">
      <c r="D314" s="1329"/>
      <c r="E314" s="1329"/>
      <c r="F314" s="1329"/>
      <c r="I314" s="524"/>
    </row>
    <row r="315" spans="1:9" ht="14.25">
      <c r="A315" s="518"/>
      <c r="B315" s="518"/>
      <c r="D315" s="528"/>
      <c r="E315" s="529"/>
      <c r="F315" s="529"/>
      <c r="I315" s="524"/>
    </row>
    <row r="316" spans="1:9">
      <c r="B316" s="519" t="s">
        <v>2727</v>
      </c>
      <c r="D316" s="1308" t="s">
        <v>1216</v>
      </c>
      <c r="E316" s="1308"/>
      <c r="F316" s="1308"/>
      <c r="I316" s="524" t="s">
        <v>2073</v>
      </c>
    </row>
    <row r="317" spans="1:9">
      <c r="E317" s="480"/>
      <c r="F317" s="480"/>
      <c r="I317" s="524"/>
    </row>
    <row r="318" spans="1:9" ht="14.25">
      <c r="A318" s="518"/>
      <c r="B318" s="519" t="s">
        <v>2727</v>
      </c>
      <c r="D318" s="1279" t="s">
        <v>2385</v>
      </c>
      <c r="E318" s="1279"/>
      <c r="F318" s="1279"/>
      <c r="I318" s="524" t="s">
        <v>2088</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2728</v>
      </c>
      <c r="D334" s="1279" t="s">
        <v>1218</v>
      </c>
      <c r="E334" s="1279"/>
      <c r="F334" s="1279"/>
      <c r="I334" s="524" t="s">
        <v>2088</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2727</v>
      </c>
      <c r="D344" s="1279" t="s">
        <v>2199</v>
      </c>
      <c r="E344" s="1279"/>
      <c r="F344" s="1279"/>
      <c r="I344" s="524" t="s">
        <v>2125</v>
      </c>
    </row>
    <row r="345" spans="1:9">
      <c r="D345" s="1279"/>
      <c r="E345" s="1279"/>
      <c r="F345" s="1279"/>
      <c r="I345" s="524"/>
    </row>
    <row r="346" spans="1:9">
      <c r="D346" s="1279"/>
      <c r="E346" s="1279"/>
      <c r="F346" s="1279"/>
      <c r="I346" s="524"/>
    </row>
    <row r="347" spans="1:9">
      <c r="D347" s="1279"/>
      <c r="E347" s="1279"/>
      <c r="F347" s="1279"/>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34" t="s">
        <v>996</v>
      </c>
      <c r="E351" s="1334"/>
      <c r="F351" s="1334"/>
      <c r="G351" s="1062"/>
      <c r="H351" s="1062"/>
      <c r="I351" s="1259"/>
    </row>
    <row r="352" spans="1:9" ht="13.5" thickTop="1">
      <c r="D352" s="1330" t="s">
        <v>1220</v>
      </c>
      <c r="E352" s="1330"/>
      <c r="F352" s="1330"/>
      <c r="I352" s="524"/>
    </row>
    <row r="353" spans="1:9">
      <c r="D353" s="480"/>
      <c r="E353" s="480"/>
      <c r="F353" s="480"/>
      <c r="I353" s="524"/>
    </row>
    <row r="354" spans="1:9">
      <c r="A354" s="510"/>
      <c r="B354" s="510"/>
      <c r="C354" s="510"/>
      <c r="D354" s="481"/>
      <c r="E354" s="481"/>
      <c r="F354" s="480"/>
      <c r="I354" s="524" t="s">
        <v>2089</v>
      </c>
    </row>
    <row r="355" spans="1:9" ht="14.25">
      <c r="A355" s="518"/>
      <c r="B355" s="519" t="s">
        <v>2727</v>
      </c>
      <c r="C355" s="521"/>
      <c r="D355" s="1308" t="s">
        <v>2197</v>
      </c>
      <c r="E355" s="1308"/>
      <c r="F355" s="1308"/>
      <c r="I355" s="1326" t="s">
        <v>2139</v>
      </c>
    </row>
    <row r="356" spans="1:9" ht="12.75" customHeight="1">
      <c r="D356" s="1072"/>
      <c r="E356" s="96" t="s">
        <v>2196</v>
      </c>
      <c r="F356" s="1072"/>
      <c r="I356" s="1327"/>
    </row>
    <row r="357" spans="1:9">
      <c r="D357" s="1279" t="s">
        <v>1344</v>
      </c>
      <c r="E357" s="1279"/>
      <c r="F357" s="1279"/>
      <c r="I357" s="1327"/>
    </row>
    <row r="358" spans="1:9">
      <c r="D358" s="1279"/>
      <c r="E358" s="1279"/>
      <c r="F358" s="1279"/>
      <c r="I358" s="1327"/>
    </row>
    <row r="359" spans="1:9">
      <c r="D359" s="1279"/>
      <c r="E359" s="1279"/>
      <c r="F359" s="1279"/>
      <c r="I359" s="1328"/>
    </row>
    <row r="360" spans="1:9" ht="14.25">
      <c r="A360" s="518"/>
      <c r="B360" s="519" t="s">
        <v>2727</v>
      </c>
      <c r="C360" s="510"/>
      <c r="D360" s="1312" t="s">
        <v>2367</v>
      </c>
      <c r="E360" s="1312"/>
      <c r="F360" s="1312"/>
      <c r="I360" s="514"/>
    </row>
    <row r="361" spans="1:9">
      <c r="A361" s="510"/>
      <c r="B361" s="510"/>
      <c r="C361" s="510"/>
      <c r="D361" s="481"/>
      <c r="E361" s="481"/>
      <c r="F361" s="480"/>
      <c r="I361" s="524"/>
    </row>
    <row r="362" spans="1:9">
      <c r="A362" s="510"/>
      <c r="B362" s="519" t="s">
        <v>2727</v>
      </c>
      <c r="C362" s="510"/>
      <c r="D362" s="1267" t="s">
        <v>2368</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2727</v>
      </c>
      <c r="C375" s="510"/>
      <c r="D375" s="1323" t="s">
        <v>1325</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2728</v>
      </c>
      <c r="C380" s="510"/>
      <c r="D380" s="433" t="s">
        <v>2021</v>
      </c>
      <c r="E380" s="558"/>
      <c r="F380" s="558"/>
      <c r="I380" s="524"/>
    </row>
    <row r="381" spans="1:9">
      <c r="A381" s="510"/>
      <c r="B381" s="510"/>
      <c r="C381" s="510"/>
      <c r="D381" s="433" t="s">
        <v>2022</v>
      </c>
      <c r="E381" s="558"/>
      <c r="F381" s="558"/>
      <c r="I381" s="524"/>
    </row>
    <row r="382" spans="1:9">
      <c r="A382" s="510"/>
      <c r="B382" s="510"/>
      <c r="C382" s="510"/>
      <c r="D382" s="433" t="s">
        <v>2023</v>
      </c>
      <c r="E382" s="558"/>
      <c r="F382" s="558"/>
      <c r="I382" s="524"/>
    </row>
    <row r="383" spans="1:9">
      <c r="A383" s="510"/>
      <c r="B383" s="510"/>
      <c r="C383" s="510"/>
      <c r="D383" s="433" t="s">
        <v>2024</v>
      </c>
      <c r="E383" s="558"/>
      <c r="F383" s="558"/>
      <c r="I383" s="524"/>
    </row>
    <row r="384" spans="1:9">
      <c r="A384" s="510"/>
      <c r="B384" s="510"/>
      <c r="C384" s="510"/>
      <c r="D384" s="433" t="s">
        <v>2025</v>
      </c>
      <c r="E384" s="558"/>
      <c r="F384" s="558"/>
      <c r="I384" s="524"/>
    </row>
    <row r="385" spans="1:9">
      <c r="A385" s="510"/>
      <c r="B385" s="510"/>
      <c r="C385" s="510"/>
      <c r="D385" s="433" t="s">
        <v>2026</v>
      </c>
      <c r="E385" s="558"/>
      <c r="F385" s="558"/>
      <c r="I385" s="524"/>
    </row>
    <row r="386" spans="1:9">
      <c r="A386" s="510"/>
      <c r="B386" s="510"/>
      <c r="C386" s="510"/>
      <c r="E386" s="481"/>
      <c r="F386" s="480"/>
      <c r="I386" s="524"/>
    </row>
    <row r="387" spans="1:9" ht="14.25">
      <c r="A387" s="518"/>
      <c r="B387" s="519" t="s">
        <v>2728</v>
      </c>
      <c r="C387" s="510"/>
      <c r="D387" s="1267" t="s">
        <v>1223</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1224</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1225</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2727</v>
      </c>
      <c r="C420" s="510"/>
      <c r="D420" s="1267" t="s">
        <v>1226</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2727</v>
      </c>
      <c r="D423" s="1267" t="s">
        <v>2126</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2727</v>
      </c>
      <c r="C429" s="510"/>
      <c r="D429" s="1267" t="s">
        <v>1345</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2386</v>
      </c>
      <c r="E433" s="1267"/>
      <c r="F433" s="1267"/>
      <c r="I433" s="524"/>
    </row>
    <row r="434" spans="1:9">
      <c r="D434" s="480"/>
      <c r="E434" s="480"/>
      <c r="F434" s="480"/>
      <c r="I434" s="524"/>
    </row>
    <row r="435" spans="1:9" ht="14.25">
      <c r="A435" s="518"/>
      <c r="B435" s="519" t="s">
        <v>2728</v>
      </c>
      <c r="C435" s="521"/>
      <c r="D435" s="1279" t="s">
        <v>2369</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2728</v>
      </c>
      <c r="C467" s="521"/>
      <c r="D467" s="1279" t="s">
        <v>1231</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2727</v>
      </c>
      <c r="C471" s="518"/>
      <c r="D471" s="1279" t="s">
        <v>1301</v>
      </c>
      <c r="E471" s="1279"/>
      <c r="F471" s="1279"/>
      <c r="I471" s="524"/>
    </row>
    <row r="472" spans="1:9">
      <c r="D472" s="1279"/>
      <c r="E472" s="1279"/>
      <c r="F472" s="1279"/>
      <c r="I472" s="524"/>
    </row>
    <row r="473" spans="1:9">
      <c r="D473" s="480"/>
      <c r="E473" s="480"/>
      <c r="F473" s="480"/>
      <c r="I473" s="524"/>
    </row>
    <row r="474" spans="1:9" ht="14.25">
      <c r="B474" s="519" t="s">
        <v>2727</v>
      </c>
      <c r="C474" s="518"/>
      <c r="D474" s="1279" t="s">
        <v>1233</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2727</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2728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2728</v>
      </c>
      <c r="C486" s="433"/>
      <c r="D486" s="1279"/>
      <c r="E486" s="1279"/>
      <c r="F486" s="1279"/>
      <c r="I486" s="524"/>
    </row>
    <row r="487" spans="1:9">
      <c r="A487" s="433"/>
      <c r="C487" s="433"/>
      <c r="D487" s="1279"/>
      <c r="E487" s="1279"/>
      <c r="F487" s="1279"/>
      <c r="I487" s="524"/>
    </row>
    <row r="488" spans="1:9">
      <c r="A488" s="433"/>
      <c r="B488" s="519" t="s">
        <v>2728</v>
      </c>
      <c r="C488" s="433"/>
      <c r="D488" s="1279" t="s">
        <v>1234</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2728</v>
      </c>
      <c r="D494" s="1308" t="s">
        <v>1235</v>
      </c>
      <c r="E494" s="1308"/>
      <c r="F494" s="1308"/>
      <c r="I494" s="524"/>
    </row>
    <row r="495" spans="1:9">
      <c r="A495" s="480"/>
      <c r="B495" s="480"/>
      <c r="I495" s="524"/>
    </row>
    <row r="496" spans="1:9">
      <c r="A496" s="1285" t="s">
        <v>1076</v>
      </c>
      <c r="B496" s="1285"/>
      <c r="C496" s="1285"/>
      <c r="D496" s="1285"/>
      <c r="E496" s="1285"/>
      <c r="F496" s="1285"/>
      <c r="G496" s="1285"/>
      <c r="H496" s="1063"/>
      <c r="I496" s="1256"/>
    </row>
    <row r="497" spans="1:9">
      <c r="A497" s="480"/>
      <c r="B497" s="480"/>
      <c r="I497" s="524"/>
    </row>
    <row r="498" spans="1:9">
      <c r="D498" s="1315" t="s">
        <v>894</v>
      </c>
      <c r="E498" s="1315"/>
      <c r="F498" s="1315"/>
      <c r="I498" s="524"/>
    </row>
    <row r="499" spans="1:9" ht="14.25">
      <c r="A499" s="518"/>
      <c r="B499" s="518"/>
      <c r="D499" s="1312" t="s">
        <v>1236</v>
      </c>
      <c r="E499" s="1312"/>
      <c r="F499" s="1312"/>
      <c r="I499" s="524"/>
    </row>
    <row r="500" spans="1:9" ht="14.25">
      <c r="A500" s="518"/>
      <c r="B500" s="518"/>
      <c r="D500" s="481"/>
      <c r="I500" s="524"/>
    </row>
    <row r="501" spans="1:9" ht="14.25">
      <c r="A501" s="518"/>
      <c r="B501" s="519" t="s">
        <v>2727</v>
      </c>
      <c r="D501" s="1267" t="s">
        <v>1237</v>
      </c>
      <c r="E501" s="1267"/>
      <c r="F501" s="1267"/>
      <c r="I501" s="524" t="s">
        <v>2090</v>
      </c>
    </row>
    <row r="502" spans="1:9" ht="14.25">
      <c r="A502" s="518"/>
      <c r="B502" s="518"/>
      <c r="D502" s="1267"/>
      <c r="E502" s="1267"/>
      <c r="F502" s="1267"/>
      <c r="I502" s="524"/>
    </row>
    <row r="503" spans="1:9" ht="14.25">
      <c r="A503" s="518"/>
      <c r="B503" s="518"/>
      <c r="D503" s="480"/>
      <c r="I503" s="524"/>
    </row>
    <row r="504" spans="1:9" ht="12.75" customHeight="1">
      <c r="B504" s="519" t="s">
        <v>2727</v>
      </c>
      <c r="D504" s="1301" t="s">
        <v>1379</v>
      </c>
      <c r="E504" s="1301"/>
      <c r="F504" s="1301"/>
      <c r="I504" s="524" t="s">
        <v>2091</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2728</v>
      </c>
      <c r="D509" s="1308" t="s">
        <v>1240</v>
      </c>
      <c r="E509" s="1308"/>
      <c r="F509" s="1308"/>
      <c r="I509" s="524" t="s">
        <v>2092</v>
      </c>
    </row>
    <row r="510" spans="1:9" ht="14.25">
      <c r="A510" s="518"/>
      <c r="B510" s="518"/>
      <c r="D510" s="480"/>
      <c r="I510" s="524"/>
    </row>
    <row r="511" spans="1:9" ht="14.25">
      <c r="A511" s="518"/>
      <c r="B511" s="519" t="s">
        <v>2727</v>
      </c>
      <c r="D511" s="1279" t="s">
        <v>1241</v>
      </c>
      <c r="E511" s="1279"/>
      <c r="F511" s="1279"/>
      <c r="I511" s="524" t="s">
        <v>2092</v>
      </c>
    </row>
    <row r="512" spans="1:9" ht="14.25">
      <c r="A512" s="518"/>
      <c r="D512" s="1279"/>
      <c r="E512" s="1279"/>
      <c r="F512" s="1279"/>
      <c r="I512" s="524"/>
    </row>
    <row r="513" spans="1:9">
      <c r="A513" s="524"/>
      <c r="B513" s="524"/>
      <c r="D513" s="481"/>
      <c r="I513" s="524"/>
    </row>
    <row r="514" spans="1:9">
      <c r="A514" s="524"/>
      <c r="B514" s="519" t="s">
        <v>2728</v>
      </c>
      <c r="D514" s="1308" t="s">
        <v>1242</v>
      </c>
      <c r="E514" s="1308"/>
      <c r="F514" s="1308"/>
      <c r="I514" s="524" t="s">
        <v>2145</v>
      </c>
    </row>
    <row r="515" spans="1:9" ht="14.25">
      <c r="A515" s="518"/>
      <c r="B515" s="518"/>
      <c r="D515" s="480"/>
      <c r="I515" s="524"/>
    </row>
    <row r="516" spans="1:9">
      <c r="A516" s="1285" t="s">
        <v>1077</v>
      </c>
      <c r="B516" s="1285"/>
      <c r="C516" s="1285"/>
      <c r="D516" s="1285"/>
      <c r="E516" s="1285"/>
      <c r="F516" s="1285"/>
      <c r="G516" s="1285"/>
      <c r="H516" s="1063"/>
      <c r="I516" s="1256"/>
    </row>
    <row r="517" spans="1:9" ht="12" customHeight="1">
      <c r="A517" s="518"/>
      <c r="B517" s="518"/>
      <c r="D517" s="480"/>
      <c r="I517" s="524"/>
    </row>
    <row r="518" spans="1:9">
      <c r="C518" s="516"/>
      <c r="D518" s="1277" t="s">
        <v>801</v>
      </c>
      <c r="E518" s="1277"/>
      <c r="F518" s="1277"/>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2727</v>
      </c>
      <c r="C522" s="517"/>
      <c r="D522" s="1267" t="s">
        <v>2370</v>
      </c>
      <c r="E522" s="1267"/>
      <c r="F522" s="1267"/>
      <c r="I522" s="524" t="s">
        <v>2127</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2728</v>
      </c>
      <c r="D525" s="417" t="s">
        <v>2200</v>
      </c>
      <c r="E525" s="416"/>
      <c r="F525" s="416"/>
      <c r="I525" s="524" t="s">
        <v>2093</v>
      </c>
    </row>
    <row r="526" spans="1:9">
      <c r="A526" s="517"/>
      <c r="B526" s="517"/>
      <c r="C526" s="517"/>
      <c r="D526" s="416"/>
      <c r="E526" s="96" t="s">
        <v>2201</v>
      </c>
      <c r="I526" s="524"/>
    </row>
    <row r="527" spans="1:9">
      <c r="A527" s="517"/>
      <c r="B527" s="517"/>
      <c r="D527" s="1323" t="s">
        <v>2371</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2728</v>
      </c>
      <c r="C531" s="517"/>
      <c r="D531" s="1279" t="s">
        <v>2372</v>
      </c>
      <c r="E531" s="1279"/>
      <c r="F531" s="1279"/>
      <c r="I531" s="524" t="s">
        <v>2093</v>
      </c>
    </row>
    <row r="532" spans="1:9">
      <c r="A532" s="517"/>
      <c r="B532" s="517"/>
      <c r="C532" s="517"/>
      <c r="D532" s="1279"/>
      <c r="E532" s="1279"/>
      <c r="F532" s="1279"/>
      <c r="I532" s="524"/>
    </row>
    <row r="533" spans="1:9" ht="12" customHeight="1">
      <c r="A533" s="480"/>
      <c r="B533" s="480"/>
      <c r="C533" s="521"/>
      <c r="D533" s="480"/>
      <c r="F533" s="482"/>
      <c r="I533" s="524"/>
    </row>
    <row r="534" spans="1:9">
      <c r="A534" s="1285" t="s">
        <v>1078</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1079</v>
      </c>
      <c r="B538" s="1286"/>
      <c r="C538" s="1286"/>
      <c r="D538" s="1286"/>
      <c r="E538" s="1286"/>
      <c r="F538" s="1286"/>
      <c r="G538" s="1286"/>
      <c r="H538" s="1063"/>
      <c r="I538" s="1256"/>
    </row>
    <row r="539" spans="1:9">
      <c r="A539" s="480"/>
      <c r="B539" s="480"/>
      <c r="C539" s="521"/>
      <c r="D539" s="480"/>
      <c r="F539" s="480"/>
      <c r="I539" s="524"/>
    </row>
    <row r="540" spans="1:9">
      <c r="C540" s="521"/>
      <c r="D540" s="1277" t="s">
        <v>690</v>
      </c>
      <c r="E540" s="1277"/>
      <c r="F540" s="1277"/>
      <c r="I540" s="524"/>
    </row>
    <row r="541" spans="1:9">
      <c r="C541" s="521"/>
      <c r="D541" s="1308" t="s">
        <v>1136</v>
      </c>
      <c r="E541" s="1308"/>
      <c r="F541" s="1308"/>
      <c r="I541" s="524"/>
    </row>
    <row r="542" spans="1:9">
      <c r="C542" s="521"/>
      <c r="D542" s="480"/>
      <c r="E542" s="480"/>
      <c r="F542" s="480"/>
      <c r="I542" s="524"/>
    </row>
    <row r="543" spans="1:9" ht="13.7" customHeight="1">
      <c r="A543" s="518"/>
      <c r="B543" s="519" t="s">
        <v>2727</v>
      </c>
      <c r="C543" s="521"/>
      <c r="D543" s="1308" t="s">
        <v>895</v>
      </c>
      <c r="E543" s="1308"/>
      <c r="F543" s="1308"/>
      <c r="I543" s="524" t="s">
        <v>2143</v>
      </c>
    </row>
    <row r="544" spans="1:9" ht="13.7" customHeight="1">
      <c r="A544" s="521"/>
      <c r="B544" s="521"/>
      <c r="C544" s="521"/>
      <c r="D544" s="480"/>
      <c r="I544" s="524"/>
    </row>
    <row r="545" spans="1:9" ht="14.25">
      <c r="A545" s="518"/>
      <c r="B545" s="519" t="s">
        <v>2727</v>
      </c>
      <c r="C545" s="521"/>
      <c r="D545" s="1279" t="s">
        <v>1137</v>
      </c>
      <c r="E545" s="1279"/>
      <c r="F545" s="1279"/>
      <c r="I545" s="524" t="s">
        <v>2143</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2727</v>
      </c>
      <c r="C548" s="521"/>
      <c r="D548" s="1279" t="s">
        <v>1138</v>
      </c>
      <c r="E548" s="1279"/>
      <c r="F548" s="1279"/>
      <c r="I548" s="524" t="s">
        <v>2094</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2727</v>
      </c>
      <c r="C551" s="521"/>
      <c r="D551" s="1279" t="s">
        <v>1139</v>
      </c>
      <c r="E551" s="1279"/>
      <c r="F551" s="1279"/>
      <c r="I551" s="524" t="s">
        <v>2095</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2727</v>
      </c>
      <c r="C554" s="521"/>
      <c r="D554" s="1279" t="s">
        <v>1140</v>
      </c>
      <c r="E554" s="1279"/>
      <c r="F554" s="1279"/>
      <c r="I554" s="524" t="s">
        <v>2144</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2728</v>
      </c>
      <c r="C558" s="521"/>
      <c r="D558" s="1279" t="s">
        <v>1258</v>
      </c>
      <c r="E558" s="1279"/>
      <c r="F558" s="1279"/>
      <c r="I558" s="524" t="s">
        <v>2143</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2728</v>
      </c>
      <c r="C561" s="521"/>
      <c r="D561" s="1279" t="s">
        <v>1142</v>
      </c>
      <c r="E561" s="1279"/>
      <c r="F561" s="1279"/>
      <c r="I561" s="524" t="s">
        <v>2143</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2727</v>
      </c>
      <c r="C564" s="521"/>
      <c r="D564" s="1308" t="s">
        <v>1143</v>
      </c>
      <c r="E564" s="1308"/>
      <c r="F564" s="1308"/>
      <c r="I564" s="524" t="s">
        <v>2146</v>
      </c>
    </row>
    <row r="565" spans="1:9">
      <c r="A565" s="524"/>
      <c r="B565" s="524"/>
      <c r="C565" s="521"/>
      <c r="D565" s="1308" t="s">
        <v>2203</v>
      </c>
      <c r="E565" s="1308"/>
      <c r="F565" s="1308"/>
      <c r="I565" s="524"/>
    </row>
    <row r="566" spans="1:9">
      <c r="A566" s="524"/>
      <c r="B566" s="524"/>
      <c r="C566" s="521"/>
      <c r="E566" s="96" t="s">
        <v>2202</v>
      </c>
      <c r="F566" s="435"/>
      <c r="I566" s="524"/>
    </row>
    <row r="567" spans="1:9" ht="14.25">
      <c r="A567" s="518"/>
      <c r="B567" s="518"/>
      <c r="C567" s="521"/>
      <c r="E567" s="480"/>
      <c r="F567" s="480"/>
      <c r="I567" s="524"/>
    </row>
    <row r="568" spans="1:9" ht="14.25">
      <c r="A568" s="518"/>
      <c r="B568" s="519" t="s">
        <v>2727</v>
      </c>
      <c r="C568" s="521"/>
      <c r="D568" s="1308" t="s">
        <v>1145</v>
      </c>
      <c r="E568" s="1308"/>
      <c r="F568" s="1308"/>
      <c r="I568" s="524" t="s">
        <v>2096</v>
      </c>
    </row>
    <row r="569" spans="1:9">
      <c r="C569" s="521"/>
      <c r="D569" s="1279" t="s">
        <v>1146</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2727</v>
      </c>
      <c r="C573" s="521"/>
      <c r="D573" s="1279" t="s">
        <v>2373</v>
      </c>
      <c r="E573" s="1279"/>
      <c r="F573" s="1279"/>
      <c r="I573" s="524" t="s">
        <v>2097</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1080</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1096</v>
      </c>
      <c r="E581" s="1301"/>
      <c r="F581" s="1301"/>
      <c r="I581" s="524"/>
    </row>
    <row r="582" spans="1:9">
      <c r="A582" s="433"/>
      <c r="B582" s="433"/>
      <c r="C582" s="517"/>
      <c r="D582" s="533"/>
      <c r="I582" s="524" t="s">
        <v>2098</v>
      </c>
    </row>
    <row r="583" spans="1:9">
      <c r="A583" s="517"/>
      <c r="B583" s="519" t="s">
        <v>2727</v>
      </c>
      <c r="D583" s="1301" t="s">
        <v>901</v>
      </c>
      <c r="E583" s="1301"/>
      <c r="F583" s="1301"/>
      <c r="I583" s="524"/>
    </row>
    <row r="584" spans="1:9">
      <c r="A584" s="524"/>
      <c r="B584" s="524"/>
      <c r="D584" s="510"/>
      <c r="I584" s="524"/>
    </row>
    <row r="585" spans="1:9">
      <c r="A585" s="524"/>
      <c r="B585" s="519" t="s">
        <v>2727</v>
      </c>
      <c r="D585" s="1301" t="s">
        <v>2374</v>
      </c>
      <c r="E585" s="1301"/>
      <c r="F585" s="1301"/>
      <c r="I585" s="524" t="s">
        <v>2100</v>
      </c>
    </row>
    <row r="586" spans="1:9">
      <c r="A586" s="524"/>
      <c r="B586" s="524"/>
      <c r="D586" s="1301"/>
      <c r="E586" s="1301"/>
      <c r="F586" s="1301"/>
      <c r="I586" s="524" t="s">
        <v>2099</v>
      </c>
    </row>
    <row r="587" spans="1:9">
      <c r="A587" s="524"/>
      <c r="B587" s="524"/>
      <c r="D587" s="1301"/>
      <c r="E587" s="1301"/>
      <c r="F587" s="1301"/>
      <c r="I587" s="524"/>
    </row>
    <row r="588" spans="1:9">
      <c r="A588" s="524"/>
      <c r="B588" s="524"/>
      <c r="D588" s="1301"/>
      <c r="E588" s="1301"/>
      <c r="F588" s="1301"/>
      <c r="I588" s="524"/>
    </row>
    <row r="589" spans="1:9">
      <c r="A589" s="524"/>
      <c r="B589" s="519" t="s">
        <v>2728</v>
      </c>
      <c r="D589" s="1301" t="s">
        <v>1098</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2727</v>
      </c>
      <c r="D594" s="1301" t="s">
        <v>2375</v>
      </c>
      <c r="E594" s="1301"/>
      <c r="F594" s="1301"/>
      <c r="I594" s="524"/>
    </row>
    <row r="595" spans="1:9">
      <c r="A595" s="524"/>
      <c r="B595" s="524"/>
      <c r="D595" s="1301"/>
      <c r="E595" s="1301"/>
      <c r="F595" s="1301"/>
      <c r="I595" s="524"/>
    </row>
    <row r="596" spans="1:9">
      <c r="A596" s="524"/>
      <c r="B596" s="524"/>
      <c r="D596" s="533"/>
      <c r="I596" s="524"/>
    </row>
    <row r="597" spans="1:9">
      <c r="A597" s="524"/>
      <c r="B597" s="519" t="s">
        <v>2728</v>
      </c>
      <c r="D597" s="1301" t="s">
        <v>1100</v>
      </c>
      <c r="E597" s="1301"/>
      <c r="F597" s="1301"/>
      <c r="I597" s="524" t="s">
        <v>2147</v>
      </c>
    </row>
    <row r="598" spans="1:9">
      <c r="A598" s="524"/>
      <c r="B598" s="524"/>
      <c r="D598" s="1301"/>
      <c r="E598" s="1301"/>
      <c r="F598" s="1301"/>
      <c r="I598" s="524"/>
    </row>
    <row r="599" spans="1:9" ht="14.25">
      <c r="A599" s="518"/>
      <c r="B599" s="518"/>
      <c r="D599" s="533"/>
      <c r="I599" s="524"/>
    </row>
    <row r="600" spans="1:9">
      <c r="A600" s="1285" t="s">
        <v>1081</v>
      </c>
      <c r="B600" s="1285"/>
      <c r="C600" s="1285"/>
      <c r="D600" s="1285"/>
      <c r="E600" s="1285"/>
      <c r="F600" s="1285"/>
      <c r="G600" s="1285"/>
      <c r="H600" s="1063"/>
      <c r="I600" s="1256"/>
    </row>
    <row r="601" spans="1:9">
      <c r="I601" s="524"/>
    </row>
    <row r="602" spans="1:9">
      <c r="D602" s="1277" t="s">
        <v>1181</v>
      </c>
      <c r="E602" s="1277"/>
      <c r="F602" s="1277"/>
      <c r="I602" s="524"/>
    </row>
    <row r="603" spans="1:9">
      <c r="D603" s="1278" t="s">
        <v>1182</v>
      </c>
      <c r="E603" s="1278"/>
      <c r="F603" s="1278"/>
      <c r="I603" s="524"/>
    </row>
    <row r="604" spans="1:9">
      <c r="D604" s="478"/>
      <c r="I604" s="524"/>
    </row>
    <row r="605" spans="1:9" ht="14.25" customHeight="1">
      <c r="A605" s="518"/>
      <c r="B605" s="519" t="s">
        <v>2727</v>
      </c>
      <c r="D605" s="1342" t="s">
        <v>2204</v>
      </c>
      <c r="E605" s="1342"/>
      <c r="F605" s="1342"/>
      <c r="I605" s="524" t="s">
        <v>2128</v>
      </c>
    </row>
    <row r="606" spans="1:9">
      <c r="D606" s="1342"/>
      <c r="E606" s="1342"/>
      <c r="F606" s="1342"/>
      <c r="I606" s="524"/>
    </row>
    <row r="607" spans="1:9">
      <c r="D607" s="416"/>
      <c r="E607" s="1071" t="s">
        <v>2205</v>
      </c>
      <c r="F607" s="416"/>
      <c r="I607" s="524"/>
    </row>
    <row r="608" spans="1:9">
      <c r="I608" s="524"/>
    </row>
    <row r="609" spans="1:9">
      <c r="A609" s="1285" t="s">
        <v>1082</v>
      </c>
      <c r="B609" s="1285"/>
      <c r="C609" s="1285"/>
      <c r="D609" s="1285"/>
      <c r="E609" s="1285"/>
      <c r="F609" s="1285"/>
      <c r="G609" s="1285"/>
      <c r="H609" s="1063"/>
      <c r="I609" s="1256"/>
    </row>
    <row r="610" spans="1:9">
      <c r="A610" s="480"/>
      <c r="B610" s="480"/>
      <c r="I610" s="524"/>
    </row>
    <row r="611" spans="1:9">
      <c r="A611" s="516"/>
      <c r="B611" s="516"/>
      <c r="C611" s="516"/>
      <c r="D611" s="1280" t="s">
        <v>1184</v>
      </c>
      <c r="E611" s="1280"/>
      <c r="F611" s="1280"/>
      <c r="I611" s="524"/>
    </row>
    <row r="612" spans="1:9">
      <c r="A612" s="516"/>
      <c r="B612" s="516"/>
      <c r="C612" s="516"/>
      <c r="D612" s="1280"/>
      <c r="E612" s="1280"/>
      <c r="F612" s="1280"/>
      <c r="I612" s="524"/>
    </row>
    <row r="613" spans="1:9">
      <c r="C613" s="517"/>
      <c r="D613" s="1278" t="s">
        <v>1185</v>
      </c>
      <c r="E613" s="1278"/>
      <c r="F613" s="1278"/>
      <c r="I613" s="524"/>
    </row>
    <row r="614" spans="1:9">
      <c r="C614" s="517"/>
      <c r="D614" s="478"/>
      <c r="E614" s="478"/>
      <c r="F614" s="478"/>
      <c r="I614" s="524"/>
    </row>
    <row r="615" spans="1:9" ht="12.75" customHeight="1">
      <c r="A615" s="524"/>
      <c r="B615" s="519" t="s">
        <v>2727</v>
      </c>
      <c r="D615" s="1281" t="s">
        <v>1186</v>
      </c>
      <c r="E615" s="1281"/>
      <c r="F615" s="1281"/>
      <c r="I615" s="524" t="s">
        <v>2148</v>
      </c>
    </row>
    <row r="616" spans="1:9">
      <c r="D616" s="1281"/>
      <c r="E616" s="1281"/>
      <c r="F616" s="1281"/>
      <c r="I616" s="524"/>
    </row>
    <row r="617" spans="1:9">
      <c r="I617" s="524"/>
    </row>
    <row r="618" spans="1:9">
      <c r="B618" s="519" t="s">
        <v>2727</v>
      </c>
      <c r="D618" s="1281" t="s">
        <v>1187</v>
      </c>
      <c r="E618" s="1281"/>
      <c r="F618" s="1281"/>
      <c r="I618" s="524" t="s">
        <v>2101</v>
      </c>
    </row>
    <row r="619" spans="1:9">
      <c r="C619" s="534"/>
      <c r="D619" s="1281"/>
      <c r="E619" s="1281"/>
      <c r="F619" s="1281"/>
      <c r="I619" s="524"/>
    </row>
    <row r="620" spans="1:9">
      <c r="C620" s="534"/>
      <c r="I620" s="524"/>
    </row>
    <row r="621" spans="1:9">
      <c r="B621" s="519" t="s">
        <v>2727</v>
      </c>
      <c r="C621" s="534"/>
      <c r="D621" s="1281" t="s">
        <v>1188</v>
      </c>
      <c r="E621" s="1281"/>
      <c r="F621" s="1281"/>
      <c r="I621" s="524" t="s">
        <v>2149</v>
      </c>
    </row>
    <row r="622" spans="1:9">
      <c r="C622" s="534"/>
      <c r="D622" s="1281"/>
      <c r="E622" s="1281"/>
      <c r="F622" s="1281"/>
      <c r="I622" s="534" t="s">
        <v>2150</v>
      </c>
    </row>
    <row r="623" spans="1:9">
      <c r="C623" s="534"/>
      <c r="I623" s="524"/>
    </row>
    <row r="624" spans="1:9">
      <c r="A624" s="1285" t="s">
        <v>1083</v>
      </c>
      <c r="B624" s="1285"/>
      <c r="C624" s="1285"/>
      <c r="D624" s="1285"/>
      <c r="E624" s="1285"/>
      <c r="F624" s="1285"/>
      <c r="G624" s="1285"/>
      <c r="H624" s="1063"/>
      <c r="I624" s="1256"/>
    </row>
    <row r="625" spans="1:9">
      <c r="A625" s="516"/>
      <c r="B625" s="516"/>
      <c r="C625" s="516"/>
      <c r="I625" s="524"/>
    </row>
    <row r="626" spans="1:9">
      <c r="C626" s="524"/>
      <c r="D626" s="1277" t="s">
        <v>1189</v>
      </c>
      <c r="E626" s="1277"/>
      <c r="F626" s="1277"/>
      <c r="I626" s="524"/>
    </row>
    <row r="627" spans="1:9">
      <c r="A627" s="524"/>
      <c r="B627" s="524"/>
      <c r="D627" s="435"/>
      <c r="I627" s="524"/>
    </row>
    <row r="628" spans="1:9" ht="14.25" customHeight="1">
      <c r="A628" s="518"/>
      <c r="B628" s="519" t="s">
        <v>2727</v>
      </c>
      <c r="D628" s="1342" t="s">
        <v>2376</v>
      </c>
      <c r="E628" s="1342"/>
      <c r="F628" s="1342"/>
      <c r="I628" s="524" t="s">
        <v>2129</v>
      </c>
    </row>
    <row r="629" spans="1:9">
      <c r="D629" s="1342"/>
      <c r="E629" s="1342"/>
      <c r="F629" s="1342"/>
      <c r="I629" s="524"/>
    </row>
    <row r="630" spans="1:9">
      <c r="D630" s="416"/>
      <c r="E630" s="1071" t="s">
        <v>2207</v>
      </c>
      <c r="F630" s="416"/>
      <c r="I630" s="524"/>
    </row>
    <row r="631" spans="1:9">
      <c r="D631" s="1279" t="s">
        <v>2206</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2728</v>
      </c>
      <c r="D635" s="1279" t="s">
        <v>1191</v>
      </c>
      <c r="E635" s="1279"/>
      <c r="F635" s="1279"/>
      <c r="I635" s="524" t="s">
        <v>2151</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2728</v>
      </c>
      <c r="C638" s="521"/>
      <c r="D638" s="1279" t="s">
        <v>1330</v>
      </c>
      <c r="E638" s="1279"/>
      <c r="F638" s="1279"/>
      <c r="I638" s="524" t="s">
        <v>2102</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2728</v>
      </c>
      <c r="C641" s="521"/>
      <c r="D641" s="1308" t="s">
        <v>1193</v>
      </c>
      <c r="E641" s="1308"/>
      <c r="F641" s="1308"/>
      <c r="I641" s="524" t="s">
        <v>2102</v>
      </c>
    </row>
    <row r="642" spans="1:9">
      <c r="A642" s="521"/>
      <c r="B642" s="521"/>
      <c r="C642" s="521"/>
      <c r="D642" s="480"/>
      <c r="E642" s="480"/>
      <c r="F642" s="480"/>
      <c r="I642" s="524"/>
    </row>
    <row r="643" spans="1:9">
      <c r="A643" s="1285" t="s">
        <v>1084</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1243</v>
      </c>
      <c r="E645" s="1277"/>
      <c r="F645" s="1277"/>
      <c r="I645" s="524"/>
    </row>
    <row r="646" spans="1:9">
      <c r="A646" s="517"/>
      <c r="B646" s="517"/>
      <c r="C646" s="517"/>
      <c r="D646" s="1308" t="s">
        <v>1244</v>
      </c>
      <c r="E646" s="1308"/>
      <c r="F646" s="1308"/>
      <c r="I646" s="524"/>
    </row>
    <row r="647" spans="1:9">
      <c r="A647" s="517"/>
      <c r="B647" s="517"/>
      <c r="C647" s="517"/>
      <c r="D647" s="480"/>
      <c r="E647" s="480"/>
      <c r="F647" s="480"/>
      <c r="I647" s="524"/>
    </row>
    <row r="648" spans="1:9" ht="12.75" customHeight="1">
      <c r="B648" s="519" t="s">
        <v>2727</v>
      </c>
      <c r="C648" s="521"/>
      <c r="D648" s="1279" t="s">
        <v>1387</v>
      </c>
      <c r="E648" s="1279"/>
      <c r="F648" s="1279"/>
      <c r="I648" s="524" t="s">
        <v>2154</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2727</v>
      </c>
      <c r="C653" s="521"/>
      <c r="D653" s="1279" t="s">
        <v>1389</v>
      </c>
      <c r="E653" s="1279"/>
      <c r="F653" s="1279"/>
      <c r="I653" s="524" t="s">
        <v>2154</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2727</v>
      </c>
      <c r="C659" s="521"/>
      <c r="D659" s="1279" t="s">
        <v>1388</v>
      </c>
      <c r="E659" s="1279"/>
      <c r="F659" s="1279"/>
      <c r="I659" s="524" t="s">
        <v>2154</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2728</v>
      </c>
      <c r="C664" s="521"/>
      <c r="D664" s="1279" t="s">
        <v>2377</v>
      </c>
      <c r="E664" s="1279"/>
      <c r="F664" s="1279"/>
      <c r="I664" s="524" t="s">
        <v>2154</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1085</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1121</v>
      </c>
      <c r="E678" s="1308"/>
      <c r="F678" s="1308"/>
      <c r="H678" s="535"/>
      <c r="I678" s="517"/>
      <c r="J678" s="535"/>
      <c r="K678" s="535"/>
    </row>
    <row r="679" spans="1:11">
      <c r="A679" s="517"/>
      <c r="B679" s="517"/>
      <c r="C679" s="517"/>
      <c r="H679" s="535"/>
      <c r="I679" s="517"/>
      <c r="J679" s="535"/>
      <c r="K679" s="535"/>
    </row>
    <row r="680" spans="1:11" ht="14.25">
      <c r="A680" s="518"/>
      <c r="B680" s="519" t="s">
        <v>2728</v>
      </c>
      <c r="C680" s="517"/>
      <c r="D680" s="1308" t="s">
        <v>897</v>
      </c>
      <c r="E680" s="1308"/>
      <c r="F680" s="1308"/>
      <c r="H680" s="535"/>
      <c r="I680" s="517" t="s">
        <v>2130</v>
      </c>
      <c r="J680" s="535"/>
      <c r="K680" s="535"/>
    </row>
    <row r="681" spans="1:11">
      <c r="A681" s="517"/>
      <c r="B681" s="517"/>
      <c r="C681" s="517"/>
      <c r="D681" s="1308" t="s">
        <v>907</v>
      </c>
      <c r="E681" s="1308"/>
      <c r="F681" s="1308"/>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25">
      <c r="A685" s="518"/>
      <c r="B685" s="519" t="s">
        <v>2728</v>
      </c>
      <c r="C685" s="517"/>
      <c r="D685" s="1279" t="s">
        <v>2378</v>
      </c>
      <c r="E685" s="1279"/>
      <c r="F685" s="1279"/>
      <c r="H685" s="535"/>
      <c r="I685" s="517" t="s">
        <v>2152</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2131</v>
      </c>
      <c r="J688" s="535"/>
      <c r="K688" s="535"/>
    </row>
    <row r="689" spans="1:11" ht="14.25">
      <c r="A689" s="518"/>
      <c r="B689" s="519" t="s">
        <v>2727</v>
      </c>
      <c r="C689" s="517"/>
      <c r="D689" s="1308" t="s">
        <v>935</v>
      </c>
      <c r="E689" s="1308"/>
      <c r="F689" s="1308"/>
      <c r="H689" s="535"/>
      <c r="I689" s="517"/>
      <c r="J689" s="535"/>
      <c r="K689" s="535"/>
    </row>
    <row r="690" spans="1:11" ht="14.25">
      <c r="A690" s="518"/>
      <c r="B690" s="518"/>
      <c r="C690" s="517"/>
      <c r="D690" s="1308" t="s">
        <v>907</v>
      </c>
      <c r="E690" s="1308"/>
      <c r="F690" s="1308"/>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25">
      <c r="A693" s="518"/>
      <c r="B693" s="519" t="s">
        <v>2728</v>
      </c>
      <c r="C693" s="517"/>
      <c r="D693" s="1279" t="s">
        <v>1134</v>
      </c>
      <c r="E693" s="1279"/>
      <c r="F693" s="1279"/>
      <c r="H693" s="535"/>
      <c r="I693" s="517" t="s">
        <v>2103</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2728</v>
      </c>
      <c r="C700" s="517"/>
      <c r="D700" s="1279" t="s">
        <v>1305</v>
      </c>
      <c r="E700" s="1279"/>
      <c r="F700" s="1279"/>
      <c r="H700" s="535"/>
      <c r="I700" s="517" t="s">
        <v>2103</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2728</v>
      </c>
      <c r="C703" s="517"/>
      <c r="D703" s="1279" t="s">
        <v>1125</v>
      </c>
      <c r="E703" s="1279"/>
      <c r="F703" s="1279"/>
      <c r="H703" s="535"/>
      <c r="I703" s="517" t="s">
        <v>2103</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2728</v>
      </c>
      <c r="C716" s="517"/>
      <c r="D716" s="1279" t="s">
        <v>1132</v>
      </c>
      <c r="E716" s="1279"/>
      <c r="F716" s="1279"/>
      <c r="H716" s="535"/>
      <c r="I716" s="517" t="s">
        <v>2153</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2728</v>
      </c>
      <c r="C719" s="517"/>
      <c r="D719" s="1279" t="s">
        <v>1126</v>
      </c>
      <c r="E719" s="1279"/>
      <c r="F719" s="1279"/>
      <c r="H719" s="535"/>
      <c r="I719" s="517" t="s">
        <v>2153</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2728</v>
      </c>
      <c r="C723" s="517"/>
      <c r="D723" s="1279" t="s">
        <v>1127</v>
      </c>
      <c r="E723" s="1279"/>
      <c r="F723" s="1279"/>
      <c r="H723" s="535"/>
      <c r="I723" s="517" t="s">
        <v>2153</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2728</v>
      </c>
      <c r="C727" s="517"/>
      <c r="D727" s="1279" t="s">
        <v>1128</v>
      </c>
      <c r="E727" s="1279"/>
      <c r="F727" s="1279"/>
      <c r="H727" s="535"/>
      <c r="I727" s="517" t="s">
        <v>2104</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2728</v>
      </c>
      <c r="C732" s="517"/>
      <c r="D732" s="1279" t="s">
        <v>2501</v>
      </c>
      <c r="E732" s="1279"/>
      <c r="F732" s="1279"/>
      <c r="H732" s="535"/>
      <c r="I732" s="517" t="s">
        <v>2120</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2387</v>
      </c>
      <c r="E739" s="1291"/>
      <c r="F739" s="1291"/>
      <c r="H739" s="535"/>
      <c r="I739" s="517"/>
      <c r="J739" s="535"/>
      <c r="K739" s="535"/>
    </row>
    <row r="740" spans="1:11">
      <c r="A740" s="517"/>
      <c r="B740" s="517"/>
      <c r="C740" s="517"/>
      <c r="D740" s="369"/>
      <c r="H740" s="535"/>
      <c r="I740" s="517"/>
      <c r="J740" s="535"/>
      <c r="K740" s="535"/>
    </row>
    <row r="741" spans="1:11">
      <c r="A741" s="1286" t="s">
        <v>1086</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1102</v>
      </c>
      <c r="E743" s="1307"/>
      <c r="F743" s="1307"/>
      <c r="G743" s="535"/>
      <c r="H743" s="535"/>
      <c r="I743" s="517"/>
      <c r="J743" s="535"/>
      <c r="K743" s="535"/>
    </row>
    <row r="744" spans="1:11">
      <c r="A744" s="517"/>
      <c r="B744" s="517"/>
      <c r="C744" s="517"/>
      <c r="D744" s="1294" t="s">
        <v>1103</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2727</v>
      </c>
      <c r="D746" s="1279" t="s">
        <v>1104</v>
      </c>
      <c r="E746" s="1279"/>
      <c r="F746" s="1279"/>
      <c r="G746" s="535"/>
      <c r="H746" s="535"/>
      <c r="I746" s="517" t="s">
        <v>2105</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2728</v>
      </c>
      <c r="C753" s="538"/>
      <c r="D753" s="1279" t="s">
        <v>1346</v>
      </c>
      <c r="E753" s="1279"/>
      <c r="F753" s="1279"/>
      <c r="I753" s="1261" t="s">
        <v>2105</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2728</v>
      </c>
      <c r="C758" s="538"/>
      <c r="D758" s="1281" t="s">
        <v>1347</v>
      </c>
      <c r="E758" s="1281"/>
      <c r="F758" s="1281"/>
      <c r="I758" s="1261" t="s">
        <v>2106</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2727</v>
      </c>
      <c r="D762" s="1279" t="s">
        <v>1302</v>
      </c>
      <c r="E762" s="1279"/>
      <c r="F762" s="1279"/>
      <c r="G762" s="535"/>
      <c r="H762" s="535"/>
      <c r="I762" s="517" t="s">
        <v>2105</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2728</v>
      </c>
      <c r="D765" s="1279" t="s">
        <v>1319</v>
      </c>
      <c r="E765" s="1279"/>
      <c r="F765" s="1279"/>
      <c r="G765" s="535"/>
      <c r="H765" s="535"/>
      <c r="I765" s="517" t="s">
        <v>2105</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1988</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2042</v>
      </c>
      <c r="E771" s="1343"/>
      <c r="F771" s="1343"/>
      <c r="G771" s="3"/>
      <c r="I771" s="524"/>
    </row>
    <row r="772" spans="1:9">
      <c r="A772" s="57"/>
      <c r="B772" s="57"/>
      <c r="C772" s="385"/>
      <c r="D772" s="1312" t="s">
        <v>1941</v>
      </c>
      <c r="E772" s="1312"/>
      <c r="F772" s="1312"/>
      <c r="G772" s="3"/>
      <c r="I772" s="524"/>
    </row>
    <row r="773" spans="1:9">
      <c r="A773" s="57"/>
      <c r="B773" s="57"/>
      <c r="C773" s="385"/>
      <c r="D773" s="481"/>
      <c r="E773" s="481"/>
      <c r="F773" s="481"/>
      <c r="G773" s="3"/>
      <c r="I773" s="524"/>
    </row>
    <row r="774" spans="1:9">
      <c r="A774" s="57"/>
      <c r="B774" s="519" t="s">
        <v>2727</v>
      </c>
      <c r="C774" s="385"/>
      <c r="D774" s="1297" t="s">
        <v>1942</v>
      </c>
      <c r="E774" s="1297"/>
      <c r="F774" s="1297"/>
      <c r="G774" s="3"/>
      <c r="I774" s="517" t="s">
        <v>2155</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2728</v>
      </c>
      <c r="C778" s="172"/>
      <c r="D778" s="1297" t="s">
        <v>1943</v>
      </c>
      <c r="E778" s="1297"/>
      <c r="F778" s="1297"/>
      <c r="G778" s="3"/>
      <c r="I778" s="517" t="s">
        <v>2155</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2728</v>
      </c>
      <c r="C782" s="1024"/>
      <c r="D782" s="1297" t="s">
        <v>1944</v>
      </c>
      <c r="E782" s="1297"/>
      <c r="F782" s="1297"/>
      <c r="G782" s="1023"/>
      <c r="I782" s="517" t="s">
        <v>2155</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2728</v>
      </c>
      <c r="C786" s="1024"/>
      <c r="D786" s="1297" t="s">
        <v>1945</v>
      </c>
      <c r="E786" s="1297"/>
      <c r="F786" s="1297"/>
      <c r="G786" s="1023"/>
      <c r="I786" s="517" t="s">
        <v>2155</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1989</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2728</v>
      </c>
      <c r="C796" s="1024"/>
      <c r="D796" s="1297" t="s">
        <v>1946</v>
      </c>
      <c r="E796" s="1297"/>
      <c r="F796" s="1297"/>
      <c r="G796" s="1023"/>
      <c r="I796" s="517" t="s">
        <v>2155</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2728</v>
      </c>
      <c r="C803" s="1024"/>
      <c r="D803" s="1297" t="s">
        <v>1947</v>
      </c>
      <c r="E803" s="1297"/>
      <c r="F803" s="1297"/>
      <c r="G803" s="1023"/>
      <c r="I803" s="517" t="s">
        <v>2155</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2728</v>
      </c>
      <c r="C810" s="1024"/>
      <c r="D810" s="1305" t="s">
        <v>1948</v>
      </c>
      <c r="E810" s="1305"/>
      <c r="F810" s="1305"/>
      <c r="G810" s="1023"/>
      <c r="I810" s="517" t="s">
        <v>2155</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1949</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1990</v>
      </c>
      <c r="E819" s="1296"/>
      <c r="F819" s="1296"/>
      <c r="G819" s="3"/>
      <c r="I819" s="524"/>
    </row>
    <row r="820" spans="1:9" ht="14.25" customHeight="1">
      <c r="A820" s="176"/>
      <c r="B820" s="176"/>
      <c r="C820" s="385"/>
      <c r="D820" s="1264" t="s">
        <v>1950</v>
      </c>
      <c r="E820" s="1264"/>
      <c r="F820" s="1264"/>
      <c r="G820" s="3"/>
      <c r="I820" s="524"/>
    </row>
    <row r="821" spans="1:9" ht="12.75" customHeight="1">
      <c r="A821" s="176"/>
      <c r="B821" s="176"/>
      <c r="C821" s="385"/>
      <c r="D821" s="474"/>
      <c r="E821" s="474"/>
      <c r="F821" s="474"/>
      <c r="G821" s="3"/>
      <c r="I821" s="524"/>
    </row>
    <row r="822" spans="1:9" ht="12.75" customHeight="1">
      <c r="A822" s="385"/>
      <c r="B822" s="519" t="s">
        <v>2727</v>
      </c>
      <c r="C822" s="1024"/>
      <c r="D822" s="1264" t="s">
        <v>1951</v>
      </c>
      <c r="E822" s="1264"/>
      <c r="F822" s="1264"/>
      <c r="G822" s="3"/>
      <c r="I822" s="524" t="s">
        <v>2123</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2388</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2727</v>
      </c>
      <c r="C836" s="1024"/>
      <c r="D836" s="1264" t="s">
        <v>1952</v>
      </c>
      <c r="E836" s="1264"/>
      <c r="F836" s="1264"/>
      <c r="G836" s="3"/>
      <c r="I836" s="524" t="s">
        <v>2141</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2728</v>
      </c>
      <c r="C840" s="1024"/>
      <c r="D840" s="1296" t="s">
        <v>1953</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2379</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2728</v>
      </c>
      <c r="C849" s="1024"/>
      <c r="D849" s="1264" t="s">
        <v>1954</v>
      </c>
      <c r="E849" s="1264"/>
      <c r="F849" s="1264"/>
      <c r="G849" s="3"/>
      <c r="I849" s="524" t="s">
        <v>2124</v>
      </c>
    </row>
    <row r="850" spans="1:9" ht="12.75" customHeight="1">
      <c r="A850" s="176"/>
      <c r="B850" s="176"/>
      <c r="C850" s="1024"/>
      <c r="D850" s="1264" t="s">
        <v>1955</v>
      </c>
      <c r="E850" s="1264"/>
      <c r="F850" s="1264"/>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2728</v>
      </c>
      <c r="C853" s="1024"/>
      <c r="D853" s="1264" t="s">
        <v>1956</v>
      </c>
      <c r="E853" s="1264"/>
      <c r="F853" s="1264"/>
      <c r="G853" s="3"/>
      <c r="I853" s="524" t="s">
        <v>2142</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1957</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1991</v>
      </c>
      <c r="E860" s="1283"/>
      <c r="F860" s="1283"/>
      <c r="G860" s="1023"/>
      <c r="I860" s="524"/>
    </row>
    <row r="861" spans="1:9" ht="12.75" customHeight="1">
      <c r="A861" s="385"/>
      <c r="B861" s="385"/>
      <c r="C861" s="175"/>
      <c r="D861" s="1340" t="s">
        <v>1958</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2727</v>
      </c>
      <c r="C863" s="385"/>
      <c r="D863" s="1284" t="s">
        <v>1959</v>
      </c>
      <c r="E863" s="1284"/>
      <c r="F863" s="1284"/>
      <c r="G863" s="1023"/>
      <c r="I863" s="524" t="s">
        <v>2124</v>
      </c>
    </row>
    <row r="864" spans="1:9" ht="12.75" customHeight="1">
      <c r="A864" s="385"/>
      <c r="B864" s="385"/>
      <c r="C864" s="385"/>
      <c r="D864" s="2" t="s">
        <v>1934</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2727</v>
      </c>
      <c r="C866" s="385"/>
      <c r="D866" s="1264" t="s">
        <v>1960</v>
      </c>
      <c r="E866" s="1313"/>
      <c r="F866" s="1313"/>
      <c r="G866" s="3"/>
      <c r="I866" s="524" t="s">
        <v>2142</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2728</v>
      </c>
      <c r="C869" s="385"/>
      <c r="D869" s="1344" t="s">
        <v>1961</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2379</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2728</v>
      </c>
      <c r="C878" s="385"/>
      <c r="D878" s="1288" t="s">
        <v>1954</v>
      </c>
      <c r="E878" s="1288"/>
      <c r="F878" s="1288"/>
      <c r="G878" s="1023"/>
      <c r="I878" s="524" t="s">
        <v>2124</v>
      </c>
    </row>
    <row r="879" spans="1:9" ht="12.75" customHeight="1">
      <c r="A879" s="176"/>
      <c r="B879" s="176"/>
      <c r="C879" s="385"/>
      <c r="D879" s="1288" t="s">
        <v>1955</v>
      </c>
      <c r="E879" s="1288"/>
      <c r="F879" s="1288"/>
      <c r="G879" s="1023"/>
      <c r="I879" s="524"/>
    </row>
    <row r="880" spans="1:9" ht="12.75" customHeight="1">
      <c r="A880" s="176"/>
      <c r="B880" s="176"/>
      <c r="C880" s="385"/>
      <c r="D880" s="2" t="s">
        <v>1376</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2728</v>
      </c>
      <c r="C882" s="385"/>
      <c r="D882" s="1264" t="s">
        <v>1956</v>
      </c>
      <c r="E882" s="1264"/>
      <c r="F882" s="1264"/>
      <c r="G882" s="1023"/>
      <c r="I882" s="524" t="s">
        <v>2142</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1992</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1998</v>
      </c>
      <c r="E889" s="1298"/>
      <c r="F889" s="1298"/>
      <c r="G889" s="57"/>
      <c r="I889" s="524"/>
    </row>
    <row r="890" spans="1:9" ht="12.75" customHeight="1">
      <c r="A890" s="57"/>
      <c r="B890" s="57"/>
      <c r="C890" s="57"/>
      <c r="D890" s="1016"/>
      <c r="E890" s="1016"/>
      <c r="F890" s="1016"/>
      <c r="G890" s="57"/>
      <c r="I890" s="524"/>
    </row>
    <row r="891" spans="1:9" ht="12.75" customHeight="1">
      <c r="A891" s="57"/>
      <c r="B891" s="519" t="s">
        <v>2728</v>
      </c>
      <c r="C891" s="57"/>
      <c r="D891" s="1019" t="s">
        <v>1999</v>
      </c>
      <c r="E891" s="1016"/>
      <c r="F891" s="1016"/>
      <c r="G891" s="57"/>
      <c r="I891" s="524" t="s">
        <v>2156</v>
      </c>
    </row>
    <row r="892" spans="1:9" ht="12.75" customHeight="1">
      <c r="A892" s="57"/>
      <c r="B892" s="57"/>
      <c r="C892" s="57"/>
      <c r="D892" s="1016"/>
      <c r="E892" s="1016"/>
      <c r="F892" s="1016"/>
      <c r="G892" s="57"/>
      <c r="I892" s="524"/>
    </row>
    <row r="893" spans="1:9" ht="12.75" customHeight="1">
      <c r="A893" s="385"/>
      <c r="B893" s="385"/>
      <c r="C893" s="1024"/>
      <c r="D893" s="1298" t="s">
        <v>1993</v>
      </c>
      <c r="E893" s="1298"/>
      <c r="F893" s="1298"/>
      <c r="G893" s="1023"/>
      <c r="I893" s="524"/>
    </row>
    <row r="894" spans="1:9" ht="12.75" customHeight="1">
      <c r="A894" s="172"/>
      <c r="B894" s="172"/>
      <c r="C894" s="172"/>
      <c r="D894" s="1284" t="s">
        <v>1962</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2727</v>
      </c>
      <c r="C896" s="385"/>
      <c r="D896" s="1264" t="s">
        <v>1966</v>
      </c>
      <c r="E896" s="1264"/>
      <c r="F896" s="1264"/>
      <c r="G896" s="3"/>
      <c r="I896" s="524" t="s">
        <v>2108</v>
      </c>
    </row>
    <row r="897" spans="1:9" ht="12.75" customHeight="1">
      <c r="A897" s="385"/>
      <c r="B897" s="385"/>
      <c r="C897" s="385"/>
      <c r="D897" s="1264"/>
      <c r="E897" s="1264"/>
      <c r="F897" s="1264"/>
      <c r="G897" s="3"/>
      <c r="I897" s="524"/>
    </row>
    <row r="898" spans="1:9" ht="12.75" customHeight="1">
      <c r="A898" s="172"/>
      <c r="B898" s="172"/>
      <c r="C898" s="172"/>
      <c r="D898" s="1264" t="s">
        <v>1965</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2727</v>
      </c>
      <c r="C901" s="175"/>
      <c r="D901" s="1268" t="s">
        <v>1963</v>
      </c>
      <c r="E901" s="1268"/>
      <c r="F901" s="1268"/>
      <c r="G901" s="1023"/>
      <c r="I901" s="524" t="s">
        <v>2107</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2728</v>
      </c>
      <c r="C910" s="1024"/>
      <c r="D910" s="1264" t="s">
        <v>1967</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2728</v>
      </c>
      <c r="C913" s="1024"/>
      <c r="D913" s="1305" t="s">
        <v>1968</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2728</v>
      </c>
      <c r="C918" s="1024"/>
      <c r="D918" s="1284" t="s">
        <v>2380</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2728</v>
      </c>
      <c r="C920" s="1024"/>
      <c r="D920" s="1284" t="s">
        <v>2381</v>
      </c>
      <c r="E920" s="1284"/>
      <c r="F920" s="1284"/>
      <c r="G920" s="1023"/>
      <c r="I920" s="524"/>
    </row>
    <row r="921" spans="1:9" ht="12.75" customHeight="1">
      <c r="A921" s="175"/>
      <c r="B921" s="175"/>
      <c r="C921" s="175"/>
      <c r="D921" s="2"/>
      <c r="E921" s="3"/>
      <c r="F921" s="1023"/>
      <c r="G921" s="1023"/>
      <c r="I921" s="524"/>
    </row>
    <row r="922" spans="1:9" ht="12.75" customHeight="1">
      <c r="A922" s="1032"/>
      <c r="B922" s="519" t="s">
        <v>2728</v>
      </c>
      <c r="C922" s="1033"/>
      <c r="D922" s="1268" t="s">
        <v>1964</v>
      </c>
      <c r="E922" s="1268"/>
      <c r="F922" s="1268"/>
      <c r="G922" s="1034"/>
      <c r="I922" s="524" t="s">
        <v>2157</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2727</v>
      </c>
      <c r="C932" s="175"/>
      <c r="D932" s="1345" t="s">
        <v>2159</v>
      </c>
      <c r="E932" s="1345"/>
      <c r="F932" s="1345"/>
      <c r="G932" s="1023"/>
      <c r="I932" s="524" t="s">
        <v>2157</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2728</v>
      </c>
      <c r="C940" s="175"/>
      <c r="D940" s="1267" t="s">
        <v>2453</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2728</v>
      </c>
      <c r="C947" s="1024"/>
      <c r="D947" s="1305" t="s">
        <v>1969</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2728</v>
      </c>
      <c r="C952" s="175"/>
      <c r="D952" s="1268" t="s">
        <v>2158</v>
      </c>
      <c r="E952" s="1268"/>
      <c r="F952" s="1268"/>
      <c r="G952" s="1023"/>
      <c r="I952" s="524" t="s">
        <v>2157</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1970</v>
      </c>
      <c r="E957" s="1283"/>
      <c r="F957" s="1283"/>
      <c r="G957" s="3"/>
      <c r="I957" s="524"/>
    </row>
    <row r="958" spans="1:9" ht="12.75" customHeight="1">
      <c r="A958" s="176"/>
      <c r="B958" s="519" t="s">
        <v>2728</v>
      </c>
      <c r="C958" s="385"/>
      <c r="D958" s="1284" t="s">
        <v>1994</v>
      </c>
      <c r="E958" s="1284"/>
      <c r="F958" s="1284"/>
      <c r="G958" s="3"/>
      <c r="I958" s="524" t="s">
        <v>2157</v>
      </c>
    </row>
    <row r="959" spans="1:9" ht="12.75" customHeight="1">
      <c r="A959" s="385"/>
      <c r="B959" s="385"/>
      <c r="C959" s="385"/>
      <c r="D959" s="3"/>
      <c r="E959" s="3"/>
      <c r="F959" s="3"/>
      <c r="G959" s="3"/>
      <c r="I959" s="524"/>
    </row>
    <row r="960" spans="1:9" ht="12.75" customHeight="1">
      <c r="A960" s="385"/>
      <c r="B960" s="385"/>
      <c r="C960" s="385"/>
      <c r="D960" s="1283" t="s">
        <v>1971</v>
      </c>
      <c r="E960" s="1283"/>
      <c r="F960" s="1283"/>
      <c r="G960"/>
      <c r="I960" s="524"/>
    </row>
    <row r="961" spans="1:9" ht="12.75" customHeight="1">
      <c r="A961" s="176"/>
      <c r="B961" s="519" t="s">
        <v>2728</v>
      </c>
      <c r="C961" s="385"/>
      <c r="D961" s="1264" t="s">
        <v>2382</v>
      </c>
      <c r="E961" s="1264"/>
      <c r="F961" s="1264"/>
      <c r="G961"/>
      <c r="I961" s="524" t="s">
        <v>2157</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1972</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1995</v>
      </c>
      <c r="E979" s="1283"/>
      <c r="F979" s="1283"/>
      <c r="G979" s="3"/>
      <c r="I979" s="524"/>
    </row>
    <row r="980" spans="1:9" ht="12.75" customHeight="1">
      <c r="A980" s="172"/>
      <c r="B980" s="172"/>
      <c r="C980" s="172"/>
      <c r="D980" s="1284" t="s">
        <v>1973</v>
      </c>
      <c r="E980" s="1284"/>
      <c r="F980" s="1284"/>
      <c r="G980" s="3"/>
      <c r="I980" s="524"/>
    </row>
    <row r="981" spans="1:9" ht="12.75" customHeight="1">
      <c r="A981" s="172"/>
      <c r="B981" s="172"/>
      <c r="C981" s="172"/>
      <c r="D981" s="3"/>
      <c r="E981" s="3"/>
      <c r="F981" s="1023"/>
      <c r="G981"/>
      <c r="I981" s="524"/>
    </row>
    <row r="982" spans="1:9" ht="12.75" customHeight="1">
      <c r="A982" s="385"/>
      <c r="B982" s="519" t="s">
        <v>2727</v>
      </c>
      <c r="C982" s="385"/>
      <c r="D982" s="1347" t="s">
        <v>2212</v>
      </c>
      <c r="E982" s="1347"/>
      <c r="F982" s="1347"/>
      <c r="G982"/>
      <c r="I982" s="524" t="s">
        <v>2137</v>
      </c>
    </row>
    <row r="983" spans="1:9" ht="12.75" customHeight="1">
      <c r="A983" s="385"/>
      <c r="B983" s="385"/>
      <c r="C983" s="385"/>
      <c r="D983" s="1347"/>
      <c r="E983" s="1347"/>
      <c r="F983" s="1347"/>
      <c r="G983"/>
      <c r="I983" s="524"/>
    </row>
    <row r="984" spans="1:9" ht="12.75" customHeight="1">
      <c r="A984" s="385"/>
      <c r="B984" s="385"/>
      <c r="C984" s="385"/>
      <c r="D984" s="1073"/>
      <c r="E984" s="1071" t="s">
        <v>2213</v>
      </c>
      <c r="F984" s="1073"/>
      <c r="G984"/>
      <c r="I984" s="524"/>
    </row>
    <row r="985" spans="1:9" ht="12.75" customHeight="1">
      <c r="A985" s="385"/>
      <c r="B985" s="385"/>
      <c r="C985" s="385"/>
      <c r="D985" s="1270" t="s">
        <v>2211</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2728</v>
      </c>
      <c r="C990" s="175"/>
      <c r="D990" s="1264" t="s">
        <v>1974</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2728</v>
      </c>
      <c r="C995" s="175"/>
      <c r="D995" s="1264" t="s">
        <v>1975</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2727</v>
      </c>
      <c r="C998" s="385"/>
      <c r="D998" s="1284" t="s">
        <v>1976</v>
      </c>
      <c r="E998" s="1284"/>
      <c r="F998" s="1284"/>
      <c r="G998"/>
      <c r="I998" s="524"/>
    </row>
    <row r="999" spans="1:9" ht="12.75" customHeight="1">
      <c r="A999" s="385"/>
      <c r="B999" s="385"/>
      <c r="C999" s="385"/>
      <c r="D999" s="3"/>
      <c r="E999" s="3"/>
      <c r="F999" s="3"/>
      <c r="G999"/>
      <c r="I999" s="524"/>
    </row>
    <row r="1000" spans="1:9" ht="12.75" customHeight="1">
      <c r="A1000" s="176"/>
      <c r="B1000" s="519" t="s">
        <v>2728</v>
      </c>
      <c r="C1000" s="385"/>
      <c r="D1000" s="1284" t="s">
        <v>1977</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2727</v>
      </c>
      <c r="C1002" s="385"/>
      <c r="D1002" s="1284" t="s">
        <v>1978</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2728</v>
      </c>
      <c r="C1004" s="385"/>
      <c r="D1004" s="1264" t="s">
        <v>1979</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2728</v>
      </c>
      <c r="C1007" s="1035"/>
      <c r="D1007" s="1297" t="s">
        <v>1980</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2727</v>
      </c>
      <c r="C1010" s="1035"/>
      <c r="D1010" s="1346" t="s">
        <v>1981</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2728</v>
      </c>
      <c r="C1012" s="385"/>
      <c r="D1012" s="1284" t="s">
        <v>1982</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2728</v>
      </c>
      <c r="C1014" s="385"/>
      <c r="D1014" s="1264" t="s">
        <v>1983</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1984</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1985</v>
      </c>
      <c r="E1019" s="1298"/>
      <c r="F1019" s="1298"/>
      <c r="G1019" s="3"/>
      <c r="I1019" s="524"/>
    </row>
    <row r="1020" spans="1:9" ht="12.75" customHeight="1">
      <c r="A1020" s="385"/>
      <c r="B1020" s="385"/>
      <c r="C1020" s="385"/>
      <c r="D1020" s="1346" t="s">
        <v>1986</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2000</v>
      </c>
      <c r="E1022" s="1298"/>
      <c r="F1022" s="1298"/>
      <c r="G1022" s="3"/>
      <c r="I1022" s="524" t="s">
        <v>2109</v>
      </c>
    </row>
    <row r="1023" spans="1:9" ht="12.75" customHeight="1">
      <c r="A1023" s="385"/>
      <c r="B1023" s="519" t="s">
        <v>2727</v>
      </c>
      <c r="C1023" s="385"/>
      <c r="D1023" s="1346" t="s">
        <v>1377</v>
      </c>
      <c r="E1023" s="1346"/>
      <c r="F1023" s="1346"/>
      <c r="G1023" s="3"/>
      <c r="I1023" s="524"/>
    </row>
    <row r="1024" spans="1:9" ht="12.75" customHeight="1">
      <c r="A1024" s="385"/>
      <c r="B1024" s="176"/>
      <c r="C1024" s="385"/>
      <c r="D1024" s="1346" t="s">
        <v>1987</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1996</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1378</v>
      </c>
      <c r="E1028" s="1293"/>
      <c r="F1028" s="1293"/>
      <c r="G1028" s="3"/>
      <c r="I1028" s="524"/>
    </row>
    <row r="1029" spans="1:9" ht="12.75" hidden="1" customHeight="1">
      <c r="A1029" s="118"/>
      <c r="B1029" s="519" t="s">
        <v>308</v>
      </c>
      <c r="D1029" s="1278" t="s">
        <v>1377</v>
      </c>
      <c r="E1029" s="1278"/>
      <c r="F1029" s="1278"/>
      <c r="G1029" s="3"/>
      <c r="I1029" s="524"/>
    </row>
    <row r="1030" spans="1:9" ht="12.75" hidden="1" customHeight="1">
      <c r="A1030" s="118"/>
      <c r="B1030" s="433"/>
      <c r="D1030" s="1278" t="s">
        <v>1997</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1093</v>
      </c>
      <c r="E1032" s="1352"/>
      <c r="F1032" s="1352"/>
      <c r="G1032" s="3"/>
      <c r="I1032" s="524" t="s">
        <v>2138</v>
      </c>
    </row>
    <row r="1033" spans="1:9" ht="12.75" customHeight="1">
      <c r="A1033" s="345"/>
      <c r="B1033" s="345"/>
      <c r="C1033" s="345"/>
      <c r="D1033" s="1288" t="s">
        <v>1110</v>
      </c>
      <c r="E1033" s="1288"/>
      <c r="F1033" s="1288"/>
      <c r="G1033" s="98"/>
      <c r="I1033" s="524"/>
    </row>
    <row r="1034" spans="1:9" ht="12.75" customHeight="1">
      <c r="A1034" s="176"/>
      <c r="B1034" s="519" t="s">
        <v>2728</v>
      </c>
      <c r="C1034" s="385"/>
      <c r="D1034" s="1288" t="s">
        <v>1003</v>
      </c>
      <c r="E1034" s="1288"/>
      <c r="F1034" s="1288"/>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2" t="s">
        <v>2017</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2003</v>
      </c>
      <c r="I1039" s="524"/>
    </row>
    <row r="1040" spans="1:9">
      <c r="A1040" s="433"/>
      <c r="B1040" s="433"/>
      <c r="C1040" s="433"/>
      <c r="D1040" s="433" t="s">
        <v>2002</v>
      </c>
      <c r="I1040" s="524"/>
    </row>
    <row r="1041" spans="1:9">
      <c r="A1041" s="433"/>
      <c r="B1041" s="433"/>
      <c r="C1041" s="433"/>
      <c r="D1041" s="435"/>
      <c r="I1041" s="524"/>
    </row>
    <row r="1042" spans="1:9">
      <c r="A1042" s="433"/>
      <c r="B1042" s="519" t="s">
        <v>2727</v>
      </c>
      <c r="C1042" s="433"/>
      <c r="D1042" s="1349" t="s">
        <v>2001</v>
      </c>
      <c r="E1042" s="1349"/>
      <c r="F1042" s="1349"/>
      <c r="I1042" s="524" t="s">
        <v>2110</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1420</v>
      </c>
      <c r="I1047" s="524"/>
    </row>
    <row r="1048" spans="1:9">
      <c r="A1048" s="433"/>
      <c r="B1048" s="433"/>
      <c r="C1048" s="433"/>
      <c r="D1048" s="433" t="s">
        <v>2004</v>
      </c>
      <c r="I1048" s="524"/>
    </row>
    <row r="1049" spans="1:9">
      <c r="A1049" s="433"/>
      <c r="B1049" s="433"/>
      <c r="C1049" s="433"/>
      <c r="I1049" s="524"/>
    </row>
    <row r="1050" spans="1:9">
      <c r="A1050" s="433"/>
      <c r="B1050" s="519" t="s">
        <v>2728</v>
      </c>
      <c r="C1050" s="433"/>
      <c r="D1050" s="433" t="s">
        <v>1999</v>
      </c>
      <c r="I1050" s="524" t="s">
        <v>2111</v>
      </c>
    </row>
    <row r="1051" spans="1:9">
      <c r="A1051" s="433"/>
      <c r="B1051" s="433"/>
      <c r="C1051" s="433"/>
      <c r="I1051" s="524"/>
    </row>
    <row r="1052" spans="1:9">
      <c r="A1052" s="433"/>
      <c r="B1052" s="519" t="s">
        <v>2728</v>
      </c>
      <c r="C1052" s="433"/>
      <c r="D1052" s="1349" t="s">
        <v>2005</v>
      </c>
      <c r="E1052" s="1349"/>
      <c r="F1052" s="1349"/>
      <c r="I1052" s="524" t="s">
        <v>2112</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2006</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2727</v>
      </c>
      <c r="C1061" s="433"/>
      <c r="D1061" s="561" t="s">
        <v>2009</v>
      </c>
      <c r="I1061" s="524" t="s">
        <v>2113</v>
      </c>
    </row>
    <row r="1062" spans="1:9">
      <c r="A1062" s="433"/>
      <c r="B1062" s="433"/>
      <c r="C1062" s="433"/>
      <c r="D1062" s="561" t="s">
        <v>2011</v>
      </c>
      <c r="I1062" s="524"/>
    </row>
    <row r="1063" spans="1:9">
      <c r="A1063" s="433"/>
      <c r="B1063" s="433"/>
      <c r="C1063" s="433"/>
      <c r="D1063" s="561"/>
      <c r="I1063" s="524"/>
    </row>
    <row r="1064" spans="1:9">
      <c r="A1064" s="433"/>
      <c r="B1064" s="519" t="s">
        <v>2727</v>
      </c>
      <c r="C1064" s="433"/>
      <c r="D1064" s="561" t="s">
        <v>2012</v>
      </c>
      <c r="I1064" s="524" t="s">
        <v>2114</v>
      </c>
    </row>
    <row r="1065" spans="1:9">
      <c r="A1065" s="433"/>
      <c r="B1065" s="433"/>
      <c r="C1065" s="433"/>
      <c r="D1065" s="561" t="s">
        <v>2010</v>
      </c>
      <c r="I1065" s="524"/>
    </row>
    <row r="1066" spans="1:9">
      <c r="A1066" s="433"/>
      <c r="B1066" s="433"/>
      <c r="C1066" s="433"/>
      <c r="D1066" s="561"/>
      <c r="I1066" s="524"/>
    </row>
    <row r="1067" spans="1:9">
      <c r="A1067" s="433"/>
      <c r="B1067" s="519" t="s">
        <v>2728</v>
      </c>
      <c r="C1067" s="433"/>
      <c r="D1067" s="119" t="s">
        <v>2015</v>
      </c>
      <c r="I1067" s="524" t="s">
        <v>2115</v>
      </c>
    </row>
    <row r="1068" spans="1:9">
      <c r="A1068" s="433"/>
      <c r="B1068" s="433"/>
      <c r="C1068" s="433"/>
      <c r="D1068" s="1264" t="s">
        <v>2016</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2014</v>
      </c>
      <c r="I1072" s="524"/>
    </row>
    <row r="1073" spans="1:9">
      <c r="A1073" s="433"/>
      <c r="B1073" s="433"/>
      <c r="C1073" s="433"/>
      <c r="D1073" s="119"/>
      <c r="I1073" s="524"/>
    </row>
    <row r="1074" spans="1:9">
      <c r="A1074" s="433"/>
      <c r="B1074" s="433"/>
      <c r="C1074" s="433"/>
      <c r="D1074" s="561" t="s">
        <v>2007</v>
      </c>
      <c r="I1074" s="524" t="s">
        <v>2116</v>
      </c>
    </row>
    <row r="1075" spans="1:9">
      <c r="A1075" s="433"/>
      <c r="B1075" s="519" t="s">
        <v>2728</v>
      </c>
      <c r="C1075" s="433"/>
      <c r="D1075" s="1348" t="s">
        <v>2008</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2013</v>
      </c>
      <c r="I1080" s="524"/>
    </row>
    <row r="1081" spans="1:9">
      <c r="A1081" s="433"/>
      <c r="B1081" s="433"/>
      <c r="C1081" s="433"/>
      <c r="I1081" s="524"/>
    </row>
    <row r="1082" spans="1:9">
      <c r="A1082" s="1292" t="s">
        <v>2018</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2728</v>
      </c>
      <c r="C1085" s="433"/>
      <c r="D1085" s="1350" t="s">
        <v>2226</v>
      </c>
      <c r="E1085" s="1350"/>
      <c r="F1085" s="1350"/>
      <c r="I1085" s="524" t="s">
        <v>2117</v>
      </c>
    </row>
    <row r="1086" spans="1:9">
      <c r="A1086" s="433"/>
      <c r="B1086" s="433"/>
      <c r="C1086" s="433"/>
      <c r="D1086" s="1350"/>
      <c r="E1086" s="1350"/>
      <c r="F1086" s="1350"/>
      <c r="I1086" s="524"/>
    </row>
    <row r="1087" spans="1:9">
      <c r="A1087" s="433"/>
      <c r="B1087" s="433"/>
      <c r="C1087" s="433"/>
      <c r="D1087" s="1351" t="s">
        <v>2499</v>
      </c>
      <c r="E1087" s="1264"/>
      <c r="F1087" s="1264"/>
      <c r="I1087" s="524"/>
    </row>
    <row r="1088" spans="1:9">
      <c r="A1088" s="433"/>
      <c r="B1088" s="433"/>
      <c r="C1088" s="433"/>
      <c r="D1088" s="561"/>
      <c r="I1088" s="524"/>
    </row>
    <row r="1089" spans="1:9">
      <c r="A1089" s="433"/>
      <c r="B1089" s="519" t="s">
        <v>2728</v>
      </c>
      <c r="C1089" s="433"/>
      <c r="D1089" s="1348" t="s">
        <v>2019</v>
      </c>
      <c r="E1089" s="1348"/>
      <c r="F1089" s="1348"/>
      <c r="I1089" s="524" t="s">
        <v>2118</v>
      </c>
    </row>
    <row r="1090" spans="1:9">
      <c r="A1090" s="433"/>
      <c r="B1090" s="433"/>
      <c r="C1090" s="433"/>
      <c r="D1090" s="1348"/>
      <c r="E1090" s="1348"/>
      <c r="F1090" s="1348"/>
      <c r="I1090" s="524"/>
    </row>
    <row r="1091" spans="1:9">
      <c r="A1091" s="433"/>
      <c r="B1091" s="433"/>
      <c r="C1091" s="433"/>
      <c r="D1091" s="561"/>
      <c r="I1091" s="524"/>
    </row>
    <row r="1092" spans="1:9">
      <c r="A1092" s="433"/>
      <c r="B1092" s="519" t="s">
        <v>2727</v>
      </c>
      <c r="C1092" s="433"/>
      <c r="D1092" s="1348" t="s">
        <v>2162</v>
      </c>
      <c r="E1092" s="1348"/>
      <c r="F1092" s="1348"/>
      <c r="I1092" s="524" t="s">
        <v>2160</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2161</v>
      </c>
      <c r="I1098" s="514"/>
    </row>
    <row r="1099" spans="1:9">
      <c r="A1099" s="433"/>
      <c r="B1099" s="519" t="s">
        <v>2728</v>
      </c>
      <c r="C1099" s="433"/>
      <c r="D1099" s="1348" t="s">
        <v>2020</v>
      </c>
      <c r="E1099" s="1348"/>
      <c r="F1099" s="1348"/>
      <c r="I1099" s="524" t="s">
        <v>2119</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2728</v>
      </c>
      <c r="C1103" s="433"/>
      <c r="D1103" s="1270" t="s">
        <v>2163</v>
      </c>
      <c r="E1103" s="1270"/>
      <c r="F1103" s="1270"/>
      <c r="I1103" s="524" t="s">
        <v>2120</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2728</v>
      </c>
      <c r="C1107" s="433"/>
      <c r="D1107" s="1264" t="s">
        <v>2165</v>
      </c>
      <c r="E1107" s="1264"/>
      <c r="F1107" s="1264"/>
      <c r="I1107" s="524" t="s">
        <v>2164</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29" zoomScale="145" zoomScaleNormal="145" workbookViewId="0">
      <selection activeCell="AT637" sqref="AT63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2.95" customHeight="1">
      <c r="A9" s="1304" t="s">
        <v>2389</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2578</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1767</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8" t="s">
        <v>2637</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4" t="s">
        <v>2390</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2391</v>
      </c>
      <c r="C16" s="4"/>
      <c r="D16" s="4"/>
      <c r="E16" s="4"/>
      <c r="F16" s="4"/>
      <c r="G16" s="4"/>
      <c r="H16" s="1565" t="s">
        <v>2639</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561" t="s">
        <v>2640</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9" t="s">
        <v>883</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2.95" customHeight="1">
      <c r="A21" s="1852" t="s">
        <v>1031</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2503</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1122326.8999999999</v>
      </c>
      <c r="N26" s="1851"/>
      <c r="O26" s="1851"/>
      <c r="P26" s="1851"/>
      <c r="Q26" s="1851"/>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Credits'!AB78</f>
        <v>0</v>
      </c>
      <c r="N27" s="1361"/>
      <c r="O27" s="1361"/>
      <c r="P27" s="1361"/>
      <c r="Q27" s="1361"/>
      <c r="R27" s="3" t="s">
        <v>1373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2504</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1384</v>
      </c>
      <c r="C33" s="553"/>
      <c r="D33" s="553"/>
      <c r="E33" s="553"/>
      <c r="F33" s="553"/>
      <c r="G33" s="553"/>
      <c r="H33" s="553"/>
      <c r="I33" s="553"/>
      <c r="J33" s="553"/>
      <c r="K33" s="553"/>
      <c r="L33" s="553"/>
      <c r="M33" s="553"/>
      <c r="N33" s="553"/>
      <c r="O33" s="1418" t="s">
        <v>676</v>
      </c>
      <c r="P33" s="1418"/>
      <c r="Q33" s="1850" t="s">
        <v>2505</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6" t="s">
        <v>2506</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4" t="s">
        <v>2507</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2508</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2509</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2510</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2511</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5" t="s">
        <v>2513</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5" t="s">
        <v>2514</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2515</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2516</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5" t="s">
        <v>2517</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2518</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2519</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2520</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2521</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2522</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2523</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8">
        <v>21</v>
      </c>
      <c r="H113" s="1548"/>
      <c r="I113" s="3" t="s">
        <v>182</v>
      </c>
      <c r="L113" s="1548" t="s">
        <v>2765</v>
      </c>
      <c r="M113" s="1548"/>
      <c r="N113" s="1548"/>
      <c r="O113" s="1548"/>
      <c r="P113" s="1564" t="s">
        <v>2525</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9" t="s">
        <v>2653</v>
      </c>
      <c r="D115" s="1549"/>
      <c r="E115" s="1549"/>
      <c r="F115" s="1549"/>
      <c r="G115" s="1549"/>
      <c r="H115" s="1549"/>
      <c r="I115" s="1549"/>
      <c r="J115" s="1549"/>
      <c r="K115" s="1549"/>
      <c r="L115" s="216" t="s">
        <v>2766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48"/>
      <c r="Z117" s="1548"/>
      <c r="AA117" s="1548"/>
      <c r="AB117" s="1548"/>
      <c r="AC117" s="1548"/>
      <c r="AD117" s="1548"/>
      <c r="AE117" s="1548"/>
      <c r="AF117" s="1548"/>
      <c r="AG117" s="1548"/>
      <c r="AH117" s="1548"/>
      <c r="AI117" s="1548"/>
      <c r="AJ117" s="1548"/>
      <c r="AK117" s="1548"/>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8" t="s">
        <v>2715</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8" t="s">
        <v>2767</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61" t="s">
        <v>2641</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442</v>
      </c>
      <c r="O154" s="1522" t="s">
        <v>2642</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443</v>
      </c>
      <c r="F155" s="8"/>
      <c r="G155" s="8"/>
      <c r="H155" s="8"/>
      <c r="I155" s="8"/>
      <c r="J155" s="8"/>
      <c r="K155" s="8"/>
      <c r="L155" s="8"/>
      <c r="M155" s="8"/>
      <c r="N155" s="8"/>
      <c r="O155" s="1559" t="s">
        <v>2643</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314</v>
      </c>
      <c r="O156" s="1432" t="s">
        <v>2644</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2.95" customHeight="1">
      <c r="D157" t="s">
        <v>315</v>
      </c>
      <c r="O157" s="1561" t="s">
        <v>737</v>
      </c>
      <c r="P157" s="1430"/>
      <c r="Q157" s="1430"/>
      <c r="R157" s="1430"/>
      <c r="S157" s="1430"/>
      <c r="T157" s="1430"/>
      <c r="U157" s="1430"/>
      <c r="V157" s="1430"/>
      <c r="W157" s="1430"/>
      <c r="X157" s="1430"/>
      <c r="Y157" s="8"/>
      <c r="Z157" s="8"/>
      <c r="AA157" s="8"/>
      <c r="AB157" s="8"/>
      <c r="AC157" s="8"/>
      <c r="AD157" s="8"/>
      <c r="AE157" s="8"/>
      <c r="AF157" s="8"/>
      <c r="BN157" s="23" t="s">
        <v>643</v>
      </c>
      <c r="BT157" t="s">
        <v>484</v>
      </c>
    </row>
    <row r="158" spans="1:72" ht="12.95" customHeight="1">
      <c r="D158" t="s">
        <v>316</v>
      </c>
      <c r="O158" s="1571">
        <v>92101</v>
      </c>
      <c r="P158" s="1571"/>
      <c r="Q158" s="1571"/>
      <c r="R158" s="1571"/>
      <c r="S158" s="9"/>
      <c r="T158" s="9"/>
      <c r="U158" s="9"/>
      <c r="V158" s="9"/>
      <c r="W158" s="9"/>
      <c r="X158" s="9"/>
      <c r="Y158" s="9"/>
      <c r="Z158" s="9"/>
      <c r="AA158" s="9"/>
      <c r="AB158" s="9"/>
      <c r="AC158" s="9"/>
      <c r="AD158" s="9"/>
      <c r="AE158" s="9"/>
      <c r="AF158" s="9"/>
      <c r="BN158" s="23" t="s">
        <v>644</v>
      </c>
      <c r="BT158" t="s">
        <v>485</v>
      </c>
    </row>
    <row r="159" spans="1:72" ht="12.95" customHeight="1">
      <c r="D159" t="s">
        <v>317</v>
      </c>
      <c r="O159" s="1554" t="s">
        <v>2645</v>
      </c>
      <c r="P159" s="1554"/>
      <c r="Q159" s="1554"/>
      <c r="R159" s="1554"/>
      <c r="S159" s="1554"/>
      <c r="T159" s="1554"/>
      <c r="V159" s="97" t="s">
        <v>272</v>
      </c>
      <c r="W159" s="1572"/>
      <c r="X159" s="1572"/>
      <c r="Y159" s="10"/>
      <c r="Z159" s="10"/>
      <c r="AA159" s="10"/>
      <c r="AB159" s="10"/>
      <c r="AC159" s="10"/>
      <c r="AD159" s="10"/>
      <c r="AE159" s="10"/>
      <c r="AF159" s="10"/>
      <c r="BN159" s="23" t="s">
        <v>340</v>
      </c>
      <c r="BT159" t="s">
        <v>486</v>
      </c>
    </row>
    <row r="160" spans="1:72" ht="12.95" customHeight="1">
      <c r="D160" t="s">
        <v>318</v>
      </c>
      <c r="O160" s="1554" t="s">
        <v>2646</v>
      </c>
      <c r="P160" s="1554"/>
      <c r="Q160" s="1554"/>
      <c r="R160" s="1554"/>
      <c r="S160" s="1554"/>
      <c r="T160" s="1554"/>
      <c r="U160" s="10"/>
      <c r="V160" s="10"/>
      <c r="W160" s="10"/>
      <c r="X160" s="10"/>
      <c r="Y160" s="10"/>
      <c r="Z160" s="10"/>
      <c r="AA160" s="10"/>
      <c r="AB160" s="10"/>
      <c r="AC160" s="10"/>
      <c r="AD160" s="10"/>
      <c r="AE160" s="10"/>
      <c r="AF160" s="10"/>
      <c r="BN160" s="23" t="s">
        <v>667</v>
      </c>
      <c r="BT160" t="s">
        <v>487</v>
      </c>
    </row>
    <row r="161" spans="1:72" ht="12.95" customHeight="1">
      <c r="D161" t="s">
        <v>319</v>
      </c>
      <c r="O161" s="1535" t="s">
        <v>2647</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676</v>
      </c>
      <c r="BN161" s="23" t="s">
        <v>668</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2.9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2.95" customHeight="1">
      <c r="C164" s="27"/>
      <c r="D164" s="1550" t="s">
        <v>2620</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671</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2.95" customHeight="1">
      <c r="A169" s="1543" t="s">
        <v>547</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680</v>
      </c>
      <c r="BT169" t="s">
        <v>496</v>
      </c>
    </row>
    <row r="170" spans="1:72" ht="12.95"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681</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500</v>
      </c>
    </row>
    <row r="174" spans="1:72" ht="12.95" customHeight="1">
      <c r="C174" s="24"/>
      <c r="D174" s="3" t="s">
        <v>1306</v>
      </c>
      <c r="J174" s="1432" t="s">
        <v>2417</v>
      </c>
      <c r="K174" s="1432"/>
      <c r="L174" s="1432"/>
      <c r="M174" s="1432"/>
      <c r="N174" s="1432"/>
      <c r="O174" s="1432"/>
      <c r="P174" s="1432"/>
      <c r="Q174" s="1432"/>
      <c r="R174" s="1432"/>
      <c r="S174" s="1432"/>
      <c r="T174" s="1432"/>
      <c r="U174" s="1432"/>
      <c r="V174" s="1432"/>
      <c r="W174" s="1432"/>
      <c r="X174" s="1432"/>
      <c r="Y174" s="1432"/>
      <c r="Z174" s="1432"/>
      <c r="AA174" s="1432"/>
      <c r="AB174" s="1432"/>
      <c r="BB174" t="s">
        <v>2270</v>
      </c>
      <c r="BN174" s="23" t="s">
        <v>217</v>
      </c>
      <c r="BT174" t="s">
        <v>501</v>
      </c>
    </row>
    <row r="175" spans="1:72" ht="12.95" customHeight="1">
      <c r="C175" s="8"/>
      <c r="D175" s="3" t="s">
        <v>323</v>
      </c>
      <c r="O175" s="27"/>
      <c r="U175" s="1418" t="s">
        <v>676</v>
      </c>
      <c r="V175" s="1418"/>
      <c r="BB175" t="s">
        <v>2234</v>
      </c>
      <c r="BN175" s="23" t="s">
        <v>218</v>
      </c>
      <c r="BT175" t="s">
        <v>502</v>
      </c>
    </row>
    <row r="176" spans="1:72" ht="12.95" customHeight="1">
      <c r="C176" s="8"/>
      <c r="D176" s="26"/>
      <c r="E176" t="s">
        <v>305</v>
      </c>
      <c r="O176" s="27"/>
      <c r="P176" t="s">
        <v>2392</v>
      </c>
      <c r="T176" s="27" t="s">
        <v>306</v>
      </c>
      <c r="U176" s="1553"/>
      <c r="V176" s="1553"/>
      <c r="W176" s="1" t="s">
        <v>307</v>
      </c>
      <c r="X176" s="1563"/>
      <c r="Y176" s="1563"/>
      <c r="BB176" t="s">
        <v>2271</v>
      </c>
      <c r="BN176" s="23" t="s">
        <v>220</v>
      </c>
      <c r="BT176" t="s">
        <v>503</v>
      </c>
    </row>
    <row r="177" spans="1:72" ht="12.95" customHeight="1">
      <c r="C177" s="24"/>
      <c r="D177" t="s">
        <v>250</v>
      </c>
      <c r="R177" s="1418" t="s">
        <v>553</v>
      </c>
      <c r="S177" s="1418"/>
      <c r="BB177" t="s">
        <v>2574</v>
      </c>
      <c r="BN177" s="23" t="s">
        <v>221</v>
      </c>
      <c r="BT177" t="s">
        <v>504</v>
      </c>
    </row>
    <row r="178" spans="1:72" ht="12.95" customHeight="1">
      <c r="C178" s="24"/>
      <c r="D178" s="3" t="s">
        <v>1307</v>
      </c>
      <c r="AA178" t="s">
        <v>2392</v>
      </c>
      <c r="AE178" s="27" t="s">
        <v>306</v>
      </c>
      <c r="AF178" s="1567"/>
      <c r="AG178" s="1567"/>
      <c r="AH178" s="1" t="s">
        <v>307</v>
      </c>
      <c r="AI178" s="1530"/>
      <c r="AJ178" s="1530"/>
      <c r="AK178" s="1530"/>
      <c r="BB178" t="s">
        <v>2575</v>
      </c>
      <c r="BN178" s="23" t="s">
        <v>222</v>
      </c>
      <c r="BT178" t="s">
        <v>53</v>
      </c>
    </row>
    <row r="179" spans="1:72" ht="12.95" customHeight="1">
      <c r="C179" s="24"/>
      <c r="BN179" s="23" t="s">
        <v>223</v>
      </c>
      <c r="BT179" t="s">
        <v>54</v>
      </c>
    </row>
    <row r="180" spans="1:72" ht="12.95" customHeight="1">
      <c r="C180" s="24"/>
      <c r="D180" t="s">
        <v>2393</v>
      </c>
      <c r="X180" s="1418" t="s">
        <v>553</v>
      </c>
      <c r="Y180" s="1418"/>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1" t="str">
        <f>H18</f>
        <v>Montecito Village</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595</v>
      </c>
      <c r="BN184" s="23" t="s">
        <v>231</v>
      </c>
      <c r="BT184" t="s">
        <v>62</v>
      </c>
    </row>
    <row r="185" spans="1:72" ht="12.95" customHeight="1">
      <c r="C185" s="21"/>
      <c r="D185" t="s">
        <v>587</v>
      </c>
      <c r="I185" s="1431" t="s">
        <v>2648</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596</v>
      </c>
      <c r="BN185" s="23" t="s">
        <v>232</v>
      </c>
      <c r="BT185" t="s">
        <v>63</v>
      </c>
    </row>
    <row r="186" spans="1:72" ht="12.95" customHeight="1">
      <c r="C186" s="21"/>
      <c r="E186" t="s">
        <v>168</v>
      </c>
      <c r="BN186" s="23" t="s">
        <v>233</v>
      </c>
      <c r="BT186" t="s">
        <v>64</v>
      </c>
    </row>
    <row r="187" spans="1:72" ht="12.95" customHeight="1">
      <c r="C187" s="21"/>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2.95" customHeight="1">
      <c r="C189" s="21"/>
      <c r="D189" t="s">
        <v>588</v>
      </c>
      <c r="I189" s="1432" t="s">
        <v>2649</v>
      </c>
      <c r="J189" s="1432"/>
      <c r="K189" s="1432"/>
      <c r="L189" s="1432"/>
      <c r="M189" s="1432"/>
      <c r="N189" s="1432"/>
      <c r="O189" s="1432"/>
      <c r="P189" s="1432"/>
      <c r="Q189" t="s">
        <v>590</v>
      </c>
      <c r="T189" s="1432" t="s">
        <v>737</v>
      </c>
      <c r="U189" s="1432"/>
      <c r="V189" s="1432"/>
      <c r="W189" s="1432"/>
      <c r="X189" s="1432"/>
      <c r="Y189" s="1432"/>
      <c r="Z189" s="1432"/>
      <c r="AA189" s="1432"/>
      <c r="AB189" s="1432"/>
      <c r="AC189" s="1432"/>
      <c r="AD189" s="1432"/>
      <c r="AE189" s="1432"/>
      <c r="BC189" t="s">
        <v>308</v>
      </c>
      <c r="BH189" s="3" t="s">
        <v>599</v>
      </c>
      <c r="BN189" s="23" t="s">
        <v>237</v>
      </c>
      <c r="BT189" t="s">
        <v>67</v>
      </c>
    </row>
    <row r="190" spans="1:72" ht="12.95" customHeight="1">
      <c r="C190" s="21"/>
      <c r="D190" t="s">
        <v>591</v>
      </c>
      <c r="I190" s="1431">
        <v>92065</v>
      </c>
      <c r="J190" s="1431"/>
      <c r="K190" s="1431"/>
      <c r="L190" s="1431"/>
      <c r="M190" s="1431"/>
      <c r="N190" s="1431"/>
      <c r="O190" t="s">
        <v>593</v>
      </c>
      <c r="T190" s="1568">
        <v>208.06</v>
      </c>
      <c r="U190" s="1568"/>
      <c r="V190" s="1568"/>
      <c r="W190" s="1568"/>
      <c r="X190" s="1568"/>
      <c r="Y190" s="1568"/>
      <c r="Z190" s="1568"/>
      <c r="AA190" s="1568"/>
      <c r="AB190" s="1568"/>
      <c r="AC190" s="1568"/>
      <c r="AD190" s="1568"/>
      <c r="AE190" s="1568"/>
      <c r="BC190" t="s">
        <v>1063</v>
      </c>
      <c r="BH190" t="s">
        <v>1063</v>
      </c>
      <c r="BN190" s="23" t="s">
        <v>642</v>
      </c>
      <c r="BT190" t="s">
        <v>68</v>
      </c>
    </row>
    <row r="191" spans="1:72" ht="12.95" customHeight="1">
      <c r="C191" s="21"/>
      <c r="D191" t="s">
        <v>470</v>
      </c>
      <c r="N191" s="1460" t="s">
        <v>2650</v>
      </c>
      <c r="O191" s="1460"/>
      <c r="P191" s="1460"/>
      <c r="Q191" s="1460"/>
      <c r="R191" s="1460"/>
      <c r="S191" s="1460"/>
      <c r="T191" s="1460"/>
      <c r="U191" s="1460"/>
      <c r="V191" s="1460"/>
      <c r="W191" s="1460"/>
      <c r="X191" s="1460"/>
      <c r="Y191" s="1460"/>
      <c r="Z191" s="1460"/>
      <c r="AA191" s="1460"/>
      <c r="AB191" s="1460"/>
      <c r="AC191" s="1460"/>
      <c r="AD191" s="1460"/>
      <c r="AE191" s="1460"/>
      <c r="BC191" t="s">
        <v>1062</v>
      </c>
      <c r="BH191" t="s">
        <v>1062</v>
      </c>
      <c r="BN191" s="23" t="s">
        <v>696</v>
      </c>
      <c r="BT191" t="s">
        <v>735</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1065</v>
      </c>
      <c r="BH192" s="3" t="s">
        <v>1471</v>
      </c>
      <c r="BN192" s="23" t="s">
        <v>697</v>
      </c>
      <c r="BT192" t="s">
        <v>736</v>
      </c>
    </row>
    <row r="193" spans="1:74" ht="12.95" customHeight="1">
      <c r="C193" s="21"/>
      <c r="D193" t="s">
        <v>2394</v>
      </c>
      <c r="M193" s="40"/>
      <c r="N193" s="928"/>
      <c r="O193" s="928"/>
      <c r="P193" s="928"/>
      <c r="Q193" s="928"/>
      <c r="R193" s="928"/>
      <c r="S193" s="928"/>
      <c r="T193" s="1570" t="s">
        <v>2271</v>
      </c>
      <c r="U193" s="1570"/>
      <c r="V193" s="1570"/>
      <c r="W193" s="1570"/>
      <c r="X193" s="1570"/>
      <c r="Y193" s="1570"/>
      <c r="Z193" s="1570"/>
      <c r="AA193" s="1570"/>
      <c r="AB193" s="1570"/>
      <c r="AC193" s="1570"/>
      <c r="AD193" s="1570"/>
      <c r="AE193" s="1570"/>
      <c r="AF193" s="1570"/>
      <c r="AG193" s="1570"/>
      <c r="AH193" s="1570"/>
      <c r="AI193" s="1570"/>
      <c r="BC193" t="s">
        <v>1064</v>
      </c>
      <c r="BH193" s="3" t="s">
        <v>1738</v>
      </c>
      <c r="BN193" s="23" t="s">
        <v>698</v>
      </c>
      <c r="BT193" t="s">
        <v>737</v>
      </c>
    </row>
    <row r="194" spans="1:74" ht="12.95" customHeight="1">
      <c r="C194" s="21"/>
      <c r="D194" s="3" t="s">
        <v>2576</v>
      </c>
      <c r="M194" s="40"/>
      <c r="N194" s="928"/>
      <c r="O194" s="928"/>
      <c r="P194" s="928"/>
      <c r="Q194" s="928"/>
      <c r="R194" s="928"/>
      <c r="S194" s="928"/>
      <c r="AH194" s="1418" t="s">
        <v>676</v>
      </c>
      <c r="AI194" s="1418"/>
      <c r="BC194" t="s">
        <v>1471</v>
      </c>
      <c r="BN194" s="23" t="s">
        <v>699</v>
      </c>
      <c r="BT194" t="s">
        <v>738</v>
      </c>
    </row>
    <row r="195" spans="1:74" ht="12.95" customHeight="1">
      <c r="C195" s="21"/>
      <c r="D195" t="s">
        <v>332</v>
      </c>
      <c r="T195" s="1418" t="s">
        <v>676</v>
      </c>
      <c r="U195" s="1418"/>
      <c r="W195" t="s">
        <v>692</v>
      </c>
      <c r="AH195" s="1418">
        <v>48</v>
      </c>
      <c r="AI195" s="1418"/>
      <c r="BC195" t="s">
        <v>2044</v>
      </c>
      <c r="BN195" s="23" t="s">
        <v>243</v>
      </c>
      <c r="BT195" t="s">
        <v>739</v>
      </c>
    </row>
    <row r="196" spans="1:74" ht="12.95" customHeight="1">
      <c r="C196" s="21"/>
      <c r="D196" t="s">
        <v>387</v>
      </c>
      <c r="T196" s="1421" t="s">
        <v>676</v>
      </c>
      <c r="U196" s="1421"/>
      <c r="W196" t="s">
        <v>693</v>
      </c>
      <c r="AH196" s="1418">
        <v>75</v>
      </c>
      <c r="AI196" s="1418"/>
      <c r="BN196" s="23" t="s">
        <v>244</v>
      </c>
      <c r="BT196" t="s">
        <v>69</v>
      </c>
    </row>
    <row r="197" spans="1:74" ht="12.95" customHeight="1">
      <c r="C197" s="21"/>
      <c r="D197" s="3" t="s">
        <v>169</v>
      </c>
      <c r="T197" s="1421" t="s">
        <v>676</v>
      </c>
      <c r="U197" s="1421"/>
      <c r="W197" t="s">
        <v>694</v>
      </c>
      <c r="AH197" s="1418">
        <v>40</v>
      </c>
      <c r="AI197" s="1418"/>
      <c r="BC197" t="s">
        <v>308</v>
      </c>
      <c r="BN197" s="23" t="s">
        <v>245</v>
      </c>
      <c r="BT197" t="s">
        <v>70</v>
      </c>
    </row>
    <row r="198" spans="1:74" s="14" customFormat="1" ht="12.95" customHeight="1">
      <c r="A198"/>
      <c r="B198"/>
      <c r="C198" s="21"/>
      <c r="D198" s="3" t="s">
        <v>1761</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2526</v>
      </c>
      <c r="E199"/>
      <c r="F199"/>
      <c r="G199"/>
      <c r="H199"/>
      <c r="I199"/>
      <c r="J199"/>
      <c r="K199"/>
      <c r="L199"/>
      <c r="M199"/>
      <c r="N199"/>
      <c r="O199"/>
      <c r="P199"/>
      <c r="Q199"/>
      <c r="R199"/>
      <c r="S199"/>
      <c r="T199"/>
      <c r="U199"/>
      <c r="V199"/>
      <c r="W199"/>
      <c r="Z199" s="1418" t="s">
        <v>553</v>
      </c>
      <c r="AA199" s="1418"/>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195</v>
      </c>
      <c r="BU201"/>
    </row>
    <row r="202" spans="1:74" ht="12.95" customHeight="1">
      <c r="C202" s="21"/>
      <c r="D202" s="546"/>
      <c r="BC202" t="s">
        <v>1089</v>
      </c>
      <c r="BD202" s="469"/>
      <c r="BN202" s="23" t="s">
        <v>709</v>
      </c>
      <c r="BO202" s="14"/>
      <c r="BP202" s="32"/>
      <c r="BQ202" s="32"/>
      <c r="BR202" s="32"/>
      <c r="BS202" s="32"/>
      <c r="BT202" s="32" t="s">
        <v>196</v>
      </c>
    </row>
    <row r="203" spans="1:74" ht="12.95" customHeight="1">
      <c r="A203" s="2" t="s">
        <v>594</v>
      </c>
      <c r="C203" s="2" t="s">
        <v>136</v>
      </c>
      <c r="BC203" t="s">
        <v>1090</v>
      </c>
      <c r="BN203" s="23" t="s">
        <v>710</v>
      </c>
      <c r="BO203" s="14"/>
      <c r="BP203" s="32"/>
      <c r="BQ203" s="32"/>
      <c r="BR203" s="32"/>
      <c r="BS203" s="32"/>
      <c r="BT203" s="32" t="s">
        <v>197</v>
      </c>
    </row>
    <row r="204" spans="1:74" ht="12.95" customHeight="1">
      <c r="D204" s="1511" t="s">
        <v>386</v>
      </c>
      <c r="E204" s="1511"/>
      <c r="F204" s="1511"/>
      <c r="G204" s="1511"/>
      <c r="H204" s="1511"/>
      <c r="I204" s="1511"/>
      <c r="J204" s="1511"/>
      <c r="K204" s="1511"/>
      <c r="L204" s="1511"/>
      <c r="M204" s="1511"/>
      <c r="P204" s="1551">
        <f>M26</f>
        <v>1122326.8999999999</v>
      </c>
      <c r="Q204" s="1552"/>
      <c r="R204" s="1552"/>
      <c r="S204" s="1552"/>
      <c r="T204" s="1552"/>
      <c r="U204" s="1552"/>
      <c r="BC204" t="s">
        <v>618</v>
      </c>
      <c r="BN204" s="23" t="s">
        <v>711</v>
      </c>
      <c r="BT204" s="32" t="s">
        <v>198</v>
      </c>
      <c r="BU204" s="14"/>
    </row>
    <row r="205" spans="1:74" ht="12.95" customHeight="1">
      <c r="C205" s="21"/>
      <c r="D205" s="1573" t="s">
        <v>1353</v>
      </c>
      <c r="E205" s="1511"/>
      <c r="F205" s="1511"/>
      <c r="G205" s="1511"/>
      <c r="H205" s="1511"/>
      <c r="I205" s="1511"/>
      <c r="J205" s="1511"/>
      <c r="K205" s="1511"/>
      <c r="L205" s="1511"/>
      <c r="M205" s="1511"/>
      <c r="P205" s="1552">
        <f>M27</f>
        <v>0</v>
      </c>
      <c r="Q205" s="1552"/>
      <c r="R205" s="1552"/>
      <c r="S205" s="1552"/>
      <c r="T205" s="1552"/>
      <c r="U205" s="1552"/>
      <c r="V205" s="28"/>
      <c r="W205" s="3" t="s">
        <v>1906</v>
      </c>
      <c r="Z205" s="1557" t="s">
        <v>1288</v>
      </c>
      <c r="AA205" s="1557"/>
      <c r="AB205" s="1557"/>
      <c r="AC205" s="1557"/>
      <c r="AD205" s="1557"/>
      <c r="AE205" s="1557"/>
      <c r="AF205" s="1557"/>
      <c r="AG205" s="1557"/>
      <c r="AH205" s="1557"/>
      <c r="AI205" s="1557"/>
      <c r="AJ205" s="1557"/>
      <c r="AK205" s="1557"/>
      <c r="AL205" s="1557"/>
      <c r="AM205" s="1557"/>
      <c r="AN205" s="1557"/>
      <c r="AP205" s="1303"/>
      <c r="AQ205" s="1303"/>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1091</v>
      </c>
      <c r="BN206" s="23" t="s">
        <v>110</v>
      </c>
      <c r="BT206" s="32" t="s">
        <v>199</v>
      </c>
      <c r="BU206" s="14"/>
    </row>
    <row r="207" spans="1:74" ht="12.95" customHeight="1">
      <c r="A207" s="2" t="s">
        <v>597</v>
      </c>
      <c r="C207" s="2" t="s">
        <v>559</v>
      </c>
      <c r="BC207" s="3" t="s">
        <v>2566</v>
      </c>
      <c r="BN207" s="23" t="s">
        <v>45</v>
      </c>
      <c r="BT207" s="32" t="s">
        <v>200</v>
      </c>
    </row>
    <row r="208" spans="1:74" ht="12.95" customHeight="1">
      <c r="C208" s="21"/>
      <c r="D208" s="1430" t="s">
        <v>2651</v>
      </c>
      <c r="E208" s="1430"/>
      <c r="F208" s="1430"/>
      <c r="G208" s="1430"/>
      <c r="H208" s="1430"/>
      <c r="I208" s="1430"/>
      <c r="J208" s="1430"/>
      <c r="K208" s="1430"/>
      <c r="L208" s="1430"/>
      <c r="M208" s="1430"/>
      <c r="BC208" t="s">
        <v>1092</v>
      </c>
      <c r="BN208" s="23" t="s">
        <v>46</v>
      </c>
      <c r="BT208" s="32" t="s">
        <v>201</v>
      </c>
    </row>
    <row r="209" spans="1:72" ht="12.95" customHeight="1">
      <c r="BC209" t="s">
        <v>666</v>
      </c>
      <c r="BN209" s="23" t="s">
        <v>47</v>
      </c>
      <c r="BT209" s="32" t="s">
        <v>202</v>
      </c>
    </row>
    <row r="210" spans="1:72" ht="12.95" customHeight="1">
      <c r="A210" s="2" t="s">
        <v>598</v>
      </c>
      <c r="C210" s="2" t="s">
        <v>389</v>
      </c>
      <c r="BN210" s="23" t="s">
        <v>48</v>
      </c>
      <c r="BT210" s="32" t="s">
        <v>203</v>
      </c>
    </row>
    <row r="211" spans="1:72" ht="12.95" customHeight="1">
      <c r="C211" s="21"/>
      <c r="D211" s="1430" t="s">
        <v>2044</v>
      </c>
      <c r="E211" s="1430"/>
      <c r="F211" s="1430"/>
      <c r="G211" s="1430"/>
      <c r="H211" s="1430"/>
      <c r="I211" s="1430"/>
      <c r="J211" s="1430"/>
      <c r="K211" s="1430"/>
      <c r="L211" s="1430"/>
      <c r="M211" s="1430"/>
      <c r="BN211" s="23" t="s">
        <v>129</v>
      </c>
      <c r="BT211" s="32" t="s">
        <v>130</v>
      </c>
    </row>
    <row r="212" spans="1:72" ht="12.95" customHeight="1">
      <c r="C212" s="21"/>
      <c r="D212" t="s">
        <v>1350</v>
      </c>
      <c r="Y212" s="1418"/>
      <c r="Z212" s="1418"/>
      <c r="AB212" s="1555">
        <f>IFERROR(Y212/AG440,"")</f>
        <v>0</v>
      </c>
      <c r="AC212" s="1556"/>
      <c r="BC212" t="s">
        <v>308</v>
      </c>
      <c r="BI212" t="s">
        <v>1288</v>
      </c>
      <c r="BN212" s="23" t="s">
        <v>49</v>
      </c>
      <c r="BT212" s="32" t="s">
        <v>204</v>
      </c>
    </row>
    <row r="213" spans="1:72" ht="12.95" customHeight="1">
      <c r="D213" s="1189" t="s">
        <v>1737</v>
      </c>
      <c r="BC213" t="s">
        <v>534</v>
      </c>
      <c r="BI213" t="s">
        <v>2624</v>
      </c>
      <c r="BN213" s="23" t="s">
        <v>50</v>
      </c>
      <c r="BT213" s="32" t="s">
        <v>205</v>
      </c>
    </row>
    <row r="214" spans="1:72" ht="12.95" customHeight="1">
      <c r="D214" s="1546" t="s">
        <v>599</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538</v>
      </c>
      <c r="BI214" t="s">
        <v>2630</v>
      </c>
      <c r="BN214" s="23" t="s">
        <v>327</v>
      </c>
      <c r="BT214" s="32" t="s">
        <v>206</v>
      </c>
    </row>
    <row r="215" spans="1:72" ht="12.95" customHeight="1">
      <c r="D215" s="3" t="s">
        <v>1762</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535</v>
      </c>
      <c r="BI215" s="3" t="s">
        <v>2636</v>
      </c>
    </row>
    <row r="216" spans="1:72" ht="12.95" customHeight="1">
      <c r="D216" s="3" t="s">
        <v>1760</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574</v>
      </c>
      <c r="BI216" s="3" t="s">
        <v>2625</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2626</v>
      </c>
    </row>
    <row r="218" spans="1:72" ht="12.95" customHeight="1">
      <c r="A218" s="2" t="s">
        <v>600</v>
      </c>
      <c r="C218" s="2" t="s">
        <v>1326</v>
      </c>
      <c r="D218" s="28"/>
      <c r="BC218" t="s">
        <v>537</v>
      </c>
    </row>
    <row r="219" spans="1:72" ht="12.95" customHeight="1">
      <c r="A219" s="2"/>
      <c r="C219" s="2"/>
      <c r="D219" s="4" t="s">
        <v>1006</v>
      </c>
      <c r="AZ219" s="3"/>
      <c r="BA219" s="3"/>
      <c r="BC219" t="s">
        <v>378</v>
      </c>
    </row>
    <row r="220" spans="1:72" ht="12.95" customHeight="1">
      <c r="A220" s="2"/>
      <c r="C220" s="2"/>
      <c r="D220" s="1430" t="s">
        <v>619</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2.95" customHeight="1">
      <c r="A221" s="2"/>
      <c r="B221" s="14"/>
      <c r="C221" s="2"/>
      <c r="AU221" s="95"/>
      <c r="AV221" s="95"/>
      <c r="AW221" s="95"/>
      <c r="AX221" s="95"/>
      <c r="AY221" s="95"/>
      <c r="BA221" s="3"/>
    </row>
    <row r="222" spans="1:72" ht="12.95" customHeight="1">
      <c r="A222" s="1543" t="s">
        <v>548</v>
      </c>
      <c r="B222" s="1543"/>
      <c r="C222" s="1543"/>
      <c r="D222" s="1543"/>
      <c r="E222" s="1543"/>
      <c r="F222" s="1543"/>
      <c r="G222" s="1543"/>
      <c r="H222" s="1543"/>
      <c r="I222" s="1543"/>
      <c r="J222" s="1543"/>
      <c r="K222" s="1543"/>
      <c r="L222" s="1543"/>
      <c r="M222" s="1543"/>
      <c r="N222" s="1543"/>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1543"/>
      <c r="AN222" s="1543"/>
      <c r="AO222" s="1543"/>
      <c r="AP222" s="1543"/>
      <c r="AQ222" s="1543"/>
      <c r="AR222" s="1543"/>
      <c r="AS222" s="1543"/>
      <c r="AT222" s="1543"/>
      <c r="AU222" s="95"/>
      <c r="AV222" s="95"/>
      <c r="AW222" s="95"/>
      <c r="AX222" s="95"/>
      <c r="AY222" s="95"/>
      <c r="AZ222" s="3"/>
      <c r="BA222" s="3"/>
      <c r="BP222" s="34"/>
    </row>
    <row r="223" spans="1:72" ht="12.95" customHeight="1">
      <c r="A223" s="1543"/>
      <c r="B223" s="1543"/>
      <c r="C223" s="1543"/>
      <c r="D223" s="1543"/>
      <c r="E223" s="1543"/>
      <c r="F223" s="1543"/>
      <c r="G223" s="1543"/>
      <c r="H223" s="1543"/>
      <c r="I223" s="1543"/>
      <c r="J223" s="1543"/>
      <c r="K223" s="1543"/>
      <c r="L223" s="1543"/>
      <c r="M223" s="1543"/>
      <c r="N223" s="1543"/>
      <c r="O223" s="1543"/>
      <c r="P223" s="1543"/>
      <c r="Q223" s="1543"/>
      <c r="R223" s="1543"/>
      <c r="S223" s="1543"/>
      <c r="T223" s="1543"/>
      <c r="U223" s="1543"/>
      <c r="V223" s="1543"/>
      <c r="W223" s="1543"/>
      <c r="X223" s="1543"/>
      <c r="Y223" s="1543"/>
      <c r="Z223" s="1543"/>
      <c r="AA223" s="1543"/>
      <c r="AB223" s="1543"/>
      <c r="AC223" s="1543"/>
      <c r="AD223" s="1543"/>
      <c r="AE223" s="1543"/>
      <c r="AF223" s="1543"/>
      <c r="AG223" s="1543"/>
      <c r="AH223" s="1543"/>
      <c r="AI223" s="1543"/>
      <c r="AJ223" s="1543"/>
      <c r="AK223" s="1543"/>
      <c r="AL223" s="1543"/>
      <c r="AM223" s="1543"/>
      <c r="AN223" s="1543"/>
      <c r="AO223" s="1543"/>
      <c r="AP223" s="1543"/>
      <c r="AQ223" s="1543"/>
      <c r="AR223" s="1543"/>
      <c r="AS223" s="1543"/>
      <c r="AT223" s="1543"/>
      <c r="BA223" s="3"/>
      <c r="BB223" s="3"/>
      <c r="BQ223" s="34"/>
    </row>
    <row r="224" spans="1:72" ht="12.95" customHeight="1">
      <c r="AZ224" s="4"/>
      <c r="BA224" s="3"/>
      <c r="BB224" s="3"/>
      <c r="BQ224" s="34"/>
    </row>
    <row r="225" spans="1:69" ht="12.95"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599</v>
      </c>
      <c r="AJ226" s="141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599</v>
      </c>
      <c r="AJ227" s="141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553</v>
      </c>
      <c r="AJ228" s="141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599</v>
      </c>
      <c r="AJ229" s="1418"/>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9" t="str">
        <f>H16</f>
        <v>Ramona Preservation LP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30" t="s">
        <v>2652</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546</v>
      </c>
      <c r="BG233" s="259">
        <f>IF(AND(AND($M$249="nonprofit",$M$257="for profit",$M$265="nonprofit")),2,0)</f>
        <v>0</v>
      </c>
    </row>
    <row r="234" spans="1:69" ht="12.95" customHeight="1">
      <c r="D234" s="4" t="s">
        <v>588</v>
      </c>
      <c r="E234" s="4"/>
      <c r="M234" s="1430" t="s">
        <v>2653</v>
      </c>
      <c r="N234" s="1430"/>
      <c r="O234" s="1430"/>
      <c r="P234" s="1430"/>
      <c r="Q234" s="1430"/>
      <c r="R234" s="1430"/>
      <c r="S234" s="1430"/>
      <c r="T234" s="1430"/>
      <c r="V234" s="33" t="s">
        <v>86</v>
      </c>
      <c r="W234" s="1522" t="s">
        <v>2654</v>
      </c>
      <c r="X234" s="1419"/>
      <c r="Y234" s="4" t="s">
        <v>591</v>
      </c>
      <c r="AC234" s="1430">
        <v>98104</v>
      </c>
      <c r="AD234" s="1430"/>
      <c r="AE234" s="143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61" t="s">
        <v>2655</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547" t="s">
        <v>2656</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545</v>
      </c>
      <c r="BG236" s="259">
        <f>IF(AND(AND($M$249="nonprofit",$M$257="nonprofit",$M$265="(select one)")),1,0)</f>
        <v>0</v>
      </c>
    </row>
    <row r="237" spans="1:69" ht="12.95" customHeight="1">
      <c r="D237" s="4" t="s">
        <v>90</v>
      </c>
      <c r="E237" s="4"/>
      <c r="F237" s="4"/>
      <c r="M237" s="1535" t="s">
        <v>2657</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1" t="s">
        <v>536</v>
      </c>
      <c r="N238" s="1431"/>
      <c r="O238" s="1431"/>
      <c r="P238" s="1431"/>
      <c r="Q238" s="1431"/>
      <c r="R238" s="1431"/>
      <c r="S238" s="1431"/>
      <c r="T238" s="1431"/>
      <c r="U238" s="218" t="s">
        <v>920</v>
      </c>
      <c r="V238" s="218"/>
      <c r="W238" s="218"/>
      <c r="X238" s="218"/>
      <c r="Y238" s="218"/>
      <c r="Z238" s="218"/>
      <c r="AA238" s="1566" t="s">
        <v>2658</v>
      </c>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65" t="s">
        <v>2659</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2660</v>
      </c>
      <c r="AG243" s="1537"/>
      <c r="AH243" s="1537"/>
      <c r="AI243" s="1537"/>
      <c r="AJ243" s="1537"/>
      <c r="AK243" s="153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0" t="s">
        <v>2652</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1283</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30" t="s">
        <v>2653</v>
      </c>
      <c r="N245" s="1430"/>
      <c r="O245" s="1430"/>
      <c r="P245" s="1430"/>
      <c r="Q245" s="1430"/>
      <c r="R245" s="1430"/>
      <c r="S245" s="1430"/>
      <c r="T245" s="1430"/>
      <c r="V245" s="33" t="s">
        <v>86</v>
      </c>
      <c r="W245" s="1419" t="s">
        <v>2654</v>
      </c>
      <c r="X245" s="1419"/>
      <c r="Y245" s="4" t="s">
        <v>591</v>
      </c>
      <c r="AC245" s="1430">
        <v>98104</v>
      </c>
      <c r="AD245" s="1430"/>
      <c r="AE245" s="1430"/>
      <c r="AF245" s="3" t="s">
        <v>1284</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30" t="s">
        <v>2655</v>
      </c>
      <c r="N246" s="1430"/>
      <c r="O246" s="1430"/>
      <c r="P246" s="1430"/>
      <c r="Q246" s="1430"/>
      <c r="R246" s="1430"/>
      <c r="S246" s="1430"/>
      <c r="T246" s="1430"/>
      <c r="U246" s="1430"/>
      <c r="V246" s="1430"/>
      <c r="W246" s="1430"/>
      <c r="X246" s="1430"/>
      <c r="Y246" s="1430"/>
      <c r="Z246" s="1430"/>
      <c r="AA246" s="1430"/>
      <c r="AB246" s="1430"/>
      <c r="AC246" s="1430"/>
      <c r="AD246" s="1430"/>
      <c r="AE246" s="1430"/>
      <c r="AH246" s="1542">
        <v>0.01</v>
      </c>
      <c r="AI246" s="1542"/>
      <c r="AJ246" s="1542"/>
      <c r="AK246" s="154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35" t="s">
        <v>2656</v>
      </c>
      <c r="N247" s="1435"/>
      <c r="O247" s="1435"/>
      <c r="P247" s="1435"/>
      <c r="Q247" s="1435"/>
      <c r="R247" s="1435"/>
      <c r="S247" s="4" t="s">
        <v>207</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5" t="s">
        <v>2657</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1" t="s">
        <v>544</v>
      </c>
      <c r="N249" s="1431"/>
      <c r="O249" s="1431"/>
      <c r="P249" s="1431"/>
      <c r="Q249" s="1431"/>
      <c r="R249" s="1431"/>
      <c r="S249" s="1431"/>
      <c r="T249" s="1431"/>
      <c r="U249" s="218" t="s">
        <v>920</v>
      </c>
      <c r="V249" s="218"/>
      <c r="W249" s="218"/>
      <c r="X249" s="218"/>
      <c r="Y249" s="218"/>
      <c r="Z249" s="218"/>
      <c r="AA249" s="1566" t="s">
        <v>2658</v>
      </c>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65" t="s">
        <v>2661</v>
      </c>
      <c r="N251" s="1537"/>
      <c r="O251" s="1537"/>
      <c r="P251" s="1537"/>
      <c r="Q251" s="1537"/>
      <c r="R251" s="1537"/>
      <c r="S251" s="1537"/>
      <c r="T251" s="1537"/>
      <c r="U251" s="1537"/>
      <c r="V251" s="1537"/>
      <c r="W251" s="1537"/>
      <c r="X251" s="1537"/>
      <c r="Y251" s="1537"/>
      <c r="Z251" s="1537"/>
      <c r="AA251" s="1537"/>
      <c r="AB251" s="1537"/>
      <c r="AC251" s="1537"/>
      <c r="AD251" s="1537"/>
      <c r="AE251" s="1537"/>
      <c r="AF251" s="1537" t="s">
        <v>308</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561" t="s">
        <v>2662</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1283</v>
      </c>
      <c r="AL252" s="4"/>
      <c r="AM252" s="4"/>
      <c r="AN252" s="4"/>
      <c r="AO252" s="4"/>
      <c r="AP252" s="4"/>
      <c r="AQ252" s="4"/>
      <c r="AR252" s="4"/>
      <c r="AS252" s="4"/>
      <c r="AT252" s="4"/>
      <c r="BN252" s="34"/>
    </row>
    <row r="253" spans="1:71" ht="12.95" customHeight="1">
      <c r="A253" s="19"/>
      <c r="B253" s="4"/>
      <c r="C253" s="4"/>
      <c r="D253" s="4" t="s">
        <v>588</v>
      </c>
      <c r="E253" s="4"/>
      <c r="M253" s="1561" t="s">
        <v>2663</v>
      </c>
      <c r="N253" s="1430"/>
      <c r="O253" s="1430"/>
      <c r="P253" s="1430"/>
      <c r="Q253" s="1430"/>
      <c r="R253" s="1430"/>
      <c r="S253" s="1430"/>
      <c r="T253" s="1430"/>
      <c r="V253" s="33" t="s">
        <v>86</v>
      </c>
      <c r="W253" s="1522" t="s">
        <v>2664</v>
      </c>
      <c r="X253" s="1419"/>
      <c r="Y253" s="4" t="s">
        <v>591</v>
      </c>
      <c r="AC253" s="1430">
        <v>92024</v>
      </c>
      <c r="AD253" s="1430"/>
      <c r="AE253" s="1430"/>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561" t="s">
        <v>2665</v>
      </c>
      <c r="N254" s="1430"/>
      <c r="O254" s="1430"/>
      <c r="P254" s="1430"/>
      <c r="Q254" s="1430"/>
      <c r="R254" s="1430"/>
      <c r="S254" s="1430"/>
      <c r="T254" s="1430"/>
      <c r="U254" s="1430"/>
      <c r="V254" s="1430"/>
      <c r="W254" s="1430"/>
      <c r="X254" s="1430"/>
      <c r="Y254" s="1430"/>
      <c r="Z254" s="1430"/>
      <c r="AA254" s="1430"/>
      <c r="AB254" s="1430"/>
      <c r="AC254" s="1430"/>
      <c r="AD254" s="1430"/>
      <c r="AE254" s="1430"/>
      <c r="AH254" s="1542">
        <v>0.01</v>
      </c>
      <c r="AI254" s="1542"/>
      <c r="AJ254" s="1542"/>
      <c r="AK254" s="1542"/>
      <c r="AL254" s="4"/>
      <c r="AM254" s="4"/>
      <c r="AN254" s="4"/>
      <c r="AO254" s="4"/>
      <c r="AP254" s="4"/>
      <c r="AQ254" s="4"/>
      <c r="AR254" s="4"/>
      <c r="AS254" s="4"/>
      <c r="AT254" s="4"/>
    </row>
    <row r="255" spans="1:71" ht="12.95" customHeight="1">
      <c r="A255" s="19"/>
      <c r="B255" s="4"/>
      <c r="C255" s="4"/>
      <c r="D255" s="4" t="s">
        <v>88</v>
      </c>
      <c r="E255" s="4"/>
      <c r="F255" s="4"/>
      <c r="M255" s="1547" t="s">
        <v>2666</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5" t="s">
        <v>2667</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1" t="s">
        <v>542</v>
      </c>
      <c r="N257" s="1431"/>
      <c r="O257" s="1431"/>
      <c r="P257" s="1431"/>
      <c r="Q257" s="1431"/>
      <c r="R257" s="1431"/>
      <c r="S257" s="1431"/>
      <c r="T257" s="1431"/>
      <c r="U257" s="218" t="s">
        <v>920</v>
      </c>
      <c r="V257" s="218"/>
      <c r="W257" s="218"/>
      <c r="X257" s="218"/>
      <c r="Y257" s="218"/>
      <c r="Z257" s="218"/>
      <c r="AA257" s="1540"/>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0"/>
      <c r="N261" s="1430"/>
      <c r="O261" s="1430"/>
      <c r="P261" s="1430"/>
      <c r="Q261" s="1430"/>
      <c r="R261" s="1430"/>
      <c r="S261" s="1430"/>
      <c r="T261" s="1430"/>
      <c r="V261" s="33" t="s">
        <v>86</v>
      </c>
      <c r="W261" s="1419"/>
      <c r="X261" s="1419"/>
      <c r="Y261" s="4" t="s">
        <v>591</v>
      </c>
      <c r="AC261" s="1430"/>
      <c r="AD261" s="1430"/>
      <c r="AE261" s="1430"/>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2"/>
      <c r="AI262" s="1542"/>
      <c r="AJ262" s="1542"/>
      <c r="AK262" s="154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1" t="s">
        <v>308</v>
      </c>
      <c r="N265" s="1431"/>
      <c r="O265" s="1431"/>
      <c r="P265" s="1431"/>
      <c r="Q265" s="1431"/>
      <c r="R265" s="1431"/>
      <c r="S265" s="1431"/>
      <c r="T265" s="1431"/>
      <c r="U265" s="218" t="s">
        <v>920</v>
      </c>
      <c r="V265" s="218"/>
      <c r="W265" s="218"/>
      <c r="X265" s="218"/>
      <c r="Y265" s="218"/>
      <c r="Z265" s="218"/>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8" t="str">
        <f>IFERROR(BO245,"")</f>
        <v>Joint Venture</v>
      </c>
      <c r="U267" s="1538"/>
      <c r="V267" s="1538"/>
      <c r="W267" s="1538"/>
      <c r="X267" s="153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0" t="s">
        <v>281</v>
      </c>
      <c r="E270" s="1430"/>
      <c r="F270" s="1430"/>
      <c r="G270" s="1430"/>
      <c r="H270" s="1430"/>
      <c r="J270" t="s">
        <v>280</v>
      </c>
      <c r="X270" s="1534">
        <v>45349</v>
      </c>
      <c r="Y270" s="1534"/>
      <c r="Z270" s="1534"/>
      <c r="AA270" s="1534"/>
      <c r="AB270" s="1534"/>
      <c r="AC270" s="153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t="s">
        <v>2658</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0" t="s">
        <v>2652</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0" t="s">
        <v>2653</v>
      </c>
      <c r="M276" s="1430"/>
      <c r="N276" s="1430"/>
      <c r="O276" s="1430"/>
      <c r="P276" s="1430"/>
      <c r="Q276" s="1430"/>
      <c r="R276" s="1430"/>
      <c r="S276" s="1430"/>
      <c r="U276" s="33" t="s">
        <v>86</v>
      </c>
      <c r="V276" s="1522" t="s">
        <v>2654</v>
      </c>
      <c r="W276" s="1419"/>
      <c r="X276" s="4" t="s">
        <v>591</v>
      </c>
      <c r="AB276" s="1430">
        <v>98104</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61" t="s">
        <v>2655</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547" t="s">
        <v>2656</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2.95" customHeight="1">
      <c r="D279" s="4" t="s">
        <v>90</v>
      </c>
      <c r="E279" s="4"/>
      <c r="F279" s="4"/>
      <c r="L279" s="1535" t="s">
        <v>2657</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631</v>
      </c>
      <c r="E280" s="3"/>
      <c r="F280" s="3"/>
      <c r="G280" s="3"/>
      <c r="H280" s="3"/>
      <c r="I280" s="3"/>
      <c r="L280" s="1522" t="s">
        <v>2668</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3" t="s">
        <v>549</v>
      </c>
      <c r="B282" s="1543"/>
      <c r="C282" s="1543"/>
      <c r="D282" s="1543"/>
      <c r="E282" s="1543"/>
      <c r="F282" s="1543"/>
      <c r="G282" s="1543"/>
      <c r="H282" s="1543"/>
      <c r="I282" s="1543"/>
      <c r="J282" s="1543"/>
      <c r="K282" s="1543"/>
      <c r="L282" s="1543"/>
      <c r="M282" s="1543"/>
      <c r="N282" s="1543"/>
      <c r="O282" s="1543"/>
      <c r="P282" s="1543"/>
      <c r="Q282" s="1543"/>
      <c r="R282" s="1543"/>
      <c r="S282" s="1543"/>
      <c r="T282" s="1543"/>
      <c r="U282" s="1543"/>
      <c r="V282" s="1543"/>
      <c r="W282" s="1543"/>
      <c r="X282" s="1543"/>
      <c r="Y282" s="1543"/>
      <c r="Z282" s="1543"/>
      <c r="AA282" s="1543"/>
      <c r="AB282" s="1543"/>
      <c r="AC282" s="1543"/>
      <c r="AD282" s="1543"/>
      <c r="AE282" s="1543"/>
      <c r="AF282" s="1543"/>
      <c r="AG282" s="1543"/>
      <c r="AH282" s="1543"/>
      <c r="AI282" s="1543"/>
      <c r="AJ282" s="1543"/>
      <c r="AK282" s="1543"/>
      <c r="AL282" s="1543"/>
      <c r="AM282" s="1543"/>
      <c r="AN282" s="1543"/>
      <c r="AO282" s="1543"/>
      <c r="AP282" s="1543"/>
      <c r="AQ282" s="1543"/>
      <c r="AR282" s="1543"/>
      <c r="AS282" s="1543"/>
      <c r="AT282" s="1543"/>
      <c r="AU282" s="95"/>
      <c r="AV282" s="95"/>
      <c r="AW282" s="95"/>
      <c r="AX282" s="95"/>
      <c r="AY282" s="95"/>
      <c r="BN282" s="34"/>
    </row>
    <row r="283" spans="1:66" ht="12.95" customHeight="1">
      <c r="A283" s="1543"/>
      <c r="B283" s="1543"/>
      <c r="C283" s="1543"/>
      <c r="D283" s="1543"/>
      <c r="E283" s="1543"/>
      <c r="F283" s="1543"/>
      <c r="G283" s="1543"/>
      <c r="H283" s="1543"/>
      <c r="I283" s="1543"/>
      <c r="J283" s="1543"/>
      <c r="K283" s="1543"/>
      <c r="L283" s="1543"/>
      <c r="M283" s="1543"/>
      <c r="N283" s="1543"/>
      <c r="O283" s="1543"/>
      <c r="P283" s="1543"/>
      <c r="Q283" s="1543"/>
      <c r="R283" s="1543"/>
      <c r="S283" s="1543"/>
      <c r="T283" s="1543"/>
      <c r="U283" s="1543"/>
      <c r="V283" s="1543"/>
      <c r="W283" s="1543"/>
      <c r="X283" s="1543"/>
      <c r="Y283" s="1543"/>
      <c r="Z283" s="1543"/>
      <c r="AA283" s="1543"/>
      <c r="AB283" s="1543"/>
      <c r="AC283" s="1543"/>
      <c r="AD283" s="1543"/>
      <c r="AE283" s="1543"/>
      <c r="AF283" s="1543"/>
      <c r="AG283" s="1543"/>
      <c r="AH283" s="1543"/>
      <c r="AI283" s="1543"/>
      <c r="AJ283" s="1543"/>
      <c r="AK283" s="1543"/>
      <c r="AL283" s="1543"/>
      <c r="AM283" s="1543"/>
      <c r="AN283" s="1543"/>
      <c r="AO283" s="1543"/>
      <c r="AP283" s="1543"/>
      <c r="AQ283" s="1543"/>
      <c r="AR283" s="1543"/>
      <c r="AS283" s="1543"/>
      <c r="AT283" s="154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2" t="s">
        <v>2669</v>
      </c>
      <c r="I287" s="1432"/>
      <c r="J287" s="1432"/>
      <c r="K287" s="1432"/>
      <c r="L287" s="1432"/>
      <c r="M287" s="1432"/>
      <c r="N287" s="1432"/>
      <c r="O287" s="1432"/>
      <c r="P287" s="1432"/>
      <c r="Q287" s="1432"/>
      <c r="R287" s="1432"/>
      <c r="T287" s="3" t="s">
        <v>575</v>
      </c>
      <c r="V287" s="3"/>
      <c r="W287" s="3"/>
      <c r="X287" s="3"/>
      <c r="Y287" s="3"/>
      <c r="AA287" s="1432" t="s">
        <v>2672</v>
      </c>
      <c r="AB287" s="1432"/>
      <c r="AC287" s="1432"/>
      <c r="AD287" s="1432"/>
      <c r="AE287" s="1432"/>
      <c r="AF287" s="1432"/>
      <c r="AG287" s="1432"/>
      <c r="AH287" s="1432"/>
      <c r="AI287" s="1432"/>
      <c r="AJ287" s="1432"/>
      <c r="AK287" s="1432"/>
      <c r="BN287" s="34"/>
    </row>
    <row r="288" spans="1:66" ht="12.95" customHeight="1">
      <c r="B288" s="3" t="s">
        <v>479</v>
      </c>
      <c r="C288" s="3"/>
      <c r="D288" s="3"/>
      <c r="E288" s="3"/>
      <c r="F288" s="3"/>
      <c r="H288" s="1431" t="s">
        <v>2670</v>
      </c>
      <c r="I288" s="1431"/>
      <c r="J288" s="1431"/>
      <c r="K288" s="1431"/>
      <c r="L288" s="1431"/>
      <c r="M288" s="1431"/>
      <c r="N288" s="1431"/>
      <c r="O288" s="1431"/>
      <c r="P288" s="1431"/>
      <c r="Q288" s="1431"/>
      <c r="R288" s="1431"/>
      <c r="T288" s="3" t="s">
        <v>479</v>
      </c>
      <c r="V288" s="3"/>
      <c r="W288" s="3"/>
      <c r="X288" s="3"/>
      <c r="Y288" s="3"/>
      <c r="AA288" s="1431" t="s">
        <v>2673</v>
      </c>
      <c r="AB288" s="1431"/>
      <c r="AC288" s="1431"/>
      <c r="AD288" s="1431"/>
      <c r="AE288" s="1431"/>
      <c r="AF288" s="1431"/>
      <c r="AG288" s="1431"/>
      <c r="AH288" s="1431"/>
      <c r="AI288" s="1431"/>
      <c r="AJ288" s="1431"/>
      <c r="AK288" s="1431"/>
      <c r="BN288" s="34"/>
    </row>
    <row r="289" spans="2:66" ht="12.95" customHeight="1">
      <c r="B289" s="3" t="s">
        <v>480</v>
      </c>
      <c r="C289" s="3"/>
      <c r="D289" s="3"/>
      <c r="E289" s="3"/>
      <c r="F289" s="3"/>
      <c r="H289" s="1431" t="s">
        <v>2671</v>
      </c>
      <c r="I289" s="1431"/>
      <c r="J289" s="1431"/>
      <c r="K289" s="1431"/>
      <c r="L289" s="1431"/>
      <c r="M289" s="1431"/>
      <c r="N289" s="1431"/>
      <c r="O289" s="1431"/>
      <c r="P289" s="1431"/>
      <c r="Q289" s="1431"/>
      <c r="R289" s="1431"/>
      <c r="T289" s="3" t="s">
        <v>75</v>
      </c>
      <c r="V289" s="3"/>
      <c r="W289" s="3"/>
      <c r="X289" s="3"/>
      <c r="Y289" s="3"/>
      <c r="AA289" s="1431" t="s">
        <v>2674</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2655</v>
      </c>
      <c r="I290" s="1431"/>
      <c r="J290" s="1431"/>
      <c r="K290" s="1431"/>
      <c r="L290" s="1431"/>
      <c r="M290" s="1431"/>
      <c r="N290" s="1431"/>
      <c r="O290" s="1431"/>
      <c r="P290" s="1431"/>
      <c r="Q290" s="1431"/>
      <c r="R290" s="1431"/>
      <c r="T290" s="3" t="s">
        <v>87</v>
      </c>
      <c r="V290" s="3"/>
      <c r="W290" s="3"/>
      <c r="X290" s="3"/>
      <c r="Y290" s="3"/>
      <c r="AA290" s="1431" t="s">
        <v>2675</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39" t="s">
        <v>2656</v>
      </c>
      <c r="I291" s="1521"/>
      <c r="J291" s="1521"/>
      <c r="K291" s="1521"/>
      <c r="L291" s="1521"/>
      <c r="M291" s="1521"/>
      <c r="N291" s="4" t="s">
        <v>207</v>
      </c>
      <c r="O291" s="4"/>
      <c r="P291" s="1430"/>
      <c r="Q291" s="1430"/>
      <c r="R291" s="1430"/>
      <c r="S291" s="3"/>
      <c r="T291" s="3" t="s">
        <v>88</v>
      </c>
      <c r="V291" s="3"/>
      <c r="W291" s="3"/>
      <c r="X291" s="3"/>
      <c r="Y291" s="3"/>
      <c r="AA291" s="1539" t="s">
        <v>2676</v>
      </c>
      <c r="AB291" s="1521"/>
      <c r="AC291" s="1521"/>
      <c r="AD291" s="1521"/>
      <c r="AE291" s="1521"/>
      <c r="AF291" s="1521"/>
      <c r="AG291" s="4" t="s">
        <v>207</v>
      </c>
      <c r="AH291" s="4"/>
      <c r="AI291" s="1430"/>
      <c r="AJ291" s="1430"/>
      <c r="AK291" s="1430"/>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2657</v>
      </c>
      <c r="I293" s="1431"/>
      <c r="J293" s="1431"/>
      <c r="K293" s="1431"/>
      <c r="L293" s="1431"/>
      <c r="M293" s="1431"/>
      <c r="N293" s="1432"/>
      <c r="O293" s="1432"/>
      <c r="P293" s="1432"/>
      <c r="Q293" s="1432"/>
      <c r="R293" s="1432"/>
      <c r="S293" s="3"/>
      <c r="T293" s="3" t="s">
        <v>76</v>
      </c>
      <c r="V293" s="3"/>
      <c r="W293" s="3"/>
      <c r="X293" s="3"/>
      <c r="Y293" s="3"/>
      <c r="AA293" s="1431" t="s">
        <v>2677</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2" t="s">
        <v>2678</v>
      </c>
      <c r="I295" s="1432"/>
      <c r="J295" s="1432"/>
      <c r="K295" s="1432"/>
      <c r="L295" s="1432"/>
      <c r="M295" s="1432"/>
      <c r="N295" s="1432"/>
      <c r="O295" s="1432"/>
      <c r="P295" s="1432"/>
      <c r="Q295" s="1432"/>
      <c r="R295" s="1432"/>
      <c r="T295" s="3" t="s">
        <v>365</v>
      </c>
      <c r="V295" s="3"/>
      <c r="W295" s="3"/>
      <c r="X295" s="3"/>
      <c r="Y295" s="3"/>
      <c r="AA295" s="1432" t="s">
        <v>2684</v>
      </c>
      <c r="AB295" s="1432"/>
      <c r="AC295" s="1432"/>
      <c r="AD295" s="1432"/>
      <c r="AE295" s="1432"/>
      <c r="AF295" s="1432"/>
      <c r="AG295" s="1432"/>
      <c r="AH295" s="1432"/>
      <c r="AI295" s="1432"/>
      <c r="AJ295" s="1432"/>
      <c r="AK295" s="1432"/>
      <c r="BN295" s="34"/>
    </row>
    <row r="296" spans="2:66" ht="12.95" customHeight="1">
      <c r="B296" s="3" t="s">
        <v>479</v>
      </c>
      <c r="C296" s="3"/>
      <c r="D296" s="3"/>
      <c r="E296" s="3"/>
      <c r="F296" s="3"/>
      <c r="H296" s="1431" t="s">
        <v>2679</v>
      </c>
      <c r="I296" s="1431"/>
      <c r="J296" s="1431"/>
      <c r="K296" s="1431"/>
      <c r="L296" s="1431"/>
      <c r="M296" s="1431"/>
      <c r="N296" s="1431"/>
      <c r="O296" s="1431"/>
      <c r="P296" s="1431"/>
      <c r="Q296" s="1431"/>
      <c r="R296" s="1431"/>
      <c r="T296" s="3" t="s">
        <v>479</v>
      </c>
      <c r="V296" s="3"/>
      <c r="W296" s="3"/>
      <c r="X296" s="3"/>
      <c r="Y296" s="3"/>
      <c r="AA296" s="1431"/>
      <c r="AB296" s="1431"/>
      <c r="AC296" s="1431"/>
      <c r="AD296" s="1431"/>
      <c r="AE296" s="1431"/>
      <c r="AF296" s="1431"/>
      <c r="AG296" s="1431"/>
      <c r="AH296" s="1431"/>
      <c r="AI296" s="1431"/>
      <c r="AJ296" s="1431"/>
      <c r="AK296" s="1431"/>
      <c r="BN296" s="34"/>
    </row>
    <row r="297" spans="2:66" ht="12.95" customHeight="1">
      <c r="B297" s="3" t="s">
        <v>480</v>
      </c>
      <c r="C297" s="3"/>
      <c r="D297" s="3"/>
      <c r="E297" s="3"/>
      <c r="F297" s="3"/>
      <c r="H297" s="1431" t="s">
        <v>2680</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2681</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39" t="s">
        <v>2682</v>
      </c>
      <c r="I299" s="1521"/>
      <c r="J299" s="1521"/>
      <c r="K299" s="1521"/>
      <c r="L299" s="1521"/>
      <c r="M299" s="1521"/>
      <c r="N299" s="4" t="s">
        <v>207</v>
      </c>
      <c r="O299" s="4"/>
      <c r="P299" s="1430"/>
      <c r="Q299" s="1430"/>
      <c r="R299" s="1430"/>
      <c r="S299" s="3"/>
      <c r="T299" s="3" t="s">
        <v>88</v>
      </c>
      <c r="V299" s="3"/>
      <c r="W299" s="3"/>
      <c r="X299" s="3"/>
      <c r="Y299" s="3"/>
      <c r="AA299" s="1521"/>
      <c r="AB299" s="1521"/>
      <c r="AC299" s="1521"/>
      <c r="AD299" s="1521"/>
      <c r="AE299" s="1521"/>
      <c r="AF299" s="1521"/>
      <c r="AG299" s="4" t="s">
        <v>207</v>
      </c>
      <c r="AH299" s="4"/>
      <c r="AI299" s="1430"/>
      <c r="AJ299" s="1430"/>
      <c r="AK299" s="1430"/>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2683</v>
      </c>
      <c r="I301" s="1431"/>
      <c r="J301" s="1431"/>
      <c r="K301" s="1431"/>
      <c r="L301" s="1431"/>
      <c r="M301" s="1431"/>
      <c r="N301" s="1432"/>
      <c r="O301" s="1432"/>
      <c r="P301" s="1432"/>
      <c r="Q301" s="1432"/>
      <c r="R301" s="1432"/>
      <c r="S301" s="3"/>
      <c r="T301" s="3" t="s">
        <v>76</v>
      </c>
      <c r="V301" s="3"/>
      <c r="W301" s="3"/>
      <c r="X301" s="3"/>
      <c r="Y301" s="3"/>
      <c r="AA301" s="1431"/>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2685</v>
      </c>
      <c r="I303" s="1432"/>
      <c r="J303" s="1432"/>
      <c r="K303" s="1432"/>
      <c r="L303" s="1432"/>
      <c r="M303" s="1432"/>
      <c r="N303" s="1432"/>
      <c r="O303" s="1432"/>
      <c r="P303" s="1432"/>
      <c r="Q303" s="1432"/>
      <c r="R303" s="1432"/>
      <c r="T303" s="4" t="s">
        <v>889</v>
      </c>
      <c r="V303" s="3"/>
      <c r="W303" s="3"/>
      <c r="X303" s="3"/>
      <c r="Y303" s="3"/>
      <c r="AA303" s="1432" t="s">
        <v>2684</v>
      </c>
      <c r="AB303" s="1432"/>
      <c r="AC303" s="1432"/>
      <c r="AD303" s="1432"/>
      <c r="AE303" s="1432"/>
      <c r="AF303" s="1432"/>
      <c r="AG303" s="1432"/>
      <c r="AH303" s="1432"/>
      <c r="AI303" s="1432"/>
      <c r="AJ303" s="1432"/>
      <c r="AK303" s="1432"/>
      <c r="BN303" s="34"/>
    </row>
    <row r="304" spans="2:66" ht="12.95" customHeight="1">
      <c r="B304" s="3" t="s">
        <v>479</v>
      </c>
      <c r="C304" s="3"/>
      <c r="D304" s="3"/>
      <c r="E304" s="3"/>
      <c r="F304" s="3"/>
      <c r="H304" s="1431" t="s">
        <v>2686</v>
      </c>
      <c r="I304" s="1431"/>
      <c r="J304" s="1431"/>
      <c r="K304" s="1431"/>
      <c r="L304" s="1431"/>
      <c r="M304" s="1431"/>
      <c r="N304" s="1431"/>
      <c r="O304" s="1431"/>
      <c r="P304" s="1431"/>
      <c r="Q304" s="1431"/>
      <c r="R304" s="1431"/>
      <c r="T304" s="3" t="s">
        <v>479</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480</v>
      </c>
      <c r="C305" s="3"/>
      <c r="D305" s="3"/>
      <c r="E305" s="3"/>
      <c r="F305" s="3"/>
      <c r="H305" s="1431" t="s">
        <v>2687</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2688</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39" t="s">
        <v>2689</v>
      </c>
      <c r="I307" s="1521"/>
      <c r="J307" s="1521"/>
      <c r="K307" s="1521"/>
      <c r="L307" s="1521"/>
      <c r="M307" s="1521"/>
      <c r="N307" s="4" t="s">
        <v>207</v>
      </c>
      <c r="O307" s="4"/>
      <c r="P307" s="1430"/>
      <c r="Q307" s="1430"/>
      <c r="R307" s="1430"/>
      <c r="S307" s="3"/>
      <c r="T307" s="3" t="s">
        <v>88</v>
      </c>
      <c r="V307" s="3"/>
      <c r="W307" s="3"/>
      <c r="X307" s="3"/>
      <c r="Y307" s="3"/>
      <c r="AA307" s="1521"/>
      <c r="AB307" s="1521"/>
      <c r="AC307" s="1521"/>
      <c r="AD307" s="1521"/>
      <c r="AE307" s="1521"/>
      <c r="AF307" s="1521"/>
      <c r="AG307" s="4" t="s">
        <v>207</v>
      </c>
      <c r="AH307" s="4"/>
      <c r="AI307" s="1430"/>
      <c r="AJ307" s="1430"/>
      <c r="AK307" s="1430"/>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2690</v>
      </c>
      <c r="I309" s="1431"/>
      <c r="J309" s="1431"/>
      <c r="K309" s="1431"/>
      <c r="L309" s="1431"/>
      <c r="M309" s="1431"/>
      <c r="N309" s="1432"/>
      <c r="O309" s="1432"/>
      <c r="P309" s="1432"/>
      <c r="Q309" s="1432"/>
      <c r="R309" s="1432"/>
      <c r="S309" s="3"/>
      <c r="T309" s="3" t="s">
        <v>76</v>
      </c>
      <c r="V309" s="3"/>
      <c r="W309" s="3"/>
      <c r="X309" s="3"/>
      <c r="Y309" s="3"/>
      <c r="AA309" s="1431"/>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32" t="s">
        <v>2685</v>
      </c>
      <c r="I311" s="1432"/>
      <c r="J311" s="1432"/>
      <c r="K311" s="1432"/>
      <c r="L311" s="1432"/>
      <c r="M311" s="1432"/>
      <c r="N311" s="1432"/>
      <c r="O311" s="1432"/>
      <c r="P311" s="1432"/>
      <c r="Q311" s="1432"/>
      <c r="R311" s="1432"/>
      <c r="S311" s="3"/>
      <c r="T311" s="3" t="s">
        <v>366</v>
      </c>
      <c r="V311" s="3"/>
      <c r="W311" s="3"/>
      <c r="X311" s="3"/>
      <c r="Y311" s="3"/>
      <c r="AA311" s="1432" t="s">
        <v>2758</v>
      </c>
      <c r="AB311" s="1432"/>
      <c r="AC311" s="1432"/>
      <c r="AD311" s="1432"/>
      <c r="AE311" s="1432"/>
      <c r="AF311" s="1432"/>
      <c r="AG311" s="1432"/>
      <c r="AH311" s="1432"/>
      <c r="AI311" s="1432"/>
      <c r="AJ311" s="1432"/>
      <c r="AK311" s="1432"/>
      <c r="BN311" s="34"/>
    </row>
    <row r="312" spans="2:66" ht="12.95" customHeight="1">
      <c r="B312" s="3" t="s">
        <v>479</v>
      </c>
      <c r="C312" s="3"/>
      <c r="D312" s="3"/>
      <c r="E312" s="3"/>
      <c r="F312" s="3"/>
      <c r="H312" s="1431" t="s">
        <v>2686</v>
      </c>
      <c r="I312" s="1431"/>
      <c r="J312" s="1431"/>
      <c r="K312" s="1431"/>
      <c r="L312" s="1431"/>
      <c r="M312" s="1431"/>
      <c r="N312" s="1431"/>
      <c r="O312" s="1431"/>
      <c r="P312" s="1431"/>
      <c r="Q312" s="1431"/>
      <c r="R312" s="1431"/>
      <c r="S312" s="3"/>
      <c r="T312" s="3" t="s">
        <v>479</v>
      </c>
      <c r="V312" s="3"/>
      <c r="W312" s="3"/>
      <c r="X312" s="3"/>
      <c r="Y312" s="3"/>
      <c r="AA312" s="1431" t="s">
        <v>2731</v>
      </c>
      <c r="AB312" s="1431"/>
      <c r="AC312" s="1431"/>
      <c r="AD312" s="1431"/>
      <c r="AE312" s="1431"/>
      <c r="AF312" s="1431"/>
      <c r="AG312" s="1431"/>
      <c r="AH312" s="1431"/>
      <c r="AI312" s="1431"/>
      <c r="AJ312" s="1431"/>
      <c r="AK312" s="1431"/>
      <c r="BN312" s="34"/>
    </row>
    <row r="313" spans="2:66" ht="12.95" customHeight="1">
      <c r="B313" s="3" t="s">
        <v>480</v>
      </c>
      <c r="C313" s="3"/>
      <c r="D313" s="3"/>
      <c r="E313" s="3"/>
      <c r="F313" s="3"/>
      <c r="H313" s="1431" t="s">
        <v>2687</v>
      </c>
      <c r="I313" s="1431"/>
      <c r="J313" s="1431"/>
      <c r="K313" s="1431"/>
      <c r="L313" s="1431"/>
      <c r="M313" s="1431"/>
      <c r="N313" s="1431"/>
      <c r="O313" s="1431"/>
      <c r="P313" s="1431"/>
      <c r="Q313" s="1431"/>
      <c r="R313" s="1431"/>
      <c r="S313" s="3"/>
      <c r="T313" s="3" t="s">
        <v>75</v>
      </c>
      <c r="V313" s="3"/>
      <c r="W313" s="3"/>
      <c r="X313" s="3"/>
      <c r="Y313" s="3"/>
      <c r="AA313" s="1431" t="s">
        <v>2760</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2688</v>
      </c>
      <c r="I314" s="1431"/>
      <c r="J314" s="1431"/>
      <c r="K314" s="1431"/>
      <c r="L314" s="1431"/>
      <c r="M314" s="1431"/>
      <c r="N314" s="1431"/>
      <c r="O314" s="1431"/>
      <c r="P314" s="1431"/>
      <c r="Q314" s="1431"/>
      <c r="R314" s="1431"/>
      <c r="S314" s="3"/>
      <c r="T314" s="3" t="s">
        <v>87</v>
      </c>
      <c r="V314" s="3"/>
      <c r="W314" s="3"/>
      <c r="X314" s="3"/>
      <c r="Y314" s="3"/>
      <c r="AA314" s="1431" t="s">
        <v>2733</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1" t="s">
        <v>2689</v>
      </c>
      <c r="I315" s="1521"/>
      <c r="J315" s="1521"/>
      <c r="K315" s="1521"/>
      <c r="L315" s="1521"/>
      <c r="M315" s="1521"/>
      <c r="N315" s="4" t="s">
        <v>207</v>
      </c>
      <c r="O315" s="4"/>
      <c r="P315" s="1430"/>
      <c r="Q315" s="1430"/>
      <c r="R315" s="1430"/>
      <c r="S315" s="3"/>
      <c r="T315" s="3" t="s">
        <v>88</v>
      </c>
      <c r="V315" s="3"/>
      <c r="W315" s="3"/>
      <c r="X315" s="3"/>
      <c r="Y315" s="3"/>
      <c r="AA315" s="1539" t="s">
        <v>2734</v>
      </c>
      <c r="AB315" s="1521"/>
      <c r="AC315" s="1521"/>
      <c r="AD315" s="1521"/>
      <c r="AE315" s="1521"/>
      <c r="AF315" s="1521"/>
      <c r="AG315" s="4" t="s">
        <v>207</v>
      </c>
      <c r="AH315" s="4"/>
      <c r="AI315" s="1430"/>
      <c r="AJ315" s="1430"/>
      <c r="AK315" s="1430"/>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2690</v>
      </c>
      <c r="I317" s="1431"/>
      <c r="J317" s="1431"/>
      <c r="K317" s="1431"/>
      <c r="L317" s="1431"/>
      <c r="M317" s="1431"/>
      <c r="N317" s="1432"/>
      <c r="O317" s="1432"/>
      <c r="P317" s="1432"/>
      <c r="Q317" s="1432"/>
      <c r="R317" s="1432"/>
      <c r="S317" s="3"/>
      <c r="T317" s="3" t="s">
        <v>76</v>
      </c>
      <c r="V317" s="3"/>
      <c r="W317" s="3"/>
      <c r="X317" s="3"/>
      <c r="Y317" s="3"/>
      <c r="AA317" s="1431" t="s">
        <v>2759</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922</v>
      </c>
      <c r="C319" s="3"/>
      <c r="D319" s="3"/>
      <c r="E319" s="3"/>
      <c r="F319" s="3"/>
      <c r="H319" s="1432"/>
      <c r="I319" s="1432"/>
      <c r="J319" s="1432"/>
      <c r="K319" s="1432"/>
      <c r="L319" s="1432"/>
      <c r="M319" s="1432"/>
      <c r="N319" s="1432"/>
      <c r="O319" s="1432"/>
      <c r="P319" s="1432"/>
      <c r="Q319" s="1432"/>
      <c r="R319" s="1432"/>
      <c r="T319" s="3" t="s">
        <v>367</v>
      </c>
      <c r="V319" s="3"/>
      <c r="W319" s="3"/>
      <c r="X319" s="3"/>
      <c r="Y319" s="3"/>
      <c r="AA319" s="1432" t="s">
        <v>2779</v>
      </c>
      <c r="AB319" s="1432"/>
      <c r="AC319" s="1432"/>
      <c r="AD319" s="1432"/>
      <c r="AE319" s="1432"/>
      <c r="AF319" s="1432"/>
      <c r="AG319" s="1432"/>
      <c r="AH319" s="1432"/>
      <c r="AI319" s="1432"/>
      <c r="AJ319" s="1432"/>
      <c r="AK319" s="1432"/>
      <c r="BN319" s="34"/>
    </row>
    <row r="320" spans="2:66" ht="12.95" customHeight="1">
      <c r="B320" s="3" t="s">
        <v>479</v>
      </c>
      <c r="C320" s="3"/>
      <c r="D320" s="3"/>
      <c r="E320" s="3"/>
      <c r="F320" s="3"/>
      <c r="H320" s="1431"/>
      <c r="I320" s="1431"/>
      <c r="J320" s="1431"/>
      <c r="K320" s="1431"/>
      <c r="L320" s="1431"/>
      <c r="M320" s="1431"/>
      <c r="N320" s="1431"/>
      <c r="O320" s="1431"/>
      <c r="P320" s="1431"/>
      <c r="Q320" s="1431"/>
      <c r="R320" s="1431"/>
      <c r="T320" s="3" t="s">
        <v>479</v>
      </c>
      <c r="V320" s="3"/>
      <c r="W320" s="3"/>
      <c r="X320" s="3"/>
      <c r="Y320" s="3"/>
      <c r="AA320" s="1431" t="s">
        <v>2691</v>
      </c>
      <c r="AB320" s="1431"/>
      <c r="AC320" s="1431"/>
      <c r="AD320" s="1431"/>
      <c r="AE320" s="1431"/>
      <c r="AF320" s="1431"/>
      <c r="AG320" s="1431"/>
      <c r="AH320" s="1431"/>
      <c r="AI320" s="1431"/>
      <c r="AJ320" s="1431"/>
      <c r="AK320" s="1431"/>
      <c r="BN320" s="34"/>
    </row>
    <row r="321" spans="2:66" ht="12.95" customHeight="1">
      <c r="B321" s="3" t="s">
        <v>480</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2692</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2693</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1"/>
      <c r="I323" s="1521"/>
      <c r="J323" s="1521"/>
      <c r="K323" s="1521"/>
      <c r="L323" s="1521"/>
      <c r="M323" s="1521"/>
      <c r="N323" s="4" t="s">
        <v>207</v>
      </c>
      <c r="O323" s="4"/>
      <c r="P323" s="1430"/>
      <c r="Q323" s="1430"/>
      <c r="R323" s="1430"/>
      <c r="S323" s="3"/>
      <c r="T323" s="3" t="s">
        <v>88</v>
      </c>
      <c r="V323" s="3"/>
      <c r="W323" s="3"/>
      <c r="X323" s="3"/>
      <c r="Y323" s="3"/>
      <c r="AA323" s="1539" t="s">
        <v>2694</v>
      </c>
      <c r="AB323" s="1521"/>
      <c r="AC323" s="1521"/>
      <c r="AD323" s="1521"/>
      <c r="AE323" s="1521"/>
      <c r="AF323" s="1521"/>
      <c r="AG323" s="4" t="s">
        <v>207</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2695</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2" t="s">
        <v>2779</v>
      </c>
      <c r="I327" s="1432"/>
      <c r="J327" s="1432"/>
      <c r="K327" s="1432"/>
      <c r="L327" s="1432"/>
      <c r="M327" s="1432"/>
      <c r="N327" s="1432"/>
      <c r="O327" s="1432"/>
      <c r="P327" s="1432"/>
      <c r="Q327" s="1432"/>
      <c r="R327" s="1432"/>
      <c r="T327" s="3" t="s">
        <v>369</v>
      </c>
      <c r="V327" s="3"/>
      <c r="W327" s="3"/>
      <c r="X327" s="3"/>
      <c r="Y327" s="3"/>
      <c r="AA327" s="1432" t="s">
        <v>2771</v>
      </c>
      <c r="AB327" s="1432"/>
      <c r="AC327" s="1432"/>
      <c r="AD327" s="1432"/>
      <c r="AE327" s="1432"/>
      <c r="AF327" s="1432"/>
      <c r="AG327" s="1432"/>
      <c r="AH327" s="1432"/>
      <c r="AI327" s="1432"/>
      <c r="AJ327" s="1432"/>
      <c r="AK327" s="1432"/>
    </row>
    <row r="328" spans="2:66" ht="12.95" customHeight="1">
      <c r="B328" s="3" t="s">
        <v>479</v>
      </c>
      <c r="C328" s="3"/>
      <c r="D328" s="3"/>
      <c r="E328" s="3"/>
      <c r="F328" s="3"/>
      <c r="H328" s="1431" t="s">
        <v>2691</v>
      </c>
      <c r="I328" s="1431"/>
      <c r="J328" s="1431"/>
      <c r="K328" s="1431"/>
      <c r="L328" s="1431"/>
      <c r="M328" s="1431"/>
      <c r="N328" s="1431"/>
      <c r="O328" s="1431"/>
      <c r="P328" s="1431"/>
      <c r="Q328" s="1431"/>
      <c r="R328" s="1431"/>
      <c r="T328" s="3" t="s">
        <v>479</v>
      </c>
      <c r="V328" s="3"/>
      <c r="W328" s="3"/>
      <c r="X328" s="3"/>
      <c r="Y328" s="3"/>
      <c r="AA328" s="1431" t="s">
        <v>2772</v>
      </c>
      <c r="AB328" s="1431"/>
      <c r="AC328" s="1431"/>
      <c r="AD328" s="1431"/>
      <c r="AE328" s="1431"/>
      <c r="AF328" s="1431"/>
      <c r="AG328" s="1431"/>
      <c r="AH328" s="1431"/>
      <c r="AI328" s="1431"/>
      <c r="AJ328" s="1431"/>
      <c r="AK328" s="1431"/>
    </row>
    <row r="329" spans="2:66" ht="12.95" customHeight="1">
      <c r="B329" s="3" t="s">
        <v>480</v>
      </c>
      <c r="C329" s="3"/>
      <c r="D329" s="3"/>
      <c r="E329" s="3"/>
      <c r="F329" s="3"/>
      <c r="H329" s="1431" t="s">
        <v>2692</v>
      </c>
      <c r="I329" s="1431"/>
      <c r="J329" s="1431"/>
      <c r="K329" s="1431"/>
      <c r="L329" s="1431"/>
      <c r="M329" s="1431"/>
      <c r="N329" s="1431"/>
      <c r="O329" s="1431"/>
      <c r="P329" s="1431"/>
      <c r="Q329" s="1431"/>
      <c r="R329" s="1431"/>
      <c r="T329" s="3" t="s">
        <v>75</v>
      </c>
      <c r="V329" s="3"/>
      <c r="W329" s="3"/>
      <c r="X329" s="3"/>
      <c r="Y329" s="3"/>
      <c r="AA329" s="1431" t="s">
        <v>2773</v>
      </c>
      <c r="AB329" s="1431"/>
      <c r="AC329" s="1431"/>
      <c r="AD329" s="1431"/>
      <c r="AE329" s="1431"/>
      <c r="AF329" s="1431"/>
      <c r="AG329" s="1431"/>
      <c r="AH329" s="1431"/>
      <c r="AI329" s="1431"/>
      <c r="AJ329" s="1431"/>
      <c r="AK329" s="1431"/>
    </row>
    <row r="330" spans="2:66" ht="12.95" customHeight="1">
      <c r="B330" s="3" t="s">
        <v>87</v>
      </c>
      <c r="C330" s="3"/>
      <c r="D330" s="3"/>
      <c r="E330" s="3"/>
      <c r="F330" s="3"/>
      <c r="H330" s="1431" t="s">
        <v>2693</v>
      </c>
      <c r="I330" s="1431"/>
      <c r="J330" s="1431"/>
      <c r="K330" s="1431"/>
      <c r="L330" s="1431"/>
      <c r="M330" s="1431"/>
      <c r="N330" s="1431"/>
      <c r="O330" s="1431"/>
      <c r="P330" s="1431"/>
      <c r="Q330" s="1431"/>
      <c r="R330" s="1431"/>
      <c r="T330" s="3" t="s">
        <v>87</v>
      </c>
      <c r="V330" s="3"/>
      <c r="W330" s="3"/>
      <c r="X330" s="3"/>
      <c r="Y330" s="3"/>
      <c r="AA330" s="1431" t="s">
        <v>2774</v>
      </c>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1" t="s">
        <v>2694</v>
      </c>
      <c r="I331" s="1521"/>
      <c r="J331" s="1521"/>
      <c r="K331" s="1521"/>
      <c r="L331" s="1521"/>
      <c r="M331" s="1521"/>
      <c r="N331" s="4" t="s">
        <v>207</v>
      </c>
      <c r="O331" s="4"/>
      <c r="P331" s="1430"/>
      <c r="Q331" s="1430"/>
      <c r="R331" s="1430"/>
      <c r="S331" s="3"/>
      <c r="T331" s="3" t="s">
        <v>88</v>
      </c>
      <c r="V331" s="3"/>
      <c r="W331" s="3"/>
      <c r="X331" s="3"/>
      <c r="Y331" s="3"/>
      <c r="AA331" s="1539" t="s">
        <v>2775</v>
      </c>
      <c r="AB331" s="1521"/>
      <c r="AC331" s="1521"/>
      <c r="AD331" s="1521"/>
      <c r="AE331" s="1521"/>
      <c r="AF331" s="1521"/>
      <c r="AG331" s="4" t="s">
        <v>207</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2695</v>
      </c>
      <c r="I333" s="1431"/>
      <c r="J333" s="1431"/>
      <c r="K333" s="1431"/>
      <c r="L333" s="1431"/>
      <c r="M333" s="1431"/>
      <c r="N333" s="1432"/>
      <c r="O333" s="1432"/>
      <c r="P333" s="1432"/>
      <c r="Q333" s="1432"/>
      <c r="R333" s="1432"/>
      <c r="S333" s="3"/>
      <c r="T333" s="3" t="s">
        <v>76</v>
      </c>
      <c r="V333" s="3"/>
      <c r="W333" s="3"/>
      <c r="X333" s="3"/>
      <c r="Y333" s="3"/>
      <c r="AA333" s="1431" t="s">
        <v>2776</v>
      </c>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2" t="s">
        <v>2702</v>
      </c>
      <c r="I335" s="1432"/>
      <c r="J335" s="1432"/>
      <c r="K335" s="1432"/>
      <c r="L335" s="1432"/>
      <c r="M335" s="1432"/>
      <c r="N335" s="1432"/>
      <c r="O335" s="1432"/>
      <c r="P335" s="1432"/>
      <c r="Q335" s="1432"/>
      <c r="R335" s="1432"/>
      <c r="T335" s="218" t="s">
        <v>898</v>
      </c>
      <c r="V335" s="3"/>
      <c r="W335" s="3"/>
      <c r="X335" s="3"/>
      <c r="Y335" s="3"/>
      <c r="AA335" s="1432" t="s">
        <v>2696</v>
      </c>
      <c r="AB335" s="1432"/>
      <c r="AC335" s="1432"/>
      <c r="AD335" s="1432"/>
      <c r="AE335" s="1432"/>
      <c r="AF335" s="1432"/>
      <c r="AG335" s="1432"/>
      <c r="AH335" s="1432"/>
      <c r="AI335" s="1432"/>
      <c r="AJ335" s="1432"/>
      <c r="AK335" s="1432"/>
    </row>
    <row r="336" spans="2:66" ht="12.95" customHeight="1">
      <c r="B336" s="3" t="s">
        <v>479</v>
      </c>
      <c r="C336" s="3"/>
      <c r="D336" s="3"/>
      <c r="E336" s="3"/>
      <c r="F336" s="3"/>
      <c r="H336" s="1431" t="s">
        <v>2703</v>
      </c>
      <c r="I336" s="1431"/>
      <c r="J336" s="1431"/>
      <c r="K336" s="1431"/>
      <c r="L336" s="1431"/>
      <c r="M336" s="1431"/>
      <c r="N336" s="1431"/>
      <c r="O336" s="1431"/>
      <c r="P336" s="1431"/>
      <c r="Q336" s="1431"/>
      <c r="R336" s="1431"/>
      <c r="T336" s="3" t="s">
        <v>479</v>
      </c>
      <c r="V336" s="3"/>
      <c r="W336" s="3"/>
      <c r="X336" s="3"/>
      <c r="Y336" s="3"/>
      <c r="AA336" s="1431" t="s">
        <v>2697</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2704</v>
      </c>
      <c r="I337" s="1431"/>
      <c r="J337" s="1431"/>
      <c r="K337" s="1431"/>
      <c r="L337" s="1431"/>
      <c r="M337" s="1431"/>
      <c r="N337" s="1431"/>
      <c r="O337" s="1431"/>
      <c r="P337" s="1431"/>
      <c r="Q337" s="1431"/>
      <c r="R337" s="1431"/>
      <c r="T337" s="3" t="s">
        <v>75</v>
      </c>
      <c r="V337" s="3"/>
      <c r="W337" s="3"/>
      <c r="X337" s="3"/>
      <c r="Y337" s="3"/>
      <c r="AA337" s="1431" t="s">
        <v>2698</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2705</v>
      </c>
      <c r="I338" s="1431"/>
      <c r="J338" s="1431"/>
      <c r="K338" s="1431"/>
      <c r="L338" s="1431"/>
      <c r="M338" s="1431"/>
      <c r="N338" s="1431"/>
      <c r="O338" s="1431"/>
      <c r="P338" s="1431"/>
      <c r="Q338" s="1431"/>
      <c r="R338" s="1431"/>
      <c r="T338" s="3" t="s">
        <v>87</v>
      </c>
      <c r="V338" s="3"/>
      <c r="W338" s="3"/>
      <c r="X338" s="3"/>
      <c r="Y338" s="3"/>
      <c r="AA338" s="1431" t="s">
        <v>2699</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1" t="s">
        <v>2707</v>
      </c>
      <c r="I339" s="1521"/>
      <c r="J339" s="1521"/>
      <c r="K339" s="1521"/>
      <c r="L339" s="1521"/>
      <c r="M339" s="1521"/>
      <c r="N339" s="4" t="s">
        <v>207</v>
      </c>
      <c r="O339" s="4"/>
      <c r="P339" s="1430"/>
      <c r="Q339" s="1430"/>
      <c r="R339" s="1430"/>
      <c r="S339" s="3"/>
      <c r="T339" s="3" t="s">
        <v>88</v>
      </c>
      <c r="V339" s="3"/>
      <c r="W339" s="3"/>
      <c r="X339" s="3"/>
      <c r="Y339" s="3"/>
      <c r="AA339" s="1521" t="s">
        <v>2700</v>
      </c>
      <c r="AB339" s="1521"/>
      <c r="AC339" s="1521"/>
      <c r="AD339" s="1521"/>
      <c r="AE339" s="1521"/>
      <c r="AF339" s="1521"/>
      <c r="AG339" s="4" t="s">
        <v>207</v>
      </c>
      <c r="AH339" s="4"/>
      <c r="AI339" s="1430"/>
      <c r="AJ339" s="1430"/>
      <c r="AK339" s="1430"/>
    </row>
    <row r="340" spans="1:66" ht="12.95" customHeight="1">
      <c r="B340" s="3" t="s">
        <v>89</v>
      </c>
      <c r="C340" s="3"/>
      <c r="D340" s="3"/>
      <c r="E340" s="3"/>
      <c r="F340" s="3"/>
      <c r="G340" s="3"/>
      <c r="H340" s="1435"/>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2.95" customHeight="1">
      <c r="B341" s="3" t="s">
        <v>76</v>
      </c>
      <c r="C341" s="3"/>
      <c r="D341" s="3"/>
      <c r="E341" s="3"/>
      <c r="F341" s="3"/>
      <c r="G341" s="3"/>
      <c r="H341" s="1431" t="s">
        <v>2706</v>
      </c>
      <c r="I341" s="1431"/>
      <c r="J341" s="1431"/>
      <c r="K341" s="1431"/>
      <c r="L341" s="1431"/>
      <c r="M341" s="1431"/>
      <c r="N341" s="1432"/>
      <c r="O341" s="1432"/>
      <c r="P341" s="1432"/>
      <c r="Q341" s="1432"/>
      <c r="R341" s="1432"/>
      <c r="S341" s="3"/>
      <c r="T341" s="3" t="s">
        <v>76</v>
      </c>
      <c r="V341" s="3"/>
      <c r="W341" s="3"/>
      <c r="X341" s="3"/>
      <c r="Y341" s="3"/>
      <c r="AA341" s="1431" t="s">
        <v>2701</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432"/>
      <c r="Q343" s="1432"/>
      <c r="R343" s="1432"/>
      <c r="S343" s="1432"/>
      <c r="T343" s="1432"/>
      <c r="U343" s="1432"/>
      <c r="V343" s="1432"/>
      <c r="W343" s="1432"/>
      <c r="X343" s="1432"/>
      <c r="Y343" s="1432"/>
      <c r="Z343" s="1432"/>
      <c r="AA343" s="1432"/>
      <c r="AB343" s="1432"/>
      <c r="AC343" s="1432"/>
      <c r="AD343" s="1432"/>
      <c r="AE343" s="1432"/>
      <c r="BN343" t="s">
        <v>676</v>
      </c>
    </row>
    <row r="344" spans="1:66" ht="12.95" customHeight="1">
      <c r="B344" s="4"/>
      <c r="C344" s="4"/>
      <c r="D344" s="4"/>
      <c r="E344" s="4"/>
      <c r="F344" s="4"/>
      <c r="I344" s="4" t="s">
        <v>479</v>
      </c>
      <c r="P344" s="1431"/>
      <c r="Q344" s="1431"/>
      <c r="R344" s="1431"/>
      <c r="S344" s="1431"/>
      <c r="T344" s="1431"/>
      <c r="U344" s="1431"/>
      <c r="V344" s="1431"/>
      <c r="W344" s="1431"/>
      <c r="X344" s="1431"/>
      <c r="Y344" s="1431"/>
      <c r="Z344" s="1431"/>
      <c r="AA344" s="1431"/>
      <c r="AB344" s="1431"/>
      <c r="AC344" s="1431"/>
      <c r="AD344" s="1431"/>
      <c r="AE344" s="1431"/>
      <c r="BN344" t="s">
        <v>553</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3" t="s">
        <v>550</v>
      </c>
      <c r="B351" s="1543"/>
      <c r="C351" s="1543"/>
      <c r="D351" s="1543"/>
      <c r="E351" s="1543"/>
      <c r="F351" s="1543"/>
      <c r="G351" s="1543"/>
      <c r="H351" s="1543"/>
      <c r="I351" s="1543"/>
      <c r="J351" s="1543"/>
      <c r="K351" s="1543"/>
      <c r="L351" s="1543"/>
      <c r="M351" s="1543"/>
      <c r="N351" s="1543"/>
      <c r="O351" s="1543"/>
      <c r="P351" s="1543"/>
      <c r="Q351" s="1543"/>
      <c r="R351" s="1543"/>
      <c r="S351" s="1543"/>
      <c r="T351" s="1543"/>
      <c r="U351" s="1543"/>
      <c r="V351" s="1543"/>
      <c r="W351" s="1543"/>
      <c r="X351" s="1543"/>
      <c r="Y351" s="1543"/>
      <c r="Z351" s="1543"/>
      <c r="AA351" s="1543"/>
      <c r="AB351" s="1543"/>
      <c r="AC351" s="1543"/>
      <c r="AD351" s="1543"/>
      <c r="AE351" s="1543"/>
      <c r="AF351" s="1543"/>
      <c r="AG351" s="1543"/>
      <c r="AH351" s="1543"/>
      <c r="AI351" s="1543"/>
      <c r="AJ351" s="1543"/>
      <c r="AK351" s="1543"/>
      <c r="AL351" s="1543"/>
      <c r="AM351" s="1543"/>
      <c r="AN351" s="1543"/>
      <c r="AO351" s="1543"/>
      <c r="AP351" s="1543"/>
      <c r="AQ351" s="1543"/>
      <c r="AR351" s="1543"/>
      <c r="AS351" s="1543"/>
      <c r="AT351" s="1543"/>
      <c r="AU351" s="95"/>
      <c r="AV351" s="95"/>
      <c r="AW351" s="95"/>
      <c r="AX351" s="95"/>
      <c r="AY351" s="95"/>
    </row>
    <row r="352" spans="1:66" ht="12.95" customHeight="1">
      <c r="A352" s="1543"/>
      <c r="B352" s="1543"/>
      <c r="C352" s="1543"/>
      <c r="D352" s="1543"/>
      <c r="E352" s="1543"/>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1543"/>
      <c r="AD352" s="1543"/>
      <c r="AE352" s="1543"/>
      <c r="AF352" s="1543"/>
      <c r="AG352" s="1543"/>
      <c r="AH352" s="1543"/>
      <c r="AI352" s="1543"/>
      <c r="AJ352" s="1543"/>
      <c r="AK352" s="1543"/>
      <c r="AL352" s="1543"/>
      <c r="AM352" s="1543"/>
      <c r="AN352" s="1543"/>
      <c r="AO352" s="1543"/>
      <c r="AP352" s="1543"/>
      <c r="AQ352" s="1543"/>
      <c r="AR352" s="1543"/>
      <c r="AS352" s="1543"/>
      <c r="AT352" s="154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2413</v>
      </c>
      <c r="M355" s="1418" t="s">
        <v>599</v>
      </c>
      <c r="N355" s="1418"/>
      <c r="P355" t="s">
        <v>1759</v>
      </c>
      <c r="AJ355" s="1418" t="s">
        <v>676</v>
      </c>
      <c r="AK355" s="1418"/>
    </row>
    <row r="356" spans="1:46" ht="12.95" customHeight="1">
      <c r="D356" s="3" t="s">
        <v>1748</v>
      </c>
      <c r="M356" s="1418" t="s">
        <v>599</v>
      </c>
      <c r="N356" s="1418"/>
      <c r="P356" s="3" t="s">
        <v>1905</v>
      </c>
      <c r="AJ356" s="1424"/>
      <c r="AK356" s="1424"/>
    </row>
    <row r="357" spans="1:46" ht="12.95" customHeight="1">
      <c r="D357" s="3" t="s">
        <v>712</v>
      </c>
      <c r="M357" s="1418" t="s">
        <v>599</v>
      </c>
      <c r="N357" s="1418"/>
      <c r="P357" t="s">
        <v>1758</v>
      </c>
      <c r="AJ357" s="1418" t="s">
        <v>676</v>
      </c>
      <c r="AK357" s="1418"/>
    </row>
    <row r="358" spans="1:46" ht="12.95" customHeight="1">
      <c r="D358" s="3" t="s">
        <v>713</v>
      </c>
      <c r="M358" s="1418" t="s">
        <v>553</v>
      </c>
      <c r="N358" s="141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553</v>
      </c>
      <c r="O363" s="1418"/>
      <c r="P363" s="40"/>
      <c r="Q363" s="40"/>
      <c r="R363" s="40"/>
      <c r="S363" s="40"/>
      <c r="T363" s="40"/>
      <c r="U363" s="40"/>
      <c r="V363" s="40"/>
      <c r="W363" s="40"/>
      <c r="X363" s="40"/>
      <c r="Y363" s="40"/>
      <c r="Z363" s="40"/>
      <c r="AC363" s="40"/>
      <c r="AD363" s="40"/>
      <c r="AE363" s="40"/>
    </row>
    <row r="364" spans="1:46" ht="12.95" customHeight="1">
      <c r="E364" t="s">
        <v>371</v>
      </c>
      <c r="Y364" s="1418" t="s">
        <v>599</v>
      </c>
      <c r="Z364" s="1418"/>
    </row>
    <row r="365" spans="1:46" ht="12.95" customHeight="1">
      <c r="D365" s="4" t="s">
        <v>995</v>
      </c>
      <c r="Q365" s="1432" t="s">
        <v>2708</v>
      </c>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8" t="s">
        <v>599</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714</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456</v>
      </c>
      <c r="F370" s="4"/>
      <c r="G370" s="4"/>
      <c r="H370" s="4"/>
      <c r="I370" s="4"/>
      <c r="J370" s="4"/>
      <c r="K370" s="4"/>
      <c r="L370" s="4"/>
      <c r="N370" s="1417">
        <v>42</v>
      </c>
      <c r="O370" s="1417"/>
      <c r="P370" s="1417"/>
      <c r="Q370" s="1417"/>
      <c r="R370" s="4"/>
      <c r="U370" s="4" t="s">
        <v>457</v>
      </c>
      <c r="V370" s="4"/>
      <c r="W370" s="4"/>
      <c r="X370" s="4"/>
      <c r="Y370" s="4"/>
      <c r="Z370" s="4"/>
      <c r="AA370" s="4"/>
      <c r="AB370" s="4"/>
      <c r="AC370" s="1417">
        <v>12</v>
      </c>
      <c r="AD370" s="1417"/>
      <c r="AE370" s="1417"/>
      <c r="AF370" s="1417"/>
    </row>
    <row r="371" spans="1:34" ht="12.95" customHeight="1">
      <c r="E371" s="4" t="s">
        <v>458</v>
      </c>
      <c r="F371" s="4"/>
      <c r="G371" s="4"/>
      <c r="H371" s="4"/>
      <c r="I371" s="4"/>
      <c r="J371" s="4"/>
      <c r="K371" s="4"/>
      <c r="L371" s="4"/>
      <c r="N371" s="1417">
        <v>11</v>
      </c>
      <c r="O371" s="1417"/>
      <c r="P371" s="1417"/>
      <c r="Q371" s="1417"/>
      <c r="R371" s="4"/>
      <c r="U371" s="4" t="s">
        <v>0</v>
      </c>
      <c r="V371" s="4"/>
      <c r="W371" s="4"/>
      <c r="X371" s="4"/>
      <c r="Y371" s="4"/>
      <c r="Z371" s="4"/>
      <c r="AA371" s="4"/>
      <c r="AB371" s="4"/>
      <c r="AC371" s="1417">
        <v>70</v>
      </c>
      <c r="AD371" s="1417"/>
      <c r="AE371" s="1417"/>
      <c r="AF371" s="1417"/>
    </row>
    <row r="372" spans="1:34" ht="12.95" customHeight="1">
      <c r="E372" s="4" t="s">
        <v>1</v>
      </c>
      <c r="F372" s="4"/>
      <c r="G372" s="4"/>
      <c r="H372" s="4"/>
      <c r="I372" s="4"/>
      <c r="J372" s="4"/>
      <c r="K372" s="4"/>
      <c r="L372" s="4"/>
      <c r="N372" s="1417">
        <v>2</v>
      </c>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t="s">
        <v>2709</v>
      </c>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2397</v>
      </c>
      <c r="F377" s="4"/>
      <c r="G377" s="4"/>
      <c r="H377" s="4"/>
      <c r="I377" s="4"/>
      <c r="J377" s="4"/>
      <c r="K377" s="4"/>
      <c r="L377" s="4"/>
      <c r="N377" t="s">
        <v>2392</v>
      </c>
      <c r="R377" s="27" t="s">
        <v>306</v>
      </c>
      <c r="S377" s="1439">
        <v>2008</v>
      </c>
      <c r="T377" s="1439"/>
      <c r="U377" s="1" t="s">
        <v>307</v>
      </c>
      <c r="V377" s="1439">
        <v>922</v>
      </c>
      <c r="W377" s="1439"/>
      <c r="Y377" t="s">
        <v>2392</v>
      </c>
      <c r="AC377" s="27" t="s">
        <v>306</v>
      </c>
      <c r="AD377" s="1439"/>
      <c r="AE377" s="1439"/>
      <c r="AF377" s="1" t="s">
        <v>307</v>
      </c>
      <c r="AG377" s="1439"/>
      <c r="AH377" s="1439"/>
    </row>
    <row r="378" spans="1:34" ht="12.95" customHeight="1">
      <c r="E378" s="4" t="s">
        <v>1009</v>
      </c>
      <c r="F378" s="4"/>
      <c r="G378" s="4"/>
      <c r="H378" s="4"/>
      <c r="I378" s="4"/>
      <c r="J378" s="4"/>
      <c r="K378" s="4"/>
      <c r="L378" s="4"/>
      <c r="N378" s="1439">
        <v>2009</v>
      </c>
      <c r="O378" s="1439"/>
      <c r="P378" s="1439"/>
    </row>
    <row r="379" spans="1:34" ht="12.95" customHeight="1">
      <c r="E379" s="218" t="s">
        <v>2398</v>
      </c>
      <c r="F379" s="4"/>
      <c r="G379" s="4"/>
      <c r="H379" s="4"/>
      <c r="I379" s="4"/>
      <c r="J379" s="4"/>
      <c r="K379" s="4"/>
      <c r="L379" s="4"/>
      <c r="AG379" s="1530" t="s">
        <v>553</v>
      </c>
      <c r="AH379" s="1530"/>
    </row>
    <row r="380" spans="1:34" ht="12.95" customHeight="1">
      <c r="E380" s="4"/>
      <c r="F380" s="4"/>
      <c r="G380" s="4" t="s">
        <v>2399</v>
      </c>
      <c r="H380" s="4"/>
      <c r="I380" s="4"/>
      <c r="J380" s="4"/>
      <c r="K380" s="4"/>
      <c r="L380" s="4"/>
      <c r="AG380" s="1530" t="s">
        <v>676</v>
      </c>
      <c r="AH380" s="1530"/>
    </row>
    <row r="381" spans="1:34" ht="12.95" customHeight="1">
      <c r="E381" s="4"/>
      <c r="F381" s="4"/>
      <c r="G381" s="348" t="s">
        <v>1010</v>
      </c>
      <c r="H381" s="4"/>
      <c r="I381" s="4"/>
      <c r="J381" s="4"/>
      <c r="K381" s="4"/>
      <c r="L381" s="4"/>
      <c r="V381" s="1418" t="s">
        <v>599</v>
      </c>
      <c r="W381" s="1418"/>
      <c r="Y381" s="22" t="s">
        <v>997</v>
      </c>
    </row>
    <row r="382" spans="1:34" ht="12.95" customHeight="1">
      <c r="E382" s="4" t="s">
        <v>998</v>
      </c>
      <c r="F382" s="4"/>
      <c r="G382" s="4"/>
      <c r="H382" s="4"/>
      <c r="I382" s="4"/>
      <c r="J382" s="4"/>
      <c r="K382" s="4"/>
      <c r="L382" s="4"/>
      <c r="V382" s="1418" t="s">
        <v>553</v>
      </c>
      <c r="W382" s="1418"/>
      <c r="Y382" s="4" t="s">
        <v>999</v>
      </c>
    </row>
    <row r="383" spans="1:34" ht="12.95" customHeight="1"/>
    <row r="384" spans="1:34" ht="12.95" customHeight="1">
      <c r="A384" s="2" t="s">
        <v>78</v>
      </c>
      <c r="B384" s="2"/>
    </row>
    <row r="385" spans="4:36" ht="12.95" customHeight="1">
      <c r="D385" t="s">
        <v>429</v>
      </c>
      <c r="J385" s="1432" t="s">
        <v>2714</v>
      </c>
      <c r="K385" s="1432"/>
      <c r="L385" s="1432"/>
      <c r="M385" s="1432"/>
      <c r="N385" s="1432"/>
      <c r="O385" s="1432"/>
      <c r="P385" s="1432"/>
      <c r="Q385" s="1432"/>
      <c r="R385" s="1432"/>
      <c r="S385" s="1432"/>
      <c r="T385" s="1432"/>
      <c r="U385" s="1432"/>
      <c r="V385" s="8" t="s">
        <v>83</v>
      </c>
      <c r="W385" s="8"/>
      <c r="X385" s="8"/>
      <c r="Y385" s="8"/>
      <c r="Z385" s="8"/>
      <c r="AA385" s="8"/>
      <c r="AB385" s="8"/>
      <c r="AC385" s="1432" t="s">
        <v>2715</v>
      </c>
      <c r="AD385" s="1432"/>
      <c r="AE385" s="1432"/>
      <c r="AF385" s="1432"/>
      <c r="AG385" s="1432"/>
      <c r="AH385" s="1432"/>
      <c r="AI385" s="1432"/>
      <c r="AJ385" s="1432"/>
    </row>
    <row r="386" spans="4:36" ht="12.95" customHeight="1">
      <c r="D386" s="3" t="s">
        <v>1286</v>
      </c>
      <c r="J386" s="1431" t="s">
        <v>2715</v>
      </c>
      <c r="K386" s="1431"/>
      <c r="L386" s="1431"/>
      <c r="M386" s="1431"/>
      <c r="N386" s="1431"/>
      <c r="O386" s="1431"/>
      <c r="P386" s="1431"/>
      <c r="Q386" s="1431"/>
      <c r="R386" s="1431"/>
      <c r="S386" s="1431"/>
      <c r="T386" s="1431"/>
      <c r="U386" s="1431"/>
      <c r="V386" s="3" t="s">
        <v>1286</v>
      </c>
      <c r="W386" s="8"/>
      <c r="X386" s="8"/>
      <c r="Y386" s="8"/>
      <c r="Z386" s="8"/>
      <c r="AA386" s="8"/>
      <c r="AB386" s="8"/>
      <c r="AC386" s="1432"/>
      <c r="AD386" s="1432"/>
      <c r="AE386" s="1432"/>
      <c r="AF386" s="1432"/>
      <c r="AG386" s="1432"/>
      <c r="AH386" s="1432"/>
      <c r="AI386" s="1432"/>
      <c r="AJ386" s="1432"/>
    </row>
    <row r="387" spans="4:36" ht="12.95" customHeight="1">
      <c r="D387" s="3" t="s">
        <v>443</v>
      </c>
      <c r="J387" s="1431" t="s">
        <v>2716</v>
      </c>
      <c r="K387" s="1431"/>
      <c r="L387" s="1431"/>
      <c r="M387" s="1431"/>
      <c r="N387" s="1431"/>
      <c r="O387" s="1431"/>
      <c r="P387" s="1431"/>
      <c r="Q387" s="1431"/>
      <c r="R387" s="1431"/>
      <c r="S387" s="1431"/>
      <c r="T387" s="1431"/>
      <c r="U387" s="1431"/>
      <c r="V387" s="3" t="s">
        <v>443</v>
      </c>
      <c r="W387" s="8"/>
      <c r="X387" s="8"/>
      <c r="Y387" s="8"/>
      <c r="Z387" s="8"/>
      <c r="AA387" s="8"/>
      <c r="AB387" s="8"/>
      <c r="AC387" s="1432"/>
      <c r="AD387" s="1432"/>
      <c r="AE387" s="1432"/>
      <c r="AF387" s="1432"/>
      <c r="AG387" s="1432"/>
      <c r="AH387" s="1432"/>
      <c r="AI387" s="1432"/>
      <c r="AJ387" s="1432"/>
    </row>
    <row r="388" spans="4:36" ht="12.95" customHeight="1">
      <c r="D388" t="s">
        <v>1282</v>
      </c>
      <c r="J388" s="1421" t="s">
        <v>2717</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2.95" customHeight="1">
      <c r="D389" t="s">
        <v>4</v>
      </c>
      <c r="Q389" s="1728">
        <v>45527</v>
      </c>
      <c r="R389" s="1728"/>
      <c r="S389" s="1728"/>
      <c r="T389" s="1728"/>
      <c r="U389" s="1728"/>
      <c r="V389" t="s">
        <v>310</v>
      </c>
      <c r="AI389" s="1418" t="s">
        <v>553</v>
      </c>
      <c r="AJ389" s="1418"/>
    </row>
    <row r="390" spans="4:36" ht="12.95" customHeight="1">
      <c r="D390" t="s">
        <v>5</v>
      </c>
      <c r="Q390" s="1610"/>
      <c r="R390" s="1725"/>
      <c r="S390" s="1725"/>
      <c r="T390" s="1725"/>
      <c r="U390" s="1725"/>
      <c r="W390" s="21" t="s">
        <v>74</v>
      </c>
      <c r="AG390" s="1723" t="s">
        <v>599</v>
      </c>
      <c r="AH390" s="1433"/>
      <c r="AI390" s="1433"/>
      <c r="AJ390" s="1433"/>
    </row>
    <row r="391" spans="4:36" ht="12.95" customHeight="1">
      <c r="D391" t="s">
        <v>428</v>
      </c>
      <c r="Q391" s="1724">
        <v>17250000</v>
      </c>
      <c r="R391" s="1724"/>
      <c r="S391" s="1724"/>
      <c r="T391" s="1724"/>
      <c r="U391" s="1724"/>
      <c r="V391" s="3" t="s">
        <v>1285</v>
      </c>
      <c r="AG391" s="1528">
        <v>45746</v>
      </c>
      <c r="AH391" s="1528"/>
      <c r="AI391" s="1528"/>
      <c r="AJ391" s="1528"/>
    </row>
    <row r="392" spans="4:36" ht="12.95" customHeight="1">
      <c r="D392" t="s">
        <v>88</v>
      </c>
      <c r="I392" s="1539" t="s">
        <v>2656</v>
      </c>
      <c r="J392" s="1521"/>
      <c r="K392" s="1521"/>
      <c r="L392" s="1521"/>
      <c r="M392" s="1521"/>
      <c r="N392" s="1521"/>
      <c r="Q392" s="4" t="s">
        <v>207</v>
      </c>
      <c r="S392" s="1727"/>
      <c r="T392" s="1727"/>
      <c r="U392" s="1727"/>
      <c r="V392" t="s">
        <v>73</v>
      </c>
      <c r="AI392" s="1418" t="s">
        <v>676</v>
      </c>
      <c r="AJ392" s="1418"/>
    </row>
    <row r="393" spans="4:36" ht="12.95" customHeight="1">
      <c r="D393" t="s">
        <v>311</v>
      </c>
      <c r="Q393" s="1529"/>
      <c r="R393" s="1529"/>
      <c r="S393" s="1529"/>
      <c r="T393" s="1529"/>
      <c r="U393" s="1529"/>
      <c r="V393" t="s">
        <v>312</v>
      </c>
      <c r="AG393" s="1433"/>
      <c r="AH393" s="1433"/>
      <c r="AI393" s="1433"/>
      <c r="AJ393" s="1433"/>
    </row>
    <row r="394" spans="4:36" ht="12.95" customHeight="1">
      <c r="D394" t="s">
        <v>313</v>
      </c>
      <c r="Q394" s="1580"/>
      <c r="R394" s="1580"/>
      <c r="S394" s="1580"/>
      <c r="T394" s="1580"/>
      <c r="U394" s="1580"/>
      <c r="V394" t="s">
        <v>1266</v>
      </c>
      <c r="AG394" s="1433">
        <v>0</v>
      </c>
      <c r="AH394" s="1433"/>
      <c r="AI394" s="1433"/>
      <c r="AJ394" s="1433"/>
    </row>
    <row r="395" spans="4:36" ht="12.95" customHeight="1">
      <c r="D395" t="s">
        <v>1265</v>
      </c>
      <c r="AG395" s="1433"/>
      <c r="AH395" s="1433"/>
      <c r="AI395" s="1433"/>
      <c r="AJ395" s="1433"/>
    </row>
    <row r="396" spans="4:36" ht="12.95" customHeight="1">
      <c r="AG396" s="490"/>
      <c r="AH396" s="490"/>
      <c r="AI396" s="490"/>
      <c r="AJ396" s="490"/>
    </row>
    <row r="397" spans="4:36" ht="12.95" customHeight="1">
      <c r="D397" s="3" t="s">
        <v>2498</v>
      </c>
      <c r="AG397" s="490"/>
      <c r="AH397" s="490"/>
      <c r="AI397" s="1418" t="s">
        <v>676</v>
      </c>
      <c r="AJ397" s="1418"/>
    </row>
    <row r="398" spans="4:36" ht="12.95" customHeight="1">
      <c r="D398" s="3" t="s">
        <v>1777</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1776</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1770</v>
      </c>
      <c r="S401" s="1415" t="s">
        <v>553</v>
      </c>
      <c r="T401" s="1415"/>
      <c r="U401" s="1415"/>
      <c r="V401" t="s">
        <v>1771</v>
      </c>
      <c r="AG401" s="1440">
        <v>55</v>
      </c>
      <c r="AH401" s="1440"/>
      <c r="AI401" s="1440"/>
      <c r="AJ401" s="1440"/>
    </row>
    <row r="402" spans="1:36" ht="12.95" customHeight="1">
      <c r="D402" s="3" t="s">
        <v>1768</v>
      </c>
      <c r="S402" s="1415" t="s">
        <v>553</v>
      </c>
      <c r="T402" s="1415"/>
      <c r="U402" s="1415"/>
      <c r="V402" t="s">
        <v>1773</v>
      </c>
      <c r="AE402" s="1469">
        <v>80000</v>
      </c>
      <c r="AF402" s="1469"/>
      <c r="AG402" s="1469"/>
      <c r="AH402" s="1469"/>
      <c r="AI402" s="1469"/>
      <c r="AJ402" s="1469"/>
    </row>
    <row r="403" spans="1:36" ht="12.95" customHeight="1">
      <c r="D403" s="3" t="s">
        <v>1769</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1772</v>
      </c>
      <c r="K404" s="1465" t="s">
        <v>2768</v>
      </c>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2.95" customHeight="1">
      <c r="D405" s="3" t="s">
        <v>1775</v>
      </c>
      <c r="E405" s="511"/>
      <c r="F405" s="511"/>
      <c r="G405" s="511"/>
      <c r="H405" s="511"/>
      <c r="I405" s="511"/>
      <c r="J405" s="511"/>
      <c r="K405" s="511"/>
      <c r="L405" s="511"/>
      <c r="M405" s="511"/>
      <c r="N405" s="511"/>
      <c r="O405" s="511"/>
      <c r="P405" s="511"/>
      <c r="Q405" s="511"/>
      <c r="R405" s="511"/>
      <c r="S405" s="1517" t="s">
        <v>2777</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1774</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1308</v>
      </c>
      <c r="I410" s="1561" t="s">
        <v>2710</v>
      </c>
      <c r="J410" s="1561"/>
      <c r="K410" s="1561"/>
      <c r="L410" s="1561"/>
      <c r="M410" s="1561"/>
      <c r="N410" s="1561"/>
      <c r="O410" s="1561"/>
      <c r="P410" s="1561"/>
      <c r="Q410" s="1561"/>
      <c r="R410" s="1561"/>
      <c r="S410" s="1561"/>
      <c r="T410" s="1561"/>
      <c r="U410" s="1561"/>
      <c r="V410" s="1561"/>
      <c r="W410" s="1561"/>
      <c r="X410" s="1561"/>
      <c r="Y410" s="1561"/>
      <c r="Z410" s="1561"/>
      <c r="AA410" s="1561"/>
      <c r="AB410" s="1561"/>
      <c r="AC410" s="1561"/>
      <c r="AD410" s="1561"/>
      <c r="AE410" s="1561"/>
    </row>
    <row r="411" spans="1:36" ht="12.95" customHeight="1">
      <c r="E411" t="s">
        <v>106</v>
      </c>
      <c r="R411" s="1418" t="s">
        <v>599</v>
      </c>
      <c r="S411" s="1418"/>
      <c r="AC411" s="27" t="s">
        <v>578</v>
      </c>
      <c r="AD411" s="1417"/>
      <c r="AE411" s="1417"/>
    </row>
    <row r="412" spans="1:36" ht="12.95" customHeight="1">
      <c r="E412" t="s">
        <v>107</v>
      </c>
      <c r="R412" s="1418" t="s">
        <v>553</v>
      </c>
      <c r="S412" s="1418"/>
      <c r="AC412" s="27" t="s">
        <v>578</v>
      </c>
      <c r="AD412" s="1417">
        <v>2</v>
      </c>
      <c r="AE412" s="1417"/>
    </row>
    <row r="413" spans="1:36" ht="12.95" customHeight="1">
      <c r="E413" t="s">
        <v>108</v>
      </c>
      <c r="S413" s="1418" t="s">
        <v>599</v>
      </c>
      <c r="T413" s="1418"/>
    </row>
    <row r="414" spans="1:36" ht="12.95" customHeight="1">
      <c r="E414" t="s">
        <v>170</v>
      </c>
      <c r="H414" s="1463" t="s">
        <v>335</v>
      </c>
      <c r="I414" s="1463"/>
      <c r="J414" s="1463"/>
      <c r="K414" s="1463"/>
      <c r="L414" s="1463"/>
      <c r="M414" s="1463"/>
      <c r="N414" s="1463"/>
      <c r="O414" s="1463"/>
      <c r="P414" s="1463"/>
      <c r="Q414" s="1463"/>
      <c r="R414" s="1463"/>
      <c r="S414" s="1463"/>
      <c r="T414" s="1463"/>
      <c r="U414" s="1463"/>
      <c r="V414" s="1463"/>
      <c r="W414" s="1463"/>
      <c r="X414" s="1463"/>
      <c r="Y414" s="1463"/>
      <c r="Z414" s="1463"/>
      <c r="AA414" s="1463"/>
      <c r="AB414" s="1463"/>
      <c r="AC414" s="1463"/>
      <c r="AD414" s="1463"/>
      <c r="AE414" s="1463"/>
    </row>
    <row r="415" spans="1:36" ht="12.95" customHeight="1">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6" ht="12.95" customHeight="1"/>
    <row r="417" spans="1:39" ht="12.95" customHeight="1">
      <c r="A417" s="2" t="s">
        <v>598</v>
      </c>
      <c r="B417" s="2"/>
      <c r="C417" s="2"/>
      <c r="D417" s="2" t="s">
        <v>114</v>
      </c>
      <c r="AF417" s="2" t="s">
        <v>975</v>
      </c>
    </row>
    <row r="418" spans="1:39" ht="12.95" customHeight="1">
      <c r="E418" s="1439"/>
      <c r="F418" s="1439"/>
      <c r="G418" s="1439"/>
      <c r="H418" s="13" t="s">
        <v>115</v>
      </c>
      <c r="I418" s="1439"/>
      <c r="J418" s="1439"/>
      <c r="K418" s="1439"/>
      <c r="L418" t="s">
        <v>116</v>
      </c>
      <c r="N418" s="27" t="s">
        <v>583</v>
      </c>
      <c r="P418" s="1726">
        <v>4.5289999999999999</v>
      </c>
      <c r="Q418" s="1726"/>
      <c r="R418" s="1726"/>
      <c r="S418" t="s">
        <v>117</v>
      </c>
      <c r="W418" s="1398">
        <f>IF(E418&gt;0,(E418*I418),(P418*43560))</f>
        <v>197283.24</v>
      </c>
      <c r="X418" s="1398"/>
      <c r="Y418" s="1398"/>
      <c r="Z418" t="s">
        <v>118</v>
      </c>
      <c r="AF418" s="1722">
        <f>IFERROR(IF(P418&gt;0,(AG437/P418),(AG437/(W418/43560))),0)</f>
        <v>15.45595054095827</v>
      </c>
      <c r="AG418" s="1722"/>
      <c r="AH418" s="1722"/>
      <c r="AM418" s="3"/>
    </row>
    <row r="419" spans="1:39" ht="12.95" customHeight="1">
      <c r="E419" t="s">
        <v>51</v>
      </c>
    </row>
    <row r="420" spans="1:39" ht="12.95" customHeight="1">
      <c r="E420" s="1468"/>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2.95" customHeight="1">
      <c r="E421" s="118" t="s">
        <v>1922</v>
      </c>
      <c r="F421" s="1048"/>
      <c r="G421" s="1048"/>
      <c r="H421" s="1048"/>
      <c r="I421" s="1578">
        <v>4.5289999999999999</v>
      </c>
      <c r="J421" s="1578"/>
      <c r="K421" s="1578"/>
      <c r="L421" s="1048"/>
      <c r="M421" s="118"/>
      <c r="N421" s="1048"/>
      <c r="O421" s="1048"/>
      <c r="P421" s="1842">
        <f>(CS634+CS642+CS658)/I421</f>
        <v>35.769485537646283</v>
      </c>
      <c r="Q421" s="1842"/>
      <c r="R421" s="1842"/>
      <c r="S421" s="118" t="s">
        <v>1923</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8">
        <v>11</v>
      </c>
      <c r="Q424" s="1418"/>
      <c r="S424" t="s">
        <v>190</v>
      </c>
      <c r="AE424" s="1418">
        <v>10</v>
      </c>
      <c r="AF424" s="1418"/>
    </row>
    <row r="425" spans="1:39" ht="12.95" customHeight="1">
      <c r="E425" t="s">
        <v>191</v>
      </c>
      <c r="P425" s="1418">
        <v>1</v>
      </c>
      <c r="Q425" s="1418"/>
      <c r="S425" t="s">
        <v>131</v>
      </c>
      <c r="AE425" s="1418" t="s">
        <v>599</v>
      </c>
      <c r="AF425" s="1418"/>
    </row>
    <row r="426" spans="1:39" ht="12.95" customHeight="1">
      <c r="F426" s="28" t="s">
        <v>132</v>
      </c>
    </row>
    <row r="427" spans="1:39" ht="12.95"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616</v>
      </c>
      <c r="P429" s="1"/>
      <c r="Q429" s="1418" t="s">
        <v>553</v>
      </c>
      <c r="R429" s="1418"/>
    </row>
    <row r="430" spans="1:39" ht="12.95" customHeight="1">
      <c r="F430" t="s">
        <v>617</v>
      </c>
      <c r="P430" s="1"/>
      <c r="Q430" s="1"/>
      <c r="AF430" s="1418" t="s">
        <v>599</v>
      </c>
      <c r="AG430" s="1462"/>
    </row>
    <row r="431" spans="1:39" ht="12.95" customHeight="1"/>
    <row r="432" spans="1:39" ht="12.95" customHeight="1">
      <c r="A432" s="2"/>
      <c r="B432" s="2"/>
      <c r="C432" s="2"/>
      <c r="E432" s="4" t="s">
        <v>309</v>
      </c>
      <c r="Z432" s="1418" t="s">
        <v>553</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8" t="s">
        <v>676</v>
      </c>
      <c r="AA434" s="1418"/>
    </row>
    <row r="435" spans="1:110" ht="12.95" customHeight="1"/>
    <row r="436" spans="1:110" ht="12.95" customHeight="1">
      <c r="A436" s="2" t="s">
        <v>475</v>
      </c>
      <c r="B436" s="2"/>
      <c r="C436" s="2"/>
      <c r="D436" s="2" t="s">
        <v>772</v>
      </c>
      <c r="AF436" s="48"/>
    </row>
    <row r="437" spans="1:110" ht="12.95" customHeight="1">
      <c r="D437" s="1441"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70</v>
      </c>
      <c r="AH437" s="1429"/>
      <c r="AI437" s="1429"/>
      <c r="AJ437" s="1429"/>
    </row>
    <row r="438" spans="1:110" ht="12.95" customHeight="1">
      <c r="D438" s="1403" t="s">
        <v>1327</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6">
        <v>0</v>
      </c>
      <c r="AH438" s="1467"/>
      <c r="AI438" s="1467"/>
      <c r="AJ438" s="1467"/>
    </row>
    <row r="439" spans="1:110" ht="12.95" customHeight="1">
      <c r="D439" s="1403" t="s">
        <v>1053</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69</v>
      </c>
      <c r="AH439" s="1429"/>
      <c r="AI439" s="1429"/>
      <c r="AJ439" s="1429"/>
    </row>
    <row r="440" spans="1:110" ht="12.95" customHeight="1">
      <c r="D440" s="1403" t="s">
        <v>1054</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69</v>
      </c>
      <c r="AH440" s="1429"/>
      <c r="AI440" s="1429"/>
      <c r="AJ440" s="1429"/>
    </row>
    <row r="441" spans="1:110" ht="12.95" customHeight="1">
      <c r="D441" s="1403" t="s">
        <v>1056</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1055</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69684</v>
      </c>
      <c r="AH442" s="1402"/>
      <c r="AI442" s="1402"/>
      <c r="AJ442" s="1402"/>
    </row>
    <row r="443" spans="1:110" ht="12.95" customHeight="1">
      <c r="D443" s="1403" t="s">
        <v>1057</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69684</v>
      </c>
      <c r="AH443" s="1402"/>
      <c r="AI443" s="1402"/>
      <c r="AJ443" s="1402"/>
    </row>
    <row r="444" spans="1:110" ht="12.95" customHeight="1">
      <c r="D444" s="1403" t="s">
        <v>1058</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1059</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2400</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2500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1" t="s">
        <v>577</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1309</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2500</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1060</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1061</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70">
        <f>AG442+AG446+AG448+AG449</f>
        <v>74684</v>
      </c>
      <c r="AH450" s="1470"/>
      <c r="AI450" s="1470"/>
      <c r="AJ450" s="14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1310</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423411.08571428573</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423411.08571428573</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400831.21428571426</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2414</v>
      </c>
      <c r="E465" s="1427"/>
      <c r="F465" s="1427"/>
      <c r="G465" s="1427"/>
      <c r="H465" s="1427"/>
      <c r="I465" s="1427"/>
      <c r="J465" s="1427"/>
      <c r="K465" s="1427"/>
      <c r="L465" s="1427"/>
      <c r="M465" s="1427"/>
      <c r="N465" s="1427"/>
      <c r="O465" s="1427"/>
      <c r="P465" s="1427"/>
      <c r="Q465" s="1427"/>
      <c r="R465" s="1427"/>
      <c r="S465" s="1427"/>
      <c r="T465" s="1427"/>
      <c r="U465" s="1427"/>
      <c r="V465" s="1428"/>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701</v>
      </c>
      <c r="E466" s="1427"/>
      <c r="F466" s="1427"/>
      <c r="G466" s="1427"/>
      <c r="H466" s="1427"/>
      <c r="I466" s="1427"/>
      <c r="J466" s="1427"/>
      <c r="K466" s="1427"/>
      <c r="L466" s="1427"/>
      <c r="M466" s="1427"/>
      <c r="N466" s="1427"/>
      <c r="O466" s="1427"/>
      <c r="P466" s="1427"/>
      <c r="Q466" s="1427"/>
      <c r="R466" s="1427"/>
      <c r="S466" s="1427"/>
      <c r="T466" s="1427"/>
      <c r="U466" s="1427"/>
      <c r="V466" s="1428"/>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702</v>
      </c>
      <c r="E467" s="1427"/>
      <c r="F467" s="1427"/>
      <c r="G467" s="1427"/>
      <c r="H467" s="1427"/>
      <c r="I467" s="1427"/>
      <c r="J467" s="1427"/>
      <c r="K467" s="1427"/>
      <c r="L467" s="1427"/>
      <c r="M467" s="1427"/>
      <c r="N467" s="1427"/>
      <c r="O467" s="1427"/>
      <c r="P467" s="1427"/>
      <c r="Q467" s="1427"/>
      <c r="R467" s="1427"/>
      <c r="S467" s="1427"/>
      <c r="T467" s="1427"/>
      <c r="U467" s="1427"/>
      <c r="V467" s="1428"/>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703</v>
      </c>
      <c r="E468" s="1427"/>
      <c r="F468" s="1427"/>
      <c r="G468" s="1427"/>
      <c r="H468" s="1427"/>
      <c r="I468" s="1427"/>
      <c r="J468" s="1427"/>
      <c r="K468" s="1427"/>
      <c r="L468" s="1427"/>
      <c r="M468" s="1427"/>
      <c r="N468" s="1427"/>
      <c r="O468" s="1427"/>
      <c r="P468" s="1427"/>
      <c r="Q468" s="1427"/>
      <c r="R468" s="1427"/>
      <c r="S468" s="1427"/>
      <c r="T468" s="1427"/>
      <c r="U468" s="1427"/>
      <c r="V468" s="1428"/>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892</v>
      </c>
      <c r="E469" s="1427"/>
      <c r="F469" s="1427"/>
      <c r="G469" s="1427"/>
      <c r="H469" s="1427"/>
      <c r="I469" s="1427"/>
      <c r="J469" s="1427"/>
      <c r="K469" s="1427"/>
      <c r="L469" s="1427"/>
      <c r="M469" s="1427"/>
      <c r="N469" s="1427"/>
      <c r="O469" s="1427"/>
      <c r="P469" s="1427"/>
      <c r="Q469" s="1427"/>
      <c r="R469" s="1427"/>
      <c r="S469" s="1427"/>
      <c r="T469" s="1427"/>
      <c r="U469" s="1427"/>
      <c r="V469" s="1428"/>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704</v>
      </c>
      <c r="E470" s="1427"/>
      <c r="F470" s="1427"/>
      <c r="G470" s="1427"/>
      <c r="H470" s="1427"/>
      <c r="I470" s="1427"/>
      <c r="J470" s="1427"/>
      <c r="K470" s="1427"/>
      <c r="L470" s="1427"/>
      <c r="M470" s="1427"/>
      <c r="N470" s="1427"/>
      <c r="O470" s="1427"/>
      <c r="P470" s="1427"/>
      <c r="Q470" s="1427"/>
      <c r="R470" s="1427"/>
      <c r="S470" s="1427"/>
      <c r="T470" s="1427"/>
      <c r="U470" s="1427"/>
      <c r="V470" s="1428"/>
      <c r="W470" s="1445">
        <v>0</v>
      </c>
      <c r="X470" s="1446"/>
      <c r="Y470" s="144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1034</v>
      </c>
      <c r="E471" s="1427"/>
      <c r="F471" s="1427"/>
      <c r="G471" s="1427"/>
      <c r="H471" s="1427"/>
      <c r="I471" s="1427"/>
      <c r="J471" s="1427"/>
      <c r="K471" s="1427"/>
      <c r="L471" s="1427"/>
      <c r="M471" s="1427"/>
      <c r="N471" s="1427"/>
      <c r="O471" s="1427"/>
      <c r="P471" s="1427"/>
      <c r="Q471" s="1427"/>
      <c r="R471" s="1427"/>
      <c r="S471" s="1427"/>
      <c r="T471" s="1427"/>
      <c r="U471" s="1427"/>
      <c r="V471" s="1428"/>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2549</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1763</v>
      </c>
      <c r="E473" s="1427"/>
      <c r="F473" s="1427"/>
      <c r="G473" s="1427"/>
      <c r="H473" s="1427"/>
      <c r="I473" s="1427"/>
      <c r="J473" s="1427"/>
      <c r="K473" s="1427"/>
      <c r="L473" s="1427"/>
      <c r="M473" s="1427"/>
      <c r="N473" s="1427"/>
      <c r="O473" s="1427"/>
      <c r="P473" s="1427"/>
      <c r="Q473" s="1427"/>
      <c r="R473" s="1427"/>
      <c r="S473" s="1427"/>
      <c r="T473" s="1427"/>
      <c r="U473" s="1427"/>
      <c r="V473" s="1428"/>
      <c r="W473" s="1445">
        <v>0</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1"/>
      <c r="H474" s="1532"/>
      <c r="I474" s="1532"/>
      <c r="J474" s="1532"/>
      <c r="K474" s="1532"/>
      <c r="L474" s="1532"/>
      <c r="M474" s="1532"/>
      <c r="N474" s="1532"/>
      <c r="O474" s="1532"/>
      <c r="P474" s="1532"/>
      <c r="Q474" s="1532"/>
      <c r="R474" s="1532"/>
      <c r="S474" s="1532"/>
      <c r="T474" s="1532"/>
      <c r="U474" s="1532"/>
      <c r="V474" s="1533"/>
      <c r="W474" s="1445">
        <v>0</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3" t="s">
        <v>818</v>
      </c>
      <c r="B480" s="1543"/>
      <c r="C480" s="1543"/>
      <c r="D480" s="1543"/>
      <c r="E480" s="1543"/>
      <c r="F480" s="1543"/>
      <c r="G480" s="1543"/>
      <c r="H480" s="1543"/>
      <c r="I480" s="1543"/>
      <c r="J480" s="1543"/>
      <c r="K480" s="1543"/>
      <c r="L480" s="1543"/>
      <c r="M480" s="1543"/>
      <c r="N480" s="1543"/>
      <c r="O480" s="1543"/>
      <c r="P480" s="1543"/>
      <c r="Q480" s="1543"/>
      <c r="R480" s="1543"/>
      <c r="S480" s="1543"/>
      <c r="T480" s="1543"/>
      <c r="U480" s="1543"/>
      <c r="V480" s="1543"/>
      <c r="W480" s="1543"/>
      <c r="X480" s="1543"/>
      <c r="Y480" s="1543"/>
      <c r="Z480" s="1543"/>
      <c r="AA480" s="1543"/>
      <c r="AB480" s="1543"/>
      <c r="AC480" s="1543"/>
      <c r="AD480" s="1543"/>
      <c r="AE480" s="1543"/>
      <c r="AF480" s="1543"/>
      <c r="AG480" s="1543"/>
      <c r="AH480" s="1543"/>
      <c r="AI480" s="1543"/>
      <c r="AJ480" s="1543"/>
      <c r="AK480" s="1543"/>
      <c r="AL480" s="1543"/>
      <c r="AM480" s="1543"/>
      <c r="AN480" s="1543"/>
      <c r="AO480" s="1543"/>
      <c r="AP480" s="1543"/>
      <c r="AQ480" s="1543"/>
      <c r="AR480" s="1543"/>
      <c r="AS480" s="1543"/>
      <c r="AT480" s="15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3"/>
      <c r="B481" s="1543"/>
      <c r="C481" s="1543"/>
      <c r="D481" s="1543"/>
      <c r="E481" s="1543"/>
      <c r="F481" s="1543"/>
      <c r="G481" s="1543"/>
      <c r="H481" s="1543"/>
      <c r="I481" s="1543"/>
      <c r="J481" s="1543"/>
      <c r="K481" s="1543"/>
      <c r="L481" s="1543"/>
      <c r="M481" s="1543"/>
      <c r="N481" s="1543"/>
      <c r="O481" s="1543"/>
      <c r="P481" s="1543"/>
      <c r="Q481" s="1543"/>
      <c r="R481" s="1543"/>
      <c r="S481" s="1543"/>
      <c r="T481" s="1543"/>
      <c r="U481" s="1543"/>
      <c r="V481" s="1543"/>
      <c r="W481" s="1543"/>
      <c r="X481" s="1543"/>
      <c r="Y481" s="1543"/>
      <c r="Z481" s="1543"/>
      <c r="AA481" s="1543"/>
      <c r="AB481" s="1543"/>
      <c r="AC481" s="1543"/>
      <c r="AD481" s="1543"/>
      <c r="AE481" s="1543"/>
      <c r="AF481" s="1543"/>
      <c r="AG481" s="1543"/>
      <c r="AH481" s="1543"/>
      <c r="AI481" s="1543"/>
      <c r="AJ481" s="1543"/>
      <c r="AK481" s="1543"/>
      <c r="AL481" s="1543"/>
      <c r="AM481" s="1543"/>
      <c r="AN481" s="1543"/>
      <c r="AO481" s="1543"/>
      <c r="AP481" s="1543"/>
      <c r="AQ481" s="1543"/>
      <c r="AR481" s="1543"/>
      <c r="AS481" s="1543"/>
      <c r="AT481" s="15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394</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8" t="s">
        <v>2711</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2631</v>
      </c>
      <c r="BW486" s="208"/>
      <c r="BX486" s="208"/>
      <c r="BY486" s="208"/>
      <c r="BZ486" s="208"/>
      <c r="CA486" s="208"/>
      <c r="CB486" s="208"/>
      <c r="CC486" s="3"/>
      <c r="CD486" s="207" t="s">
        <v>2632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8" t="s">
        <v>2712</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8" t="s">
        <v>2713</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398</v>
      </c>
      <c r="C489" s="1472"/>
      <c r="D489" s="1472"/>
      <c r="E489" s="1472"/>
      <c r="F489" s="1472"/>
      <c r="G489" s="1472"/>
      <c r="H489" s="1472"/>
      <c r="I489" s="1472"/>
      <c r="J489" s="1472"/>
      <c r="K489" s="1472"/>
      <c r="L489" s="1472"/>
      <c r="M489" s="1472"/>
      <c r="N489" s="1472"/>
      <c r="O489" s="1472"/>
      <c r="P489" s="1473"/>
      <c r="Q489" s="1477" t="s">
        <v>676</v>
      </c>
      <c r="R489" s="1478"/>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08"/>
      <c r="T490" s="1461"/>
      <c r="U490" s="1461"/>
      <c r="V490" s="1461"/>
      <c r="W490" s="1461"/>
      <c r="X490" s="1461"/>
      <c r="Y490" s="1461"/>
      <c r="Z490" s="1461"/>
      <c r="AA490" s="1461"/>
      <c r="AB490" s="1461"/>
      <c r="AC490" s="1461"/>
      <c r="AD490" s="1461"/>
      <c r="AE490" s="1461"/>
      <c r="AF490" s="1461"/>
      <c r="AG490" s="1461"/>
      <c r="AH490" s="1461"/>
      <c r="AI490" s="1461"/>
      <c r="AJ490" s="1461"/>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1781</v>
      </c>
      <c r="C491" s="907"/>
      <c r="D491" s="907"/>
      <c r="E491" s="907"/>
      <c r="F491" s="907"/>
      <c r="G491" s="907"/>
      <c r="H491" s="907"/>
      <c r="I491" s="907"/>
      <c r="J491" s="907"/>
      <c r="K491" s="907"/>
      <c r="L491" s="907"/>
      <c r="M491" s="907"/>
      <c r="N491" s="907"/>
      <c r="O491" s="907"/>
      <c r="P491" s="907"/>
      <c r="Q491" s="1452" t="s">
        <v>676</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8" t="s">
        <v>2718</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8" t="s">
        <v>2743</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1778</v>
      </c>
      <c r="C494" s="5"/>
      <c r="D494" s="5"/>
      <c r="E494" s="5"/>
      <c r="F494" s="5"/>
      <c r="G494" s="5"/>
      <c r="H494" s="5"/>
      <c r="I494" s="5"/>
      <c r="J494" s="5"/>
      <c r="K494" s="5"/>
      <c r="L494" s="5"/>
      <c r="M494" s="5"/>
      <c r="N494" s="5"/>
      <c r="O494" s="5"/>
      <c r="P494" s="5"/>
      <c r="Q494" s="1448">
        <v>124</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1779</v>
      </c>
      <c r="C495" s="5"/>
      <c r="D495" s="5"/>
      <c r="E495" s="5"/>
      <c r="F495" s="5"/>
      <c r="G495" s="5"/>
      <c r="H495" s="5"/>
      <c r="I495" s="5"/>
      <c r="J495" s="5"/>
      <c r="K495" s="5"/>
      <c r="L495" s="5"/>
      <c r="M495" s="1423">
        <v>0</v>
      </c>
      <c r="N495" s="1424"/>
      <c r="O495" s="1424"/>
      <c r="P495" s="1425"/>
      <c r="Q495" s="121" t="s">
        <v>1780</v>
      </c>
      <c r="R495" s="5"/>
      <c r="S495" s="5"/>
      <c r="T495" s="5"/>
      <c r="U495" s="5"/>
      <c r="V495" s="5"/>
      <c r="W495" s="5"/>
      <c r="X495" s="5"/>
      <c r="Y495" s="5"/>
      <c r="Z495" s="5"/>
      <c r="AA495" s="5"/>
      <c r="AB495" s="5"/>
      <c r="AC495" s="5"/>
      <c r="AD495" s="5"/>
      <c r="AE495" s="5"/>
      <c r="AF495" s="5"/>
      <c r="AG495" s="5"/>
      <c r="AH495" s="1423">
        <v>124</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402</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403</v>
      </c>
      <c r="AD500" s="1456"/>
      <c r="AE500" s="1456"/>
      <c r="AF500" s="1456"/>
      <c r="AG500" s="50" t="s">
        <v>404</v>
      </c>
      <c r="AH500" s="1456" t="s">
        <v>405</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t="s">
        <v>599</v>
      </c>
      <c r="AD501" s="1417"/>
      <c r="AE501" s="1417"/>
      <c r="AF501" s="1417"/>
      <c r="AG501" s="13" t="s">
        <v>404</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3</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599</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411</v>
      </c>
      <c r="AC504" s="1416" t="s">
        <v>599</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412</v>
      </c>
      <c r="AC505" s="1416" t="s">
        <v>599</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413</v>
      </c>
      <c r="AC506" s="1416" t="s">
        <v>599</v>
      </c>
      <c r="AD506" s="1417"/>
      <c r="AE506" s="1417"/>
      <c r="AF506" s="141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414</v>
      </c>
      <c r="AC507" s="1357">
        <v>3</v>
      </c>
      <c r="AD507" s="1358"/>
      <c r="AE507" s="1358"/>
      <c r="AF507" s="1358"/>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90"/>
      <c r="AC508" s="1416" t="s">
        <v>599</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1785</v>
      </c>
      <c r="AC509" s="1429" t="s">
        <v>1288</v>
      </c>
      <c r="AD509" s="1429"/>
      <c r="AE509" s="1429"/>
      <c r="AF509" s="1429"/>
      <c r="AG509" s="13"/>
      <c r="AH509" s="1303"/>
      <c r="AI509" s="1303"/>
      <c r="AJ509" s="1303"/>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1782</v>
      </c>
      <c r="AC510" s="1357"/>
      <c r="AD510" s="1358"/>
      <c r="AE510" s="1358"/>
      <c r="AF510" s="1359"/>
      <c r="AG510" s="13"/>
      <c r="AH510" s="1303"/>
      <c r="AI510" s="1303"/>
      <c r="AJ510" s="1303"/>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1783</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1784</v>
      </c>
      <c r="J512" s="48"/>
      <c r="K512" s="48"/>
      <c r="L512" s="48"/>
      <c r="M512" s="48"/>
      <c r="N512" s="48"/>
      <c r="O512" s="48"/>
      <c r="P512" s="48"/>
      <c r="Q512" s="48"/>
      <c r="R512" s="48"/>
      <c r="S512" s="48"/>
      <c r="T512" s="48"/>
      <c r="U512" s="48"/>
      <c r="V512" s="48"/>
      <c r="W512" s="48"/>
      <c r="X512" s="48"/>
      <c r="Y512" s="48"/>
      <c r="Z512" s="48"/>
      <c r="AA512" s="48"/>
      <c r="AB512" s="48"/>
      <c r="AC512" s="1495"/>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81"/>
      <c r="AE513" s="1481"/>
      <c r="AF513" s="1481"/>
      <c r="AG513" s="38" t="s">
        <v>404</v>
      </c>
      <c r="AH513" s="1481" t="s">
        <v>405</v>
      </c>
      <c r="AI513" s="1481"/>
      <c r="AJ513" s="1481"/>
      <c r="AK513" s="1482"/>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8</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3</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404</v>
      </c>
      <c r="AH517" s="1421">
        <v>2024</v>
      </c>
      <c r="AI517" s="1421"/>
      <c r="AJ517" s="1421"/>
      <c r="AK517" s="1422"/>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2"/>
      <c r="C519" s="1443"/>
      <c r="D519" s="1443"/>
      <c r="E519" s="1443"/>
      <c r="F519" s="1443"/>
      <c r="G519" s="1443"/>
      <c r="H519" s="1444"/>
      <c r="I519" s="48" t="s">
        <v>418</v>
      </c>
      <c r="J519" s="48"/>
      <c r="K519" s="48"/>
      <c r="L519" s="48"/>
      <c r="M519" s="48"/>
      <c r="N519" s="48"/>
      <c r="O519" s="48"/>
      <c r="P519" s="48"/>
      <c r="Q519" s="48"/>
      <c r="R519" s="48"/>
      <c r="S519" s="48"/>
      <c r="T519" s="48"/>
      <c r="U519" s="48"/>
      <c r="V519" s="48"/>
      <c r="W519" s="48"/>
      <c r="X519" s="48"/>
      <c r="Y519" s="48"/>
      <c r="Z519" s="48"/>
      <c r="AA519" s="48"/>
      <c r="AB519" s="48"/>
      <c r="AC519" s="1416">
        <v>3</v>
      </c>
      <c r="AD519" s="1417"/>
      <c r="AE519" s="1417"/>
      <c r="AF519" s="1417"/>
      <c r="AG519" s="38" t="s">
        <v>404</v>
      </c>
      <c r="AH519" s="1421">
        <v>2025</v>
      </c>
      <c r="AI519" s="1421"/>
      <c r="AJ519" s="1421"/>
      <c r="AK519" s="1422"/>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420</v>
      </c>
      <c r="C520" s="1409"/>
      <c r="D520" s="1409"/>
      <c r="E520" s="1409"/>
      <c r="F520" s="1409"/>
      <c r="G520" s="1409"/>
      <c r="H520" s="1410"/>
      <c r="I520" s="41" t="s">
        <v>421</v>
      </c>
      <c r="J520" s="42"/>
      <c r="K520" s="42"/>
      <c r="L520" s="42"/>
      <c r="M520" s="42"/>
      <c r="N520" s="42"/>
      <c r="O520" s="1414" t="s">
        <v>335</v>
      </c>
      <c r="P520" s="1415"/>
      <c r="Q520" s="1415"/>
      <c r="R520" s="1415"/>
      <c r="S520" s="1415"/>
      <c r="T520" s="1415"/>
      <c r="U520" s="1415"/>
      <c r="V520" s="1415"/>
      <c r="W520" s="1415"/>
      <c r="X520" s="1415"/>
      <c r="Y520" s="1415"/>
      <c r="Z520" s="1415"/>
      <c r="AA520" s="1415"/>
      <c r="AB520" s="58"/>
      <c r="AC520" s="1357" t="s">
        <v>599</v>
      </c>
      <c r="AD520" s="1358"/>
      <c r="AE520" s="1358"/>
      <c r="AF520" s="1358"/>
      <c r="AG520" s="129" t="s">
        <v>404</v>
      </c>
      <c r="AH520" s="1421"/>
      <c r="AI520" s="1421"/>
      <c r="AJ520" s="1421"/>
      <c r="AK520" s="1422"/>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422</v>
      </c>
      <c r="AB521" s="65"/>
      <c r="AC521" s="1416" t="s">
        <v>599</v>
      </c>
      <c r="AD521" s="1417"/>
      <c r="AE521" s="1417"/>
      <c r="AF521" s="1417"/>
      <c r="AG521" s="13" t="s">
        <v>404</v>
      </c>
      <c r="AH521" s="1421"/>
      <c r="AI521" s="1421"/>
      <c r="AJ521" s="1421"/>
      <c r="AK521" s="1422"/>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t="s">
        <v>599</v>
      </c>
      <c r="AD522" s="1417"/>
      <c r="AE522" s="1417"/>
      <c r="AF522" s="1417"/>
      <c r="AG522" s="38" t="s">
        <v>404</v>
      </c>
      <c r="AH522" s="1421"/>
      <c r="AI522" s="1421"/>
      <c r="AJ522" s="1421"/>
      <c r="AK522" s="1422"/>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16" t="s">
        <v>599</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422</v>
      </c>
      <c r="AC524" s="1416" t="s">
        <v>599</v>
      </c>
      <c r="AD524" s="1417"/>
      <c r="AE524" s="1417"/>
      <c r="AF524" s="1417"/>
      <c r="AG524" s="13" t="s">
        <v>404</v>
      </c>
      <c r="AH524" s="1421"/>
      <c r="AI524" s="1421"/>
      <c r="AJ524" s="1421"/>
      <c r="AK524" s="1422"/>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t="s">
        <v>599</v>
      </c>
      <c r="AD525" s="1417"/>
      <c r="AE525" s="1417"/>
      <c r="AF525" s="1417"/>
      <c r="AG525" s="38" t="s">
        <v>404</v>
      </c>
      <c r="AH525" s="1421"/>
      <c r="AI525" s="1421"/>
      <c r="AJ525" s="1421"/>
      <c r="AK525" s="1422"/>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599</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422</v>
      </c>
      <c r="AC527" s="1416" t="s">
        <v>599</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599</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599</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422</v>
      </c>
      <c r="AC530" s="1416" t="s">
        <v>599</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599</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599</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422</v>
      </c>
      <c r="AC533" s="1416" t="s">
        <v>599</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599</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599</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422</v>
      </c>
      <c r="AC536" s="1416" t="s">
        <v>599</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599</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570</v>
      </c>
      <c r="J538" s="42"/>
      <c r="K538" s="42"/>
      <c r="L538" s="42"/>
      <c r="M538" s="42"/>
      <c r="N538" s="42"/>
      <c r="O538" s="42"/>
      <c r="P538" s="42"/>
      <c r="Q538" s="42"/>
      <c r="R538" s="42"/>
      <c r="S538" s="42"/>
      <c r="T538" s="42"/>
      <c r="U538" s="42"/>
      <c r="V538" s="42"/>
      <c r="W538" s="42"/>
      <c r="AC538" s="1416">
        <v>4</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571</v>
      </c>
      <c r="AC539" s="1416">
        <v>3</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572</v>
      </c>
      <c r="AC540" s="1416">
        <v>10</v>
      </c>
      <c r="AD540" s="1417"/>
      <c r="AE540" s="1417"/>
      <c r="AF540" s="1417"/>
      <c r="AG540" s="38" t="s">
        <v>404</v>
      </c>
      <c r="AH540" s="1421">
        <v>2025</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573</v>
      </c>
      <c r="AC541" s="1416">
        <v>12</v>
      </c>
      <c r="AD541" s="1417"/>
      <c r="AE541" s="1417"/>
      <c r="AF541" s="1417"/>
      <c r="AG541" s="38" t="s">
        <v>404</v>
      </c>
      <c r="AH541" s="1421">
        <v>2025</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2"/>
      <c r="C542" s="1443"/>
      <c r="D542" s="1443"/>
      <c r="E542" s="1443"/>
      <c r="F542" s="1443"/>
      <c r="G542" s="1443"/>
      <c r="H542" s="1444"/>
      <c r="I542" s="48" t="s">
        <v>459</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404</v>
      </c>
      <c r="AH542" s="1421">
        <v>2025</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2418</v>
      </c>
      <c r="C551" s="1409"/>
      <c r="D551" s="1409"/>
      <c r="E551" s="1409"/>
      <c r="F551" s="1409"/>
      <c r="G551" s="1409"/>
      <c r="H551" s="1409"/>
      <c r="I551" s="1409"/>
      <c r="J551" s="1409"/>
      <c r="K551" s="1409"/>
      <c r="L551" s="1410"/>
      <c r="M551" s="1408" t="s">
        <v>2419</v>
      </c>
      <c r="N551" s="1409"/>
      <c r="O551" s="1409"/>
      <c r="P551" s="1410"/>
      <c r="Q551" s="1408" t="s">
        <v>2445</v>
      </c>
      <c r="R551" s="1409"/>
      <c r="S551" s="1410"/>
      <c r="T551" s="1408" t="s">
        <v>2446</v>
      </c>
      <c r="U551" s="1409"/>
      <c r="V551" s="1410"/>
      <c r="W551" s="1408" t="s">
        <v>461</v>
      </c>
      <c r="X551" s="1409"/>
      <c r="Y551" s="1410"/>
      <c r="Z551" s="1408" t="s">
        <v>2039</v>
      </c>
      <c r="AA551" s="1409"/>
      <c r="AB551" s="1409"/>
      <c r="AC551" s="1409"/>
      <c r="AD551" s="1410"/>
      <c r="AE551" s="1408" t="s">
        <v>1861</v>
      </c>
      <c r="AF551" s="1409"/>
      <c r="AG551" s="1409"/>
      <c r="AH551" s="1410"/>
      <c r="AI551" s="1408" t="s">
        <v>1862</v>
      </c>
      <c r="AJ551" s="1409"/>
      <c r="AK551" s="1409"/>
      <c r="AL551" s="1410"/>
      <c r="AM551" s="1408" t="s">
        <v>462</v>
      </c>
      <c r="AN551" s="1409"/>
      <c r="AO551" s="1409"/>
      <c r="AP551" s="1409"/>
      <c r="AQ551" s="1409"/>
      <c r="AR551" s="1409"/>
      <c r="AS551" s="141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2"/>
      <c r="C553" s="1443"/>
      <c r="D553" s="1443"/>
      <c r="E553" s="1443"/>
      <c r="F553" s="1443"/>
      <c r="G553" s="1443"/>
      <c r="H553" s="1443"/>
      <c r="I553" s="1443"/>
      <c r="J553" s="1443"/>
      <c r="K553" s="1443"/>
      <c r="L553" s="1444"/>
      <c r="M553" s="1442"/>
      <c r="N553" s="1443"/>
      <c r="O553" s="1443"/>
      <c r="P553" s="1444"/>
      <c r="Q553" s="1442"/>
      <c r="R553" s="1443"/>
      <c r="S553" s="1444"/>
      <c r="T553" s="1442"/>
      <c r="U553" s="1443"/>
      <c r="V553" s="1444"/>
      <c r="W553" s="1442"/>
      <c r="X553" s="1443"/>
      <c r="Y553" s="1444"/>
      <c r="Z553" s="1442"/>
      <c r="AA553" s="1443"/>
      <c r="AB553" s="1443"/>
      <c r="AC553" s="1443"/>
      <c r="AD553" s="1444"/>
      <c r="AE553" s="1442"/>
      <c r="AF553" s="1443"/>
      <c r="AG553" s="1443"/>
      <c r="AH553" s="1444"/>
      <c r="AI553" s="1442"/>
      <c r="AJ553" s="1443"/>
      <c r="AK553" s="1443"/>
      <c r="AL553" s="1444"/>
      <c r="AM553" s="1442"/>
      <c r="AN553" s="1443"/>
      <c r="AO553" s="1443"/>
      <c r="AP553" s="1443"/>
      <c r="AQ553" s="1443"/>
      <c r="AR553" s="1443"/>
      <c r="AS553" s="144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0" t="s">
        <v>2751</v>
      </c>
      <c r="D554" s="1510"/>
      <c r="E554" s="1510"/>
      <c r="F554" s="1510"/>
      <c r="G554" s="1510"/>
      <c r="H554" s="1510"/>
      <c r="I554" s="1510"/>
      <c r="J554" s="1510"/>
      <c r="K554" s="1510"/>
      <c r="L554" s="1510"/>
      <c r="M554" s="1510" t="s">
        <v>2435</v>
      </c>
      <c r="N554" s="1510"/>
      <c r="O554" s="1510"/>
      <c r="P554" s="1510"/>
      <c r="Q554" s="1492">
        <v>192</v>
      </c>
      <c r="R554" s="1492"/>
      <c r="S554" s="1493"/>
      <c r="T554" s="1491">
        <v>480</v>
      </c>
      <c r="U554" s="1492"/>
      <c r="V554" s="1493"/>
      <c r="W554" s="1483">
        <v>4.9099999999999998E-2</v>
      </c>
      <c r="X554" s="1484"/>
      <c r="Y554" s="1485"/>
      <c r="Z554" s="1504" t="s">
        <v>2769</v>
      </c>
      <c r="AA554" s="1504"/>
      <c r="AB554" s="1504"/>
      <c r="AC554" s="1504"/>
      <c r="AD554" s="1504"/>
      <c r="AE554" s="1486">
        <v>1</v>
      </c>
      <c r="AF554" s="1487"/>
      <c r="AG554" s="1487"/>
      <c r="AH554" s="1488"/>
      <c r="AI554" s="1500">
        <v>871540</v>
      </c>
      <c r="AJ554" s="1501"/>
      <c r="AK554" s="1501"/>
      <c r="AL554" s="1502"/>
      <c r="AM554" s="1399">
        <v>15250000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9" t="s">
        <v>2752</v>
      </c>
      <c r="D555" s="1489"/>
      <c r="E555" s="1489"/>
      <c r="F555" s="1489"/>
      <c r="G555" s="1489"/>
      <c r="H555" s="1489"/>
      <c r="I555" s="1489"/>
      <c r="J555" s="1489"/>
      <c r="K555" s="1489"/>
      <c r="L555" s="1489"/>
      <c r="M555" s="1510" t="s">
        <v>2434</v>
      </c>
      <c r="N555" s="1510"/>
      <c r="O555" s="1510"/>
      <c r="P555" s="1510"/>
      <c r="Q555" s="1491">
        <v>192</v>
      </c>
      <c r="R555" s="1492"/>
      <c r="S555" s="1493"/>
      <c r="T555" s="1491">
        <v>480</v>
      </c>
      <c r="U555" s="1492"/>
      <c r="V555" s="1493"/>
      <c r="W555" s="1483">
        <v>5.3999999999999999E-2</v>
      </c>
      <c r="X555" s="1484"/>
      <c r="Y555" s="1485"/>
      <c r="Z555" s="1504" t="s">
        <v>2769</v>
      </c>
      <c r="AA555" s="1504"/>
      <c r="AB555" s="1504"/>
      <c r="AC555" s="1504"/>
      <c r="AD555" s="1504"/>
      <c r="AE555" s="1486">
        <v>2</v>
      </c>
      <c r="AF555" s="1487"/>
      <c r="AG555" s="1487"/>
      <c r="AH555" s="1488"/>
      <c r="AI555" s="1500">
        <v>149641</v>
      </c>
      <c r="AJ555" s="1501"/>
      <c r="AK555" s="1501"/>
      <c r="AL555" s="1502"/>
      <c r="AM555" s="1399">
        <v>2450000</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9" t="s">
        <v>2720</v>
      </c>
      <c r="D556" s="1489"/>
      <c r="E556" s="1489"/>
      <c r="F556" s="1489"/>
      <c r="G556" s="1489"/>
      <c r="H556" s="1489"/>
      <c r="I556" s="1489"/>
      <c r="J556" s="1489"/>
      <c r="K556" s="1489"/>
      <c r="L556" s="1489"/>
      <c r="M556" s="1510" t="s">
        <v>2432</v>
      </c>
      <c r="N556" s="1510"/>
      <c r="O556" s="1510"/>
      <c r="P556" s="1510"/>
      <c r="Q556" s="1491">
        <v>192</v>
      </c>
      <c r="R556" s="1492"/>
      <c r="S556" s="1493"/>
      <c r="T556" s="1491"/>
      <c r="U556" s="1492"/>
      <c r="V556" s="1493"/>
      <c r="W556" s="1483">
        <v>0.08</v>
      </c>
      <c r="X556" s="1484"/>
      <c r="Y556" s="1485"/>
      <c r="Z556" s="1504" t="s">
        <v>599</v>
      </c>
      <c r="AA556" s="1504"/>
      <c r="AB556" s="1504"/>
      <c r="AC556" s="1504"/>
      <c r="AD556" s="1504"/>
      <c r="AE556" s="1486">
        <v>3</v>
      </c>
      <c r="AF556" s="1487"/>
      <c r="AG556" s="1487"/>
      <c r="AH556" s="1488"/>
      <c r="AI556" s="1500">
        <v>0</v>
      </c>
      <c r="AJ556" s="1501"/>
      <c r="AK556" s="1501"/>
      <c r="AL556" s="1502"/>
      <c r="AM556" s="1399">
        <v>1150000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89" t="s">
        <v>2719</v>
      </c>
      <c r="D557" s="1489"/>
      <c r="E557" s="1489"/>
      <c r="F557" s="1489"/>
      <c r="G557" s="1489"/>
      <c r="H557" s="1489"/>
      <c r="I557" s="1489"/>
      <c r="J557" s="1489"/>
      <c r="K557" s="1489"/>
      <c r="L557" s="1489"/>
      <c r="M557" s="1510" t="s">
        <v>2422</v>
      </c>
      <c r="N557" s="1510"/>
      <c r="O557" s="1510"/>
      <c r="P557" s="1510"/>
      <c r="Q557" s="1491"/>
      <c r="R557" s="1492"/>
      <c r="S557" s="1493"/>
      <c r="T557" s="1491"/>
      <c r="U557" s="1492"/>
      <c r="V557" s="1493"/>
      <c r="W557" s="1483"/>
      <c r="X557" s="1484"/>
      <c r="Y557" s="1485"/>
      <c r="Z557" s="1504" t="s">
        <v>2769</v>
      </c>
      <c r="AA557" s="1504"/>
      <c r="AB557" s="1504"/>
      <c r="AC557" s="1504"/>
      <c r="AD557" s="1504"/>
      <c r="AE557" s="1486"/>
      <c r="AF557" s="1487"/>
      <c r="AG557" s="1487"/>
      <c r="AH557" s="1488"/>
      <c r="AI557" s="1500"/>
      <c r="AJ557" s="1501"/>
      <c r="AK557" s="1501"/>
      <c r="AL557" s="1502"/>
      <c r="AM557" s="1399">
        <v>912299</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89" t="s">
        <v>2730</v>
      </c>
      <c r="D558" s="1489"/>
      <c r="E558" s="1489"/>
      <c r="F558" s="1489"/>
      <c r="G558" s="1489"/>
      <c r="H558" s="1489"/>
      <c r="I558" s="1489"/>
      <c r="J558" s="1489"/>
      <c r="K558" s="1489"/>
      <c r="L558" s="1489"/>
      <c r="M558" s="1510" t="s">
        <v>2426</v>
      </c>
      <c r="N558" s="1510"/>
      <c r="O558" s="1510"/>
      <c r="P558" s="1510"/>
      <c r="Q558" s="1491"/>
      <c r="R558" s="1492"/>
      <c r="S558" s="1493"/>
      <c r="T558" s="1491"/>
      <c r="U558" s="1492"/>
      <c r="V558" s="1493"/>
      <c r="W558" s="1483"/>
      <c r="X558" s="1484"/>
      <c r="Y558" s="1485"/>
      <c r="Z558" s="1504" t="s">
        <v>1288</v>
      </c>
      <c r="AA558" s="1504"/>
      <c r="AB558" s="1504"/>
      <c r="AC558" s="1504"/>
      <c r="AD558" s="1504"/>
      <c r="AE558" s="1486"/>
      <c r="AF558" s="1487"/>
      <c r="AG558" s="1487"/>
      <c r="AH558" s="1488"/>
      <c r="AI558" s="1500"/>
      <c r="AJ558" s="1501"/>
      <c r="AK558" s="1501"/>
      <c r="AL558" s="1502"/>
      <c r="AM558" s="1399">
        <v>9218568</v>
      </c>
      <c r="AN558" s="1400"/>
      <c r="AO558" s="1400"/>
      <c r="AP558" s="1400"/>
      <c r="AQ558" s="1400"/>
      <c r="AR558" s="1400"/>
      <c r="AS558" s="1401"/>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89"/>
      <c r="D559" s="1489"/>
      <c r="E559" s="1489"/>
      <c r="F559" s="1489"/>
      <c r="G559" s="1489"/>
      <c r="H559" s="1489"/>
      <c r="I559" s="1489"/>
      <c r="J559" s="1489"/>
      <c r="K559" s="1489"/>
      <c r="L559" s="1489"/>
      <c r="M559" s="1510" t="s">
        <v>1288</v>
      </c>
      <c r="N559" s="1510"/>
      <c r="O559" s="1510"/>
      <c r="P559" s="1510"/>
      <c r="Q559" s="1491"/>
      <c r="R559" s="1492"/>
      <c r="S559" s="1493"/>
      <c r="T559" s="1491"/>
      <c r="U559" s="1492"/>
      <c r="V559" s="1493"/>
      <c r="W559" s="1483"/>
      <c r="X559" s="1484"/>
      <c r="Y559" s="1485"/>
      <c r="Z559" s="1504" t="s">
        <v>1288</v>
      </c>
      <c r="AA559" s="1504"/>
      <c r="AB559" s="1504"/>
      <c r="AC559" s="1504"/>
      <c r="AD559" s="1504"/>
      <c r="AE559" s="1486"/>
      <c r="AF559" s="1487"/>
      <c r="AG559" s="1487"/>
      <c r="AH559" s="1488"/>
      <c r="AI559" s="1500"/>
      <c r="AJ559" s="1501"/>
      <c r="AK559" s="1501"/>
      <c r="AL559" s="1502"/>
      <c r="AM559" s="1399"/>
      <c r="AN559" s="1400"/>
      <c r="AO559" s="1400"/>
      <c r="AP559" s="1400"/>
      <c r="AQ559" s="1400"/>
      <c r="AR559" s="1400"/>
      <c r="AS559" s="140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89"/>
      <c r="D560" s="1489"/>
      <c r="E560" s="1489"/>
      <c r="F560" s="1489"/>
      <c r="G560" s="1489"/>
      <c r="H560" s="1489"/>
      <c r="I560" s="1489"/>
      <c r="J560" s="1489"/>
      <c r="K560" s="1489"/>
      <c r="L560" s="1489"/>
      <c r="M560" s="1510" t="s">
        <v>1288</v>
      </c>
      <c r="N560" s="1510"/>
      <c r="O560" s="1510"/>
      <c r="P560" s="1510"/>
      <c r="Q560" s="1491"/>
      <c r="R560" s="1492"/>
      <c r="S560" s="1493"/>
      <c r="T560" s="1491"/>
      <c r="U560" s="1492"/>
      <c r="V560" s="1493"/>
      <c r="W560" s="1483"/>
      <c r="X560" s="1484"/>
      <c r="Y560" s="1485"/>
      <c r="Z560" s="1504" t="s">
        <v>1288</v>
      </c>
      <c r="AA560" s="1504"/>
      <c r="AB560" s="1504"/>
      <c r="AC560" s="1504"/>
      <c r="AD560" s="1504"/>
      <c r="AE560" s="1486"/>
      <c r="AF560" s="1487"/>
      <c r="AG560" s="1487"/>
      <c r="AH560" s="1488"/>
      <c r="AI560" s="1500"/>
      <c r="AJ560" s="1501"/>
      <c r="AK560" s="1501"/>
      <c r="AL560" s="1502"/>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89"/>
      <c r="D561" s="1489"/>
      <c r="E561" s="1489"/>
      <c r="F561" s="1489"/>
      <c r="G561" s="1489"/>
      <c r="H561" s="1489"/>
      <c r="I561" s="1489"/>
      <c r="J561" s="1489"/>
      <c r="K561" s="1489"/>
      <c r="L561" s="1489"/>
      <c r="M561" s="1510" t="s">
        <v>1288</v>
      </c>
      <c r="N561" s="1510"/>
      <c r="O561" s="1510"/>
      <c r="P561" s="1510"/>
      <c r="Q561" s="1491"/>
      <c r="R561" s="1492"/>
      <c r="S561" s="1493"/>
      <c r="T561" s="1491"/>
      <c r="U561" s="1492"/>
      <c r="V561" s="1493"/>
      <c r="W561" s="1483"/>
      <c r="X561" s="1484"/>
      <c r="Y561" s="1485"/>
      <c r="Z561" s="1504" t="s">
        <v>1288</v>
      </c>
      <c r="AA561" s="1504"/>
      <c r="AB561" s="1504"/>
      <c r="AC561" s="1504"/>
      <c r="AD561" s="1504"/>
      <c r="AE561" s="1486"/>
      <c r="AF561" s="1487"/>
      <c r="AG561" s="1487"/>
      <c r="AH561" s="1488"/>
      <c r="AI561" s="1500"/>
      <c r="AJ561" s="1501"/>
      <c r="AK561" s="1501"/>
      <c r="AL561" s="1502"/>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89"/>
      <c r="D562" s="1489"/>
      <c r="E562" s="1489"/>
      <c r="F562" s="1489"/>
      <c r="G562" s="1489"/>
      <c r="H562" s="1489"/>
      <c r="I562" s="1489"/>
      <c r="J562" s="1489"/>
      <c r="K562" s="1489"/>
      <c r="L562" s="1489"/>
      <c r="M562" s="1510" t="s">
        <v>1288</v>
      </c>
      <c r="N562" s="1510"/>
      <c r="O562" s="1510"/>
      <c r="P562" s="1510"/>
      <c r="Q562" s="1491"/>
      <c r="R562" s="1492"/>
      <c r="S562" s="1493"/>
      <c r="T562" s="1491"/>
      <c r="U562" s="1492"/>
      <c r="V562" s="1493"/>
      <c r="W562" s="1483"/>
      <c r="X562" s="1484"/>
      <c r="Y562" s="1485"/>
      <c r="Z562" s="1504" t="s">
        <v>1288</v>
      </c>
      <c r="AA562" s="1504"/>
      <c r="AB562" s="1504"/>
      <c r="AC562" s="1504"/>
      <c r="AD562" s="1504"/>
      <c r="AE562" s="1486"/>
      <c r="AF562" s="1487"/>
      <c r="AG562" s="1487"/>
      <c r="AH562" s="1488"/>
      <c r="AI562" s="1500"/>
      <c r="AJ562" s="1501"/>
      <c r="AK562" s="1501"/>
      <c r="AL562" s="1502"/>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89"/>
      <c r="D563" s="1489"/>
      <c r="E563" s="1489"/>
      <c r="F563" s="1489"/>
      <c r="G563" s="1489"/>
      <c r="H563" s="1489"/>
      <c r="I563" s="1489"/>
      <c r="J563" s="1489"/>
      <c r="K563" s="1489"/>
      <c r="L563" s="1489"/>
      <c r="M563" s="1510" t="s">
        <v>1288</v>
      </c>
      <c r="N563" s="1510"/>
      <c r="O563" s="1510"/>
      <c r="P563" s="1510"/>
      <c r="Q563" s="1491"/>
      <c r="R563" s="1492"/>
      <c r="S563" s="1493"/>
      <c r="T563" s="1491"/>
      <c r="U563" s="1492"/>
      <c r="V563" s="1493"/>
      <c r="W563" s="1483"/>
      <c r="X563" s="1484"/>
      <c r="Y563" s="1485"/>
      <c r="Z563" s="1504" t="s">
        <v>1288</v>
      </c>
      <c r="AA563" s="1504"/>
      <c r="AB563" s="1504"/>
      <c r="AC563" s="1504"/>
      <c r="AD563" s="1504"/>
      <c r="AE563" s="1486"/>
      <c r="AF563" s="1487"/>
      <c r="AG563" s="1487"/>
      <c r="AH563" s="1488"/>
      <c r="AI563" s="1500"/>
      <c r="AJ563" s="1501"/>
      <c r="AK563" s="1501"/>
      <c r="AL563" s="1502"/>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89"/>
      <c r="D564" s="1489"/>
      <c r="E564" s="1489"/>
      <c r="F564" s="1489"/>
      <c r="G564" s="1489"/>
      <c r="H564" s="1489"/>
      <c r="I564" s="1489"/>
      <c r="J564" s="1489"/>
      <c r="K564" s="1489"/>
      <c r="L564" s="1489"/>
      <c r="M564" s="1510" t="s">
        <v>1288</v>
      </c>
      <c r="N564" s="1510"/>
      <c r="O564" s="1510"/>
      <c r="P564" s="1510"/>
      <c r="Q564" s="1491"/>
      <c r="R564" s="1492"/>
      <c r="S564" s="1493"/>
      <c r="T564" s="1491"/>
      <c r="U564" s="1492"/>
      <c r="V564" s="1493"/>
      <c r="W564" s="1483"/>
      <c r="X564" s="1484"/>
      <c r="Y564" s="1485"/>
      <c r="Z564" s="1504" t="s">
        <v>1288</v>
      </c>
      <c r="AA564" s="1504"/>
      <c r="AB564" s="1504"/>
      <c r="AC564" s="1504"/>
      <c r="AD564" s="1504"/>
      <c r="AE564" s="1486"/>
      <c r="AF564" s="1487"/>
      <c r="AG564" s="1487"/>
      <c r="AH564" s="1488"/>
      <c r="AI564" s="1500"/>
      <c r="AJ564" s="1501"/>
      <c r="AK564" s="1501"/>
      <c r="AL564" s="1502"/>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89"/>
      <c r="D565" s="1489"/>
      <c r="E565" s="1489"/>
      <c r="F565" s="1489"/>
      <c r="G565" s="1489"/>
      <c r="H565" s="1489"/>
      <c r="I565" s="1489"/>
      <c r="J565" s="1489"/>
      <c r="K565" s="1489"/>
      <c r="L565" s="1489"/>
      <c r="M565" s="1510" t="s">
        <v>1288</v>
      </c>
      <c r="N565" s="1510"/>
      <c r="O565" s="1510"/>
      <c r="P565" s="1510"/>
      <c r="Q565" s="1491"/>
      <c r="R565" s="1492"/>
      <c r="S565" s="1493"/>
      <c r="T565" s="1491"/>
      <c r="U565" s="1492"/>
      <c r="V565" s="1493"/>
      <c r="W565" s="1483"/>
      <c r="X565" s="1484"/>
      <c r="Y565" s="1485"/>
      <c r="Z565" s="1504" t="s">
        <v>1288</v>
      </c>
      <c r="AA565" s="1504"/>
      <c r="AB565" s="1504"/>
      <c r="AC565" s="1504"/>
      <c r="AD565" s="1504"/>
      <c r="AE565" s="1486"/>
      <c r="AF565" s="1487"/>
      <c r="AG565" s="1487"/>
      <c r="AH565" s="1488"/>
      <c r="AI565" s="1500"/>
      <c r="AJ565" s="1501"/>
      <c r="AK565" s="1501"/>
      <c r="AL565" s="1502"/>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721"/>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28980867</v>
      </c>
      <c r="AN566" s="1591"/>
      <c r="AO566" s="1591"/>
      <c r="AP566" s="1591"/>
      <c r="AQ566" s="1591"/>
      <c r="AR566" s="1591"/>
      <c r="AS566" s="1592"/>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1" t="str">
        <f>C554</f>
        <v>Lument - Tax-Exempt</v>
      </c>
      <c r="H568" s="1511"/>
      <c r="I568" s="1511"/>
      <c r="J568" s="1511"/>
      <c r="K568" s="1511"/>
      <c r="L568" s="1511"/>
      <c r="M568" s="1511"/>
      <c r="N568" s="1511"/>
      <c r="O568" s="1511"/>
      <c r="P568" s="1511"/>
      <c r="Q568" s="1511"/>
      <c r="R568" s="1511"/>
      <c r="S568" s="8"/>
      <c r="T568" s="55" t="s">
        <v>113</v>
      </c>
      <c r="U568" t="s">
        <v>471</v>
      </c>
      <c r="Z568" s="1511" t="str">
        <f>C555</f>
        <v>Lument - Taxable Tail</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2749</v>
      </c>
      <c r="H569" s="1432"/>
      <c r="I569" s="1432"/>
      <c r="J569" s="1432"/>
      <c r="K569" s="1432"/>
      <c r="L569" s="1432"/>
      <c r="M569" s="1432"/>
      <c r="N569" s="1432"/>
      <c r="O569" s="1432"/>
      <c r="P569" s="1432"/>
      <c r="Q569" s="1432"/>
      <c r="R569" s="1432"/>
      <c r="S569" s="8"/>
      <c r="T569" s="22"/>
      <c r="U569" t="s">
        <v>85</v>
      </c>
      <c r="Z569" s="1432" t="s">
        <v>2749</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2" t="s">
        <v>2750</v>
      </c>
      <c r="H570" s="1432"/>
      <c r="I570" s="1432"/>
      <c r="J570" s="1432"/>
      <c r="K570" s="1432"/>
      <c r="L570" s="1432"/>
      <c r="M570" s="1432"/>
      <c r="N570" s="1432"/>
      <c r="O570" s="1432"/>
      <c r="P570" s="1432"/>
      <c r="Q570" s="1432"/>
      <c r="R570" s="1432"/>
      <c r="T570" s="22"/>
      <c r="U570" t="s">
        <v>588</v>
      </c>
      <c r="Z570" s="1431" t="s">
        <v>2750</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2745</v>
      </c>
      <c r="H571" s="1432"/>
      <c r="I571" s="1432"/>
      <c r="J571" s="1432"/>
      <c r="K571" s="1432"/>
      <c r="L571" s="1432"/>
      <c r="M571" s="1432"/>
      <c r="N571" s="1432"/>
      <c r="O571" s="1432"/>
      <c r="P571" s="1432"/>
      <c r="Q571" s="1432"/>
      <c r="R571" s="1432"/>
      <c r="S571" s="8"/>
      <c r="T571" s="22"/>
      <c r="U571" t="s">
        <v>17</v>
      </c>
      <c r="Z571" s="1431" t="s">
        <v>2745</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5" t="s">
        <v>2746</v>
      </c>
      <c r="H572" s="1435"/>
      <c r="I572" s="1435"/>
      <c r="J572" s="1435"/>
      <c r="K572" s="1435"/>
      <c r="L572" s="1435"/>
      <c r="O572" s="33" t="s">
        <v>207</v>
      </c>
      <c r="P572" s="1419"/>
      <c r="Q572" s="1419"/>
      <c r="R572" s="1419"/>
      <c r="S572" s="10"/>
      <c r="T572" s="22"/>
      <c r="U572" t="s">
        <v>317</v>
      </c>
      <c r="Z572" s="1435" t="s">
        <v>2746</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2721</v>
      </c>
      <c r="I573" s="1432"/>
      <c r="J573" s="1432"/>
      <c r="K573" s="1432"/>
      <c r="L573" s="1432"/>
      <c r="M573" s="1432"/>
      <c r="N573" s="1432"/>
      <c r="O573" s="1432"/>
      <c r="P573" s="1432"/>
      <c r="Q573" s="1432"/>
      <c r="R573" s="1432"/>
      <c r="S573" s="8"/>
      <c r="T573" s="22"/>
      <c r="U573" t="s">
        <v>18</v>
      </c>
      <c r="AA573" s="1432" t="s">
        <v>2723</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77" t="s">
        <v>2722</v>
      </c>
      <c r="N574" s="1577"/>
      <c r="O574" s="1577"/>
      <c r="P574" s="1577"/>
      <c r="Q574" s="1577"/>
      <c r="R574" s="1577"/>
      <c r="S574" s="8"/>
      <c r="T574" s="22"/>
      <c r="U574" s="348" t="s">
        <v>1289</v>
      </c>
      <c r="AA574" s="8"/>
      <c r="AB574" s="8"/>
      <c r="AC574" s="8"/>
      <c r="AD574" s="8"/>
      <c r="AE574" s="8"/>
      <c r="AF574" s="1577" t="s">
        <v>2722</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553</v>
      </c>
      <c r="O575" s="1418"/>
      <c r="T575" s="22"/>
      <c r="U575" t="s">
        <v>20</v>
      </c>
      <c r="AG575" s="1418" t="s">
        <v>553</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1" t="str">
        <f>C556</f>
        <v>Seller Note</v>
      </c>
      <c r="H577" s="1511"/>
      <c r="I577" s="1511"/>
      <c r="J577" s="1511"/>
      <c r="K577" s="1511"/>
      <c r="L577" s="1511"/>
      <c r="M577" s="1511"/>
      <c r="N577" s="1511"/>
      <c r="O577" s="1511"/>
      <c r="P577" s="1511"/>
      <c r="Q577" s="1511"/>
      <c r="R577" s="1511"/>
      <c r="T577" s="55" t="s">
        <v>589</v>
      </c>
      <c r="U577" t="s">
        <v>471</v>
      </c>
      <c r="Z577" s="1511" t="str">
        <f>C557</f>
        <v>SP Tax Credit Developer II - DDF</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2652</v>
      </c>
      <c r="H578" s="1432"/>
      <c r="I578" s="1432"/>
      <c r="J578" s="1432"/>
      <c r="K578" s="1432"/>
      <c r="L578" s="1432"/>
      <c r="M578" s="1432"/>
      <c r="N578" s="1432"/>
      <c r="O578" s="1432"/>
      <c r="P578" s="1432"/>
      <c r="Q578" s="1432"/>
      <c r="R578" s="1432"/>
      <c r="T578" s="22"/>
      <c r="U578" t="s">
        <v>85</v>
      </c>
      <c r="Z578" s="1432" t="s">
        <v>2652</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1" t="s">
        <v>2724</v>
      </c>
      <c r="H579" s="1431"/>
      <c r="I579" s="1431"/>
      <c r="J579" s="1431"/>
      <c r="K579" s="1431"/>
      <c r="L579" s="1431"/>
      <c r="M579" s="1431"/>
      <c r="N579" s="1431"/>
      <c r="O579" s="1431"/>
      <c r="P579" s="1431"/>
      <c r="Q579" s="1431"/>
      <c r="R579" s="1431"/>
      <c r="T579" s="22"/>
      <c r="U579" t="s">
        <v>588</v>
      </c>
      <c r="Z579" s="1431" t="s">
        <v>2724</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2715</v>
      </c>
      <c r="H580" s="1431"/>
      <c r="I580" s="1431"/>
      <c r="J580" s="1431"/>
      <c r="K580" s="1431"/>
      <c r="L580" s="1431"/>
      <c r="M580" s="1431"/>
      <c r="N580" s="1431"/>
      <c r="O580" s="1431"/>
      <c r="P580" s="1431"/>
      <c r="Q580" s="1431"/>
      <c r="R580" s="1431"/>
      <c r="T580" s="22"/>
      <c r="U580" t="s">
        <v>17</v>
      </c>
      <c r="Z580" s="1431" t="s">
        <v>2655</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47" t="s">
        <v>2726</v>
      </c>
      <c r="H581" s="1435"/>
      <c r="I581" s="1435"/>
      <c r="J581" s="1435"/>
      <c r="K581" s="1435"/>
      <c r="L581" s="1435"/>
      <c r="O581" s="33" t="s">
        <v>207</v>
      </c>
      <c r="P581" s="1419"/>
      <c r="Q581" s="1419"/>
      <c r="R581" s="1419"/>
      <c r="T581" s="22"/>
      <c r="U581" t="s">
        <v>317</v>
      </c>
      <c r="Z581" s="1547" t="s">
        <v>2656</v>
      </c>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2720</v>
      </c>
      <c r="I582" s="1432"/>
      <c r="J582" s="1432"/>
      <c r="K582" s="1432"/>
      <c r="L582" s="1432"/>
      <c r="M582" s="1432"/>
      <c r="N582" s="1432"/>
      <c r="O582" s="1432"/>
      <c r="P582" s="1432"/>
      <c r="Q582" s="1432"/>
      <c r="R582" s="1432"/>
      <c r="T582" s="22"/>
      <c r="U582" t="s">
        <v>18</v>
      </c>
      <c r="AA582" s="1432" t="s">
        <v>1847</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553</v>
      </c>
      <c r="O583" s="1418"/>
      <c r="T583" s="22"/>
      <c r="U583" t="s">
        <v>20</v>
      </c>
      <c r="AG583" s="1418" t="s">
        <v>553</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471</v>
      </c>
      <c r="G585" s="1511" t="str">
        <f>C558</f>
        <v>R4 - Tax Credit Equity</v>
      </c>
      <c r="H585" s="1511"/>
      <c r="I585" s="1511"/>
      <c r="J585" s="1511"/>
      <c r="K585" s="1511"/>
      <c r="L585" s="1511"/>
      <c r="M585" s="1511"/>
      <c r="N585" s="1511"/>
      <c r="O585" s="1511"/>
      <c r="P585" s="1511"/>
      <c r="Q585" s="1511"/>
      <c r="R585" s="1511"/>
      <c r="T585" s="55" t="s">
        <v>592</v>
      </c>
      <c r="U585" t="s">
        <v>471</v>
      </c>
      <c r="Z585" s="1511">
        <f>C559</f>
        <v>0</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2731</v>
      </c>
      <c r="H586" s="1432"/>
      <c r="I586" s="1432"/>
      <c r="J586" s="1432"/>
      <c r="K586" s="1432"/>
      <c r="L586" s="1432"/>
      <c r="M586" s="1432"/>
      <c r="N586" s="1432"/>
      <c r="O586" s="1432"/>
      <c r="P586" s="1432"/>
      <c r="Q586" s="1432"/>
      <c r="R586" s="1432"/>
      <c r="T586" s="22"/>
      <c r="U586" t="s">
        <v>85</v>
      </c>
      <c r="Z586" s="1432"/>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2" t="s">
        <v>2732</v>
      </c>
      <c r="H587" s="1432"/>
      <c r="I587" s="1432"/>
      <c r="J587" s="1432"/>
      <c r="K587" s="1432"/>
      <c r="L587" s="1432"/>
      <c r="M587" s="1432"/>
      <c r="N587" s="1432"/>
      <c r="O587" s="1432"/>
      <c r="P587" s="1432"/>
      <c r="Q587" s="1432"/>
      <c r="R587" s="1432"/>
      <c r="T587" s="22"/>
      <c r="U587" t="s">
        <v>588</v>
      </c>
      <c r="Z587" s="1431"/>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2733</v>
      </c>
      <c r="H588" s="1432"/>
      <c r="I588" s="1432"/>
      <c r="J588" s="1432"/>
      <c r="K588" s="1432"/>
      <c r="L588" s="1432"/>
      <c r="M588" s="1432"/>
      <c r="N588" s="1432"/>
      <c r="O588" s="1432"/>
      <c r="P588" s="1432"/>
      <c r="Q588" s="1432"/>
      <c r="R588" s="1432"/>
      <c r="T588" s="22"/>
      <c r="U588" t="s">
        <v>17</v>
      </c>
      <c r="Z588" s="1431"/>
      <c r="AA588" s="1431"/>
      <c r="AB588" s="1431"/>
      <c r="AC588" s="1431"/>
      <c r="AD588" s="1431"/>
      <c r="AE588" s="1431"/>
      <c r="AF588" s="1431"/>
      <c r="AG588" s="1431"/>
      <c r="AH588" s="1431"/>
      <c r="AI588" s="1431"/>
      <c r="AJ588" s="1431"/>
      <c r="AK588" s="1431"/>
    </row>
    <row r="589" spans="1:110" ht="12.95" customHeight="1">
      <c r="A589" s="22"/>
      <c r="B589" t="s">
        <v>317</v>
      </c>
      <c r="G589" s="1547" t="s">
        <v>2734</v>
      </c>
      <c r="H589" s="1435"/>
      <c r="I589" s="1435"/>
      <c r="J589" s="1435"/>
      <c r="K589" s="1435"/>
      <c r="L589" s="1435"/>
      <c r="O589" s="33" t="s">
        <v>207</v>
      </c>
      <c r="P589" s="1419"/>
      <c r="Q589" s="1419"/>
      <c r="R589" s="1419"/>
      <c r="T589" s="22"/>
      <c r="U589" t="s">
        <v>317</v>
      </c>
      <c r="Z589" s="1547"/>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2725</v>
      </c>
      <c r="I590" s="1432"/>
      <c r="J590" s="1432"/>
      <c r="K590" s="1432"/>
      <c r="L590" s="1432"/>
      <c r="M590" s="1432"/>
      <c r="N590" s="1432"/>
      <c r="O590" s="1432"/>
      <c r="P590" s="1432"/>
      <c r="Q590" s="1432"/>
      <c r="R590" s="1432"/>
      <c r="T590" s="22"/>
      <c r="U590" t="s">
        <v>18</v>
      </c>
      <c r="AA590" s="1432"/>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553</v>
      </c>
      <c r="O591" s="1418"/>
      <c r="T591" s="22"/>
      <c r="U591" t="s">
        <v>20</v>
      </c>
      <c r="AG591" s="1418" t="s">
        <v>676</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1">
        <f>C560</f>
        <v>0</v>
      </c>
      <c r="H593" s="1511"/>
      <c r="I593" s="1511"/>
      <c r="J593" s="1511"/>
      <c r="K593" s="1511"/>
      <c r="L593" s="1511"/>
      <c r="M593" s="1511"/>
      <c r="N593" s="1511"/>
      <c r="O593" s="1511"/>
      <c r="P593" s="1511"/>
      <c r="Q593" s="1511"/>
      <c r="R593" s="1511"/>
      <c r="T593" s="55" t="s">
        <v>464</v>
      </c>
      <c r="U593" t="s">
        <v>471</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2"/>
      <c r="H595" s="1432"/>
      <c r="I595" s="1432"/>
      <c r="J595" s="1432"/>
      <c r="K595" s="1432"/>
      <c r="L595" s="1432"/>
      <c r="M595" s="1432"/>
      <c r="N595" s="1432"/>
      <c r="O595" s="1432"/>
      <c r="P595" s="1432"/>
      <c r="Q595" s="1432"/>
      <c r="R595" s="1432"/>
      <c r="S595"/>
      <c r="T595" s="22"/>
      <c r="U595" t="s">
        <v>588</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482</v>
      </c>
      <c r="BF596" s="122"/>
      <c r="BG596" s="1393"/>
      <c r="BH596" s="1394"/>
      <c r="BI596" s="121" t="s">
        <v>483</v>
      </c>
      <c r="BJ596" s="122"/>
      <c r="BK596" s="1393"/>
      <c r="BL596" s="1394"/>
      <c r="BM596" s="3"/>
      <c r="BN596" s="1518" t="s">
        <v>640</v>
      </c>
      <c r="BO596" s="1519"/>
      <c r="BP596" s="1519"/>
      <c r="BQ596" s="1519"/>
      <c r="BR596" s="1520"/>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468</v>
      </c>
      <c r="CI596" s="1516"/>
      <c r="CJ596" s="1516"/>
      <c r="CK596" s="1516"/>
      <c r="CL596" s="1516"/>
      <c r="CM596" s="1516" t="s">
        <v>30</v>
      </c>
      <c r="CN596" s="1516"/>
      <c r="CO596" s="1516"/>
      <c r="CP596" s="1516"/>
      <c r="CQ596" s="1516"/>
      <c r="CR596" s="89"/>
      <c r="CS596" s="1516" t="s">
        <v>640</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468</v>
      </c>
      <c r="DN596" s="1516"/>
      <c r="DO596" s="1516"/>
      <c r="DP596" s="1516"/>
      <c r="DQ596" s="1516"/>
      <c r="DR596" s="1516" t="s">
        <v>30</v>
      </c>
      <c r="DS596" s="1516"/>
      <c r="DT596" s="1516"/>
      <c r="DU596" s="1516"/>
      <c r="DV596" s="1516"/>
      <c r="DX596" s="1516" t="s">
        <v>640</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468</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435"/>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2</v>
      </c>
      <c r="BL597" s="1394"/>
      <c r="BM597" s="3"/>
      <c r="BN597" s="1395">
        <f t="shared" ref="BN597:BN631" si="5">IF(B718="SRO/Studio",G718,0)</f>
        <v>0</v>
      </c>
      <c r="BO597" s="1396"/>
      <c r="BP597" s="1396"/>
      <c r="BQ597" s="1396"/>
      <c r="BR597" s="1397"/>
      <c r="BS597" s="1392">
        <f t="shared" ref="BS597:BS631" si="6">IF(B718="1 Bedroom",G718,0)</f>
        <v>2</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0</v>
      </c>
      <c r="CT597" s="1391"/>
      <c r="CU597" s="1391"/>
      <c r="CV597" s="1391"/>
      <c r="CW597" s="1391"/>
      <c r="CX597" s="1391">
        <f t="shared" ref="CX597:CX631" si="12">IF(AND(B718="1 Bedroom",AC718&lt;=0.3),G718,0)</f>
        <v>2</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t="str">
        <f t="shared" ref="DX597:DX631" si="17">IF(BN597&gt;0,O718,"")</f>
        <v/>
      </c>
      <c r="DY597" s="1354"/>
      <c r="DZ597" s="1354"/>
      <c r="EA597" s="1354"/>
      <c r="EB597" s="1355"/>
      <c r="EC597" s="1353">
        <f t="shared" ref="EC597:EC631" si="18">IF(BS597&gt;0,O718,"")</f>
        <v>814</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1</v>
      </c>
      <c r="BF598" s="1355"/>
      <c r="BG598" s="1393">
        <f t="shared" si="2"/>
        <v>6</v>
      </c>
      <c r="BH598" s="1394"/>
      <c r="BI598" s="1353">
        <f t="shared" si="3"/>
        <v>0</v>
      </c>
      <c r="BJ598" s="1355"/>
      <c r="BK598" s="1393">
        <f t="shared" si="4"/>
        <v>0</v>
      </c>
      <c r="BL598" s="1394"/>
      <c r="BM598" s="3"/>
      <c r="BN598" s="1395">
        <f t="shared" si="5"/>
        <v>0</v>
      </c>
      <c r="BO598" s="1396"/>
      <c r="BP598" s="1396"/>
      <c r="BQ598" s="1396"/>
      <c r="BR598" s="1397"/>
      <c r="BS598" s="1392">
        <f t="shared" si="6"/>
        <v>6</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t="str">
        <f t="shared" si="17"/>
        <v/>
      </c>
      <c r="DY598" s="1354"/>
      <c r="DZ598" s="1354"/>
      <c r="EA598" s="1354"/>
      <c r="EB598" s="1355"/>
      <c r="EC598" s="1353">
        <f t="shared" si="18"/>
        <v>1382</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18" t="s">
        <v>676</v>
      </c>
      <c r="O599" s="1418"/>
      <c r="T599" s="22"/>
      <c r="U599" t="s">
        <v>20</v>
      </c>
      <c r="AG599" s="1418" t="s">
        <v>676</v>
      </c>
      <c r="AH599" s="1418"/>
      <c r="BA599" s="4" t="s">
        <v>164</v>
      </c>
      <c r="BB599" s="3"/>
      <c r="BC599" s="3"/>
      <c r="BD599" s="3"/>
      <c r="BE599" s="1353">
        <f t="shared" si="1"/>
        <v>0</v>
      </c>
      <c r="BF599" s="1355"/>
      <c r="BG599" s="1393">
        <f t="shared" si="2"/>
        <v>0</v>
      </c>
      <c r="BH599" s="1394"/>
      <c r="BI599" s="1353">
        <f t="shared" si="3"/>
        <v>0</v>
      </c>
      <c r="BJ599" s="1355"/>
      <c r="BK599" s="1393">
        <f t="shared" si="4"/>
        <v>0</v>
      </c>
      <c r="BL599" s="1394"/>
      <c r="BM599" s="3"/>
      <c r="BN599" s="1395">
        <f t="shared" si="5"/>
        <v>0</v>
      </c>
      <c r="BO599" s="1396"/>
      <c r="BP599" s="1396"/>
      <c r="BQ599" s="1396"/>
      <c r="BR599" s="1397"/>
      <c r="BS599" s="1392">
        <f t="shared" si="6"/>
        <v>7</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t="str">
        <f t="shared" si="17"/>
        <v/>
      </c>
      <c r="DY599" s="1354"/>
      <c r="DZ599" s="1354"/>
      <c r="EA599" s="1354"/>
      <c r="EB599" s="1355"/>
      <c r="EC599" s="1353">
        <f t="shared" si="18"/>
        <v>1666</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0</v>
      </c>
      <c r="BF600" s="1355"/>
      <c r="BG600" s="1393">
        <f t="shared" si="2"/>
        <v>0</v>
      </c>
      <c r="BH600" s="1394"/>
      <c r="BI600" s="1353">
        <f t="shared" si="3"/>
        <v>0</v>
      </c>
      <c r="BJ600" s="1355"/>
      <c r="BK600" s="1393">
        <f t="shared" si="4"/>
        <v>0</v>
      </c>
      <c r="BL600" s="1394"/>
      <c r="BM600" s="3"/>
      <c r="BN600" s="1395">
        <f t="shared" si="5"/>
        <v>0</v>
      </c>
      <c r="BO600" s="1396"/>
      <c r="BP600" s="1396"/>
      <c r="BQ600" s="1396"/>
      <c r="BR600" s="1397"/>
      <c r="BS600" s="1392">
        <f t="shared" si="6"/>
        <v>1</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t="str">
        <f t="shared" si="17"/>
        <v/>
      </c>
      <c r="DY600" s="1354"/>
      <c r="DZ600" s="1354"/>
      <c r="EA600" s="1354"/>
      <c r="EB600" s="1355"/>
      <c r="EC600" s="1353">
        <f t="shared" si="18"/>
        <v>1657</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469</v>
      </c>
      <c r="B601" t="s">
        <v>471</v>
      </c>
      <c r="G601" s="1511">
        <f>C562</f>
        <v>0</v>
      </c>
      <c r="H601" s="1511"/>
      <c r="I601" s="1511"/>
      <c r="J601" s="1511"/>
      <c r="K601" s="1511"/>
      <c r="L601" s="1511"/>
      <c r="M601" s="1511"/>
      <c r="N601" s="1511"/>
      <c r="O601" s="1511"/>
      <c r="P601" s="1511"/>
      <c r="Q601" s="1511"/>
      <c r="R601" s="1511"/>
      <c r="T601" s="55" t="s">
        <v>653</v>
      </c>
      <c r="U601" t="s">
        <v>471</v>
      </c>
      <c r="Z601" s="1511">
        <f>C563</f>
        <v>0</v>
      </c>
      <c r="AA601" s="1511"/>
      <c r="AB601" s="1511"/>
      <c r="AC601" s="1511"/>
      <c r="AD601" s="1511"/>
      <c r="AE601" s="1511"/>
      <c r="AF601" s="1511"/>
      <c r="AG601" s="1511"/>
      <c r="AH601" s="1511"/>
      <c r="AI601" s="1511"/>
      <c r="AJ601" s="1511"/>
      <c r="AK601" s="1511"/>
      <c r="BA601" s="4" t="s">
        <v>30</v>
      </c>
      <c r="BB601" s="3"/>
      <c r="BC601" s="3"/>
      <c r="BD601" s="3"/>
      <c r="BE601" s="1353">
        <f t="shared" si="1"/>
        <v>0</v>
      </c>
      <c r="BF601" s="1355"/>
      <c r="BG601" s="1393">
        <f t="shared" si="2"/>
        <v>0</v>
      </c>
      <c r="BH601" s="1394"/>
      <c r="BI601" s="1353">
        <f t="shared" si="3"/>
        <v>1</v>
      </c>
      <c r="BJ601" s="1355"/>
      <c r="BK601" s="1393">
        <f t="shared" si="4"/>
        <v>2</v>
      </c>
      <c r="BL601" s="1394"/>
      <c r="BM601" s="3"/>
      <c r="BN601" s="1395">
        <f t="shared" si="5"/>
        <v>0</v>
      </c>
      <c r="BO601" s="1396"/>
      <c r="BP601" s="1396"/>
      <c r="BQ601" s="1396"/>
      <c r="BR601" s="1397"/>
      <c r="BS601" s="1392">
        <f t="shared" si="6"/>
        <v>0</v>
      </c>
      <c r="BT601" s="1392"/>
      <c r="BU601" s="1392"/>
      <c r="BV601" s="1392"/>
      <c r="BW601" s="1392"/>
      <c r="BX601" s="1392">
        <f t="shared" si="7"/>
        <v>2</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2</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t="str">
        <f t="shared" si="17"/>
        <v/>
      </c>
      <c r="DY601" s="1354"/>
      <c r="DZ601" s="1354"/>
      <c r="EA601" s="1354"/>
      <c r="EB601" s="1355"/>
      <c r="EC601" s="1353" t="str">
        <f t="shared" si="18"/>
        <v/>
      </c>
      <c r="ED601" s="1354"/>
      <c r="EE601" s="1354"/>
      <c r="EF601" s="1354"/>
      <c r="EG601" s="1355"/>
      <c r="EH601" s="1353">
        <f t="shared" si="19"/>
        <v>976</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1</v>
      </c>
      <c r="BF602" s="1355"/>
      <c r="BG602" s="1393">
        <f t="shared" si="2"/>
        <v>6</v>
      </c>
      <c r="BH602" s="1394"/>
      <c r="BI602" s="1353">
        <f t="shared" si="3"/>
        <v>0</v>
      </c>
      <c r="BJ602" s="1355"/>
      <c r="BK602" s="1393">
        <f t="shared" si="4"/>
        <v>0</v>
      </c>
      <c r="BL602" s="1394"/>
      <c r="BM602" s="3"/>
      <c r="BN602" s="1395">
        <f t="shared" si="5"/>
        <v>0</v>
      </c>
      <c r="BO602" s="1396"/>
      <c r="BP602" s="1396"/>
      <c r="BQ602" s="1396"/>
      <c r="BR602" s="1397"/>
      <c r="BS602" s="1392">
        <f t="shared" si="6"/>
        <v>0</v>
      </c>
      <c r="BT602" s="1392"/>
      <c r="BU602" s="1392"/>
      <c r="BV602" s="1392"/>
      <c r="BW602" s="1392"/>
      <c r="BX602" s="1392">
        <f t="shared" si="7"/>
        <v>6</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t="str">
        <f t="shared" si="18"/>
        <v/>
      </c>
      <c r="ED602" s="1354"/>
      <c r="EE602" s="1354"/>
      <c r="EF602" s="1354"/>
      <c r="EG602" s="1355"/>
      <c r="EH602" s="1353">
        <f t="shared" si="19"/>
        <v>1658</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588</v>
      </c>
      <c r="G603" s="1432"/>
      <c r="H603" s="1432"/>
      <c r="I603" s="1432"/>
      <c r="J603" s="1432"/>
      <c r="K603" s="1432"/>
      <c r="L603" s="1432"/>
      <c r="M603" s="1432"/>
      <c r="N603" s="1432"/>
      <c r="O603" s="1432"/>
      <c r="P603" s="1432"/>
      <c r="Q603" s="1432"/>
      <c r="R603" s="1432"/>
      <c r="T603" s="22"/>
      <c r="U603" t="s">
        <v>588</v>
      </c>
      <c r="Z603" s="1431"/>
      <c r="AA603" s="1431"/>
      <c r="AB603" s="1431"/>
      <c r="AC603" s="1431"/>
      <c r="AD603" s="1431"/>
      <c r="AE603" s="1431"/>
      <c r="AF603" s="1431"/>
      <c r="AG603" s="1431"/>
      <c r="AH603" s="1431"/>
      <c r="AI603" s="1431"/>
      <c r="AJ603" s="1431"/>
      <c r="AK603" s="1431"/>
      <c r="AZ603" s="3"/>
      <c r="BA603" s="3"/>
      <c r="BB603" s="3"/>
      <c r="BC603" s="3"/>
      <c r="BD603" s="3"/>
      <c r="BE603" s="1353">
        <f t="shared" si="1"/>
        <v>0</v>
      </c>
      <c r="BF603" s="1355"/>
      <c r="BG603" s="1393">
        <f t="shared" si="2"/>
        <v>0</v>
      </c>
      <c r="BH603" s="1394"/>
      <c r="BI603" s="1353">
        <f t="shared" si="3"/>
        <v>0</v>
      </c>
      <c r="BJ603" s="1355"/>
      <c r="BK603" s="1393">
        <f t="shared" si="4"/>
        <v>0</v>
      </c>
      <c r="BL603" s="1394"/>
      <c r="BM603" s="3"/>
      <c r="BN603" s="1395">
        <f t="shared" si="5"/>
        <v>0</v>
      </c>
      <c r="BO603" s="1396"/>
      <c r="BP603" s="1396"/>
      <c r="BQ603" s="1396"/>
      <c r="BR603" s="1397"/>
      <c r="BS603" s="1392">
        <f t="shared" si="6"/>
        <v>0</v>
      </c>
      <c r="BT603" s="1392"/>
      <c r="BU603" s="1392"/>
      <c r="BV603" s="1392"/>
      <c r="BW603" s="1392"/>
      <c r="BX603" s="1392">
        <f t="shared" si="7"/>
        <v>15</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t="str">
        <f t="shared" si="18"/>
        <v/>
      </c>
      <c r="ED603" s="1354"/>
      <c r="EE603" s="1354"/>
      <c r="EF603" s="1354"/>
      <c r="EG603" s="1355"/>
      <c r="EH603" s="1353">
        <f t="shared" si="19"/>
        <v>1999</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0</v>
      </c>
      <c r="BF604" s="1355"/>
      <c r="BG604" s="1393">
        <f t="shared" si="2"/>
        <v>0</v>
      </c>
      <c r="BH604" s="1394"/>
      <c r="BI604" s="1353">
        <f t="shared" si="3"/>
        <v>0</v>
      </c>
      <c r="BJ604" s="1355"/>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1</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t="str">
        <f t="shared" si="18"/>
        <v/>
      </c>
      <c r="ED604" s="1354"/>
      <c r="EE604" s="1354"/>
      <c r="EF604" s="1354"/>
      <c r="EG604" s="1355"/>
      <c r="EH604" s="1353">
        <f t="shared" si="19"/>
        <v>1948</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1</v>
      </c>
      <c r="BJ605" s="1355"/>
      <c r="BK605" s="1393">
        <f t="shared" si="4"/>
        <v>2</v>
      </c>
      <c r="BL605" s="1394"/>
      <c r="BM605" s="3"/>
      <c r="BN605" s="1395">
        <f t="shared" si="5"/>
        <v>0</v>
      </c>
      <c r="BO605" s="1396"/>
      <c r="BP605" s="1396"/>
      <c r="BQ605" s="1396"/>
      <c r="BR605" s="1397"/>
      <c r="BS605" s="1392">
        <f t="shared" si="6"/>
        <v>0</v>
      </c>
      <c r="BT605" s="1392"/>
      <c r="BU605" s="1392"/>
      <c r="BV605" s="1392"/>
      <c r="BW605" s="1392"/>
      <c r="BX605" s="1392">
        <f t="shared" si="7"/>
        <v>0</v>
      </c>
      <c r="BY605" s="1392"/>
      <c r="BZ605" s="1392"/>
      <c r="CA605" s="1392"/>
      <c r="CB605" s="1392"/>
      <c r="CC605" s="1392">
        <f t="shared" si="8"/>
        <v>2</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2</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t="str">
        <f t="shared" si="18"/>
        <v/>
      </c>
      <c r="ED605" s="1354"/>
      <c r="EE605" s="1354"/>
      <c r="EF605" s="1354"/>
      <c r="EG605" s="1355"/>
      <c r="EH605" s="1353" t="str">
        <f t="shared" si="19"/>
        <v/>
      </c>
      <c r="EI605" s="1354"/>
      <c r="EJ605" s="1354"/>
      <c r="EK605" s="1354"/>
      <c r="EL605" s="1355"/>
      <c r="EM605" s="1353">
        <f t="shared" si="20"/>
        <v>1072</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1</v>
      </c>
      <c r="BF606" s="1355"/>
      <c r="BG606" s="1393">
        <f t="shared" si="2"/>
        <v>6</v>
      </c>
      <c r="BH606" s="1394"/>
      <c r="BI606" s="1353">
        <f t="shared" si="3"/>
        <v>0</v>
      </c>
      <c r="BJ606" s="1355"/>
      <c r="BK606" s="1393">
        <f t="shared" si="4"/>
        <v>0</v>
      </c>
      <c r="BL606" s="1394"/>
      <c r="BM606" s="3"/>
      <c r="BN606" s="1395">
        <f t="shared" si="5"/>
        <v>0</v>
      </c>
      <c r="BO606" s="1396"/>
      <c r="BP606" s="1396"/>
      <c r="BQ606" s="1396"/>
      <c r="BR606" s="1397"/>
      <c r="BS606" s="1392">
        <f t="shared" si="6"/>
        <v>0</v>
      </c>
      <c r="BT606" s="1392"/>
      <c r="BU606" s="1392"/>
      <c r="BV606" s="1392"/>
      <c r="BW606" s="1392"/>
      <c r="BX606" s="1392">
        <f t="shared" si="7"/>
        <v>0</v>
      </c>
      <c r="BY606" s="1392"/>
      <c r="BZ606" s="1392"/>
      <c r="CA606" s="1392"/>
      <c r="CB606" s="1392"/>
      <c r="CC606" s="1392">
        <f t="shared" si="8"/>
        <v>6</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t="str">
        <f t="shared" si="18"/>
        <v/>
      </c>
      <c r="ED606" s="1354"/>
      <c r="EE606" s="1354"/>
      <c r="EF606" s="1354"/>
      <c r="EG606" s="1355"/>
      <c r="EH606" s="1353" t="str">
        <f t="shared" si="19"/>
        <v/>
      </c>
      <c r="EI606" s="1354"/>
      <c r="EJ606" s="1354"/>
      <c r="EK606" s="1354"/>
      <c r="EL606" s="1355"/>
      <c r="EM606" s="1353">
        <f t="shared" si="20"/>
        <v>1860</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18" t="s">
        <v>676</v>
      </c>
      <c r="O607" s="1418"/>
      <c r="P607"/>
      <c r="Q607"/>
      <c r="R607"/>
      <c r="S607"/>
      <c r="T607" s="22"/>
      <c r="U607" t="s">
        <v>20</v>
      </c>
      <c r="V607"/>
      <c r="W607"/>
      <c r="X607"/>
      <c r="Y607"/>
      <c r="Z607"/>
      <c r="AA607"/>
      <c r="AB607"/>
      <c r="AC607"/>
      <c r="AD607"/>
      <c r="AE607"/>
      <c r="AF607"/>
      <c r="AG607" s="1418" t="s">
        <v>676</v>
      </c>
      <c r="AH607" s="1418"/>
      <c r="AI607"/>
      <c r="AJ607"/>
      <c r="AK607"/>
      <c r="AL607"/>
      <c r="AM607"/>
      <c r="AN607"/>
      <c r="AO607"/>
      <c r="AP607"/>
      <c r="AQ607"/>
      <c r="AR607"/>
      <c r="AS607"/>
      <c r="AT607"/>
      <c r="AU607"/>
      <c r="AV607"/>
      <c r="AW607"/>
      <c r="AX607"/>
      <c r="AY607"/>
      <c r="AZ607" s="3"/>
      <c r="BA607" s="3"/>
      <c r="BB607" s="3"/>
      <c r="BC607" s="3"/>
      <c r="BD607" s="3"/>
      <c r="BE607" s="1353">
        <f t="shared" si="1"/>
        <v>0</v>
      </c>
      <c r="BF607" s="1355"/>
      <c r="BG607" s="1393">
        <f t="shared" si="2"/>
        <v>0</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0</v>
      </c>
      <c r="BY607" s="1392"/>
      <c r="BZ607" s="1392"/>
      <c r="CA607" s="1392"/>
      <c r="CB607" s="1392"/>
      <c r="CC607" s="1392">
        <f t="shared" si="8"/>
        <v>1</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t="str">
        <f t="shared" si="19"/>
        <v/>
      </c>
      <c r="EI607" s="1354"/>
      <c r="EJ607" s="1354"/>
      <c r="EK607" s="1354"/>
      <c r="EL607" s="1355"/>
      <c r="EM607" s="1353">
        <f t="shared" si="20"/>
        <v>2282</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12</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f t="shared" si="20"/>
        <v>2254</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363</v>
      </c>
      <c r="B609" t="s">
        <v>471</v>
      </c>
      <c r="G609" s="1511">
        <f>C564</f>
        <v>0</v>
      </c>
      <c r="H609" s="1511"/>
      <c r="I609" s="1511"/>
      <c r="J609" s="1511"/>
      <c r="K609" s="1511"/>
      <c r="L609" s="1511"/>
      <c r="M609" s="1511"/>
      <c r="N609" s="1511"/>
      <c r="O609" s="1511"/>
      <c r="P609" s="1511"/>
      <c r="Q609" s="1511"/>
      <c r="R609" s="1511"/>
      <c r="T609" s="55" t="s">
        <v>364</v>
      </c>
      <c r="U609" t="s">
        <v>471</v>
      </c>
      <c r="Z609" s="1511">
        <f>C565</f>
        <v>0</v>
      </c>
      <c r="AA609" s="1511"/>
      <c r="AB609" s="1511"/>
      <c r="AC609" s="1511"/>
      <c r="AD609" s="1511"/>
      <c r="AE609" s="1511"/>
      <c r="AF609" s="1511"/>
      <c r="AG609" s="1511"/>
      <c r="AH609" s="1511"/>
      <c r="AI609" s="1511"/>
      <c r="AJ609" s="1511"/>
      <c r="AK609" s="1511"/>
      <c r="AZ609" s="3"/>
      <c r="BA609" s="3"/>
      <c r="BB609" s="3"/>
      <c r="BC609" s="3"/>
      <c r="BD609" s="3"/>
      <c r="BE609" s="1353">
        <f t="shared" si="1"/>
        <v>0</v>
      </c>
      <c r="BF609" s="1355"/>
      <c r="BG609" s="1393">
        <f t="shared" si="2"/>
        <v>0</v>
      </c>
      <c r="BH609" s="1394"/>
      <c r="BI609" s="1353">
        <f t="shared" si="3"/>
        <v>1</v>
      </c>
      <c r="BJ609" s="1355"/>
      <c r="BK609" s="1393">
        <f t="shared" si="4"/>
        <v>1</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1</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1</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f t="shared" si="21"/>
        <v>1222</v>
      </c>
      <c r="ES609" s="1354"/>
      <c r="ET609" s="1354"/>
      <c r="EU609" s="1354"/>
      <c r="EV609" s="1355"/>
      <c r="EW609" s="1353" t="str">
        <f t="shared" si="22"/>
        <v/>
      </c>
      <c r="EX609" s="1354"/>
      <c r="EY609" s="1354"/>
      <c r="EZ609" s="1354"/>
      <c r="FA609" s="1355"/>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1</v>
      </c>
      <c r="BF610" s="1355"/>
      <c r="BG610" s="1393">
        <f t="shared" si="2"/>
        <v>3</v>
      </c>
      <c r="BH610" s="1394"/>
      <c r="BI610" s="1353">
        <f t="shared" si="3"/>
        <v>0</v>
      </c>
      <c r="BJ610" s="1355"/>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3</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t="str">
        <f t="shared" si="20"/>
        <v/>
      </c>
      <c r="EN610" s="1354"/>
      <c r="EO610" s="1354"/>
      <c r="EP610" s="1354"/>
      <c r="EQ610" s="1355"/>
      <c r="ER610" s="1353">
        <f t="shared" si="21"/>
        <v>2101</v>
      </c>
      <c r="ES610" s="1354"/>
      <c r="ET610" s="1354"/>
      <c r="EU610" s="1354"/>
      <c r="EV610" s="1355"/>
      <c r="EW610" s="1353" t="str">
        <f t="shared" si="22"/>
        <v/>
      </c>
      <c r="EX610" s="1354"/>
      <c r="EY610" s="1354"/>
      <c r="EZ610" s="1354"/>
      <c r="FA610" s="1355"/>
    </row>
    <row r="611" spans="1:157" ht="12.95" customHeight="1">
      <c r="B611" t="s">
        <v>588</v>
      </c>
      <c r="G611" s="1432"/>
      <c r="H611" s="1432"/>
      <c r="I611" s="1432"/>
      <c r="J611" s="1432"/>
      <c r="K611" s="1432"/>
      <c r="L611" s="1432"/>
      <c r="M611" s="1432"/>
      <c r="N611" s="1432"/>
      <c r="O611" s="1432"/>
      <c r="P611" s="1432"/>
      <c r="Q611" s="1432"/>
      <c r="R611" s="1432"/>
      <c r="U611" t="s">
        <v>588</v>
      </c>
      <c r="Z611" s="1431"/>
      <c r="AA611" s="1431"/>
      <c r="AB611" s="1431"/>
      <c r="AC611" s="1431"/>
      <c r="AD611" s="1431"/>
      <c r="AE611" s="1431"/>
      <c r="AF611" s="1431"/>
      <c r="AG611" s="1431"/>
      <c r="AH611" s="1431"/>
      <c r="AI611" s="1431"/>
      <c r="AJ611" s="1431"/>
      <c r="AK611" s="1431"/>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1</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t="str">
        <f t="shared" si="20"/>
        <v/>
      </c>
      <c r="EN611" s="1354"/>
      <c r="EO611" s="1354"/>
      <c r="EP611" s="1354"/>
      <c r="EQ611" s="1355"/>
      <c r="ER611" s="1353">
        <f t="shared" si="21"/>
        <v>2567</v>
      </c>
      <c r="ES611" s="1354"/>
      <c r="ET611" s="1354"/>
      <c r="EU611" s="1354"/>
      <c r="EV611" s="1355"/>
      <c r="EW611" s="1353" t="str">
        <f t="shared" si="22"/>
        <v/>
      </c>
      <c r="EX611" s="1354"/>
      <c r="EY611" s="1354"/>
      <c r="EZ611" s="1354"/>
      <c r="FA611" s="1355"/>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3</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t="str">
        <f t="shared" si="20"/>
        <v/>
      </c>
      <c r="EN612" s="1354"/>
      <c r="EO612" s="1354"/>
      <c r="EP612" s="1354"/>
      <c r="EQ612" s="1355"/>
      <c r="ER612" s="1353">
        <f t="shared" si="21"/>
        <v>2541</v>
      </c>
      <c r="ES612" s="1354"/>
      <c r="ET612" s="1354"/>
      <c r="EU612" s="1354"/>
      <c r="EV612" s="1355"/>
      <c r="EW612" s="1353" t="str">
        <f t="shared" si="22"/>
        <v/>
      </c>
      <c r="EX612" s="1354"/>
      <c r="EY612" s="1354"/>
      <c r="EZ612" s="1354"/>
      <c r="FA612" s="1355"/>
    </row>
    <row r="613" spans="1:157" ht="12.95"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18" t="s">
        <v>676</v>
      </c>
      <c r="O615" s="1418"/>
      <c r="U615" t="s">
        <v>20</v>
      </c>
      <c r="AG615" s="1418" t="s">
        <v>676</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320</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2416</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593" t="s">
        <v>2418</v>
      </c>
      <c r="C624" s="1593"/>
      <c r="D624" s="1593"/>
      <c r="E624" s="1593"/>
      <c r="F624" s="1593"/>
      <c r="G624" s="1593"/>
      <c r="H624" s="1593"/>
      <c r="I624" s="1593"/>
      <c r="J624" s="1593"/>
      <c r="K624" s="1593"/>
      <c r="L624" s="1593"/>
      <c r="M624" s="1697" t="s">
        <v>2419</v>
      </c>
      <c r="N624" s="1697"/>
      <c r="O624" s="1697"/>
      <c r="P624" s="1697"/>
      <c r="Q624" s="1697" t="s">
        <v>2040</v>
      </c>
      <c r="R624" s="1697"/>
      <c r="S624" s="1697"/>
      <c r="T624" s="1697" t="s">
        <v>2038</v>
      </c>
      <c r="U624" s="1697"/>
      <c r="V624" s="1697"/>
      <c r="W624" s="1845" t="s">
        <v>461</v>
      </c>
      <c r="X624" s="1845"/>
      <c r="Y624" s="1845"/>
      <c r="Z624" s="1409" t="s">
        <v>2448</v>
      </c>
      <c r="AA624" s="1409"/>
      <c r="AB624" s="1410"/>
      <c r="AC624" s="1706" t="s">
        <v>1861</v>
      </c>
      <c r="AD624" s="1707"/>
      <c r="AE624" s="1708"/>
      <c r="AF624" s="1408" t="s">
        <v>2227</v>
      </c>
      <c r="AG624" s="1409"/>
      <c r="AH624" s="1409"/>
      <c r="AI624" s="1409"/>
      <c r="AJ624" s="1410"/>
      <c r="AK624" s="1833" t="s">
        <v>2228</v>
      </c>
      <c r="AL624" s="1834"/>
      <c r="AM624" s="1834"/>
      <c r="AN624" s="1835"/>
      <c r="AO624" s="1697" t="s">
        <v>462</v>
      </c>
      <c r="AP624" s="1697"/>
      <c r="AQ624" s="1697"/>
      <c r="AR624" s="1697"/>
      <c r="AS624" s="1697"/>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593"/>
      <c r="C625" s="1593"/>
      <c r="D625" s="1593"/>
      <c r="E625" s="1593"/>
      <c r="F625" s="1593"/>
      <c r="G625" s="1593"/>
      <c r="H625" s="1593"/>
      <c r="I625" s="1593"/>
      <c r="J625" s="1593"/>
      <c r="K625" s="1593"/>
      <c r="L625" s="1593"/>
      <c r="M625" s="1697"/>
      <c r="N625" s="1697"/>
      <c r="O625" s="1697"/>
      <c r="P625" s="1697"/>
      <c r="Q625" s="1697"/>
      <c r="R625" s="1697"/>
      <c r="S625" s="1697"/>
      <c r="T625" s="1697"/>
      <c r="U625" s="1697"/>
      <c r="V625" s="1697"/>
      <c r="W625" s="1845"/>
      <c r="X625" s="1845"/>
      <c r="Y625" s="1845"/>
      <c r="Z625" s="1412"/>
      <c r="AA625" s="1412"/>
      <c r="AB625" s="1413"/>
      <c r="AC625" s="1709"/>
      <c r="AD625" s="1710"/>
      <c r="AE625" s="1711"/>
      <c r="AF625" s="1411"/>
      <c r="AG625" s="1412"/>
      <c r="AH625" s="1412"/>
      <c r="AI625" s="1412"/>
      <c r="AJ625" s="1413"/>
      <c r="AK625" s="1836"/>
      <c r="AL625" s="1837"/>
      <c r="AM625" s="1837"/>
      <c r="AN625" s="1838"/>
      <c r="AO625" s="1697"/>
      <c r="AP625" s="1697"/>
      <c r="AQ625" s="1697"/>
      <c r="AR625" s="1697"/>
      <c r="AS625" s="1697"/>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593"/>
      <c r="C626" s="1593"/>
      <c r="D626" s="1593"/>
      <c r="E626" s="1593"/>
      <c r="F626" s="1593"/>
      <c r="G626" s="1593"/>
      <c r="H626" s="1593"/>
      <c r="I626" s="1593"/>
      <c r="J626" s="1593"/>
      <c r="K626" s="1593"/>
      <c r="L626" s="1593"/>
      <c r="M626" s="1697"/>
      <c r="N626" s="1697"/>
      <c r="O626" s="1697"/>
      <c r="P626" s="1697"/>
      <c r="Q626" s="1697"/>
      <c r="R626" s="1697"/>
      <c r="S626" s="1697"/>
      <c r="T626" s="1697"/>
      <c r="U626" s="1697"/>
      <c r="V626" s="1697"/>
      <c r="W626" s="1845"/>
      <c r="X626" s="1845"/>
      <c r="Y626" s="1845"/>
      <c r="Z626" s="1443"/>
      <c r="AA626" s="1443"/>
      <c r="AB626" s="1444"/>
      <c r="AC626" s="1712"/>
      <c r="AD626" s="1713"/>
      <c r="AE626" s="1714"/>
      <c r="AF626" s="1442"/>
      <c r="AG626" s="1443"/>
      <c r="AH626" s="1443"/>
      <c r="AI626" s="1443"/>
      <c r="AJ626" s="1444"/>
      <c r="AK626" s="1839"/>
      <c r="AL626" s="1840"/>
      <c r="AM626" s="1840"/>
      <c r="AN626" s="1841"/>
      <c r="AO626" s="1697"/>
      <c r="AP626" s="1697"/>
      <c r="AQ626" s="1697"/>
      <c r="AR626" s="1697"/>
      <c r="AS626" s="1697"/>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701" t="s">
        <v>2751</v>
      </c>
      <c r="D627" s="1701"/>
      <c r="E627" s="1701"/>
      <c r="F627" s="1701"/>
      <c r="G627" s="1701"/>
      <c r="H627" s="1701"/>
      <c r="I627" s="1701"/>
      <c r="J627" s="1701"/>
      <c r="K627" s="1701"/>
      <c r="L627" s="1701"/>
      <c r="M627" s="1705" t="s">
        <v>2435</v>
      </c>
      <c r="N627" s="1705"/>
      <c r="O627" s="1705"/>
      <c r="P627" s="1705"/>
      <c r="Q627" s="1553">
        <v>192</v>
      </c>
      <c r="R627" s="1553"/>
      <c r="S627" s="1704"/>
      <c r="T627" s="1703">
        <v>480</v>
      </c>
      <c r="U627" s="1553"/>
      <c r="V627" s="1704"/>
      <c r="W627" s="1698">
        <v>4.9099999999999998E-2</v>
      </c>
      <c r="X627" s="1699"/>
      <c r="Y627" s="1700"/>
      <c r="Z627" s="1513" t="s">
        <v>2447</v>
      </c>
      <c r="AA627" s="1514"/>
      <c r="AB627" s="1515"/>
      <c r="AC627" s="1423">
        <v>1</v>
      </c>
      <c r="AD627" s="1424"/>
      <c r="AE627" s="1425"/>
      <c r="AF627" s="1586">
        <v>871540</v>
      </c>
      <c r="AG627" s="1587">
        <v>914402</v>
      </c>
      <c r="AH627" s="1587"/>
      <c r="AI627" s="1587"/>
      <c r="AJ627" s="1588"/>
      <c r="AK627" s="1715"/>
      <c r="AL627" s="1716"/>
      <c r="AM627" s="1716"/>
      <c r="AN627" s="1717"/>
      <c r="AO627" s="1613">
        <v>15250000</v>
      </c>
      <c r="AP627" s="1613"/>
      <c r="AQ627" s="1613"/>
      <c r="AR627" s="1613"/>
      <c r="AS627" s="1613"/>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701" t="s">
        <v>2752</v>
      </c>
      <c r="D628" s="1701"/>
      <c r="E628" s="1701"/>
      <c r="F628" s="1701"/>
      <c r="G628" s="1701"/>
      <c r="H628" s="1701"/>
      <c r="I628" s="1701"/>
      <c r="J628" s="1701"/>
      <c r="K628" s="1701"/>
      <c r="L628" s="1701"/>
      <c r="M628" s="1705" t="s">
        <v>2434</v>
      </c>
      <c r="N628" s="1705"/>
      <c r="O628" s="1705"/>
      <c r="P628" s="1705"/>
      <c r="Q628" s="1703">
        <v>192</v>
      </c>
      <c r="R628" s="1553"/>
      <c r="S628" s="1704"/>
      <c r="T628" s="1703">
        <v>480</v>
      </c>
      <c r="U628" s="1553"/>
      <c r="V628" s="1704"/>
      <c r="W628" s="1698">
        <v>5.3999999999999999E-2</v>
      </c>
      <c r="X628" s="1699"/>
      <c r="Y628" s="1700"/>
      <c r="Z628" s="1513" t="s">
        <v>2447</v>
      </c>
      <c r="AA628" s="1514"/>
      <c r="AB628" s="1515"/>
      <c r="AC628" s="1423">
        <v>2</v>
      </c>
      <c r="AD628" s="1424"/>
      <c r="AE628" s="1425"/>
      <c r="AF628" s="1586">
        <v>149641</v>
      </c>
      <c r="AG628" s="1587">
        <v>103833</v>
      </c>
      <c r="AH628" s="1587"/>
      <c r="AI628" s="1587"/>
      <c r="AJ628" s="1588"/>
      <c r="AK628" s="1715"/>
      <c r="AL628" s="1716"/>
      <c r="AM628" s="1716"/>
      <c r="AN628" s="1717"/>
      <c r="AO628" s="1581">
        <v>2450000</v>
      </c>
      <c r="AP628" s="1582"/>
      <c r="AQ628" s="1582"/>
      <c r="AR628" s="1582"/>
      <c r="AS628" s="1583"/>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701" t="s">
        <v>2720</v>
      </c>
      <c r="D629" s="1701"/>
      <c r="E629" s="1701"/>
      <c r="F629" s="1701"/>
      <c r="G629" s="1701"/>
      <c r="H629" s="1701"/>
      <c r="I629" s="1701"/>
      <c r="J629" s="1701"/>
      <c r="K629" s="1701"/>
      <c r="L629" s="1701"/>
      <c r="M629" s="1705" t="s">
        <v>2432</v>
      </c>
      <c r="N629" s="1705"/>
      <c r="O629" s="1705"/>
      <c r="P629" s="1705"/>
      <c r="Q629" s="1703"/>
      <c r="R629" s="1553"/>
      <c r="S629" s="1704"/>
      <c r="T629" s="1703"/>
      <c r="U629" s="1553"/>
      <c r="V629" s="1704"/>
      <c r="W629" s="1698">
        <v>0.08</v>
      </c>
      <c r="X629" s="1699"/>
      <c r="Y629" s="1700"/>
      <c r="Z629" s="1513" t="s">
        <v>465</v>
      </c>
      <c r="AA629" s="1514"/>
      <c r="AB629" s="1515"/>
      <c r="AC629" s="1423"/>
      <c r="AD629" s="1424"/>
      <c r="AE629" s="1425"/>
      <c r="AF629" s="1586"/>
      <c r="AG629" s="1587"/>
      <c r="AH629" s="1587"/>
      <c r="AI629" s="1587"/>
      <c r="AJ629" s="1588"/>
      <c r="AK629" s="1715"/>
      <c r="AL629" s="1716"/>
      <c r="AM629" s="1716"/>
      <c r="AN629" s="1717"/>
      <c r="AO629" s="1581">
        <v>1150000</v>
      </c>
      <c r="AP629" s="1582"/>
      <c r="AQ629" s="1582"/>
      <c r="AR629" s="1582"/>
      <c r="AS629" s="1583"/>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589</v>
      </c>
      <c r="C630" s="1702" t="s">
        <v>2719</v>
      </c>
      <c r="D630" s="1702"/>
      <c r="E630" s="1702"/>
      <c r="F630" s="1702"/>
      <c r="G630" s="1702"/>
      <c r="H630" s="1702"/>
      <c r="I630" s="1702"/>
      <c r="J630" s="1702"/>
      <c r="K630" s="1702"/>
      <c r="L630" s="1702"/>
      <c r="M630" s="1705" t="s">
        <v>2422</v>
      </c>
      <c r="N630" s="1705"/>
      <c r="O630" s="1705"/>
      <c r="P630" s="1705"/>
      <c r="Q630" s="1703"/>
      <c r="R630" s="1553"/>
      <c r="S630" s="1704"/>
      <c r="T630" s="1703"/>
      <c r="U630" s="1553"/>
      <c r="V630" s="1704"/>
      <c r="W630" s="1698">
        <v>0.08</v>
      </c>
      <c r="X630" s="1699"/>
      <c r="Y630" s="1700"/>
      <c r="Z630" s="1513" t="s">
        <v>466</v>
      </c>
      <c r="AA630" s="1514"/>
      <c r="AB630" s="1515"/>
      <c r="AC630" s="1423"/>
      <c r="AD630" s="1424"/>
      <c r="AE630" s="1425"/>
      <c r="AF630" s="1586"/>
      <c r="AG630" s="1587"/>
      <c r="AH630" s="1587"/>
      <c r="AI630" s="1587"/>
      <c r="AJ630" s="1588"/>
      <c r="AK630" s="1715"/>
      <c r="AL630" s="1716"/>
      <c r="AM630" s="1716"/>
      <c r="AN630" s="1717"/>
      <c r="AO630" s="1581">
        <v>912299</v>
      </c>
      <c r="AP630" s="1582"/>
      <c r="AQ630" s="1582"/>
      <c r="AR630" s="1582"/>
      <c r="AS630" s="1583"/>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771</v>
      </c>
      <c r="C631" s="1702"/>
      <c r="D631" s="1702"/>
      <c r="E631" s="1702"/>
      <c r="F631" s="1702"/>
      <c r="G631" s="1702"/>
      <c r="H631" s="1702"/>
      <c r="I631" s="1702"/>
      <c r="J631" s="1702"/>
      <c r="K631" s="1702"/>
      <c r="L631" s="1702"/>
      <c r="M631" s="1705" t="s">
        <v>1288</v>
      </c>
      <c r="N631" s="1705"/>
      <c r="O631" s="1705"/>
      <c r="P631" s="1705"/>
      <c r="Q631" s="1703"/>
      <c r="R631" s="1553"/>
      <c r="S631" s="1704"/>
      <c r="T631" s="1703"/>
      <c r="U631" s="1553"/>
      <c r="V631" s="1704"/>
      <c r="W631" s="1698"/>
      <c r="X631" s="1699"/>
      <c r="Y631" s="1700"/>
      <c r="Z631" s="1513" t="s">
        <v>1288</v>
      </c>
      <c r="AA631" s="1514"/>
      <c r="AB631" s="1515"/>
      <c r="AC631" s="1423"/>
      <c r="AD631" s="1424"/>
      <c r="AE631" s="1425"/>
      <c r="AF631" s="1586"/>
      <c r="AG631" s="1587"/>
      <c r="AH631" s="1587"/>
      <c r="AI631" s="1587"/>
      <c r="AJ631" s="1588"/>
      <c r="AK631" s="1715"/>
      <c r="AL631" s="1716"/>
      <c r="AM631" s="1716"/>
      <c r="AN631" s="1717"/>
      <c r="AO631" s="1581"/>
      <c r="AP631" s="1582"/>
      <c r="AQ631" s="1582"/>
      <c r="AR631" s="1582"/>
      <c r="AS631" s="1583"/>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592</v>
      </c>
      <c r="C632" s="1702"/>
      <c r="D632" s="1702"/>
      <c r="E632" s="1702"/>
      <c r="F632" s="1702"/>
      <c r="G632" s="1702"/>
      <c r="H632" s="1702"/>
      <c r="I632" s="1702"/>
      <c r="J632" s="1702"/>
      <c r="K632" s="1702"/>
      <c r="L632" s="1702"/>
      <c r="M632" s="1705" t="s">
        <v>1288</v>
      </c>
      <c r="N632" s="1705"/>
      <c r="O632" s="1705"/>
      <c r="P632" s="1705"/>
      <c r="Q632" s="1703"/>
      <c r="R632" s="1553"/>
      <c r="S632" s="1704"/>
      <c r="T632" s="1703"/>
      <c r="U632" s="1553"/>
      <c r="V632" s="1704"/>
      <c r="W632" s="1698"/>
      <c r="X632" s="1699"/>
      <c r="Y632" s="1700"/>
      <c r="Z632" s="1513" t="s">
        <v>1288</v>
      </c>
      <c r="AA632" s="1514"/>
      <c r="AB632" s="1515"/>
      <c r="AC632" s="1423"/>
      <c r="AD632" s="1424"/>
      <c r="AE632" s="1425"/>
      <c r="AF632" s="1586"/>
      <c r="AG632" s="1587"/>
      <c r="AH632" s="1587"/>
      <c r="AI632" s="1587"/>
      <c r="AJ632" s="1588"/>
      <c r="AK632" s="1715"/>
      <c r="AL632" s="1716"/>
      <c r="AM632" s="1716"/>
      <c r="AN632" s="1717"/>
      <c r="AO632" s="1581"/>
      <c r="AP632" s="1582"/>
      <c r="AQ632" s="1582"/>
      <c r="AR632" s="1582"/>
      <c r="AS632" s="1583"/>
      <c r="AT632" s="1192" t="str">
        <f t="shared" si="23"/>
        <v/>
      </c>
      <c r="AU632" s="3"/>
      <c r="AZ632" s="3"/>
      <c r="BA632" s="3"/>
      <c r="BB632" s="3"/>
      <c r="BC632" s="3"/>
      <c r="BD632" s="3"/>
      <c r="BE632" s="3"/>
      <c r="BF632" s="3"/>
      <c r="BG632" s="1353">
        <f>SUM(BG597:BH631)</f>
        <v>21</v>
      </c>
      <c r="BH632" s="1355"/>
      <c r="BI632" s="3"/>
      <c r="BJ632" s="3"/>
      <c r="BK632" s="1353">
        <f>SUM(BK597:BL631)</f>
        <v>7</v>
      </c>
      <c r="BL632" s="1355"/>
      <c r="BM632" s="3"/>
      <c r="BN632" s="1353">
        <f>SUM(BN597:BR631)</f>
        <v>0</v>
      </c>
      <c r="BO632" s="1354"/>
      <c r="BP632" s="1354"/>
      <c r="BQ632" s="1354"/>
      <c r="BR632" s="1355"/>
      <c r="BS632" s="1390">
        <f>SUM(BS597:BW631)</f>
        <v>16</v>
      </c>
      <c r="BT632" s="1390"/>
      <c r="BU632" s="1390"/>
      <c r="BV632" s="1390"/>
      <c r="BW632" s="1390"/>
      <c r="BX632" s="1390">
        <f>SUM(BX597:CB631)</f>
        <v>24</v>
      </c>
      <c r="BY632" s="1390"/>
      <c r="BZ632" s="1390"/>
      <c r="CA632" s="1390"/>
      <c r="CB632" s="1390"/>
      <c r="CC632" s="1390">
        <f>SUM(CC597:CG631)</f>
        <v>21</v>
      </c>
      <c r="CD632" s="1390"/>
      <c r="CE632" s="1390"/>
      <c r="CF632" s="1390"/>
      <c r="CG632" s="1390"/>
      <c r="CH632" s="1390">
        <f>SUM(CH597:CL631)</f>
        <v>8</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2</v>
      </c>
      <c r="CY632" s="1390"/>
      <c r="CZ632" s="1390"/>
      <c r="DA632" s="1390"/>
      <c r="DB632" s="1390"/>
      <c r="DC632" s="1390">
        <f>SUM(DC597:DG631)</f>
        <v>2</v>
      </c>
      <c r="DD632" s="1390"/>
      <c r="DE632" s="1390"/>
      <c r="DF632" s="1390"/>
      <c r="DG632" s="1390"/>
      <c r="DH632" s="1390">
        <f>SUM(DH597:DL631)</f>
        <v>2</v>
      </c>
      <c r="DI632" s="1390"/>
      <c r="DJ632" s="1390"/>
      <c r="DK632" s="1390"/>
      <c r="DL632" s="1390"/>
      <c r="DM632" s="1390">
        <f>SUM(DM597:DQ631)</f>
        <v>1</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5519</v>
      </c>
      <c r="ED632" s="1390"/>
      <c r="EE632" s="1390"/>
      <c r="EF632" s="1390"/>
      <c r="EG632" s="1390"/>
      <c r="EH632" s="1390">
        <f>SUM(EH597:EL631)</f>
        <v>6581</v>
      </c>
      <c r="EI632" s="1390"/>
      <c r="EJ632" s="1390"/>
      <c r="EK632" s="1390"/>
      <c r="EL632" s="1390"/>
      <c r="EM632" s="1390">
        <f>SUM(EM597:EQ631)</f>
        <v>7468</v>
      </c>
      <c r="EN632" s="1390"/>
      <c r="EO632" s="1390"/>
      <c r="EP632" s="1390"/>
      <c r="EQ632" s="1390"/>
      <c r="ER632" s="1390">
        <f>SUM(ER597:EV631)</f>
        <v>8431</v>
      </c>
      <c r="ES632" s="1390"/>
      <c r="ET632" s="1390"/>
      <c r="EU632" s="1390"/>
      <c r="EV632" s="1390"/>
      <c r="EW632" s="1390">
        <f>SUM(EW597:FA631)</f>
        <v>0</v>
      </c>
      <c r="EX632" s="1390"/>
      <c r="EY632" s="1390"/>
      <c r="EZ632" s="1390"/>
      <c r="FA632" s="1390"/>
    </row>
    <row r="633" spans="2:157" ht="12.95" customHeight="1">
      <c r="B633" s="52" t="s">
        <v>463</v>
      </c>
      <c r="C633" s="1702"/>
      <c r="D633" s="1702"/>
      <c r="E633" s="1702"/>
      <c r="F633" s="1702"/>
      <c r="G633" s="1702"/>
      <c r="H633" s="1702"/>
      <c r="I633" s="1702"/>
      <c r="J633" s="1702"/>
      <c r="K633" s="1702"/>
      <c r="L633" s="1702"/>
      <c r="M633" s="1705" t="s">
        <v>1288</v>
      </c>
      <c r="N633" s="1705"/>
      <c r="O633" s="1705"/>
      <c r="P633" s="1705"/>
      <c r="Q633" s="1703"/>
      <c r="R633" s="1553"/>
      <c r="S633" s="1704"/>
      <c r="T633" s="1703"/>
      <c r="U633" s="1553"/>
      <c r="V633" s="1704"/>
      <c r="W633" s="1698"/>
      <c r="X633" s="1699"/>
      <c r="Y633" s="1700"/>
      <c r="Z633" s="1513" t="s">
        <v>1288</v>
      </c>
      <c r="AA633" s="1514"/>
      <c r="AB633" s="1515"/>
      <c r="AC633" s="1423"/>
      <c r="AD633" s="1424"/>
      <c r="AE633" s="1425"/>
      <c r="AF633" s="1586"/>
      <c r="AG633" s="1587"/>
      <c r="AH633" s="1587"/>
      <c r="AI633" s="1587"/>
      <c r="AJ633" s="1588"/>
      <c r="AK633" s="1715"/>
      <c r="AL633" s="1716"/>
      <c r="AM633" s="1716"/>
      <c r="AN633" s="1717"/>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353">
        <f>BN632+BS632+BX632+CC632+CH632+CM632</f>
        <v>69</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464</v>
      </c>
      <c r="C634" s="1702"/>
      <c r="D634" s="1702"/>
      <c r="E634" s="1702"/>
      <c r="F634" s="1702"/>
      <c r="G634" s="1702"/>
      <c r="H634" s="1702"/>
      <c r="I634" s="1702"/>
      <c r="J634" s="1702"/>
      <c r="K634" s="1702"/>
      <c r="L634" s="1702"/>
      <c r="M634" s="1705" t="s">
        <v>1288</v>
      </c>
      <c r="N634" s="1705"/>
      <c r="O634" s="1705"/>
      <c r="P634" s="1705"/>
      <c r="Q634" s="1703"/>
      <c r="R634" s="1553"/>
      <c r="S634" s="1704"/>
      <c r="T634" s="1703"/>
      <c r="U634" s="1553"/>
      <c r="V634" s="1704"/>
      <c r="W634" s="1698"/>
      <c r="X634" s="1699"/>
      <c r="Y634" s="1700"/>
      <c r="Z634" s="1513" t="s">
        <v>1288</v>
      </c>
      <c r="AA634" s="1514"/>
      <c r="AB634" s="1515"/>
      <c r="AC634" s="1423"/>
      <c r="AD634" s="1424"/>
      <c r="AE634" s="1425"/>
      <c r="AF634" s="1586"/>
      <c r="AG634" s="1587"/>
      <c r="AH634" s="1587"/>
      <c r="AI634" s="1587"/>
      <c r="AJ634" s="1588"/>
      <c r="AK634" s="1715"/>
      <c r="AL634" s="1716"/>
      <c r="AM634" s="1716"/>
      <c r="AN634" s="1717"/>
      <c r="AO634" s="1581"/>
      <c r="AP634" s="1582"/>
      <c r="AQ634" s="1582"/>
      <c r="AR634" s="1582"/>
      <c r="AS634" s="1583"/>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16</v>
      </c>
      <c r="BX634" s="3"/>
      <c r="BY634" s="3"/>
      <c r="BZ634" s="3"/>
      <c r="CA634" s="3"/>
      <c r="CB634" s="895">
        <f>BX632*2</f>
        <v>48</v>
      </c>
      <c r="CC634" s="3"/>
      <c r="CD634" s="3"/>
      <c r="CE634" s="3"/>
      <c r="CF634" s="3"/>
      <c r="CG634" s="895">
        <f>CC632*3</f>
        <v>63</v>
      </c>
      <c r="CH634" s="3"/>
      <c r="CI634" s="3"/>
      <c r="CJ634" s="3"/>
      <c r="CK634" s="3"/>
      <c r="CL634" s="895">
        <f>CH632*4</f>
        <v>32</v>
      </c>
      <c r="CM634" s="3"/>
      <c r="CN634" s="3"/>
      <c r="CO634" s="3"/>
      <c r="CP634" s="3"/>
      <c r="CQ634" s="895">
        <f>CM632*5</f>
        <v>0</v>
      </c>
      <c r="CS634" s="895">
        <f>BR634+BW634+CB634+CG634+CL634+CQ634</f>
        <v>159</v>
      </c>
      <c r="CT634" s="57" t="s">
        <v>2050</v>
      </c>
      <c r="CU634" s="3"/>
      <c r="CV634" s="3"/>
      <c r="CW634" s="3"/>
      <c r="CX634" s="3"/>
      <c r="CY634" s="3"/>
      <c r="CZ634" s="3"/>
      <c r="DA634" s="3"/>
      <c r="DB634" s="3"/>
      <c r="DC634" s="3"/>
      <c r="DD634" s="3"/>
      <c r="DE634" s="3"/>
      <c r="DF634" s="3"/>
    </row>
    <row r="635" spans="2:157" ht="12.95" customHeight="1">
      <c r="B635" s="52" t="s">
        <v>469</v>
      </c>
      <c r="C635" s="1702"/>
      <c r="D635" s="1702"/>
      <c r="E635" s="1702"/>
      <c r="F635" s="1702"/>
      <c r="G635" s="1702"/>
      <c r="H635" s="1702"/>
      <c r="I635" s="1702"/>
      <c r="J635" s="1702"/>
      <c r="K635" s="1702"/>
      <c r="L635" s="1702"/>
      <c r="M635" s="1705" t="s">
        <v>1288</v>
      </c>
      <c r="N635" s="1705"/>
      <c r="O635" s="1705"/>
      <c r="P635" s="1705"/>
      <c r="Q635" s="1703"/>
      <c r="R635" s="1553"/>
      <c r="S635" s="1704"/>
      <c r="T635" s="1703"/>
      <c r="U635" s="1553"/>
      <c r="V635" s="1704"/>
      <c r="W635" s="1698"/>
      <c r="X635" s="1699"/>
      <c r="Y635" s="1700"/>
      <c r="Z635" s="1513" t="s">
        <v>1288</v>
      </c>
      <c r="AA635" s="1514"/>
      <c r="AB635" s="1515"/>
      <c r="AC635" s="1423"/>
      <c r="AD635" s="1424"/>
      <c r="AE635" s="1425"/>
      <c r="AF635" s="1586"/>
      <c r="AG635" s="1587"/>
      <c r="AH635" s="1587"/>
      <c r="AI635" s="1587"/>
      <c r="AJ635" s="1588"/>
      <c r="AK635" s="1715"/>
      <c r="AL635" s="1716"/>
      <c r="AM635" s="1716"/>
      <c r="AN635" s="1717"/>
      <c r="AO635" s="1581"/>
      <c r="AP635" s="1582"/>
      <c r="AQ635" s="1582"/>
      <c r="AR635" s="1582"/>
      <c r="AS635" s="158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t="e">
        <f>DX597*(BN597/$BN$632)</f>
        <v>#VALUE!</v>
      </c>
      <c r="DY635" s="1356"/>
      <c r="DZ635" s="1356"/>
      <c r="EA635" s="1356"/>
      <c r="EB635" s="1356"/>
      <c r="EC635" s="1356">
        <f t="shared" ref="EC635:EC657" si="24">EC597*(BS597/$BS$632)</f>
        <v>101.75</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653</v>
      </c>
      <c r="C636" s="1702"/>
      <c r="D636" s="1702"/>
      <c r="E636" s="1702"/>
      <c r="F636" s="1702"/>
      <c r="G636" s="1702"/>
      <c r="H636" s="1702"/>
      <c r="I636" s="1702"/>
      <c r="J636" s="1702"/>
      <c r="K636" s="1702"/>
      <c r="L636" s="1702"/>
      <c r="M636" s="1705" t="s">
        <v>1288</v>
      </c>
      <c r="N636" s="1705"/>
      <c r="O636" s="1705"/>
      <c r="P636" s="1705"/>
      <c r="Q636" s="1703"/>
      <c r="R636" s="1553"/>
      <c r="S636" s="1704"/>
      <c r="T636" s="1703"/>
      <c r="U636" s="1553"/>
      <c r="V636" s="1704"/>
      <c r="W636" s="1698"/>
      <c r="X636" s="1699"/>
      <c r="Y636" s="1700"/>
      <c r="Z636" s="1513" t="s">
        <v>1288</v>
      </c>
      <c r="AA636" s="1514"/>
      <c r="AB636" s="1515"/>
      <c r="AC636" s="1423"/>
      <c r="AD636" s="1424"/>
      <c r="AE636" s="1425"/>
      <c r="AF636" s="1586"/>
      <c r="AG636" s="1587"/>
      <c r="AH636" s="1587"/>
      <c r="AI636" s="1587"/>
      <c r="AJ636" s="1588"/>
      <c r="AK636" s="1715"/>
      <c r="AL636" s="1716"/>
      <c r="AM636" s="1716"/>
      <c r="AN636" s="1717"/>
      <c r="AO636" s="1581"/>
      <c r="AP636" s="1582"/>
      <c r="AQ636" s="1582"/>
      <c r="AR636" s="1582"/>
      <c r="AS636" s="158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f t="shared" si="24"/>
        <v>518.25</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363</v>
      </c>
      <c r="C637" s="1702"/>
      <c r="D637" s="1702"/>
      <c r="E637" s="1702"/>
      <c r="F637" s="1702"/>
      <c r="G637" s="1702"/>
      <c r="H637" s="1702"/>
      <c r="I637" s="1702"/>
      <c r="J637" s="1702"/>
      <c r="K637" s="1702"/>
      <c r="L637" s="1702"/>
      <c r="M637" s="1705" t="s">
        <v>1288</v>
      </c>
      <c r="N637" s="1705"/>
      <c r="O637" s="1705"/>
      <c r="P637" s="1705"/>
      <c r="Q637" s="1703"/>
      <c r="R637" s="1553"/>
      <c r="S637" s="1704"/>
      <c r="T637" s="1703"/>
      <c r="U637" s="1553"/>
      <c r="V637" s="1704"/>
      <c r="W637" s="1698"/>
      <c r="X637" s="1699"/>
      <c r="Y637" s="1700"/>
      <c r="Z637" s="1513" t="s">
        <v>1288</v>
      </c>
      <c r="AA637" s="1514"/>
      <c r="AB637" s="1515"/>
      <c r="AC637" s="1423"/>
      <c r="AD637" s="1424"/>
      <c r="AE637" s="1425"/>
      <c r="AF637" s="1586"/>
      <c r="AG637" s="1587"/>
      <c r="AH637" s="1587"/>
      <c r="AI637" s="1587"/>
      <c r="AJ637" s="1588"/>
      <c r="AK637" s="1715"/>
      <c r="AL637" s="1716"/>
      <c r="AM637" s="1716"/>
      <c r="AN637" s="1717"/>
      <c r="AO637" s="1581"/>
      <c r="AP637" s="1582"/>
      <c r="AQ637" s="1582"/>
      <c r="AR637" s="1582"/>
      <c r="AS637" s="1583"/>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0</v>
      </c>
      <c r="BY637" s="1392"/>
      <c r="BZ637" s="1392"/>
      <c r="CA637" s="1392"/>
      <c r="CB637" s="1392"/>
      <c r="CC637" s="1392">
        <f>IF(J773="3 Bedrooms",O773,0)</f>
        <v>1</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f t="shared" si="24"/>
        <v>728.875</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364</v>
      </c>
      <c r="C638" s="1702"/>
      <c r="D638" s="1702"/>
      <c r="E638" s="1702"/>
      <c r="F638" s="1702"/>
      <c r="G638" s="1702"/>
      <c r="H638" s="1702"/>
      <c r="I638" s="1702"/>
      <c r="J638" s="1702"/>
      <c r="K638" s="1702"/>
      <c r="L638" s="1702"/>
      <c r="M638" s="1705" t="s">
        <v>1288</v>
      </c>
      <c r="N638" s="1705"/>
      <c r="O638" s="1705"/>
      <c r="P638" s="1705"/>
      <c r="Q638" s="1703"/>
      <c r="R638" s="1553"/>
      <c r="S638" s="1704"/>
      <c r="T638" s="1703"/>
      <c r="U638" s="1553"/>
      <c r="V638" s="1704"/>
      <c r="W638" s="1698"/>
      <c r="X638" s="1699"/>
      <c r="Y638" s="1700"/>
      <c r="Z638" s="1513" t="s">
        <v>1288</v>
      </c>
      <c r="AA638" s="1514"/>
      <c r="AB638" s="1515"/>
      <c r="AC638" s="1423"/>
      <c r="AD638" s="1424"/>
      <c r="AE638" s="1425"/>
      <c r="AF638" s="1586"/>
      <c r="AG638" s="1587"/>
      <c r="AH638" s="1587"/>
      <c r="AI638" s="1587"/>
      <c r="AJ638" s="1588"/>
      <c r="AK638" s="1715"/>
      <c r="AL638" s="1716"/>
      <c r="AM638" s="1716"/>
      <c r="AN638" s="1717"/>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f t="shared" si="24"/>
        <v>103.5625</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19762299</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t="e">
        <f t="shared" si="29"/>
        <v>#VALUE!</v>
      </c>
      <c r="DY639" s="1356"/>
      <c r="DZ639" s="1356"/>
      <c r="EA639" s="1356"/>
      <c r="EB639" s="1356"/>
      <c r="EC639" s="1356" t="e">
        <f t="shared" si="24"/>
        <v>#VALUE!</v>
      </c>
      <c r="ED639" s="1356"/>
      <c r="EE639" s="1356"/>
      <c r="EF639" s="1356"/>
      <c r="EG639" s="1356"/>
      <c r="EH639" s="1356">
        <f t="shared" si="25"/>
        <v>81.333333333333329</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95" t="s">
        <v>268</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v>9876477</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f t="shared" si="25"/>
        <v>414.5</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43" t="s">
        <v>269</v>
      </c>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c r="AC641" s="1721"/>
      <c r="AD641" s="1721"/>
      <c r="AE641" s="1721"/>
      <c r="AF641" s="1721"/>
      <c r="AG641" s="1721"/>
      <c r="AH641" s="1721"/>
      <c r="AI641" s="1721"/>
      <c r="AJ641" s="1721"/>
      <c r="AK641" s="1721"/>
      <c r="AL641" s="1721"/>
      <c r="AM641" s="1721"/>
      <c r="AN641" s="1844"/>
      <c r="AO641" s="1590">
        <f>AO639+AO640</f>
        <v>29638776</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2"/>
      <c r="BP641" s="1512"/>
      <c r="BQ641" s="1512"/>
      <c r="BR641" s="1394"/>
      <c r="BS641" s="1718">
        <f>SUM(BS637:BW640)</f>
        <v>0</v>
      </c>
      <c r="BT641" s="1719"/>
      <c r="BU641" s="1719"/>
      <c r="BV641" s="1719"/>
      <c r="BW641" s="1720"/>
      <c r="BX641" s="1718">
        <f>SUM(BX637:CB640)</f>
        <v>0</v>
      </c>
      <c r="BY641" s="1719"/>
      <c r="BZ641" s="1719"/>
      <c r="CA641" s="1719"/>
      <c r="CB641" s="1720"/>
      <c r="CC641" s="1718">
        <f>SUM(CC637:CG640)</f>
        <v>1</v>
      </c>
      <c r="CD641" s="1719"/>
      <c r="CE641" s="1719"/>
      <c r="CF641" s="1719"/>
      <c r="CG641" s="1720"/>
      <c r="CH641" s="1718">
        <f>SUM(CH637:CL640)</f>
        <v>0</v>
      </c>
      <c r="CI641" s="1719"/>
      <c r="CJ641" s="1719"/>
      <c r="CK641" s="1719"/>
      <c r="CL641" s="1720"/>
      <c r="CM641" s="1718">
        <f>SUM(CM637:CQ640)</f>
        <v>0</v>
      </c>
      <c r="CN641" s="1719"/>
      <c r="CO641" s="1719"/>
      <c r="CP641" s="1719"/>
      <c r="CQ641" s="1720"/>
      <c r="CS641" s="895">
        <f>BN641+BS641+BX641+CC641+CH641+CM641</f>
        <v>1</v>
      </c>
      <c r="CT641" s="57" t="s">
        <v>2047</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1249.375</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2049</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f t="shared" si="25"/>
        <v>81.166666666666657</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471</v>
      </c>
      <c r="G643" s="1511" t="str">
        <f>C627</f>
        <v>Lument - Tax-Exempt</v>
      </c>
      <c r="H643" s="1511"/>
      <c r="I643" s="1511"/>
      <c r="J643" s="1511"/>
      <c r="K643" s="1511"/>
      <c r="L643" s="1511"/>
      <c r="M643" s="1511"/>
      <c r="N643" s="1511"/>
      <c r="O643" s="1511"/>
      <c r="P643" s="1511"/>
      <c r="Q643" s="1511"/>
      <c r="R643" s="1511"/>
      <c r="S643" s="8"/>
      <c r="T643" s="55" t="s">
        <v>113</v>
      </c>
      <c r="U643" t="s">
        <v>471</v>
      </c>
      <c r="Z643" s="1511" t="str">
        <f>C628</f>
        <v>Lument - Taxable Tail</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f t="shared" si="26"/>
        <v>102.09523809523809</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32" t="s">
        <v>2749</v>
      </c>
      <c r="H644" s="1432"/>
      <c r="I644" s="1432"/>
      <c r="J644" s="1432"/>
      <c r="K644" s="1432"/>
      <c r="L644" s="1432"/>
      <c r="M644" s="1432"/>
      <c r="N644" s="1432"/>
      <c r="O644" s="1432"/>
      <c r="P644" s="1432"/>
      <c r="Q644" s="1432"/>
      <c r="R644" s="1432"/>
      <c r="S644" s="8"/>
      <c r="T644" s="22"/>
      <c r="U644" t="s">
        <v>85</v>
      </c>
      <c r="Z644" s="1432" t="s">
        <v>2749</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f t="shared" si="26"/>
        <v>531.42857142857144</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588</v>
      </c>
      <c r="G645" s="1432" t="s">
        <v>2750</v>
      </c>
      <c r="H645" s="1432"/>
      <c r="I645" s="1432"/>
      <c r="J645" s="1432"/>
      <c r="K645" s="1432"/>
      <c r="L645" s="1432"/>
      <c r="M645" s="1432"/>
      <c r="N645" s="1432"/>
      <c r="O645" s="1432"/>
      <c r="P645" s="1432"/>
      <c r="Q645" s="1432"/>
      <c r="R645" s="1432"/>
      <c r="T645" s="22"/>
      <c r="U645" t="s">
        <v>588</v>
      </c>
      <c r="Z645" s="1431" t="s">
        <v>2750</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f t="shared" si="26"/>
        <v>108.66666666666666</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32" t="s">
        <v>2745</v>
      </c>
      <c r="H646" s="1432"/>
      <c r="I646" s="1432"/>
      <c r="J646" s="1432"/>
      <c r="K646" s="1432"/>
      <c r="L646" s="1432"/>
      <c r="M646" s="1432"/>
      <c r="N646" s="1432"/>
      <c r="O646" s="1432"/>
      <c r="P646" s="1432"/>
      <c r="Q646" s="1432"/>
      <c r="R646" s="1432"/>
      <c r="S646" s="8"/>
      <c r="T646" s="22"/>
      <c r="U646" t="s">
        <v>17</v>
      </c>
      <c r="Z646" s="1431" t="s">
        <v>2745</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1288</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317</v>
      </c>
      <c r="G647" s="1435" t="s">
        <v>2746</v>
      </c>
      <c r="H647" s="1435"/>
      <c r="I647" s="1435"/>
      <c r="J647" s="1435"/>
      <c r="K647" s="1435"/>
      <c r="L647" s="1435"/>
      <c r="O647" s="33" t="s">
        <v>207</v>
      </c>
      <c r="P647" s="1419"/>
      <c r="Q647" s="1419"/>
      <c r="R647" s="1419"/>
      <c r="S647" s="10"/>
      <c r="T647" s="22"/>
      <c r="U647" t="s">
        <v>317</v>
      </c>
      <c r="Z647" s="1435" t="s">
        <v>2746</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f t="shared" si="27"/>
        <v>152.75</v>
      </c>
      <c r="ES647" s="1356"/>
      <c r="ET647" s="1356"/>
      <c r="EU647" s="1356"/>
      <c r="EV647" s="1356"/>
      <c r="EW647" s="1356" t="e">
        <f t="shared" si="28"/>
        <v>#VALUE!</v>
      </c>
      <c r="EX647" s="1356"/>
      <c r="EY647" s="1356"/>
      <c r="EZ647" s="1356"/>
      <c r="FA647" s="1356"/>
    </row>
    <row r="648" spans="1:157" ht="12.95" customHeight="1">
      <c r="A648" s="22"/>
      <c r="B648" t="s">
        <v>18</v>
      </c>
      <c r="H648" s="1432" t="s">
        <v>2721</v>
      </c>
      <c r="I648" s="1432"/>
      <c r="J648" s="1432"/>
      <c r="K648" s="1432"/>
      <c r="L648" s="1432"/>
      <c r="M648" s="1432"/>
      <c r="N648" s="1432"/>
      <c r="O648" s="1432"/>
      <c r="P648" s="1432"/>
      <c r="Q648" s="1432"/>
      <c r="R648" s="1432"/>
      <c r="S648" s="8"/>
      <c r="T648" s="22"/>
      <c r="U648" t="s">
        <v>18</v>
      </c>
      <c r="AA648" s="1432" t="s">
        <v>2723</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f t="shared" si="27"/>
        <v>787.875</v>
      </c>
      <c r="ES648" s="1356"/>
      <c r="ET648" s="1356"/>
      <c r="EU648" s="1356"/>
      <c r="EV648" s="1356"/>
      <c r="EW648" s="1356" t="e">
        <f t="shared" si="28"/>
        <v>#VALUE!</v>
      </c>
      <c r="EX648" s="1356"/>
      <c r="EY648" s="1356"/>
      <c r="EZ648" s="1356"/>
      <c r="FA648" s="1356"/>
    </row>
    <row r="649" spans="1:157" ht="12.95" customHeight="1">
      <c r="A649" s="22"/>
      <c r="B649" t="s">
        <v>20</v>
      </c>
      <c r="N649" s="1418" t="s">
        <v>553</v>
      </c>
      <c r="O649" s="1418"/>
      <c r="T649" s="22"/>
      <c r="U649" t="s">
        <v>20</v>
      </c>
      <c r="AG649" s="1418" t="s">
        <v>553</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f t="shared" si="27"/>
        <v>320.875</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f t="shared" si="27"/>
        <v>952.875</v>
      </c>
      <c r="ES650" s="1356"/>
      <c r="ET650" s="1356"/>
      <c r="EU650" s="1356"/>
      <c r="EV650" s="1356"/>
      <c r="EW650" s="1356" t="e">
        <f t="shared" si="28"/>
        <v>#VALUE!</v>
      </c>
      <c r="EX650" s="1356"/>
      <c r="EY650" s="1356"/>
      <c r="EZ650" s="1356"/>
      <c r="FA650" s="1356"/>
    </row>
    <row r="651" spans="1:157" ht="12.95" customHeight="1">
      <c r="A651" s="55" t="s">
        <v>119</v>
      </c>
      <c r="B651" t="s">
        <v>471</v>
      </c>
      <c r="G651" s="1511" t="str">
        <f>C629</f>
        <v>Seller Note</v>
      </c>
      <c r="H651" s="1511"/>
      <c r="I651" s="1511"/>
      <c r="J651" s="1511"/>
      <c r="K651" s="1511"/>
      <c r="L651" s="1511"/>
      <c r="M651" s="1511"/>
      <c r="N651" s="1511"/>
      <c r="O651" s="1511"/>
      <c r="P651" s="1511"/>
      <c r="Q651" s="1511"/>
      <c r="R651" s="1511"/>
      <c r="T651" s="55" t="s">
        <v>589</v>
      </c>
      <c r="U651" t="s">
        <v>471</v>
      </c>
      <c r="Z651" s="1511" t="str">
        <f>C630</f>
        <v>SP Tax Credit Developer II - DDF</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32" t="s">
        <v>2652</v>
      </c>
      <c r="H652" s="1432"/>
      <c r="I652" s="1432"/>
      <c r="J652" s="1432"/>
      <c r="K652" s="1432"/>
      <c r="L652" s="1432"/>
      <c r="M652" s="1432"/>
      <c r="N652" s="1432"/>
      <c r="O652" s="1432"/>
      <c r="P652" s="1432"/>
      <c r="Q652" s="1432"/>
      <c r="R652" s="1432"/>
      <c r="T652" s="22"/>
      <c r="U652" t="s">
        <v>85</v>
      </c>
      <c r="Z652" s="1432" t="s">
        <v>2652</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588</v>
      </c>
      <c r="G653" s="1431" t="s">
        <v>2724</v>
      </c>
      <c r="H653" s="1431"/>
      <c r="I653" s="1431"/>
      <c r="J653" s="1431"/>
      <c r="K653" s="1431"/>
      <c r="L653" s="1431"/>
      <c r="M653" s="1431"/>
      <c r="N653" s="1431"/>
      <c r="O653" s="1431"/>
      <c r="P653" s="1431"/>
      <c r="Q653" s="1431"/>
      <c r="R653" s="1431"/>
      <c r="T653" s="22"/>
      <c r="U653" t="s">
        <v>588</v>
      </c>
      <c r="Z653" s="1431" t="s">
        <v>2724</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31" t="s">
        <v>2715</v>
      </c>
      <c r="H654" s="1431"/>
      <c r="I654" s="1431"/>
      <c r="J654" s="1431"/>
      <c r="K654" s="1431"/>
      <c r="L654" s="1431"/>
      <c r="M654" s="1431"/>
      <c r="N654" s="1431"/>
      <c r="O654" s="1431"/>
      <c r="P654" s="1431"/>
      <c r="Q654" s="1431"/>
      <c r="R654" s="1431"/>
      <c r="T654" s="22"/>
      <c r="U654" t="s">
        <v>17</v>
      </c>
      <c r="Z654" s="1431" t="s">
        <v>2655</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317</v>
      </c>
      <c r="G655" s="1547" t="s">
        <v>2726</v>
      </c>
      <c r="H655" s="1435"/>
      <c r="I655" s="1435"/>
      <c r="J655" s="1435"/>
      <c r="K655" s="1435"/>
      <c r="L655" s="1435"/>
      <c r="O655" s="33" t="s">
        <v>207</v>
      </c>
      <c r="P655" s="1419"/>
      <c r="Q655" s="1419"/>
      <c r="R655" s="1419"/>
      <c r="T655" s="22"/>
      <c r="U655" t="s">
        <v>317</v>
      </c>
      <c r="Z655" s="1547" t="s">
        <v>2656</v>
      </c>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2"/>
      <c r="BP655" s="1512"/>
      <c r="BQ655" s="1512"/>
      <c r="BR655" s="1394"/>
      <c r="BS655" s="1718">
        <f>SUM(BS645:BW654)</f>
        <v>0</v>
      </c>
      <c r="BT655" s="1719"/>
      <c r="BU655" s="1719"/>
      <c r="BV655" s="1719"/>
      <c r="BW655" s="1720"/>
      <c r="BX655" s="1718">
        <f>SUM(BX645:CB654)</f>
        <v>0</v>
      </c>
      <c r="BY655" s="1719"/>
      <c r="BZ655" s="1719"/>
      <c r="CA655" s="1719"/>
      <c r="CB655" s="1720"/>
      <c r="CC655" s="1718">
        <f>SUM(CC645:CG654)</f>
        <v>0</v>
      </c>
      <c r="CD655" s="1719"/>
      <c r="CE655" s="1719"/>
      <c r="CF655" s="1719"/>
      <c r="CG655" s="1720"/>
      <c r="CH655" s="1718">
        <f>SUM(CH645:CL654)</f>
        <v>0</v>
      </c>
      <c r="CI655" s="1719"/>
      <c r="CJ655" s="1719"/>
      <c r="CK655" s="1719"/>
      <c r="CL655" s="1720"/>
      <c r="CM655" s="1718">
        <f>SUM(CM645:CQ654)</f>
        <v>0</v>
      </c>
      <c r="CN655" s="1719"/>
      <c r="CO655" s="1719"/>
      <c r="CP655" s="1719"/>
      <c r="CQ655" s="1720"/>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32" t="s">
        <v>2720</v>
      </c>
      <c r="I656" s="1432"/>
      <c r="J656" s="1432"/>
      <c r="K656" s="1432"/>
      <c r="L656" s="1432"/>
      <c r="M656" s="1432"/>
      <c r="N656" s="1432"/>
      <c r="O656" s="1432"/>
      <c r="P656" s="1432"/>
      <c r="Q656" s="1432"/>
      <c r="R656" s="1432"/>
      <c r="T656" s="22"/>
      <c r="U656" t="s">
        <v>18</v>
      </c>
      <c r="AA656" s="1432" t="s">
        <v>1847</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18" t="s">
        <v>553</v>
      </c>
      <c r="O657" s="1418"/>
      <c r="T657" s="22"/>
      <c r="U657" t="s">
        <v>20</v>
      </c>
      <c r="AG657" s="1418" t="s">
        <v>553</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2046</v>
      </c>
      <c r="CU657" s="3"/>
      <c r="CV657" s="3"/>
      <c r="CW657" s="3"/>
      <c r="CX657" s="3"/>
      <c r="CY657" s="3"/>
      <c r="CZ657" s="3"/>
      <c r="DA657" s="3"/>
      <c r="DB657" s="3"/>
      <c r="DC657" s="3"/>
      <c r="DD657" s="3"/>
      <c r="DE657" s="3"/>
      <c r="DF657" s="3"/>
      <c r="DQ657" s="56" t="s">
        <v>2055</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1739</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771</v>
      </c>
      <c r="B659" t="s">
        <v>471</v>
      </c>
      <c r="G659" s="1511">
        <f>C631</f>
        <v>0</v>
      </c>
      <c r="H659" s="1511"/>
      <c r="I659" s="1511"/>
      <c r="J659" s="1511"/>
      <c r="K659" s="1511"/>
      <c r="L659" s="1511"/>
      <c r="M659" s="1511"/>
      <c r="N659" s="1511"/>
      <c r="O659" s="1511"/>
      <c r="P659" s="1511"/>
      <c r="Q659" s="1511"/>
      <c r="R659" s="1511"/>
      <c r="T659" s="55" t="s">
        <v>592</v>
      </c>
      <c r="U659" t="s">
        <v>471</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8">
        <f>BN632+BN641+BN655</f>
        <v>0</v>
      </c>
      <c r="BO660" s="1719"/>
      <c r="BP660" s="1719"/>
      <c r="BQ660" s="1719"/>
      <c r="BR660" s="1720"/>
      <c r="BS660" s="1718">
        <f>BS632+BS641+BS655</f>
        <v>16</v>
      </c>
      <c r="BT660" s="1719"/>
      <c r="BU660" s="1719"/>
      <c r="BV660" s="1719"/>
      <c r="BW660" s="1720"/>
      <c r="BX660" s="1718">
        <f>BX632+BX641+BX655</f>
        <v>24</v>
      </c>
      <c r="BY660" s="1719"/>
      <c r="BZ660" s="1719"/>
      <c r="CA660" s="1719"/>
      <c r="CB660" s="1720"/>
      <c r="CC660" s="1718">
        <f>CC632+CC641+CC655</f>
        <v>22</v>
      </c>
      <c r="CD660" s="1719"/>
      <c r="CE660" s="1719"/>
      <c r="CF660" s="1719"/>
      <c r="CG660" s="1720"/>
      <c r="CH660" s="1718">
        <f>CH632+CH641+CH655</f>
        <v>8</v>
      </c>
      <c r="CI660" s="1719"/>
      <c r="CJ660" s="1719"/>
      <c r="CK660" s="1719"/>
      <c r="CL660" s="1720"/>
      <c r="CM660" s="1353">
        <f>CM655+CM641+CM632</f>
        <v>0</v>
      </c>
      <c r="CN660" s="1354"/>
      <c r="CO660" s="1354"/>
      <c r="CP660" s="1354"/>
      <c r="CQ660" s="1355"/>
      <c r="CR660" s="3"/>
      <c r="CS660" s="895">
        <f>CS634+CS658</f>
        <v>159</v>
      </c>
      <c r="CT660" s="57" t="s">
        <v>2051</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588</v>
      </c>
      <c r="G661" s="1432"/>
      <c r="H661" s="1432"/>
      <c r="I661" s="1432"/>
      <c r="J661" s="1432"/>
      <c r="K661" s="1432"/>
      <c r="L661" s="1432"/>
      <c r="M661" s="1432"/>
      <c r="N661" s="1432"/>
      <c r="O661" s="1432"/>
      <c r="P661" s="1432"/>
      <c r="Q661" s="1432"/>
      <c r="R661" s="1432"/>
      <c r="T661" s="22"/>
      <c r="U661" t="s">
        <v>588</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317</v>
      </c>
      <c r="G663" s="1547"/>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18" t="s">
        <v>676</v>
      </c>
      <c r="O665" s="1418"/>
      <c r="T665" s="22"/>
      <c r="U665" t="s">
        <v>20</v>
      </c>
      <c r="AG665" s="1418" t="s">
        <v>676</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1736</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463</v>
      </c>
      <c r="B667" t="s">
        <v>471</v>
      </c>
      <c r="G667" s="1511">
        <f>C633</f>
        <v>0</v>
      </c>
      <c r="H667" s="1511"/>
      <c r="I667" s="1511"/>
      <c r="J667" s="1511"/>
      <c r="K667" s="1511"/>
      <c r="L667" s="1511"/>
      <c r="M667" s="1511"/>
      <c r="N667" s="1511"/>
      <c r="O667" s="1511"/>
      <c r="P667" s="1511"/>
      <c r="Q667" s="1511"/>
      <c r="R667" s="1511"/>
      <c r="T667" s="55" t="s">
        <v>464</v>
      </c>
      <c r="U667" t="s">
        <v>471</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2840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2840</v>
      </c>
      <c r="BB668" s="3"/>
      <c r="BC668" s="3"/>
      <c r="BD668" s="3"/>
      <c r="BE668" s="3"/>
      <c r="BF668" s="218"/>
      <c r="BG668" s="315">
        <f t="shared" ref="BG668:BG700" si="49">G718</f>
        <v>2</v>
      </c>
      <c r="BH668" s="319">
        <f t="shared" ref="BH668:BH702" si="50">IF($BG$703=0,0,BG668/$BG$703)</f>
        <v>2.8985507246376812E-2</v>
      </c>
      <c r="BI668" s="320">
        <f t="shared" ref="BI668:BI691" si="51">IF(BH668=0,"",BH668*AC718)</f>
        <v>8.6956521739130436E-3</v>
      </c>
      <c r="BJ668" s="3"/>
      <c r="BK668" s="3"/>
      <c r="BL668" s="3"/>
      <c r="BM668" s="3"/>
      <c r="BN668" s="3"/>
      <c r="BO668" s="3"/>
      <c r="BT668" s="315">
        <f t="shared" ref="BT668:BT700" si="52">G718</f>
        <v>2</v>
      </c>
      <c r="BU668" s="319">
        <f t="shared" ref="BU668:BU702" si="53">IF($BT$703=0,0,BT668/$BT$703)</f>
        <v>2.8985507246376812E-2</v>
      </c>
      <c r="BV668" s="320">
        <f t="shared" ref="BV668:BV700" si="54">IF(BU668=0,"",BU668*AH718)</f>
        <v>8.6956521739130436E-3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588</v>
      </c>
      <c r="G669" s="1432"/>
      <c r="H669" s="1432"/>
      <c r="I669" s="1432"/>
      <c r="J669" s="1432"/>
      <c r="K669" s="1432"/>
      <c r="L669" s="1432"/>
      <c r="M669" s="1432"/>
      <c r="N669" s="1432"/>
      <c r="O669" s="1432"/>
      <c r="P669" s="1432"/>
      <c r="Q669" s="1432"/>
      <c r="R669" s="1432"/>
      <c r="T669" s="22"/>
      <c r="U669" t="s">
        <v>588</v>
      </c>
      <c r="Z669" s="1431"/>
      <c r="AA669" s="1431"/>
      <c r="AB669" s="1431"/>
      <c r="AC669" s="1431"/>
      <c r="AD669" s="1431"/>
      <c r="AE669" s="1431"/>
      <c r="AF669" s="1431"/>
      <c r="AG669" s="1431"/>
      <c r="AH669" s="1431"/>
      <c r="AI669" s="1431"/>
      <c r="AJ669" s="1431"/>
      <c r="AK669" s="1431"/>
      <c r="AZ669" s="3"/>
      <c r="BA669" s="118">
        <f t="shared" si="48"/>
        <v>2840</v>
      </c>
      <c r="BB669" s="3"/>
      <c r="BC669" s="3"/>
      <c r="BD669" s="3"/>
      <c r="BE669" s="3"/>
      <c r="BF669" s="218"/>
      <c r="BG669" s="316">
        <f t="shared" si="49"/>
        <v>6</v>
      </c>
      <c r="BH669" s="319">
        <f t="shared" si="50"/>
        <v>8.6956521739130432E-2</v>
      </c>
      <c r="BI669" s="320">
        <f t="shared" si="51"/>
        <v>4.3478260869565216E-2</v>
      </c>
      <c r="BJ669" s="3"/>
      <c r="BK669" s="3"/>
      <c r="BL669" s="3"/>
      <c r="BM669" s="3"/>
      <c r="BN669" s="3"/>
      <c r="BO669" s="3"/>
      <c r="BT669" s="316">
        <f t="shared" si="52"/>
        <v>6</v>
      </c>
      <c r="BU669" s="319">
        <f t="shared" si="53"/>
        <v>8.6956521739130432E-2</v>
      </c>
      <c r="BV669" s="320">
        <f t="shared" si="54"/>
        <v>4.3478260869565216E-2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2840</v>
      </c>
      <c r="BB670" s="3"/>
      <c r="BC670" s="3"/>
      <c r="BD670" s="3"/>
      <c r="BE670" s="3"/>
      <c r="BF670" s="218"/>
      <c r="BG670" s="316">
        <f t="shared" si="49"/>
        <v>7</v>
      </c>
      <c r="BH670" s="319">
        <f t="shared" si="50"/>
        <v>0.10144927536231885</v>
      </c>
      <c r="BI670" s="320">
        <f t="shared" si="51"/>
        <v>6.0869565217391307E-2</v>
      </c>
      <c r="BJ670" s="3"/>
      <c r="BK670" s="3"/>
      <c r="BL670" s="3"/>
      <c r="BM670" s="3"/>
      <c r="BN670" s="3"/>
      <c r="BO670" s="3"/>
      <c r="BT670" s="316">
        <f t="shared" si="52"/>
        <v>7</v>
      </c>
      <c r="BU670" s="319">
        <f t="shared" si="53"/>
        <v>0.10144927536231885</v>
      </c>
      <c r="BV670" s="320">
        <f t="shared" si="54"/>
        <v>6.0869565217391307E-2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0</v>
      </c>
      <c r="DY670" s="1356"/>
      <c r="DZ670" s="1356"/>
      <c r="EA670" s="1356"/>
      <c r="EB670" s="1356"/>
      <c r="EC670" s="1356">
        <f>SUMIF(EC635:EG669,"&gt;0")</f>
        <v>1452.4375</v>
      </c>
      <c r="ED670" s="1356"/>
      <c r="EE670" s="1356"/>
      <c r="EF670" s="1356"/>
      <c r="EG670" s="1356"/>
      <c r="EH670" s="1356">
        <f>SUMIF(EH635:EL669,"&gt;0")</f>
        <v>1826.375</v>
      </c>
      <c r="EI670" s="1356"/>
      <c r="EJ670" s="1356"/>
      <c r="EK670" s="1356"/>
      <c r="EL670" s="1356"/>
      <c r="EM670" s="1356">
        <f>SUMIF(EM635:EQ669,"&gt;0")</f>
        <v>2030.1904761904761</v>
      </c>
      <c r="EN670" s="1356"/>
      <c r="EO670" s="1356"/>
      <c r="EP670" s="1356"/>
      <c r="EQ670" s="1356"/>
      <c r="ER670" s="1356">
        <f>SUMIF(ER635:EV669,"&gt;0")</f>
        <v>2214.375</v>
      </c>
      <c r="ES670" s="1356"/>
      <c r="ET670" s="1356"/>
      <c r="EU670" s="1356"/>
      <c r="EV670" s="1356"/>
      <c r="EW670" s="1356">
        <f>SUMIF(EW635:FA669,"&gt;0")</f>
        <v>0</v>
      </c>
      <c r="EX670" s="1356"/>
      <c r="EY670" s="1356"/>
      <c r="EZ670" s="1356"/>
      <c r="FA670" s="1356"/>
    </row>
    <row r="671" spans="1:157" ht="12.95"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3410</v>
      </c>
      <c r="BB671" s="3"/>
      <c r="BC671" s="3"/>
      <c r="BD671" s="3"/>
      <c r="BE671" s="3"/>
      <c r="BF671" s="218"/>
      <c r="BG671" s="316">
        <f t="shared" si="49"/>
        <v>1</v>
      </c>
      <c r="BH671" s="319">
        <f t="shared" si="50"/>
        <v>1.4492753623188406E-2</v>
      </c>
      <c r="BI671" s="320">
        <f t="shared" si="51"/>
        <v>8.6956521739130436E-3</v>
      </c>
      <c r="BJ671" s="3"/>
      <c r="BK671" s="3"/>
      <c r="BL671" s="3"/>
      <c r="BM671" s="3"/>
      <c r="BN671" s="3"/>
      <c r="BO671" s="3"/>
      <c r="BT671" s="316">
        <f t="shared" si="52"/>
        <v>1</v>
      </c>
      <c r="BU671" s="319">
        <f t="shared" si="53"/>
        <v>1.4492753623188406E-2</v>
      </c>
      <c r="BV671" s="320">
        <f t="shared" si="54"/>
        <v>8.6956521739130436E-3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3410</v>
      </c>
      <c r="BB672" s="3"/>
      <c r="BC672" s="3"/>
      <c r="BD672" s="3"/>
      <c r="BE672" s="3"/>
      <c r="BF672" s="218"/>
      <c r="BG672" s="316">
        <f t="shared" si="49"/>
        <v>2</v>
      </c>
      <c r="BH672" s="319">
        <f t="shared" si="50"/>
        <v>2.8985507246376812E-2</v>
      </c>
      <c r="BI672" s="320">
        <f t="shared" si="51"/>
        <v>8.6956521739130436E-3</v>
      </c>
      <c r="BJ672" s="3"/>
      <c r="BK672" s="3"/>
      <c r="BL672" s="3"/>
      <c r="BM672" s="3"/>
      <c r="BN672" s="3"/>
      <c r="BO672" s="3"/>
      <c r="BT672" s="316">
        <f t="shared" si="52"/>
        <v>2</v>
      </c>
      <c r="BU672" s="319">
        <f t="shared" si="53"/>
        <v>2.8985507246376812E-2</v>
      </c>
      <c r="BV672" s="320">
        <f t="shared" si="54"/>
        <v>8.6956521739130436E-3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676</v>
      </c>
      <c r="O673" s="1418"/>
      <c r="T673" s="22"/>
      <c r="U673" t="s">
        <v>20</v>
      </c>
      <c r="AG673" s="1418" t="s">
        <v>676</v>
      </c>
      <c r="AH673" s="1418"/>
      <c r="AZ673" s="3"/>
      <c r="BA673" s="118">
        <f t="shared" si="48"/>
        <v>3410</v>
      </c>
      <c r="BB673" s="3"/>
      <c r="BC673" s="3"/>
      <c r="BD673" s="3"/>
      <c r="BE673" s="3"/>
      <c r="BF673" s="218"/>
      <c r="BG673" s="316">
        <f t="shared" si="49"/>
        <v>6</v>
      </c>
      <c r="BH673" s="319">
        <f t="shared" si="50"/>
        <v>8.6956521739130432E-2</v>
      </c>
      <c r="BI673" s="320">
        <f t="shared" si="51"/>
        <v>4.3478260869565216E-2</v>
      </c>
      <c r="BJ673" s="3"/>
      <c r="BK673" s="3"/>
      <c r="BL673" s="3"/>
      <c r="BM673" s="3"/>
      <c r="BN673" s="3"/>
      <c r="BO673" s="3"/>
      <c r="BT673" s="316">
        <f t="shared" si="52"/>
        <v>6</v>
      </c>
      <c r="BU673" s="319">
        <f t="shared" si="53"/>
        <v>8.6956521739130432E-2</v>
      </c>
      <c r="BV673" s="320">
        <f t="shared" si="54"/>
        <v>4.3478260869565216E-2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3410</v>
      </c>
      <c r="BB674" s="3"/>
      <c r="BC674" s="3"/>
      <c r="BD674" s="3"/>
      <c r="BE674" s="3"/>
      <c r="BF674" s="218"/>
      <c r="BG674" s="316">
        <f t="shared" si="49"/>
        <v>15</v>
      </c>
      <c r="BH674" s="319">
        <f t="shared" si="50"/>
        <v>0.21739130434782608</v>
      </c>
      <c r="BI674" s="320">
        <f t="shared" si="51"/>
        <v>0.13043478260869565</v>
      </c>
      <c r="BJ674" s="3"/>
      <c r="BK674" s="3"/>
      <c r="BL674" s="3"/>
      <c r="BM674" s="3"/>
      <c r="BN674" s="3"/>
      <c r="BO674" s="3"/>
      <c r="BT674" s="316">
        <f t="shared" si="52"/>
        <v>15</v>
      </c>
      <c r="BU674" s="319">
        <f t="shared" si="53"/>
        <v>0.21739130434782608</v>
      </c>
      <c r="BV674" s="320">
        <f t="shared" si="54"/>
        <v>0.13043478260869565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1">
        <f>C635</f>
        <v>0</v>
      </c>
      <c r="H675" s="1511"/>
      <c r="I675" s="1511"/>
      <c r="J675" s="1511"/>
      <c r="K675" s="1511"/>
      <c r="L675" s="1511"/>
      <c r="M675" s="1511"/>
      <c r="N675" s="1511"/>
      <c r="O675" s="1511"/>
      <c r="P675" s="1511"/>
      <c r="Q675" s="1511"/>
      <c r="R675" s="1511"/>
      <c r="T675" s="55" t="s">
        <v>653</v>
      </c>
      <c r="U675" t="s">
        <v>471</v>
      </c>
      <c r="Z675" s="1511">
        <f>C636</f>
        <v>0</v>
      </c>
      <c r="AA675" s="1511"/>
      <c r="AB675" s="1511"/>
      <c r="AC675" s="1511"/>
      <c r="AD675" s="1511"/>
      <c r="AE675" s="1511"/>
      <c r="AF675" s="1511"/>
      <c r="AG675" s="1511"/>
      <c r="AH675" s="1511"/>
      <c r="AI675" s="1511"/>
      <c r="AJ675" s="1511"/>
      <c r="AK675" s="1511"/>
      <c r="AZ675" s="3"/>
      <c r="BA675" s="118">
        <f t="shared" si="48"/>
        <v>3940</v>
      </c>
      <c r="BB675" s="3"/>
      <c r="BC675" s="3"/>
      <c r="BD675" s="3"/>
      <c r="BE675" s="3"/>
      <c r="BF675" s="218"/>
      <c r="BG675" s="316">
        <f t="shared" si="49"/>
        <v>1</v>
      </c>
      <c r="BH675" s="319">
        <f t="shared" si="50"/>
        <v>1.4492753623188406E-2</v>
      </c>
      <c r="BI675" s="320">
        <f t="shared" si="51"/>
        <v>8.6956521739130436E-3</v>
      </c>
      <c r="BJ675" s="3"/>
      <c r="BK675" s="3"/>
      <c r="BL675" s="3"/>
      <c r="BM675" s="3"/>
      <c r="BN675" s="3"/>
      <c r="BO675" s="3"/>
      <c r="BT675" s="316">
        <f t="shared" si="52"/>
        <v>1</v>
      </c>
      <c r="BU675" s="319">
        <f t="shared" si="53"/>
        <v>1.4492753623188406E-2</v>
      </c>
      <c r="BV675" s="320">
        <f t="shared" si="54"/>
        <v>8.6956521739130436E-3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3940</v>
      </c>
      <c r="BB676" s="3"/>
      <c r="BC676" s="3"/>
      <c r="BD676" s="3"/>
      <c r="BE676" s="3"/>
      <c r="BF676" s="218"/>
      <c r="BG676" s="316">
        <f t="shared" si="49"/>
        <v>2</v>
      </c>
      <c r="BH676" s="319">
        <f t="shared" si="50"/>
        <v>2.8985507246376812E-2</v>
      </c>
      <c r="BI676" s="320">
        <f t="shared" si="51"/>
        <v>8.6956521739130436E-3</v>
      </c>
      <c r="BJ676" s="3"/>
      <c r="BK676" s="3"/>
      <c r="BL676" s="3"/>
      <c r="BM676" s="3"/>
      <c r="BN676" s="3"/>
      <c r="BO676" s="3"/>
      <c r="BT676" s="316">
        <f t="shared" si="52"/>
        <v>2</v>
      </c>
      <c r="BU676" s="319">
        <f t="shared" si="53"/>
        <v>2.8985507246376812E-2</v>
      </c>
      <c r="BV676" s="320">
        <f t="shared" si="54"/>
        <v>8.6956521739130436E-3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2"/>
      <c r="H677" s="1432"/>
      <c r="I677" s="1432"/>
      <c r="J677" s="1432"/>
      <c r="K677" s="1432"/>
      <c r="L677" s="1432"/>
      <c r="M677" s="1432"/>
      <c r="N677" s="1432"/>
      <c r="O677" s="1432"/>
      <c r="P677" s="1432"/>
      <c r="Q677" s="1432"/>
      <c r="R677" s="1432"/>
      <c r="T677" s="22"/>
      <c r="U677" t="s">
        <v>588</v>
      </c>
      <c r="Z677" s="1431"/>
      <c r="AA677" s="1431"/>
      <c r="AB677" s="1431"/>
      <c r="AC677" s="1431"/>
      <c r="AD677" s="1431"/>
      <c r="AE677" s="1431"/>
      <c r="AF677" s="1431"/>
      <c r="AG677" s="1431"/>
      <c r="AH677" s="1431"/>
      <c r="AI677" s="1431"/>
      <c r="AJ677" s="1431"/>
      <c r="AK677" s="1431"/>
      <c r="AZ677" s="3"/>
      <c r="BA677" s="118">
        <f t="shared" si="48"/>
        <v>3940</v>
      </c>
      <c r="BB677" s="3"/>
      <c r="BC677" s="3"/>
      <c r="BD677" s="3"/>
      <c r="BE677" s="3"/>
      <c r="BF677" s="218"/>
      <c r="BG677" s="316">
        <f t="shared" si="49"/>
        <v>6</v>
      </c>
      <c r="BH677" s="319">
        <f t="shared" si="50"/>
        <v>8.6956521739130432E-2</v>
      </c>
      <c r="BI677" s="320">
        <f t="shared" si="51"/>
        <v>4.3478260869565216E-2</v>
      </c>
      <c r="BJ677" s="3"/>
      <c r="BK677" s="3"/>
      <c r="BL677" s="3"/>
      <c r="BM677" s="3"/>
      <c r="BN677" s="3"/>
      <c r="BO677" s="3"/>
      <c r="BT677" s="316">
        <f t="shared" si="52"/>
        <v>6</v>
      </c>
      <c r="BU677" s="319">
        <f t="shared" si="53"/>
        <v>8.6956521739130432E-2</v>
      </c>
      <c r="BV677" s="320">
        <f t="shared" si="54"/>
        <v>4.3478260869565216E-2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3940</v>
      </c>
      <c r="BB678" s="3"/>
      <c r="BC678" s="3"/>
      <c r="BD678" s="3"/>
      <c r="BE678" s="3"/>
      <c r="BF678" s="218"/>
      <c r="BG678" s="316">
        <f t="shared" si="49"/>
        <v>1</v>
      </c>
      <c r="BH678" s="319">
        <f t="shared" si="50"/>
        <v>1.4492753623188406E-2</v>
      </c>
      <c r="BI678" s="320">
        <f t="shared" si="51"/>
        <v>8.6956521739130436E-3</v>
      </c>
      <c r="BJ678" s="3"/>
      <c r="BK678" s="3"/>
      <c r="BL678" s="3"/>
      <c r="BM678" s="3"/>
      <c r="BN678" s="3"/>
      <c r="BO678" s="3"/>
      <c r="BT678" s="316">
        <f t="shared" si="52"/>
        <v>1</v>
      </c>
      <c r="BU678" s="319">
        <f t="shared" si="53"/>
        <v>1.4492753623188406E-2</v>
      </c>
      <c r="BV678" s="320">
        <f t="shared" si="54"/>
        <v>8.6956521739130436E-3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f t="shared" si="48"/>
        <v>4394</v>
      </c>
      <c r="BB679" s="3"/>
      <c r="BC679" s="3"/>
      <c r="BD679" s="3"/>
      <c r="BE679" s="3"/>
      <c r="BF679" s="218"/>
      <c r="BG679" s="316">
        <f t="shared" si="49"/>
        <v>12</v>
      </c>
      <c r="BH679" s="319">
        <f t="shared" si="50"/>
        <v>0.17391304347826086</v>
      </c>
      <c r="BI679" s="320">
        <f t="shared" si="51"/>
        <v>0.10434782608695652</v>
      </c>
      <c r="BJ679" s="3"/>
      <c r="BK679" s="3"/>
      <c r="BL679" s="3"/>
      <c r="BM679" s="3"/>
      <c r="BN679" s="3"/>
      <c r="BO679" s="3"/>
      <c r="BT679" s="316">
        <f t="shared" si="52"/>
        <v>12</v>
      </c>
      <c r="BU679" s="319">
        <f t="shared" si="53"/>
        <v>0.17391304347826086</v>
      </c>
      <c r="BV679" s="320">
        <f t="shared" si="54"/>
        <v>0.10434782608695652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f t="shared" si="48"/>
        <v>4394</v>
      </c>
      <c r="BB680" s="3"/>
      <c r="BC680" s="3"/>
      <c r="BD680" s="3"/>
      <c r="BE680" s="3"/>
      <c r="BF680" s="218"/>
      <c r="BG680" s="316">
        <f t="shared" si="49"/>
        <v>1</v>
      </c>
      <c r="BH680" s="319">
        <f t="shared" si="50"/>
        <v>1.4492753623188406E-2</v>
      </c>
      <c r="BI680" s="320">
        <f t="shared" si="51"/>
        <v>4.3478260869565218E-3</v>
      </c>
      <c r="BJ680" s="3"/>
      <c r="BK680" s="3"/>
      <c r="BL680" s="3"/>
      <c r="BM680" s="3"/>
      <c r="BN680" s="3"/>
      <c r="BO680" s="3"/>
      <c r="BT680" s="316">
        <f t="shared" si="52"/>
        <v>1</v>
      </c>
      <c r="BU680" s="319">
        <f t="shared" si="53"/>
        <v>1.4492753623188406E-2</v>
      </c>
      <c r="BV680" s="320">
        <f t="shared" si="54"/>
        <v>4.3471664258903772E-3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676</v>
      </c>
      <c r="O681" s="1418"/>
      <c r="T681" s="22"/>
      <c r="U681" t="s">
        <v>20</v>
      </c>
      <c r="AG681" s="1418" t="s">
        <v>676</v>
      </c>
      <c r="AH681" s="1418"/>
      <c r="AZ681" s="3"/>
      <c r="BA681" s="118">
        <f t="shared" si="48"/>
        <v>4394</v>
      </c>
      <c r="BB681" s="3"/>
      <c r="BC681" s="3"/>
      <c r="BD681" s="3"/>
      <c r="BE681" s="3"/>
      <c r="BF681" s="218"/>
      <c r="BG681" s="316">
        <f t="shared" si="49"/>
        <v>3</v>
      </c>
      <c r="BH681" s="319">
        <f t="shared" si="50"/>
        <v>4.3478260869565216E-2</v>
      </c>
      <c r="BI681" s="320">
        <f t="shared" si="51"/>
        <v>2.1739130434782608E-2</v>
      </c>
      <c r="BJ681" s="3"/>
      <c r="BK681" s="3"/>
      <c r="BL681" s="3"/>
      <c r="BM681" s="3"/>
      <c r="BN681" s="3"/>
      <c r="BO681" s="3"/>
      <c r="BT681" s="316">
        <f t="shared" si="52"/>
        <v>3</v>
      </c>
      <c r="BU681" s="319">
        <f t="shared" si="53"/>
        <v>4.3478260869565216E-2</v>
      </c>
      <c r="BV681" s="320">
        <f t="shared" si="54"/>
        <v>2.1739130434782608E-2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4394</v>
      </c>
      <c r="BB682" s="3"/>
      <c r="BC682" s="3"/>
      <c r="BD682" s="3"/>
      <c r="BE682" s="3"/>
      <c r="BF682" s="218"/>
      <c r="BG682" s="316">
        <f t="shared" si="49"/>
        <v>1</v>
      </c>
      <c r="BH682" s="319">
        <f t="shared" si="50"/>
        <v>1.4492753623188406E-2</v>
      </c>
      <c r="BI682" s="320">
        <f t="shared" si="51"/>
        <v>8.6956521739130436E-3</v>
      </c>
      <c r="BJ682" s="3"/>
      <c r="BK682" s="3"/>
      <c r="BL682" s="3"/>
      <c r="BM682" s="3"/>
      <c r="BN682" s="3"/>
      <c r="BO682" s="3"/>
      <c r="BT682" s="316">
        <f t="shared" si="52"/>
        <v>1</v>
      </c>
      <c r="BU682" s="319">
        <f t="shared" si="53"/>
        <v>1.4492753623188406E-2</v>
      </c>
      <c r="BV682" s="320">
        <f t="shared" si="54"/>
        <v>8.6976311571114757E-3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1">
        <f>C637</f>
        <v>0</v>
      </c>
      <c r="H683" s="1511"/>
      <c r="I683" s="1511"/>
      <c r="J683" s="1511"/>
      <c r="K683" s="1511"/>
      <c r="L683" s="1511"/>
      <c r="M683" s="1511"/>
      <c r="N683" s="1511"/>
      <c r="O683" s="1511"/>
      <c r="P683" s="1511"/>
      <c r="Q683" s="1511"/>
      <c r="R683" s="1511"/>
      <c r="T683" s="55" t="s">
        <v>364</v>
      </c>
      <c r="U683" t="s">
        <v>471</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3</v>
      </c>
      <c r="BH683" s="319">
        <f t="shared" si="50"/>
        <v>4.3478260869565216E-2</v>
      </c>
      <c r="BI683" s="320">
        <f t="shared" si="51"/>
        <v>2.6086956521739129E-2</v>
      </c>
      <c r="BJ683" s="3"/>
      <c r="BK683" s="3"/>
      <c r="BL683" s="3"/>
      <c r="BM683" s="3"/>
      <c r="BN683" s="3"/>
      <c r="BO683" s="3"/>
      <c r="BT683" s="316">
        <f t="shared" si="52"/>
        <v>3</v>
      </c>
      <c r="BU683" s="319">
        <f t="shared" si="53"/>
        <v>4.3478260869565216E-2</v>
      </c>
      <c r="BV683" s="320">
        <f t="shared" si="54"/>
        <v>2.6092893471334429E-2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2"/>
      <c r="H685" s="1432"/>
      <c r="I685" s="1432"/>
      <c r="J685" s="1432"/>
      <c r="K685" s="1432"/>
      <c r="L685" s="1432"/>
      <c r="M685" s="1432"/>
      <c r="N685" s="1432"/>
      <c r="O685" s="1432"/>
      <c r="P685" s="1432"/>
      <c r="Q685" s="1432"/>
      <c r="R685" s="1432"/>
      <c r="U685" t="s">
        <v>588</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676</v>
      </c>
      <c r="O689" s="1418"/>
      <c r="U689" t="s">
        <v>20</v>
      </c>
      <c r="AG689" s="1418" t="s">
        <v>676</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8" t="s">
        <v>553</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8" t="s">
        <v>553</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4">
        <v>45746</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5">
        <v>0.54349999999999998</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1" t="str">
        <f>H335</f>
        <v>CMFA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8" t="s">
        <v>553</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2" t="s">
        <v>2744</v>
      </c>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913</v>
      </c>
      <c r="BG703" s="321">
        <f>SUM(BG668:BG702)</f>
        <v>69</v>
      </c>
      <c r="BH703" s="322">
        <f>SUM(BH668:BH702)</f>
        <v>0.99999999999999978</v>
      </c>
      <c r="BI703" s="322">
        <f>SUM(BI668:BI702)</f>
        <v>0.53913043478260858</v>
      </c>
      <c r="BN703" s="3"/>
      <c r="BO703" s="3"/>
      <c r="BT703" s="893">
        <f>SUM(BT668:BT702)</f>
        <v>69</v>
      </c>
      <c r="BU703" s="322">
        <f>SUM(BU668:BU702)</f>
        <v>0.99999999999999978</v>
      </c>
      <c r="BV703" s="322">
        <f>SUM(BV668:BV702)</f>
        <v>0.5391376910543364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t="s">
        <v>2745</v>
      </c>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47" t="s">
        <v>2746</v>
      </c>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2" t="s">
        <v>2747</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2748</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9" t="s">
        <v>390</v>
      </c>
      <c r="C714" s="1370"/>
      <c r="D714" s="1370"/>
      <c r="E714" s="1370"/>
      <c r="F714" s="1371"/>
      <c r="G714" s="1579" t="s">
        <v>286</v>
      </c>
      <c r="H714" s="1370"/>
      <c r="I714" s="1370"/>
      <c r="J714" s="1371"/>
      <c r="K714" s="1384" t="s">
        <v>1864</v>
      </c>
      <c r="L714" s="1385"/>
      <c r="M714" s="1385"/>
      <c r="N714" s="1386"/>
      <c r="O714" s="1579" t="s">
        <v>455</v>
      </c>
      <c r="P714" s="1370"/>
      <c r="Q714" s="1370"/>
      <c r="R714" s="1370"/>
      <c r="S714" s="1371"/>
      <c r="T714" s="1369" t="s">
        <v>2248</v>
      </c>
      <c r="U714" s="1370"/>
      <c r="V714" s="1370"/>
      <c r="W714" s="1371"/>
      <c r="X714" s="1369" t="s">
        <v>2250</v>
      </c>
      <c r="Y714" s="1370"/>
      <c r="Z714" s="1370"/>
      <c r="AA714" s="1370"/>
      <c r="AB714" s="1371"/>
      <c r="AC714" s="1369" t="s">
        <v>2249</v>
      </c>
      <c r="AD714" s="1370"/>
      <c r="AE714" s="1370"/>
      <c r="AF714" s="1370"/>
      <c r="AG714" s="1371"/>
      <c r="AH714" s="1369" t="s">
        <v>2251</v>
      </c>
      <c r="AI714" s="1370"/>
      <c r="AJ714" s="1371"/>
      <c r="AK714" s="1369" t="s">
        <v>2285</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326</v>
      </c>
      <c r="C718" s="1358"/>
      <c r="D718" s="1358"/>
      <c r="E718" s="1358"/>
      <c r="F718" s="1359"/>
      <c r="G718" s="1366">
        <v>2</v>
      </c>
      <c r="H718" s="1367"/>
      <c r="I718" s="1367"/>
      <c r="J718" s="1368"/>
      <c r="K718" s="1574">
        <v>598</v>
      </c>
      <c r="L718" s="1575"/>
      <c r="M718" s="1575"/>
      <c r="N718" s="1576"/>
      <c r="O718" s="1378">
        <f>852-38</f>
        <v>814</v>
      </c>
      <c r="P718" s="1379"/>
      <c r="Q718" s="1379"/>
      <c r="R718" s="1379"/>
      <c r="S718" s="1380"/>
      <c r="T718" s="1378">
        <v>38</v>
      </c>
      <c r="U718" s="1379"/>
      <c r="V718" s="1379"/>
      <c r="W718" s="1380"/>
      <c r="X718" s="1360">
        <f t="shared" ref="X718:X741" si="59">O718+T718</f>
        <v>852</v>
      </c>
      <c r="Y718" s="1361"/>
      <c r="Z718" s="1361"/>
      <c r="AA718" s="1361"/>
      <c r="AB718" s="1362"/>
      <c r="AC718" s="1381">
        <v>0.3</v>
      </c>
      <c r="AD718" s="1382"/>
      <c r="AE718" s="1382"/>
      <c r="AF718" s="1382"/>
      <c r="AG718" s="1383"/>
      <c r="AH718" s="1363">
        <f t="shared" ref="AH718:AH751" si="60">IF($AC718&gt;0,($X718/$BA667), "")</f>
        <v>0.3</v>
      </c>
      <c r="AI718" s="1364"/>
      <c r="AJ718" s="1365"/>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326</v>
      </c>
      <c r="C719" s="1358"/>
      <c r="D719" s="1358"/>
      <c r="E719" s="1358"/>
      <c r="F719" s="1359"/>
      <c r="G719" s="1366">
        <v>6</v>
      </c>
      <c r="H719" s="1367"/>
      <c r="I719" s="1367"/>
      <c r="J719" s="1368"/>
      <c r="K719" s="1574">
        <v>598</v>
      </c>
      <c r="L719" s="1575"/>
      <c r="M719" s="1575"/>
      <c r="N719" s="1576"/>
      <c r="O719" s="1378">
        <f>1420-38</f>
        <v>1382</v>
      </c>
      <c r="P719" s="1379"/>
      <c r="Q719" s="1379"/>
      <c r="R719" s="1379"/>
      <c r="S719" s="1380"/>
      <c r="T719" s="1378">
        <v>38</v>
      </c>
      <c r="U719" s="1379"/>
      <c r="V719" s="1379"/>
      <c r="W719" s="1380"/>
      <c r="X719" s="1360">
        <f t="shared" si="59"/>
        <v>1420</v>
      </c>
      <c r="Y719" s="1361"/>
      <c r="Z719" s="1361"/>
      <c r="AA719" s="1361"/>
      <c r="AB719" s="1362"/>
      <c r="AC719" s="1381">
        <v>0.5</v>
      </c>
      <c r="AD719" s="1382"/>
      <c r="AE719" s="1382"/>
      <c r="AF719" s="1382"/>
      <c r="AG719" s="1383"/>
      <c r="AH719" s="1363">
        <f t="shared" si="60"/>
        <v>0.5</v>
      </c>
      <c r="AI719" s="1364"/>
      <c r="AJ719" s="1365"/>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326</v>
      </c>
      <c r="C720" s="1358"/>
      <c r="D720" s="1358"/>
      <c r="E720" s="1358"/>
      <c r="F720" s="1359"/>
      <c r="G720" s="1366">
        <v>7</v>
      </c>
      <c r="H720" s="1367"/>
      <c r="I720" s="1367"/>
      <c r="J720" s="1368"/>
      <c r="K720" s="1574">
        <v>598</v>
      </c>
      <c r="L720" s="1575"/>
      <c r="M720" s="1575"/>
      <c r="N720" s="1576"/>
      <c r="O720" s="1378">
        <f>1704-38</f>
        <v>1666</v>
      </c>
      <c r="P720" s="1379"/>
      <c r="Q720" s="1379"/>
      <c r="R720" s="1379"/>
      <c r="S720" s="1380"/>
      <c r="T720" s="1378">
        <v>38</v>
      </c>
      <c r="U720" s="1379"/>
      <c r="V720" s="1379"/>
      <c r="W720" s="1380"/>
      <c r="X720" s="1360">
        <f t="shared" si="59"/>
        <v>1704</v>
      </c>
      <c r="Y720" s="1361"/>
      <c r="Z720" s="1361"/>
      <c r="AA720" s="1361"/>
      <c r="AB720" s="1362"/>
      <c r="AC720" s="1381">
        <v>0.6</v>
      </c>
      <c r="AD720" s="1382"/>
      <c r="AE720" s="1382"/>
      <c r="AF720" s="1382"/>
      <c r="AG720" s="1383"/>
      <c r="AH720" s="1363">
        <f t="shared" si="60"/>
        <v>0.6</v>
      </c>
      <c r="AI720" s="1364"/>
      <c r="AJ720" s="1365"/>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326</v>
      </c>
      <c r="C721" s="1358"/>
      <c r="D721" s="1358"/>
      <c r="E721" s="1358"/>
      <c r="F721" s="1359"/>
      <c r="G721" s="1366">
        <v>1</v>
      </c>
      <c r="H721" s="1367"/>
      <c r="I721" s="1367"/>
      <c r="J721" s="1368"/>
      <c r="K721" s="1574">
        <v>619</v>
      </c>
      <c r="L721" s="1575"/>
      <c r="M721" s="1575"/>
      <c r="N721" s="1576"/>
      <c r="O721" s="1378">
        <f>1704-47</f>
        <v>1657</v>
      </c>
      <c r="P721" s="1379"/>
      <c r="Q721" s="1379"/>
      <c r="R721" s="1379"/>
      <c r="S721" s="1380"/>
      <c r="T721" s="1378">
        <v>47</v>
      </c>
      <c r="U721" s="1379"/>
      <c r="V721" s="1379"/>
      <c r="W721" s="1380"/>
      <c r="X721" s="1360">
        <f t="shared" si="59"/>
        <v>1704</v>
      </c>
      <c r="Y721" s="1361"/>
      <c r="Z721" s="1361"/>
      <c r="AA721" s="1361"/>
      <c r="AB721" s="1362"/>
      <c r="AC721" s="1381">
        <v>0.6</v>
      </c>
      <c r="AD721" s="1382"/>
      <c r="AE721" s="1382"/>
      <c r="AF721" s="1382"/>
      <c r="AG721" s="1383"/>
      <c r="AH721" s="1363">
        <f t="shared" si="60"/>
        <v>0.6</v>
      </c>
      <c r="AI721" s="1364"/>
      <c r="AJ721" s="1365"/>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163</v>
      </c>
      <c r="C722" s="1358"/>
      <c r="D722" s="1358"/>
      <c r="E722" s="1358"/>
      <c r="F722" s="1359"/>
      <c r="G722" s="1366">
        <v>2</v>
      </c>
      <c r="H722" s="1367"/>
      <c r="I722" s="1367"/>
      <c r="J722" s="1368"/>
      <c r="K722" s="1574">
        <v>855</v>
      </c>
      <c r="L722" s="1575"/>
      <c r="M722" s="1575"/>
      <c r="N722" s="1576"/>
      <c r="O722" s="1378">
        <f>1023-47</f>
        <v>976</v>
      </c>
      <c r="P722" s="1379"/>
      <c r="Q722" s="1379"/>
      <c r="R722" s="1379"/>
      <c r="S722" s="1380"/>
      <c r="T722" s="1378">
        <v>47</v>
      </c>
      <c r="U722" s="1379"/>
      <c r="V722" s="1379"/>
      <c r="W722" s="1380"/>
      <c r="X722" s="1360">
        <f t="shared" si="59"/>
        <v>1023</v>
      </c>
      <c r="Y722" s="1361"/>
      <c r="Z722" s="1361"/>
      <c r="AA722" s="1361"/>
      <c r="AB722" s="1362"/>
      <c r="AC722" s="1381">
        <v>0.3</v>
      </c>
      <c r="AD722" s="1382"/>
      <c r="AE722" s="1382"/>
      <c r="AF722" s="1382"/>
      <c r="AG722" s="1383"/>
      <c r="AH722" s="1363">
        <f t="shared" si="60"/>
        <v>0.3</v>
      </c>
      <c r="AI722" s="1364"/>
      <c r="AJ722" s="1365"/>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163</v>
      </c>
      <c r="C723" s="1358"/>
      <c r="D723" s="1358"/>
      <c r="E723" s="1358"/>
      <c r="F723" s="1359"/>
      <c r="G723" s="1366">
        <v>6</v>
      </c>
      <c r="H723" s="1367"/>
      <c r="I723" s="1367"/>
      <c r="J723" s="1368"/>
      <c r="K723" s="1574">
        <v>855</v>
      </c>
      <c r="L723" s="1575"/>
      <c r="M723" s="1575"/>
      <c r="N723" s="1576"/>
      <c r="O723" s="1378">
        <f>1705-47</f>
        <v>1658</v>
      </c>
      <c r="P723" s="1379"/>
      <c r="Q723" s="1379"/>
      <c r="R723" s="1379"/>
      <c r="S723" s="1380"/>
      <c r="T723" s="1378">
        <v>47</v>
      </c>
      <c r="U723" s="1379"/>
      <c r="V723" s="1379"/>
      <c r="W723" s="1380"/>
      <c r="X723" s="1360">
        <f t="shared" si="59"/>
        <v>1705</v>
      </c>
      <c r="Y723" s="1361"/>
      <c r="Z723" s="1361"/>
      <c r="AA723" s="1361"/>
      <c r="AB723" s="1362"/>
      <c r="AC723" s="1381">
        <v>0.5</v>
      </c>
      <c r="AD723" s="1382"/>
      <c r="AE723" s="1382"/>
      <c r="AF723" s="1382"/>
      <c r="AG723" s="1383"/>
      <c r="AH723" s="1363">
        <f t="shared" si="60"/>
        <v>0.5</v>
      </c>
      <c r="AI723" s="1364"/>
      <c r="AJ723" s="1365"/>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163</v>
      </c>
      <c r="C724" s="1358"/>
      <c r="D724" s="1358"/>
      <c r="E724" s="1358"/>
      <c r="F724" s="1359"/>
      <c r="G724" s="1366">
        <v>15</v>
      </c>
      <c r="H724" s="1367"/>
      <c r="I724" s="1367"/>
      <c r="J724" s="1368"/>
      <c r="K724" s="1574">
        <v>855</v>
      </c>
      <c r="L724" s="1575"/>
      <c r="M724" s="1575"/>
      <c r="N724" s="1576"/>
      <c r="O724" s="1378">
        <f>2046-47</f>
        <v>1999</v>
      </c>
      <c r="P724" s="1379"/>
      <c r="Q724" s="1379"/>
      <c r="R724" s="1379"/>
      <c r="S724" s="1380"/>
      <c r="T724" s="1378">
        <v>47</v>
      </c>
      <c r="U724" s="1379"/>
      <c r="V724" s="1379"/>
      <c r="W724" s="1380"/>
      <c r="X724" s="1360">
        <f t="shared" si="59"/>
        <v>2046</v>
      </c>
      <c r="Y724" s="1361"/>
      <c r="Z724" s="1361"/>
      <c r="AA724" s="1361"/>
      <c r="AB724" s="1362"/>
      <c r="AC724" s="1381">
        <v>0.6</v>
      </c>
      <c r="AD724" s="1382"/>
      <c r="AE724" s="1382"/>
      <c r="AF724" s="1382"/>
      <c r="AG724" s="1383"/>
      <c r="AH724" s="1363">
        <f t="shared" si="60"/>
        <v>0.6</v>
      </c>
      <c r="AI724" s="1364"/>
      <c r="AJ724" s="1365"/>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163</v>
      </c>
      <c r="C725" s="1358"/>
      <c r="D725" s="1358"/>
      <c r="E725" s="1358"/>
      <c r="F725" s="1359"/>
      <c r="G725" s="1366">
        <v>1</v>
      </c>
      <c r="H725" s="1367"/>
      <c r="I725" s="1367"/>
      <c r="J725" s="1368"/>
      <c r="K725" s="1574">
        <v>888</v>
      </c>
      <c r="L725" s="1575"/>
      <c r="M725" s="1575"/>
      <c r="N725" s="1576"/>
      <c r="O725" s="1378">
        <f>2046-98</f>
        <v>1948</v>
      </c>
      <c r="P725" s="1379"/>
      <c r="Q725" s="1379"/>
      <c r="R725" s="1379"/>
      <c r="S725" s="1380"/>
      <c r="T725" s="1378">
        <v>98</v>
      </c>
      <c r="U725" s="1379"/>
      <c r="V725" s="1379"/>
      <c r="W725" s="1380"/>
      <c r="X725" s="1360">
        <f t="shared" si="59"/>
        <v>2046</v>
      </c>
      <c r="Y725" s="1361"/>
      <c r="Z725" s="1361"/>
      <c r="AA725" s="1361"/>
      <c r="AB725" s="1362"/>
      <c r="AC725" s="1381">
        <v>0.6</v>
      </c>
      <c r="AD725" s="1382"/>
      <c r="AE725" s="1382"/>
      <c r="AF725" s="1382"/>
      <c r="AG725" s="1383"/>
      <c r="AH725" s="1363">
        <f t="shared" si="60"/>
        <v>0.6</v>
      </c>
      <c r="AI725" s="1364"/>
      <c r="AJ725" s="1365"/>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164</v>
      </c>
      <c r="C726" s="1358"/>
      <c r="D726" s="1358"/>
      <c r="E726" s="1358"/>
      <c r="F726" s="1359"/>
      <c r="G726" s="1366">
        <v>2</v>
      </c>
      <c r="H726" s="1367"/>
      <c r="I726" s="1367"/>
      <c r="J726" s="1368"/>
      <c r="K726" s="1574">
        <v>1280</v>
      </c>
      <c r="L726" s="1575"/>
      <c r="M726" s="1575"/>
      <c r="N726" s="1576"/>
      <c r="O726" s="1378">
        <f>1182-110</f>
        <v>1072</v>
      </c>
      <c r="P726" s="1379"/>
      <c r="Q726" s="1379"/>
      <c r="R726" s="1379"/>
      <c r="S726" s="1380"/>
      <c r="T726" s="1378">
        <v>110</v>
      </c>
      <c r="U726" s="1379"/>
      <c r="V726" s="1379"/>
      <c r="W726" s="1380"/>
      <c r="X726" s="1360">
        <f t="shared" si="59"/>
        <v>1182</v>
      </c>
      <c r="Y726" s="1361"/>
      <c r="Z726" s="1361"/>
      <c r="AA726" s="1361"/>
      <c r="AB726" s="1362"/>
      <c r="AC726" s="1381">
        <v>0.3</v>
      </c>
      <c r="AD726" s="1382"/>
      <c r="AE726" s="1382"/>
      <c r="AF726" s="1382"/>
      <c r="AG726" s="1383"/>
      <c r="AH726" s="1363">
        <f t="shared" si="60"/>
        <v>0.3</v>
      </c>
      <c r="AI726" s="1364"/>
      <c r="AJ726" s="1365"/>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164</v>
      </c>
      <c r="C727" s="1358"/>
      <c r="D727" s="1358"/>
      <c r="E727" s="1358"/>
      <c r="F727" s="1359"/>
      <c r="G727" s="1366">
        <v>6</v>
      </c>
      <c r="H727" s="1367"/>
      <c r="I727" s="1367"/>
      <c r="J727" s="1368"/>
      <c r="K727" s="1574">
        <v>1280</v>
      </c>
      <c r="L727" s="1575"/>
      <c r="M727" s="1575"/>
      <c r="N727" s="1576"/>
      <c r="O727" s="1378">
        <f>1970-110</f>
        <v>1860</v>
      </c>
      <c r="P727" s="1379"/>
      <c r="Q727" s="1379"/>
      <c r="R727" s="1379"/>
      <c r="S727" s="1380"/>
      <c r="T727" s="1378">
        <v>110</v>
      </c>
      <c r="U727" s="1379"/>
      <c r="V727" s="1379"/>
      <c r="W727" s="1380"/>
      <c r="X727" s="1360">
        <f t="shared" si="59"/>
        <v>1970</v>
      </c>
      <c r="Y727" s="1361"/>
      <c r="Z727" s="1361"/>
      <c r="AA727" s="1361"/>
      <c r="AB727" s="1362"/>
      <c r="AC727" s="1381">
        <v>0.5</v>
      </c>
      <c r="AD727" s="1382"/>
      <c r="AE727" s="1382"/>
      <c r="AF727" s="1382"/>
      <c r="AG727" s="1383"/>
      <c r="AH727" s="1363">
        <f t="shared" si="60"/>
        <v>0.5</v>
      </c>
      <c r="AI727" s="1364"/>
      <c r="AJ727" s="1365"/>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164</v>
      </c>
      <c r="C728" s="1358"/>
      <c r="D728" s="1358"/>
      <c r="E728" s="1358"/>
      <c r="F728" s="1359"/>
      <c r="G728" s="1366">
        <v>1</v>
      </c>
      <c r="H728" s="1367"/>
      <c r="I728" s="1367"/>
      <c r="J728" s="1368"/>
      <c r="K728" s="1574">
        <v>1246</v>
      </c>
      <c r="L728" s="1575"/>
      <c r="M728" s="1575"/>
      <c r="N728" s="1576"/>
      <c r="O728" s="1378">
        <f>2364-82</f>
        <v>2282</v>
      </c>
      <c r="P728" s="1379"/>
      <c r="Q728" s="1379"/>
      <c r="R728" s="1379"/>
      <c r="S728" s="1380"/>
      <c r="T728" s="1378">
        <v>82</v>
      </c>
      <c r="U728" s="1379"/>
      <c r="V728" s="1379"/>
      <c r="W728" s="1380"/>
      <c r="X728" s="1360">
        <f t="shared" si="59"/>
        <v>2364</v>
      </c>
      <c r="Y728" s="1361"/>
      <c r="Z728" s="1361"/>
      <c r="AA728" s="1361"/>
      <c r="AB728" s="1362"/>
      <c r="AC728" s="1381">
        <v>0.6</v>
      </c>
      <c r="AD728" s="1382"/>
      <c r="AE728" s="1382"/>
      <c r="AF728" s="1382"/>
      <c r="AG728" s="1383"/>
      <c r="AH728" s="1363">
        <f t="shared" si="60"/>
        <v>0.6</v>
      </c>
      <c r="AI728" s="1364"/>
      <c r="AJ728" s="1365"/>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164</v>
      </c>
      <c r="C729" s="1358"/>
      <c r="D729" s="1358"/>
      <c r="E729" s="1358"/>
      <c r="F729" s="1359"/>
      <c r="G729" s="1366">
        <v>12</v>
      </c>
      <c r="H729" s="1367"/>
      <c r="I729" s="1367"/>
      <c r="J729" s="1368"/>
      <c r="K729" s="1574">
        <v>1280</v>
      </c>
      <c r="L729" s="1575"/>
      <c r="M729" s="1575"/>
      <c r="N729" s="1576"/>
      <c r="O729" s="1378">
        <f>2364-110</f>
        <v>2254</v>
      </c>
      <c r="P729" s="1379"/>
      <c r="Q729" s="1379"/>
      <c r="R729" s="1379"/>
      <c r="S729" s="1380"/>
      <c r="T729" s="1378">
        <v>110</v>
      </c>
      <c r="U729" s="1379"/>
      <c r="V729" s="1379"/>
      <c r="W729" s="1380"/>
      <c r="X729" s="1360">
        <f t="shared" si="59"/>
        <v>2364</v>
      </c>
      <c r="Y729" s="1361"/>
      <c r="Z729" s="1361"/>
      <c r="AA729" s="1361"/>
      <c r="AB729" s="1362"/>
      <c r="AC729" s="1381">
        <v>0.6</v>
      </c>
      <c r="AD729" s="1382"/>
      <c r="AE729" s="1382"/>
      <c r="AF729" s="1382"/>
      <c r="AG729" s="1383"/>
      <c r="AH729" s="1363">
        <f t="shared" si="60"/>
        <v>0.6</v>
      </c>
      <c r="AI729" s="1364"/>
      <c r="AJ729" s="1365"/>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165</v>
      </c>
      <c r="C730" s="1358"/>
      <c r="D730" s="1358"/>
      <c r="E730" s="1358"/>
      <c r="F730" s="1359"/>
      <c r="G730" s="1366">
        <v>1</v>
      </c>
      <c r="H730" s="1367"/>
      <c r="I730" s="1367"/>
      <c r="J730" s="1368"/>
      <c r="K730" s="1574">
        <v>1429</v>
      </c>
      <c r="L730" s="1575"/>
      <c r="M730" s="1575"/>
      <c r="N730" s="1576"/>
      <c r="O730" s="1378">
        <f>1318-96</f>
        <v>1222</v>
      </c>
      <c r="P730" s="1379"/>
      <c r="Q730" s="1379"/>
      <c r="R730" s="1379"/>
      <c r="S730" s="1380"/>
      <c r="T730" s="1378">
        <v>96</v>
      </c>
      <c r="U730" s="1379"/>
      <c r="V730" s="1379"/>
      <c r="W730" s="1380"/>
      <c r="X730" s="1360">
        <f t="shared" si="59"/>
        <v>1318</v>
      </c>
      <c r="Y730" s="1361"/>
      <c r="Z730" s="1361"/>
      <c r="AA730" s="1361"/>
      <c r="AB730" s="1362"/>
      <c r="AC730" s="1381">
        <v>0.3</v>
      </c>
      <c r="AD730" s="1382"/>
      <c r="AE730" s="1382"/>
      <c r="AF730" s="1382"/>
      <c r="AG730" s="1383"/>
      <c r="AH730" s="1363">
        <f t="shared" si="60"/>
        <v>0.29995448338643604</v>
      </c>
      <c r="AI730" s="1364"/>
      <c r="AJ730" s="1365"/>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t="s">
        <v>165</v>
      </c>
      <c r="C731" s="1358"/>
      <c r="D731" s="1358"/>
      <c r="E731" s="1358"/>
      <c r="F731" s="1359"/>
      <c r="G731" s="1366">
        <v>3</v>
      </c>
      <c r="H731" s="1367"/>
      <c r="I731" s="1367"/>
      <c r="J731" s="1368"/>
      <c r="K731" s="1574">
        <v>1429</v>
      </c>
      <c r="L731" s="1575"/>
      <c r="M731" s="1575"/>
      <c r="N731" s="1576"/>
      <c r="O731" s="1378">
        <f>2197-96</f>
        <v>2101</v>
      </c>
      <c r="P731" s="1379"/>
      <c r="Q731" s="1379"/>
      <c r="R731" s="1379"/>
      <c r="S731" s="1380"/>
      <c r="T731" s="1378">
        <v>96</v>
      </c>
      <c r="U731" s="1379"/>
      <c r="V731" s="1379"/>
      <c r="W731" s="1380"/>
      <c r="X731" s="1360">
        <f t="shared" si="59"/>
        <v>2197</v>
      </c>
      <c r="Y731" s="1361"/>
      <c r="Z731" s="1361"/>
      <c r="AA731" s="1361"/>
      <c r="AB731" s="1362"/>
      <c r="AC731" s="1381">
        <v>0.5</v>
      </c>
      <c r="AD731" s="1382"/>
      <c r="AE731" s="1382"/>
      <c r="AF731" s="1382"/>
      <c r="AG731" s="1383"/>
      <c r="AH731" s="1363">
        <f t="shared" si="60"/>
        <v>0.5</v>
      </c>
      <c r="AI731" s="1364"/>
      <c r="AJ731" s="1365"/>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t="s">
        <v>165</v>
      </c>
      <c r="C732" s="1358"/>
      <c r="D732" s="1358"/>
      <c r="E732" s="1358"/>
      <c r="F732" s="1359"/>
      <c r="G732" s="1366">
        <v>1</v>
      </c>
      <c r="H732" s="1367"/>
      <c r="I732" s="1367"/>
      <c r="J732" s="1368"/>
      <c r="K732" s="1574">
        <v>1413</v>
      </c>
      <c r="L732" s="1575"/>
      <c r="M732" s="1575"/>
      <c r="N732" s="1576"/>
      <c r="O732" s="1378">
        <f>2637-70</f>
        <v>2567</v>
      </c>
      <c r="P732" s="1379"/>
      <c r="Q732" s="1379"/>
      <c r="R732" s="1379"/>
      <c r="S732" s="1380"/>
      <c r="T732" s="1378">
        <v>70</v>
      </c>
      <c r="U732" s="1379"/>
      <c r="V732" s="1379"/>
      <c r="W732" s="1380"/>
      <c r="X732" s="1360">
        <f t="shared" si="59"/>
        <v>2637</v>
      </c>
      <c r="Y732" s="1361"/>
      <c r="Z732" s="1361"/>
      <c r="AA732" s="1361"/>
      <c r="AB732" s="1362"/>
      <c r="AC732" s="1381">
        <v>0.6</v>
      </c>
      <c r="AD732" s="1382"/>
      <c r="AE732" s="1382"/>
      <c r="AF732" s="1382"/>
      <c r="AG732" s="1383"/>
      <c r="AH732" s="1363">
        <f t="shared" si="60"/>
        <v>0.60013654984069187</v>
      </c>
      <c r="AI732" s="1364"/>
      <c r="AJ732" s="1365"/>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t="s">
        <v>165</v>
      </c>
      <c r="C733" s="1358"/>
      <c r="D733" s="1358"/>
      <c r="E733" s="1358"/>
      <c r="F733" s="1359"/>
      <c r="G733" s="1366">
        <v>3</v>
      </c>
      <c r="H733" s="1367"/>
      <c r="I733" s="1367"/>
      <c r="J733" s="1368"/>
      <c r="K733" s="1574">
        <v>1429</v>
      </c>
      <c r="L733" s="1575"/>
      <c r="M733" s="1575"/>
      <c r="N733" s="1576"/>
      <c r="O733" s="1378">
        <f>2637-96</f>
        <v>2541</v>
      </c>
      <c r="P733" s="1379"/>
      <c r="Q733" s="1379"/>
      <c r="R733" s="1379"/>
      <c r="S733" s="1380"/>
      <c r="T733" s="1378">
        <v>96</v>
      </c>
      <c r="U733" s="1379"/>
      <c r="V733" s="1379"/>
      <c r="W733" s="1380"/>
      <c r="X733" s="1360">
        <f t="shared" si="59"/>
        <v>2637</v>
      </c>
      <c r="Y733" s="1361"/>
      <c r="Z733" s="1361"/>
      <c r="AA733" s="1361"/>
      <c r="AB733" s="1362"/>
      <c r="AC733" s="1381">
        <v>0.6</v>
      </c>
      <c r="AD733" s="1382"/>
      <c r="AE733" s="1382"/>
      <c r="AF733" s="1382"/>
      <c r="AG733" s="1383"/>
      <c r="AH733" s="1363">
        <f t="shared" si="60"/>
        <v>0.60013654984069187</v>
      </c>
      <c r="AI733" s="1364"/>
      <c r="AJ733" s="1365"/>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574"/>
      <c r="L734" s="1575"/>
      <c r="M734" s="1575"/>
      <c r="N734" s="1576"/>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574"/>
      <c r="L735" s="1575"/>
      <c r="M735" s="1575"/>
      <c r="N735" s="1576"/>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574"/>
      <c r="L736" s="1575"/>
      <c r="M736" s="1575"/>
      <c r="N736" s="1576"/>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574"/>
      <c r="L737" s="1575"/>
      <c r="M737" s="1575"/>
      <c r="N737" s="1576"/>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574"/>
      <c r="L738" s="1575"/>
      <c r="M738" s="1575"/>
      <c r="N738" s="1576"/>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574"/>
      <c r="L739" s="1575"/>
      <c r="M739" s="1575"/>
      <c r="N739" s="1576"/>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574"/>
      <c r="L740" s="1575"/>
      <c r="M740" s="1575"/>
      <c r="N740" s="1576"/>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574"/>
      <c r="L741" s="1575"/>
      <c r="M741" s="1575"/>
      <c r="N741" s="1576"/>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574"/>
      <c r="L742" s="1575"/>
      <c r="M742" s="1575"/>
      <c r="N742" s="1576"/>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574"/>
      <c r="L743" s="1575"/>
      <c r="M743" s="1575"/>
      <c r="N743" s="1576"/>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574"/>
      <c r="L744" s="1575"/>
      <c r="M744" s="1575"/>
      <c r="N744" s="1576"/>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574"/>
      <c r="L745" s="1575"/>
      <c r="M745" s="1575"/>
      <c r="N745" s="1576"/>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574"/>
      <c r="L746" s="1575"/>
      <c r="M746" s="1575"/>
      <c r="N746" s="1576"/>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574"/>
      <c r="L747" s="1575"/>
      <c r="M747" s="1575"/>
      <c r="N747" s="1576"/>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574"/>
      <c r="L748" s="1575"/>
      <c r="M748" s="1575"/>
      <c r="N748" s="1576"/>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574"/>
      <c r="L749" s="1575"/>
      <c r="M749" s="1575"/>
      <c r="N749" s="1576"/>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574"/>
      <c r="L750" s="1575"/>
      <c r="M750" s="1575"/>
      <c r="N750" s="1576"/>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574"/>
      <c r="L751" s="1575"/>
      <c r="M751" s="1575"/>
      <c r="N751" s="1576"/>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574"/>
      <c r="L752" s="1575"/>
      <c r="M752" s="1575"/>
      <c r="N752" s="1576"/>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5" t="s">
        <v>125</v>
      </c>
      <c r="C753" s="1596"/>
      <c r="D753" s="1596"/>
      <c r="E753" s="1596"/>
      <c r="F753" s="1597"/>
      <c r="G753" s="1777">
        <f>SUM(G718:G752)</f>
        <v>69</v>
      </c>
      <c r="H753" s="1778"/>
      <c r="I753" s="1778"/>
      <c r="J753" s="1779"/>
      <c r="K753" s="937" t="s">
        <v>124</v>
      </c>
      <c r="L753" s="5"/>
      <c r="M753" s="5"/>
      <c r="N753" s="46"/>
      <c r="O753" s="1360">
        <f>SUMPRODUCT(G718:G752,O718:O752)</f>
        <v>127421</v>
      </c>
      <c r="P753" s="1361"/>
      <c r="Q753" s="1361"/>
      <c r="R753" s="1361"/>
      <c r="S753" s="1362"/>
      <c r="T753"/>
      <c r="U753"/>
      <c r="V753"/>
      <c r="W753"/>
      <c r="X753" s="939" t="s">
        <v>914</v>
      </c>
      <c r="Y753" s="938"/>
      <c r="Z753" s="938"/>
      <c r="AA753" s="938"/>
      <c r="AB753" s="940"/>
      <c r="AC753" s="1729">
        <f>BI703</f>
        <v>0.53913043478260858</v>
      </c>
      <c r="AD753" s="1730"/>
      <c r="AE753" s="1730"/>
      <c r="AF753" s="1730"/>
      <c r="AG753" s="1731"/>
      <c r="AH753" s="1729">
        <f>IFERROR(BV703,"")</f>
        <v>0.5391376910543364</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2179</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2177</v>
      </c>
      <c r="D756" s="1067"/>
      <c r="E756" s="1067"/>
      <c r="F756" s="1067"/>
      <c r="G756" s="1068"/>
      <c r="H756" s="1068"/>
      <c r="I756" s="1068"/>
      <c r="J756" s="1068"/>
      <c r="K756" s="1067"/>
      <c r="L756" s="1067"/>
      <c r="M756" s="1067"/>
      <c r="N756" s="1067"/>
      <c r="O756" s="1390">
        <f>CS634</f>
        <v>159</v>
      </c>
      <c r="P756" s="1390"/>
      <c r="Q756" s="1390"/>
      <c r="R756" s="1390"/>
      <c r="S756" s="1004"/>
      <c r="T756" s="1004"/>
      <c r="U756" s="118" t="s">
        <v>2178</v>
      </c>
      <c r="V756" s="1067"/>
      <c r="W756" s="1067"/>
      <c r="X756" s="1067"/>
      <c r="Y756" s="1068"/>
      <c r="Z756" s="1068"/>
      <c r="AA756" s="1068"/>
      <c r="AB756" s="1068"/>
      <c r="AC756" s="1067"/>
      <c r="AD756" s="1067"/>
      <c r="AE756" s="1067"/>
      <c r="AF756" s="1067"/>
      <c r="AG756" s="1769"/>
      <c r="AH756" s="1769"/>
      <c r="AI756" s="1769"/>
      <c r="AJ756" s="17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2176</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0" t="s">
        <v>599</v>
      </c>
      <c r="AE759" s="1780"/>
      <c r="AF759" s="17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2402</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2403</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9" t="s">
        <v>390</v>
      </c>
      <c r="K769" s="1370"/>
      <c r="L769" s="1370"/>
      <c r="M769" s="1370"/>
      <c r="N769" s="1371"/>
      <c r="O769" s="1775" t="s">
        <v>286</v>
      </c>
      <c r="P769" s="1775"/>
      <c r="Q769" s="1775"/>
      <c r="R769" s="1775"/>
      <c r="S769" s="1775"/>
      <c r="T769" s="1384" t="s">
        <v>1864</v>
      </c>
      <c r="U769" s="1385"/>
      <c r="V769" s="1385"/>
      <c r="W769" s="1386"/>
      <c r="X769" s="1579" t="s">
        <v>455</v>
      </c>
      <c r="Y769" s="1370"/>
      <c r="Z769" s="1370"/>
      <c r="AA769" s="1370"/>
      <c r="AB769" s="1371"/>
      <c r="AC769" s="1579"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75"/>
      <c r="P770" s="1775"/>
      <c r="Q770" s="1775"/>
      <c r="R770" s="1775"/>
      <c r="S770" s="1775"/>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75"/>
      <c r="P771" s="1775"/>
      <c r="Q771" s="1775"/>
      <c r="R771" s="1775"/>
      <c r="S771" s="1775"/>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75"/>
      <c r="P772" s="1775"/>
      <c r="Q772" s="1775"/>
      <c r="R772" s="1775"/>
      <c r="S772" s="1775"/>
      <c r="T772" s="1603"/>
      <c r="U772" s="1604"/>
      <c r="V772" s="1604"/>
      <c r="W772" s="160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164</v>
      </c>
      <c r="K773" s="1358"/>
      <c r="L773" s="1358"/>
      <c r="M773" s="1358"/>
      <c r="N773" s="1359"/>
      <c r="O773" s="1467">
        <v>1</v>
      </c>
      <c r="P773" s="1467"/>
      <c r="Q773" s="1467"/>
      <c r="R773" s="1467"/>
      <c r="S773" s="1467"/>
      <c r="T773" s="1574">
        <v>1280</v>
      </c>
      <c r="U773" s="1575"/>
      <c r="V773" s="1575"/>
      <c r="W773" s="1576"/>
      <c r="X773" s="1378">
        <v>2254</v>
      </c>
      <c r="Y773" s="1379"/>
      <c r="Z773" s="1379"/>
      <c r="AA773" s="1379"/>
      <c r="AB773" s="1380"/>
      <c r="AC773" s="1360">
        <f>X773*O773</f>
        <v>2254</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67"/>
      <c r="P774" s="1467"/>
      <c r="Q774" s="1467"/>
      <c r="R774" s="1467"/>
      <c r="S774" s="1467"/>
      <c r="T774" s="1574"/>
      <c r="U774" s="1575"/>
      <c r="V774" s="1575"/>
      <c r="W774" s="1576"/>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67"/>
      <c r="P775" s="1467"/>
      <c r="Q775" s="1467"/>
      <c r="R775" s="1467"/>
      <c r="S775" s="1467"/>
      <c r="T775" s="1574"/>
      <c r="U775" s="1575"/>
      <c r="V775" s="1575"/>
      <c r="W775" s="1576"/>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67"/>
      <c r="P776" s="1467"/>
      <c r="Q776" s="1467"/>
      <c r="R776" s="1467"/>
      <c r="S776" s="1467"/>
      <c r="T776" s="1574"/>
      <c r="U776" s="1575"/>
      <c r="V776" s="1575"/>
      <c r="W776" s="1576"/>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5" t="s">
        <v>125</v>
      </c>
      <c r="K777" s="1596"/>
      <c r="L777" s="1596"/>
      <c r="M777" s="1596"/>
      <c r="N777" s="1597"/>
      <c r="O777" s="1393">
        <f>SUM(O773:S776)</f>
        <v>1</v>
      </c>
      <c r="P777" s="1512"/>
      <c r="Q777" s="1512"/>
      <c r="R777" s="1512"/>
      <c r="S777" s="1394"/>
      <c r="X777" s="1595" t="s">
        <v>124</v>
      </c>
      <c r="Y777" s="1596"/>
      <c r="Z777" s="1596"/>
      <c r="AA777" s="1596"/>
      <c r="AB777" s="1597"/>
      <c r="AC777" s="1360">
        <f>SUM(AC773:AG776)</f>
        <v>2254</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676</v>
      </c>
      <c r="K779" s="1417"/>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9" t="s">
        <v>390</v>
      </c>
      <c r="K783" s="1370"/>
      <c r="L783" s="1370"/>
      <c r="M783" s="1370"/>
      <c r="N783" s="1371"/>
      <c r="O783" s="1775" t="s">
        <v>286</v>
      </c>
      <c r="P783" s="1775"/>
      <c r="Q783" s="1775"/>
      <c r="R783" s="1775"/>
      <c r="S783" s="1775"/>
      <c r="T783" s="1384" t="s">
        <v>1864</v>
      </c>
      <c r="U783" s="1385"/>
      <c r="V783" s="1385"/>
      <c r="W783" s="1386"/>
      <c r="X783" s="1579" t="s">
        <v>455</v>
      </c>
      <c r="Y783" s="1370"/>
      <c r="Z783" s="1370"/>
      <c r="AA783" s="1370"/>
      <c r="AB783" s="1371"/>
      <c r="AC783" s="1579"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75"/>
      <c r="P784" s="1775"/>
      <c r="Q784" s="1775"/>
      <c r="R784" s="1775"/>
      <c r="S784" s="1775"/>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75"/>
      <c r="P785" s="1775"/>
      <c r="Q785" s="1775"/>
      <c r="R785" s="1775"/>
      <c r="S785" s="1775"/>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75"/>
      <c r="P786" s="1775"/>
      <c r="Q786" s="1775"/>
      <c r="R786" s="1775"/>
      <c r="S786" s="1775"/>
      <c r="T786" s="1603"/>
      <c r="U786" s="1604"/>
      <c r="V786" s="1604"/>
      <c r="W786" s="160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67"/>
      <c r="P787" s="1467"/>
      <c r="Q787" s="1467"/>
      <c r="R787" s="1467"/>
      <c r="S787" s="1467"/>
      <c r="T787" s="1574"/>
      <c r="U787" s="1575"/>
      <c r="V787" s="1575"/>
      <c r="W787" s="1576"/>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67"/>
      <c r="P788" s="1467"/>
      <c r="Q788" s="1467"/>
      <c r="R788" s="1467"/>
      <c r="S788" s="1467"/>
      <c r="T788" s="1574"/>
      <c r="U788" s="1575"/>
      <c r="V788" s="1575"/>
      <c r="W788" s="1576"/>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67"/>
      <c r="P789" s="1467"/>
      <c r="Q789" s="1467"/>
      <c r="R789" s="1467"/>
      <c r="S789" s="1467"/>
      <c r="T789" s="1574"/>
      <c r="U789" s="1575"/>
      <c r="V789" s="1575"/>
      <c r="W789" s="1576"/>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67"/>
      <c r="P790" s="1467"/>
      <c r="Q790" s="1467"/>
      <c r="R790" s="1467"/>
      <c r="S790" s="1467"/>
      <c r="T790" s="1574"/>
      <c r="U790" s="1575"/>
      <c r="V790" s="1575"/>
      <c r="W790" s="1576"/>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67"/>
      <c r="P791" s="1467"/>
      <c r="Q791" s="1467"/>
      <c r="R791" s="1467"/>
      <c r="S791" s="1467"/>
      <c r="T791" s="1574"/>
      <c r="U791" s="1575"/>
      <c r="V791" s="1575"/>
      <c r="W791" s="1576"/>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67"/>
      <c r="P792" s="1467"/>
      <c r="Q792" s="1467"/>
      <c r="R792" s="1467"/>
      <c r="S792" s="1467"/>
      <c r="T792" s="1574"/>
      <c r="U792" s="1575"/>
      <c r="V792" s="1575"/>
      <c r="W792" s="1576"/>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67"/>
      <c r="P793" s="1467"/>
      <c r="Q793" s="1467"/>
      <c r="R793" s="1467"/>
      <c r="S793" s="1467"/>
      <c r="T793" s="1574"/>
      <c r="U793" s="1575"/>
      <c r="V793" s="1575"/>
      <c r="W793" s="1576"/>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67"/>
      <c r="P794" s="1467"/>
      <c r="Q794" s="1467"/>
      <c r="R794" s="1467"/>
      <c r="S794" s="1467"/>
      <c r="T794" s="1574"/>
      <c r="U794" s="1575"/>
      <c r="V794" s="1575"/>
      <c r="W794" s="1576"/>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67"/>
      <c r="P795" s="1467"/>
      <c r="Q795" s="1467"/>
      <c r="R795" s="1467"/>
      <c r="S795" s="1467"/>
      <c r="T795" s="1574"/>
      <c r="U795" s="1575"/>
      <c r="V795" s="1575"/>
      <c r="W795" s="1576"/>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67"/>
      <c r="P796" s="1467"/>
      <c r="Q796" s="1467"/>
      <c r="R796" s="1467"/>
      <c r="S796" s="1467"/>
      <c r="T796" s="1574"/>
      <c r="U796" s="1575"/>
      <c r="V796" s="1575"/>
      <c r="W796" s="1576"/>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38" t="s">
        <v>477</v>
      </c>
      <c r="BO796" s="1739"/>
      <c r="BP796" s="3"/>
      <c r="BQ796" s="3"/>
      <c r="BR796" s="3"/>
      <c r="BS796" s="14" t="s">
        <v>641</v>
      </c>
      <c r="BT796" s="14"/>
      <c r="BU796" s="14"/>
      <c r="BV796" s="14"/>
      <c r="BW796" s="14"/>
      <c r="BX796" s="14"/>
      <c r="BY796" s="14"/>
      <c r="BZ796" s="14"/>
      <c r="CA796" s="14"/>
      <c r="CB796" s="1735" t="str">
        <f>T189</f>
        <v>San Diego</v>
      </c>
      <c r="CC796" s="1736"/>
      <c r="CD796" s="1736"/>
      <c r="CE796" s="1736"/>
      <c r="CF796" s="1736"/>
      <c r="CG796" s="1736"/>
      <c r="CH796" s="173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129675</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1556100</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468</v>
      </c>
      <c r="BU805" s="14"/>
      <c r="BV805" s="14"/>
      <c r="BW805" s="71" t="s">
        <v>640</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7">
        <v>70</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v>52290</v>
      </c>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572568</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v>0</v>
      </c>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v>0</v>
      </c>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2736</v>
      </c>
      <c r="Q816" s="1619"/>
      <c r="R816" s="1619"/>
      <c r="S816" s="1619"/>
      <c r="T816" s="1619"/>
      <c r="U816" s="1619"/>
      <c r="V816" s="1619"/>
      <c r="W816" s="1619"/>
      <c r="X816" s="1619"/>
      <c r="Y816" s="1620"/>
      <c r="Z816" s="1581">
        <v>1250</v>
      </c>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1250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90">
        <f>Z817+Y801+Z809</f>
        <v>2129918</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6" t="s">
        <v>126</v>
      </c>
      <c r="N823" s="1746"/>
      <c r="O823" s="1746"/>
      <c r="P823" s="1770"/>
      <c r="Q823" s="1599" t="s">
        <v>291</v>
      </c>
      <c r="R823" s="1599"/>
      <c r="S823" s="1599"/>
      <c r="T823" s="1599"/>
      <c r="U823" s="1599" t="s">
        <v>292</v>
      </c>
      <c r="V823" s="1599"/>
      <c r="W823" s="1599"/>
      <c r="X823" s="1599"/>
      <c r="Y823" s="1599" t="s">
        <v>293</v>
      </c>
      <c r="Z823" s="1599"/>
      <c r="AA823" s="1599"/>
      <c r="AB823" s="1599"/>
      <c r="AC823" s="1599" t="s">
        <v>362</v>
      </c>
      <c r="AD823" s="1599"/>
      <c r="AE823" s="1599"/>
      <c r="AF823" s="1599"/>
      <c r="AG823" s="1608" t="s">
        <v>336</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0"/>
      <c r="N824" s="1750"/>
      <c r="O824" s="1750"/>
      <c r="P824" s="1755"/>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11"/>
      <c r="E825" s="1511"/>
      <c r="F825" s="1511"/>
      <c r="G825" s="1511"/>
      <c r="H825" s="1511"/>
      <c r="I825" s="48"/>
      <c r="J825" s="48"/>
      <c r="K825" s="48"/>
      <c r="L825" s="49"/>
      <c r="M825" s="1594"/>
      <c r="N825" s="1594"/>
      <c r="O825" s="1594"/>
      <c r="P825" s="1594"/>
      <c r="Q825" s="1594"/>
      <c r="R825" s="1594"/>
      <c r="S825" s="1594"/>
      <c r="T825" s="1594"/>
      <c r="U825" s="1594"/>
      <c r="V825" s="1594"/>
      <c r="W825" s="1594"/>
      <c r="X825" s="1594"/>
      <c r="Y825" s="1594"/>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1" t="s">
        <v>41</v>
      </c>
      <c r="D826" s="1406"/>
      <c r="E826" s="1406"/>
      <c r="F826" s="1406"/>
      <c r="G826" s="1406"/>
      <c r="H826" s="1406"/>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1" t="s">
        <v>42</v>
      </c>
      <c r="D827" s="1406"/>
      <c r="E827" s="1406"/>
      <c r="F827" s="1406"/>
      <c r="G827" s="1406"/>
      <c r="H827" s="1406"/>
      <c r="I827" s="60"/>
      <c r="J827" s="60"/>
      <c r="K827" s="60"/>
      <c r="L827" s="61"/>
      <c r="M827" s="1594"/>
      <c r="N827" s="1594"/>
      <c r="O827" s="1594"/>
      <c r="P827" s="1594"/>
      <c r="Q827" s="1594"/>
      <c r="R827" s="1594"/>
      <c r="S827" s="1594"/>
      <c r="T827" s="1594"/>
      <c r="U827" s="1594"/>
      <c r="V827" s="1594"/>
      <c r="W827" s="1594"/>
      <c r="X827" s="1594"/>
      <c r="Y827" s="1594"/>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1" t="s">
        <v>770</v>
      </c>
      <c r="D828" s="1406"/>
      <c r="E828" s="1406"/>
      <c r="F828" s="1406"/>
      <c r="G828" s="1406"/>
      <c r="H828" s="140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1" t="s">
        <v>467</v>
      </c>
      <c r="D829" s="1406"/>
      <c r="E829" s="1406"/>
      <c r="F829" s="1406"/>
      <c r="G829" s="1406"/>
      <c r="H829" s="1406"/>
      <c r="I829" s="60"/>
      <c r="J829" s="60"/>
      <c r="K829" s="60"/>
      <c r="L829" s="61"/>
      <c r="M829" s="1594"/>
      <c r="N829" s="1594"/>
      <c r="O829" s="1594"/>
      <c r="P829" s="1594"/>
      <c r="Q829" s="1594"/>
      <c r="R829" s="1594"/>
      <c r="S829" s="1594"/>
      <c r="T829" s="1594"/>
      <c r="U829" s="1594"/>
      <c r="V829" s="1594"/>
      <c r="W829" s="1594"/>
      <c r="X829" s="1594"/>
      <c r="Y829" s="1594"/>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6" t="s">
        <v>791</v>
      </c>
      <c r="D830" s="1406"/>
      <c r="E830" s="1406"/>
      <c r="F830" s="1406"/>
      <c r="G830" s="1406"/>
      <c r="H830" s="1406"/>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2729</v>
      </c>
      <c r="G831" s="1619"/>
      <c r="H831" s="1619"/>
      <c r="I831" s="1619"/>
      <c r="J831" s="1619"/>
      <c r="K831" s="1619"/>
      <c r="L831" s="1619"/>
      <c r="M831" s="1594"/>
      <c r="N831" s="1594"/>
      <c r="O831" s="1594"/>
      <c r="P831" s="1594"/>
      <c r="Q831" s="1594">
        <v>38</v>
      </c>
      <c r="R831" s="1594"/>
      <c r="S831" s="1594"/>
      <c r="T831" s="1594"/>
      <c r="U831" s="1594">
        <v>47</v>
      </c>
      <c r="V831" s="1594"/>
      <c r="W831" s="1594"/>
      <c r="X831" s="1594"/>
      <c r="Y831" s="1594">
        <v>110</v>
      </c>
      <c r="Z831" s="1594"/>
      <c r="AA831" s="1594"/>
      <c r="AB831" s="1594"/>
      <c r="AC831" s="1586">
        <v>96</v>
      </c>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5" t="s">
        <v>124</v>
      </c>
      <c r="D832" s="1596"/>
      <c r="E832" s="1596"/>
      <c r="F832" s="1596"/>
      <c r="G832" s="1596"/>
      <c r="H832" s="1596"/>
      <c r="I832" s="1596"/>
      <c r="J832" s="1596"/>
      <c r="K832" s="1596"/>
      <c r="L832" s="1597"/>
      <c r="M832" s="1612">
        <f>SUM(M825:P831)</f>
        <v>0</v>
      </c>
      <c r="N832" s="1612"/>
      <c r="O832" s="1612"/>
      <c r="P832" s="1612"/>
      <c r="Q832" s="1612">
        <f>SUM(Q825:T831)</f>
        <v>38</v>
      </c>
      <c r="R832" s="1612"/>
      <c r="S832" s="1612"/>
      <c r="T832" s="1612"/>
      <c r="U832" s="1612">
        <f>SUM(U825:X831)</f>
        <v>47</v>
      </c>
      <c r="V832" s="1612"/>
      <c r="W832" s="1612"/>
      <c r="X832" s="1612"/>
      <c r="Y832" s="1612">
        <f>SUM(Y825:AB831)</f>
        <v>110</v>
      </c>
      <c r="Z832" s="1612"/>
      <c r="AA832" s="1612"/>
      <c r="AB832" s="1612"/>
      <c r="AC832" s="1612">
        <f>SUM(AC825:AF831)</f>
        <v>96</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2" t="s">
        <v>2735</v>
      </c>
      <c r="D837" s="1733"/>
      <c r="E837" s="1733"/>
      <c r="F837" s="1733"/>
      <c r="G837" s="1733"/>
      <c r="H837" s="1733"/>
      <c r="I837" s="1733"/>
      <c r="J837" s="1733"/>
      <c r="K837" s="1733"/>
      <c r="L837" s="1733"/>
      <c r="M837" s="1733"/>
      <c r="N837" s="1733"/>
      <c r="O837" s="1733"/>
      <c r="P837" s="1733"/>
      <c r="Q837" s="1733"/>
      <c r="R837" s="1733"/>
      <c r="S837" s="1733"/>
      <c r="T837" s="1733"/>
      <c r="U837" s="1733"/>
      <c r="V837" s="1733"/>
      <c r="W837" s="1733"/>
      <c r="X837" s="1733"/>
      <c r="Y837" s="1733"/>
      <c r="Z837" s="1733"/>
      <c r="AA837" s="1733"/>
      <c r="AB837" s="1733"/>
      <c r="AC837" s="1733"/>
      <c r="AD837" s="1733"/>
      <c r="AE837" s="1733"/>
      <c r="AF837" s="1733"/>
      <c r="AG837" s="1733"/>
      <c r="AH837" s="1733"/>
      <c r="AI837" s="1733"/>
      <c r="AJ837" s="173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3">
        <v>1500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3">
        <v>1000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3">
        <v>5250</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3">
        <v>0</v>
      </c>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2737</v>
      </c>
      <c r="N846" s="1619"/>
      <c r="O846" s="1619"/>
      <c r="P846" s="1619"/>
      <c r="Q846" s="1619"/>
      <c r="R846" s="1619"/>
      <c r="S846" s="1619"/>
      <c r="T846" s="1619"/>
      <c r="U846" s="1619"/>
      <c r="V846" s="1620"/>
      <c r="W846" s="1613">
        <f>7500+15000+15000</f>
        <v>37500</v>
      </c>
      <c r="X846" s="1613"/>
      <c r="Y846" s="1613"/>
      <c r="Z846" s="1613"/>
      <c r="AA846" s="1613"/>
      <c r="AB846" s="1613"/>
      <c r="AC846" s="161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0">
        <f>SUM(W842:AC846)</f>
        <v>45250</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5" t="s">
        <v>346</v>
      </c>
      <c r="K849" s="1596"/>
      <c r="L849" s="1596"/>
      <c r="M849" s="1596"/>
      <c r="N849" s="1596"/>
      <c r="O849" s="1596"/>
      <c r="P849" s="1596"/>
      <c r="Q849" s="1596"/>
      <c r="R849" s="1596"/>
      <c r="S849" s="1596"/>
      <c r="T849" s="1596"/>
      <c r="U849" s="1596"/>
      <c r="V849" s="1597"/>
      <c r="W849" s="1581">
        <v>57120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07"/>
      <c r="X851" s="1607"/>
      <c r="Y851" s="1607"/>
      <c r="Z851" s="1607"/>
      <c r="AA851" s="1607"/>
      <c r="AB851" s="1607"/>
      <c r="AC851" s="1607"/>
      <c r="AZ851" s="1621">
        <f>SUM(AZ818:AZ846)</f>
        <v>0</v>
      </c>
      <c r="BA851" s="1621"/>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7"/>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7">
        <v>44269</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7">
        <f>48648+52790</f>
        <v>101438</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91">
        <f>SUM(W851:AC854)</f>
        <v>145707</v>
      </c>
      <c r="X855" s="1691"/>
      <c r="Y855" s="1691"/>
      <c r="Z855" s="1691"/>
      <c r="AA855" s="1691"/>
      <c r="AB855" s="1691"/>
      <c r="AC855" s="169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4">
        <v>96096</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1764</v>
      </c>
      <c r="K858" s="5"/>
      <c r="L858" s="5"/>
      <c r="M858" s="5"/>
      <c r="N858" s="5"/>
      <c r="O858" s="5"/>
      <c r="P858" s="5"/>
      <c r="Q858" s="5"/>
      <c r="R858" s="5"/>
      <c r="S858" s="5"/>
      <c r="T858" s="1623">
        <v>3</v>
      </c>
      <c r="U858" s="1577"/>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4">
        <v>54600</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1765</v>
      </c>
      <c r="K860" s="5"/>
      <c r="L860" s="5"/>
      <c r="M860" s="5"/>
      <c r="N860" s="5"/>
      <c r="O860" s="5"/>
      <c r="P860" s="5"/>
      <c r="Q860" s="5"/>
      <c r="R860" s="5"/>
      <c r="S860" s="5"/>
      <c r="T860" s="1623">
        <v>1</v>
      </c>
      <c r="U860" s="1577"/>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2738</v>
      </c>
      <c r="N861" s="1619"/>
      <c r="O861" s="1619"/>
      <c r="P861" s="1619"/>
      <c r="Q861" s="1619"/>
      <c r="R861" s="1619"/>
      <c r="S861" s="1619"/>
      <c r="T861" s="1619"/>
      <c r="U861" s="1619"/>
      <c r="V861" s="1620"/>
      <c r="W861" s="1614">
        <f>20810+26870+1500</f>
        <v>49180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5">
        <f>SUM(W857:AC861)</f>
        <v>199876</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4">
        <v>100000</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3">
        <v>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3">
        <f>2000+21000+14000</f>
        <v>37000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3">
        <v>28877</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3">
        <v>5000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3">
        <v>40000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3">
        <v>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2739</v>
      </c>
      <c r="N871" s="1619"/>
      <c r="O871" s="1619"/>
      <c r="P871" s="1619"/>
      <c r="Q871" s="1619"/>
      <c r="R871" s="1619"/>
      <c r="S871" s="1619"/>
      <c r="T871" s="1619"/>
      <c r="U871" s="1619"/>
      <c r="V871" s="1620"/>
      <c r="W871" s="1613">
        <v>5000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9">
        <f>SUM(W865:AC871)</f>
        <v>115877</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618" t="s">
        <v>2740</v>
      </c>
      <c r="N874" s="1619"/>
      <c r="O874" s="1619"/>
      <c r="P874" s="1619"/>
      <c r="Q874" s="1619"/>
      <c r="R874" s="1619"/>
      <c r="S874" s="1619"/>
      <c r="T874" s="1619"/>
      <c r="U874" s="1619"/>
      <c r="V874" s="1620"/>
      <c r="W874" s="1581">
        <v>8850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618"/>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0">
        <f>SUM(W874:AC878)</f>
        <v>8850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672680</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6">
        <f>O797+O777+G753</f>
        <v>70</v>
      </c>
      <c r="AD884" s="1686"/>
      <c r="AE884" s="1686"/>
      <c r="AF884" s="1686"/>
      <c r="AG884" s="1686"/>
      <c r="AH884" s="168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589">
        <f>IF(ISERROR((ROUNDDOWN(AC883/AC884,0))),0,(ROUNDDOWN(AC883/AC884,0)))</f>
        <v>9609</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95">
        <v>463184</v>
      </c>
      <c r="AD886" s="1696"/>
      <c r="AE886" s="1696"/>
      <c r="AF886" s="1696"/>
      <c r="AG886" s="1696"/>
      <c r="AH886" s="169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2">
        <v>19300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21000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586"/>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1766</v>
      </c>
      <c r="AC892" s="1582">
        <v>11625</v>
      </c>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974</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3"/>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974</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3" t="s">
        <v>96</v>
      </c>
      <c r="B909" s="1543"/>
      <c r="C909" s="1543"/>
      <c r="D909" s="1543"/>
      <c r="E909" s="1543"/>
      <c r="F909" s="1543"/>
      <c r="G909" s="1543"/>
      <c r="H909" s="1543"/>
      <c r="I909" s="1543"/>
      <c r="J909" s="1543"/>
      <c r="K909" s="1543"/>
      <c r="L909" s="1543"/>
      <c r="M909" s="1543"/>
      <c r="N909" s="1543"/>
      <c r="O909" s="1543"/>
      <c r="P909" s="1543"/>
      <c r="Q909" s="1543"/>
      <c r="R909" s="1543"/>
      <c r="S909" s="1543"/>
      <c r="T909" s="1543"/>
      <c r="U909" s="1543"/>
      <c r="V909" s="1543"/>
      <c r="W909" s="1543"/>
      <c r="X909" s="1543"/>
      <c r="Y909" s="1543"/>
      <c r="Z909" s="1543"/>
      <c r="AA909" s="1543"/>
      <c r="AB909" s="1543"/>
      <c r="AC909" s="1543"/>
      <c r="AD909" s="1543"/>
      <c r="AE909" s="1543"/>
      <c r="AF909" s="1543"/>
      <c r="AG909" s="1543"/>
      <c r="AH909" s="1543"/>
      <c r="AI909" s="1543"/>
      <c r="AJ909" s="1543"/>
      <c r="AK909" s="1543"/>
      <c r="AL909" s="1543"/>
      <c r="AM909" s="1543"/>
      <c r="AN909" s="1543"/>
      <c r="AO909" s="1543"/>
      <c r="AP909" s="1543"/>
      <c r="AQ909" s="1543"/>
      <c r="AR909" s="1543"/>
      <c r="AS909" s="1543"/>
      <c r="AT909" s="1543"/>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3"/>
      <c r="B910" s="1543"/>
      <c r="C910" s="1543"/>
      <c r="D910" s="1543"/>
      <c r="E910" s="1543"/>
      <c r="F910" s="1543"/>
      <c r="G910" s="1543"/>
      <c r="H910" s="1543"/>
      <c r="I910" s="1543"/>
      <c r="J910" s="1543"/>
      <c r="K910" s="1543"/>
      <c r="L910" s="1543"/>
      <c r="M910" s="1543"/>
      <c r="N910" s="1543"/>
      <c r="O910" s="1543"/>
      <c r="P910" s="1543"/>
      <c r="Q910" s="1543"/>
      <c r="R910" s="1543"/>
      <c r="S910" s="1543"/>
      <c r="T910" s="1543"/>
      <c r="U910" s="1543"/>
      <c r="V910" s="1543"/>
      <c r="W910" s="1543"/>
      <c r="X910" s="1543"/>
      <c r="Y910" s="1543"/>
      <c r="Z910" s="1543"/>
      <c r="AA910" s="1543"/>
      <c r="AB910" s="1543"/>
      <c r="AC910" s="1543"/>
      <c r="AD910" s="1543"/>
      <c r="AE910" s="1543"/>
      <c r="AF910" s="1543"/>
      <c r="AG910" s="1543"/>
      <c r="AH910" s="1543"/>
      <c r="AI910" s="1543"/>
      <c r="AJ910" s="1543"/>
      <c r="AK910" s="1543"/>
      <c r="AL910" s="1543"/>
      <c r="AM910" s="1543"/>
      <c r="AN910" s="1543"/>
      <c r="AO910" s="1543"/>
      <c r="AP910" s="1543"/>
      <c r="AQ910" s="1543"/>
      <c r="AR910" s="1543"/>
      <c r="AS910" s="1543"/>
      <c r="AT910" s="15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0" t="s">
        <v>800</v>
      </c>
      <c r="G914" s="1831"/>
      <c r="H914" s="1831"/>
      <c r="I914" s="1831"/>
      <c r="J914" s="1831"/>
      <c r="K914" s="1831"/>
      <c r="L914" s="1831"/>
      <c r="M914" s="1831"/>
      <c r="N914" s="1831"/>
      <c r="O914" s="1831"/>
      <c r="P914" s="1831"/>
      <c r="Q914" s="1831"/>
      <c r="R914" s="1831"/>
      <c r="S914" s="1831"/>
      <c r="T914" s="1832"/>
      <c r="U914" s="1745" t="s">
        <v>31</v>
      </c>
      <c r="V914" s="1746"/>
      <c r="W914" s="1746"/>
      <c r="X914" s="1746"/>
      <c r="Y914" s="1746"/>
      <c r="Z914" s="17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7" t="s">
        <v>826</v>
      </c>
      <c r="G915" s="1748"/>
      <c r="H915" s="1748"/>
      <c r="I915" s="1748"/>
      <c r="J915" s="1748"/>
      <c r="K915" s="1748"/>
      <c r="L915" s="1748"/>
      <c r="M915" s="1748"/>
      <c r="N915" s="1748"/>
      <c r="O915" s="1748"/>
      <c r="P915" s="1748"/>
      <c r="Q915" s="1748"/>
      <c r="R915" s="1748"/>
      <c r="S915" s="1748"/>
      <c r="T915" s="1754"/>
      <c r="U915" s="1747"/>
      <c r="V915" s="1748"/>
      <c r="W915" s="1748"/>
      <c r="X915" s="1748"/>
      <c r="Y915" s="1748"/>
      <c r="Z915" s="174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9"/>
      <c r="G916" s="1750"/>
      <c r="H916" s="1750"/>
      <c r="I916" s="1750"/>
      <c r="J916" s="1750"/>
      <c r="K916" s="1750"/>
      <c r="L916" s="1750"/>
      <c r="M916" s="1750"/>
      <c r="N916" s="1750"/>
      <c r="O916" s="1750"/>
      <c r="P916" s="1750"/>
      <c r="Q916" s="1750"/>
      <c r="R916" s="1750"/>
      <c r="S916" s="1750"/>
      <c r="T916" s="1755"/>
      <c r="U916" s="1749"/>
      <c r="V916" s="1750"/>
      <c r="W916" s="1750"/>
      <c r="X916" s="1750"/>
      <c r="Y916" s="1750"/>
      <c r="Z916" s="1750"/>
      <c r="AA916" s="108"/>
      <c r="AB916" s="1481" t="s">
        <v>392</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28" t="s">
        <v>553</v>
      </c>
      <c r="V917" s="1421"/>
      <c r="W917" s="1421"/>
      <c r="X917" s="1421"/>
      <c r="Y917" s="1421"/>
      <c r="Z917" s="1422"/>
      <c r="AA917" s="1629">
        <v>15250000</v>
      </c>
      <c r="AB917" s="1529"/>
      <c r="AC917" s="1529"/>
      <c r="AD917" s="1529"/>
      <c r="AE917" s="1529"/>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28" t="s">
        <v>553</v>
      </c>
      <c r="V918" s="1421"/>
      <c r="W918" s="1421"/>
      <c r="X918" s="1421"/>
      <c r="Y918" s="1421"/>
      <c r="Z918" s="1422"/>
      <c r="AA918" s="1629">
        <v>2450000</v>
      </c>
      <c r="AB918" s="1529"/>
      <c r="AC918" s="1529"/>
      <c r="AD918" s="1529"/>
      <c r="AE918" s="1529"/>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28" t="s">
        <v>599</v>
      </c>
      <c r="V919" s="1421"/>
      <c r="W919" s="1421"/>
      <c r="X919" s="1421"/>
      <c r="Y919" s="1421"/>
      <c r="Z919" s="1422"/>
      <c r="AA919" s="1629"/>
      <c r="AB919" s="1529"/>
      <c r="AC919" s="1529"/>
      <c r="AD919" s="1529"/>
      <c r="AE919" s="1529"/>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28" t="s">
        <v>599</v>
      </c>
      <c r="V920" s="1421"/>
      <c r="W920" s="1421"/>
      <c r="X920" s="1421"/>
      <c r="Y920" s="1421"/>
      <c r="Z920" s="1422"/>
      <c r="AA920" s="1629"/>
      <c r="AB920" s="1529"/>
      <c r="AC920" s="1529"/>
      <c r="AD920" s="1529"/>
      <c r="AE920" s="1529"/>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28" t="s">
        <v>599</v>
      </c>
      <c r="V921" s="1421"/>
      <c r="W921" s="1421"/>
      <c r="X921" s="1421"/>
      <c r="Y921" s="1421"/>
      <c r="Z921" s="1422"/>
      <c r="AA921" s="1629"/>
      <c r="AB921" s="1529"/>
      <c r="AC921" s="1529"/>
      <c r="AD921" s="1529"/>
      <c r="AE921" s="1529"/>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28" t="s">
        <v>599</v>
      </c>
      <c r="V922" s="1421"/>
      <c r="W922" s="1421"/>
      <c r="X922" s="1421"/>
      <c r="Y922" s="1421"/>
      <c r="Z922" s="1422"/>
      <c r="AA922" s="1629"/>
      <c r="AB922" s="1529"/>
      <c r="AC922" s="1529"/>
      <c r="AD922" s="1529"/>
      <c r="AE922" s="1529"/>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28" t="s">
        <v>599</v>
      </c>
      <c r="V923" s="1421"/>
      <c r="W923" s="1421"/>
      <c r="X923" s="1421"/>
      <c r="Y923" s="1421"/>
      <c r="Z923" s="1422"/>
      <c r="AA923" s="1629"/>
      <c r="AB923" s="1529"/>
      <c r="AC923" s="1529"/>
      <c r="AD923" s="1529"/>
      <c r="AE923" s="1529"/>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28" t="s">
        <v>599</v>
      </c>
      <c r="V924" s="1421"/>
      <c r="W924" s="1421"/>
      <c r="X924" s="1421"/>
      <c r="Y924" s="1421"/>
      <c r="Z924" s="1422"/>
      <c r="AA924" s="1629"/>
      <c r="AB924" s="1529"/>
      <c r="AC924" s="1529"/>
      <c r="AD924" s="1529"/>
      <c r="AE924" s="1529"/>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2551</v>
      </c>
      <c r="G925" s="1632"/>
      <c r="H925" s="1632"/>
      <c r="I925" s="1632"/>
      <c r="J925" s="1632"/>
      <c r="K925" s="1632"/>
      <c r="L925" s="1632"/>
      <c r="M925" s="1632"/>
      <c r="N925" s="1632"/>
      <c r="O925" s="1632"/>
      <c r="P925" s="1632"/>
      <c r="Q925" s="1632"/>
      <c r="R925" s="1632"/>
      <c r="S925" s="1632"/>
      <c r="T925" s="1633"/>
      <c r="U925" s="1628" t="s">
        <v>599</v>
      </c>
      <c r="V925" s="1421"/>
      <c r="W925" s="1421"/>
      <c r="X925" s="1421"/>
      <c r="Y925" s="1421"/>
      <c r="Z925" s="1422"/>
      <c r="AA925" s="1629"/>
      <c r="AB925" s="1529"/>
      <c r="AC925" s="1529"/>
      <c r="AD925" s="1529"/>
      <c r="AE925" s="1529"/>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686</v>
      </c>
      <c r="G926" s="1632"/>
      <c r="H926" s="1632"/>
      <c r="I926" s="1632"/>
      <c r="J926" s="1632"/>
      <c r="K926" s="1632"/>
      <c r="L926" s="1632"/>
      <c r="M926" s="1632"/>
      <c r="N926" s="1632"/>
      <c r="O926" s="1632"/>
      <c r="P926" s="1632"/>
      <c r="Q926" s="1632"/>
      <c r="R926" s="1632"/>
      <c r="S926" s="1632"/>
      <c r="T926" s="1633"/>
      <c r="U926" s="1628" t="s">
        <v>599</v>
      </c>
      <c r="V926" s="1421"/>
      <c r="W926" s="1421"/>
      <c r="X926" s="1421"/>
      <c r="Y926" s="1421"/>
      <c r="Z926" s="1422"/>
      <c r="AA926" s="1629"/>
      <c r="AB926" s="1529"/>
      <c r="AC926" s="1529"/>
      <c r="AD926" s="1529"/>
      <c r="AE926" s="1529"/>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2552</v>
      </c>
      <c r="G927" s="1632"/>
      <c r="H927" s="1632"/>
      <c r="I927" s="1632"/>
      <c r="J927" s="1632"/>
      <c r="K927" s="1632"/>
      <c r="L927" s="1632"/>
      <c r="M927" s="1632"/>
      <c r="N927" s="1632"/>
      <c r="O927" s="1632"/>
      <c r="P927" s="1632"/>
      <c r="Q927" s="1632"/>
      <c r="R927" s="1632"/>
      <c r="S927" s="1632"/>
      <c r="T927" s="1633"/>
      <c r="U927" s="1628" t="s">
        <v>599</v>
      </c>
      <c r="V927" s="1421"/>
      <c r="W927" s="1421"/>
      <c r="X927" s="1421"/>
      <c r="Y927" s="1421"/>
      <c r="Z927" s="1422"/>
      <c r="AA927" s="1629"/>
      <c r="AB927" s="1529"/>
      <c r="AC927" s="1529"/>
      <c r="AD927" s="1529"/>
      <c r="AE927" s="1529"/>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2553</v>
      </c>
      <c r="G928" s="1632"/>
      <c r="H928" s="1632"/>
      <c r="I928" s="1632"/>
      <c r="J928" s="1632"/>
      <c r="K928" s="1632"/>
      <c r="L928" s="1632"/>
      <c r="M928" s="1632"/>
      <c r="N928" s="1632"/>
      <c r="O928" s="1632"/>
      <c r="P928" s="1632"/>
      <c r="Q928" s="1632"/>
      <c r="R928" s="1632"/>
      <c r="S928" s="1632"/>
      <c r="T928" s="1633"/>
      <c r="U928" s="1628" t="s">
        <v>599</v>
      </c>
      <c r="V928" s="1421"/>
      <c r="W928" s="1421"/>
      <c r="X928" s="1421"/>
      <c r="Y928" s="1421"/>
      <c r="Z928" s="1422"/>
      <c r="AA928" s="1629"/>
      <c r="AB928" s="1529"/>
      <c r="AC928" s="1529"/>
      <c r="AD928" s="1529"/>
      <c r="AE928" s="1529"/>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2554</v>
      </c>
      <c r="G929" s="1632"/>
      <c r="H929" s="1632"/>
      <c r="I929" s="1632"/>
      <c r="J929" s="1632"/>
      <c r="K929" s="1632"/>
      <c r="L929" s="1632"/>
      <c r="M929" s="1632"/>
      <c r="N929" s="1632"/>
      <c r="O929" s="1632"/>
      <c r="P929" s="1632"/>
      <c r="Q929" s="1632"/>
      <c r="R929" s="1632"/>
      <c r="S929" s="1632"/>
      <c r="T929" s="1633"/>
      <c r="U929" s="1628" t="s">
        <v>599</v>
      </c>
      <c r="V929" s="1421"/>
      <c r="W929" s="1421"/>
      <c r="X929" s="1421"/>
      <c r="Y929" s="1421"/>
      <c r="Z929" s="1422"/>
      <c r="AA929" s="1629"/>
      <c r="AB929" s="1529"/>
      <c r="AC929" s="1529"/>
      <c r="AD929" s="1529"/>
      <c r="AE929" s="1529"/>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2555</v>
      </c>
      <c r="G930" s="1632"/>
      <c r="H930" s="1632"/>
      <c r="I930" s="1632"/>
      <c r="J930" s="1632"/>
      <c r="K930" s="1632"/>
      <c r="L930" s="1632"/>
      <c r="M930" s="1632"/>
      <c r="N930" s="1632"/>
      <c r="O930" s="1632"/>
      <c r="P930" s="1632"/>
      <c r="Q930" s="1632"/>
      <c r="R930" s="1632"/>
      <c r="S930" s="1632"/>
      <c r="T930" s="1633"/>
      <c r="U930" s="1628" t="s">
        <v>599</v>
      </c>
      <c r="V930" s="1421"/>
      <c r="W930" s="1421"/>
      <c r="X930" s="1421"/>
      <c r="Y930" s="1421"/>
      <c r="Z930" s="1422"/>
      <c r="AA930" s="1629"/>
      <c r="AB930" s="1529"/>
      <c r="AC930" s="1529"/>
      <c r="AD930" s="1529"/>
      <c r="AE930" s="1529"/>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2556</v>
      </c>
      <c r="G931" s="1632"/>
      <c r="H931" s="1632"/>
      <c r="I931" s="1632"/>
      <c r="J931" s="1632"/>
      <c r="K931" s="1632"/>
      <c r="L931" s="1632"/>
      <c r="M931" s="1632"/>
      <c r="N931" s="1632"/>
      <c r="O931" s="1632"/>
      <c r="P931" s="1632"/>
      <c r="Q931" s="1632"/>
      <c r="R931" s="1632"/>
      <c r="S931" s="1632"/>
      <c r="T931" s="1633"/>
      <c r="U931" s="1628" t="s">
        <v>599</v>
      </c>
      <c r="V931" s="1421"/>
      <c r="W931" s="1421"/>
      <c r="X931" s="1421"/>
      <c r="Y931" s="1421"/>
      <c r="Z931" s="1422"/>
      <c r="AA931" s="1629"/>
      <c r="AB931" s="1529"/>
      <c r="AC931" s="1529"/>
      <c r="AD931" s="1529"/>
      <c r="AE931" s="1529"/>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28" t="s">
        <v>599</v>
      </c>
      <c r="V932" s="1421"/>
      <c r="W932" s="1421"/>
      <c r="X932" s="1421"/>
      <c r="Y932" s="1421"/>
      <c r="Z932" s="1422"/>
      <c r="AA932" s="1629"/>
      <c r="AB932" s="1529"/>
      <c r="AC932" s="1529"/>
      <c r="AD932" s="1529"/>
      <c r="AE932" s="1529"/>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1383</v>
      </c>
      <c r="G933" s="5"/>
      <c r="H933" s="5"/>
      <c r="I933" s="5"/>
      <c r="J933" s="5"/>
      <c r="K933" s="5"/>
      <c r="L933" s="5"/>
      <c r="M933" s="5"/>
      <c r="N933" s="5"/>
      <c r="O933" s="5"/>
      <c r="P933" s="5"/>
      <c r="Q933" s="5"/>
      <c r="R933" s="5"/>
      <c r="S933" s="5"/>
      <c r="T933" s="46"/>
      <c r="U933" s="1628" t="s">
        <v>599</v>
      </c>
      <c r="V933" s="1421"/>
      <c r="W933" s="1421"/>
      <c r="X933" s="1421"/>
      <c r="Y933" s="1421"/>
      <c r="Z933" s="1422"/>
      <c r="AA933" s="1629"/>
      <c r="AB933" s="1529"/>
      <c r="AC933" s="1529"/>
      <c r="AD933" s="1529"/>
      <c r="AE933" s="1529"/>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28" t="s">
        <v>599</v>
      </c>
      <c r="V934" s="1421"/>
      <c r="W934" s="1421"/>
      <c r="X934" s="1421"/>
      <c r="Y934" s="1421"/>
      <c r="Z934" s="1422"/>
      <c r="AA934" s="1629"/>
      <c r="AB934" s="1529"/>
      <c r="AC934" s="1529"/>
      <c r="AD934" s="1529"/>
      <c r="AE934" s="1529"/>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2560</v>
      </c>
      <c r="G935" s="1635"/>
      <c r="H935" s="1635"/>
      <c r="I935" s="1635"/>
      <c r="J935" s="1635"/>
      <c r="K935" s="1635"/>
      <c r="L935" s="1635"/>
      <c r="M935" s="1635"/>
      <c r="N935" s="1635"/>
      <c r="O935" s="1635"/>
      <c r="P935" s="1635"/>
      <c r="Q935" s="1635"/>
      <c r="R935" s="1635"/>
      <c r="S935" s="1635"/>
      <c r="T935" s="1636"/>
      <c r="U935" s="1628" t="s">
        <v>599</v>
      </c>
      <c r="V935" s="1421"/>
      <c r="W935" s="1421"/>
      <c r="X935" s="1421"/>
      <c r="Y935" s="1421"/>
      <c r="Z935" s="1422"/>
      <c r="AA935" s="1629"/>
      <c r="AB935" s="1529"/>
      <c r="AC935" s="1529"/>
      <c r="AD935" s="1529"/>
      <c r="AE935" s="1529"/>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2561</v>
      </c>
      <c r="G936" s="1635"/>
      <c r="H936" s="1635"/>
      <c r="I936" s="1635"/>
      <c r="J936" s="1635"/>
      <c r="K936" s="1635"/>
      <c r="L936" s="1635"/>
      <c r="M936" s="1635"/>
      <c r="N936" s="1635"/>
      <c r="O936" s="1635"/>
      <c r="P936" s="1635"/>
      <c r="Q936" s="1635"/>
      <c r="R936" s="1635"/>
      <c r="S936" s="1635"/>
      <c r="T936" s="1636"/>
      <c r="U936" s="1628" t="s">
        <v>599</v>
      </c>
      <c r="V936" s="1421"/>
      <c r="W936" s="1421"/>
      <c r="X936" s="1421"/>
      <c r="Y936" s="1421"/>
      <c r="Z936" s="1422"/>
      <c r="AA936" s="1629"/>
      <c r="AB936" s="1529"/>
      <c r="AC936" s="1529"/>
      <c r="AD936" s="1529"/>
      <c r="AE936" s="1529"/>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2557</v>
      </c>
      <c r="G937" s="1632"/>
      <c r="H937" s="1632"/>
      <c r="I937" s="1632"/>
      <c r="J937" s="1632"/>
      <c r="K937" s="1632"/>
      <c r="L937" s="1632"/>
      <c r="M937" s="1632"/>
      <c r="N937" s="1632"/>
      <c r="O937" s="1632"/>
      <c r="P937" s="1632"/>
      <c r="Q937" s="1632"/>
      <c r="R937" s="1632"/>
      <c r="S937" s="1632"/>
      <c r="T937" s="1633"/>
      <c r="U937" s="1628" t="s">
        <v>599</v>
      </c>
      <c r="V937" s="1421"/>
      <c r="W937" s="1421"/>
      <c r="X937" s="1421"/>
      <c r="Y937" s="1421"/>
      <c r="Z937" s="1422"/>
      <c r="AA937" s="1629"/>
      <c r="AB937" s="1529"/>
      <c r="AC937" s="1529"/>
      <c r="AD937" s="1529"/>
      <c r="AE937" s="1529"/>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2558</v>
      </c>
      <c r="G938" s="1632"/>
      <c r="H938" s="1632"/>
      <c r="I938" s="1632"/>
      <c r="J938" s="1632"/>
      <c r="K938" s="1632"/>
      <c r="L938" s="1632"/>
      <c r="M938" s="1632"/>
      <c r="N938" s="1632"/>
      <c r="O938" s="1632"/>
      <c r="P938" s="1632"/>
      <c r="Q938" s="1632"/>
      <c r="R938" s="1632"/>
      <c r="S938" s="1632"/>
      <c r="T938" s="1633"/>
      <c r="U938" s="1628" t="s">
        <v>599</v>
      </c>
      <c r="V938" s="1421"/>
      <c r="W938" s="1421"/>
      <c r="X938" s="1421"/>
      <c r="Y938" s="1421"/>
      <c r="Z938" s="1422"/>
      <c r="AA938" s="1629"/>
      <c r="AB938" s="1529"/>
      <c r="AC938" s="1529"/>
      <c r="AD938" s="1529"/>
      <c r="AE938" s="1529"/>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2559</v>
      </c>
      <c r="G939" s="1632"/>
      <c r="H939" s="1632"/>
      <c r="I939" s="1632"/>
      <c r="J939" s="1632"/>
      <c r="K939" s="1632"/>
      <c r="L939" s="1632"/>
      <c r="M939" s="1632"/>
      <c r="N939" s="1632"/>
      <c r="O939" s="1632"/>
      <c r="P939" s="1632"/>
      <c r="Q939" s="1632"/>
      <c r="R939" s="1632"/>
      <c r="S939" s="1632"/>
      <c r="T939" s="1633"/>
      <c r="U939" s="1628" t="s">
        <v>599</v>
      </c>
      <c r="V939" s="1421"/>
      <c r="W939" s="1421"/>
      <c r="X939" s="1421"/>
      <c r="Y939" s="1421"/>
      <c r="Z939" s="1422"/>
      <c r="AA939" s="1629"/>
      <c r="AB939" s="1529"/>
      <c r="AC939" s="1529"/>
      <c r="AD939" s="1529"/>
      <c r="AE939" s="1529"/>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1367</v>
      </c>
      <c r="G940" s="5"/>
      <c r="H940" s="5"/>
      <c r="I940" s="5"/>
      <c r="J940" s="5"/>
      <c r="K940" s="5"/>
      <c r="L940" s="5"/>
      <c r="M940" s="5"/>
      <c r="N940" s="5"/>
      <c r="O940" s="5"/>
      <c r="P940" s="5"/>
      <c r="Q940" s="5"/>
      <c r="R940" s="5"/>
      <c r="S940" s="5"/>
      <c r="T940" s="46"/>
      <c r="U940" s="1628" t="s">
        <v>599</v>
      </c>
      <c r="V940" s="1421"/>
      <c r="W940" s="1421"/>
      <c r="X940" s="1421"/>
      <c r="Y940" s="1421"/>
      <c r="Z940" s="1422"/>
      <c r="AA940" s="1629"/>
      <c r="AB940" s="1529"/>
      <c r="AC940" s="1529"/>
      <c r="AD940" s="1529"/>
      <c r="AE940" s="1529"/>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2562</v>
      </c>
      <c r="G941" s="1635"/>
      <c r="H941" s="1635"/>
      <c r="I941" s="1635"/>
      <c r="J941" s="1635"/>
      <c r="K941" s="1635"/>
      <c r="L941" s="1635"/>
      <c r="M941" s="1635"/>
      <c r="N941" s="1635"/>
      <c r="O941" s="1635"/>
      <c r="P941" s="1635"/>
      <c r="Q941" s="1635"/>
      <c r="R941" s="1635"/>
      <c r="S941" s="1635"/>
      <c r="T941" s="1636"/>
      <c r="U941" s="1628" t="s">
        <v>599</v>
      </c>
      <c r="V941" s="1421"/>
      <c r="W941" s="1421"/>
      <c r="X941" s="1421"/>
      <c r="Y941" s="1421"/>
      <c r="Z941" s="1422"/>
      <c r="AA941" s="1629"/>
      <c r="AB941" s="1529"/>
      <c r="AC941" s="1529"/>
      <c r="AD941" s="1529"/>
      <c r="AE941" s="1529"/>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1368</v>
      </c>
      <c r="G942" s="5"/>
      <c r="H942" s="5"/>
      <c r="I942" s="5"/>
      <c r="J942" s="5"/>
      <c r="K942" s="5"/>
      <c r="L942" s="5"/>
      <c r="M942" s="5"/>
      <c r="N942" s="5"/>
      <c r="O942" s="5"/>
      <c r="P942" s="5"/>
      <c r="Q942" s="5"/>
      <c r="R942" s="5"/>
      <c r="S942" s="5"/>
      <c r="T942" s="46"/>
      <c r="U942" s="1628" t="s">
        <v>599</v>
      </c>
      <c r="V942" s="1421"/>
      <c r="W942" s="1421"/>
      <c r="X942" s="1421"/>
      <c r="Y942" s="1421"/>
      <c r="Z942" s="1422"/>
      <c r="AA942" s="1629"/>
      <c r="AB942" s="1529"/>
      <c r="AC942" s="1529"/>
      <c r="AD942" s="1529"/>
      <c r="AE942" s="1529"/>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2563</v>
      </c>
      <c r="G943" s="1635"/>
      <c r="H943" s="1635"/>
      <c r="I943" s="1635"/>
      <c r="J943" s="1635"/>
      <c r="K943" s="1635"/>
      <c r="L943" s="1635"/>
      <c r="M943" s="1635"/>
      <c r="N943" s="1635"/>
      <c r="O943" s="1635"/>
      <c r="P943" s="1635"/>
      <c r="Q943" s="1635"/>
      <c r="R943" s="1635"/>
      <c r="S943" s="1635"/>
      <c r="T943" s="1636"/>
      <c r="U943" s="1628" t="s">
        <v>599</v>
      </c>
      <c r="V943" s="1421"/>
      <c r="W943" s="1421"/>
      <c r="X943" s="1421"/>
      <c r="Y943" s="1421"/>
      <c r="Z943" s="1422"/>
      <c r="AA943" s="1629"/>
      <c r="AB943" s="1529"/>
      <c r="AC943" s="1529"/>
      <c r="AD943" s="1529"/>
      <c r="AE943" s="1529"/>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28" t="s">
        <v>676</v>
      </c>
      <c r="Q944" s="1421"/>
      <c r="R944" s="1421"/>
      <c r="S944" s="1421"/>
      <c r="T944" s="1422"/>
      <c r="U944" s="1628" t="s">
        <v>599</v>
      </c>
      <c r="V944" s="1421"/>
      <c r="W944" s="1421"/>
      <c r="X944" s="1421"/>
      <c r="Y944" s="1421"/>
      <c r="Z944" s="1422"/>
      <c r="AA944" s="1629"/>
      <c r="AB944" s="1529"/>
      <c r="AC944" s="1529"/>
      <c r="AD944" s="1529"/>
      <c r="AE944" s="1529"/>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2550</v>
      </c>
      <c r="G945" s="1632"/>
      <c r="H945" s="1633"/>
      <c r="I945" s="1618" t="s">
        <v>335</v>
      </c>
      <c r="J945" s="1619"/>
      <c r="K945" s="1619"/>
      <c r="L945" s="1619"/>
      <c r="M945" s="1619"/>
      <c r="N945" s="1619"/>
      <c r="O945" s="1619"/>
      <c r="P945" s="1619"/>
      <c r="Q945" s="1619"/>
      <c r="R945" s="1619"/>
      <c r="S945" s="1619"/>
      <c r="T945" s="1620"/>
      <c r="U945" s="1628" t="s">
        <v>599</v>
      </c>
      <c r="V945" s="1421"/>
      <c r="W945" s="1421"/>
      <c r="X945" s="1421"/>
      <c r="Y945" s="1421"/>
      <c r="Z945" s="1422"/>
      <c r="AA945" s="1629"/>
      <c r="AB945" s="1529"/>
      <c r="AC945" s="1529"/>
      <c r="AD945" s="1529"/>
      <c r="AE945" s="1529"/>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335</v>
      </c>
      <c r="J946" s="1619"/>
      <c r="K946" s="1619"/>
      <c r="L946" s="1619"/>
      <c r="M946" s="1619"/>
      <c r="N946" s="1619"/>
      <c r="O946" s="1619"/>
      <c r="P946" s="1619"/>
      <c r="Q946" s="1619"/>
      <c r="R946" s="1619"/>
      <c r="S946" s="1619"/>
      <c r="T946" s="1620"/>
      <c r="U946" s="1628" t="s">
        <v>599</v>
      </c>
      <c r="V946" s="1421"/>
      <c r="W946" s="1421"/>
      <c r="X946" s="1421"/>
      <c r="Y946" s="1421"/>
      <c r="Z946" s="1422"/>
      <c r="AA946" s="1629"/>
      <c r="AB946" s="1529"/>
      <c r="AC946" s="1529"/>
      <c r="AD946" s="1529"/>
      <c r="AE946" s="1529"/>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2" t="s">
        <v>335</v>
      </c>
      <c r="J947" s="1643"/>
      <c r="K947" s="1643"/>
      <c r="L947" s="1643"/>
      <c r="M947" s="1643"/>
      <c r="N947" s="1643"/>
      <c r="O947" s="1643"/>
      <c r="P947" s="1643"/>
      <c r="Q947" s="1643"/>
      <c r="R947" s="1643"/>
      <c r="S947" s="1643"/>
      <c r="T947" s="1644"/>
      <c r="U947" s="1628" t="s">
        <v>599</v>
      </c>
      <c r="V947" s="1421"/>
      <c r="W947" s="1421"/>
      <c r="X947" s="1421"/>
      <c r="Y947" s="1421"/>
      <c r="Z947" s="1422"/>
      <c r="AA947" s="1629"/>
      <c r="AB947" s="1529"/>
      <c r="AC947" s="1529"/>
      <c r="AD947" s="1529"/>
      <c r="AE947" s="1529"/>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2" t="s">
        <v>335</v>
      </c>
      <c r="J948" s="1643"/>
      <c r="K948" s="1643"/>
      <c r="L948" s="1643"/>
      <c r="M948" s="1643"/>
      <c r="N948" s="1643"/>
      <c r="O948" s="1643"/>
      <c r="P948" s="1643"/>
      <c r="Q948" s="1643"/>
      <c r="R948" s="1643"/>
      <c r="S948" s="1643"/>
      <c r="T948" s="1644"/>
      <c r="U948" s="1628" t="s">
        <v>599</v>
      </c>
      <c r="V948" s="1421"/>
      <c r="W948" s="1421"/>
      <c r="X948" s="1421"/>
      <c r="Y948" s="1421"/>
      <c r="Z948" s="1422"/>
      <c r="AA948" s="1629"/>
      <c r="AB948" s="1529"/>
      <c r="AC948" s="1529"/>
      <c r="AD948" s="1529"/>
      <c r="AE948" s="1529"/>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2" t="s">
        <v>335</v>
      </c>
      <c r="J949" s="1643"/>
      <c r="K949" s="1643"/>
      <c r="L949" s="1643"/>
      <c r="M949" s="1643"/>
      <c r="N949" s="1643"/>
      <c r="O949" s="1643"/>
      <c r="P949" s="1643"/>
      <c r="Q949" s="1643"/>
      <c r="R949" s="1643"/>
      <c r="S949" s="1643"/>
      <c r="T949" s="1644"/>
      <c r="U949" s="1628" t="s">
        <v>599</v>
      </c>
      <c r="V949" s="1421"/>
      <c r="W949" s="1421"/>
      <c r="X949" s="1421"/>
      <c r="Y949" s="1421"/>
      <c r="Z949" s="1422"/>
      <c r="AA949" s="1629"/>
      <c r="AB949" s="1529"/>
      <c r="AC949" s="1529"/>
      <c r="AD949" s="1529"/>
      <c r="AE949" s="1529"/>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5">
        <v>45627</v>
      </c>
      <c r="N954" s="1610"/>
      <c r="O954" s="1610"/>
      <c r="P954" s="1610"/>
      <c r="Q954" s="1610"/>
      <c r="R954" s="1610"/>
      <c r="S954" s="1611"/>
      <c r="U954" s="66" t="s">
        <v>11</v>
      </c>
      <c r="V954" s="5"/>
      <c r="W954" s="5"/>
      <c r="X954" s="5"/>
      <c r="Y954" s="5"/>
      <c r="Z954" s="5"/>
      <c r="AA954" s="5"/>
      <c r="AB954" s="5"/>
      <c r="AC954" s="5"/>
      <c r="AD954" s="46"/>
      <c r="AE954" s="1645"/>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3" t="s">
        <v>2741</v>
      </c>
      <c r="N955" s="1522"/>
      <c r="O955" s="1522"/>
      <c r="P955" s="1522"/>
      <c r="Q955" s="1522"/>
      <c r="R955" s="1522"/>
      <c r="S955" s="1744"/>
      <c r="U955" s="66" t="s">
        <v>12</v>
      </c>
      <c r="V955" s="5"/>
      <c r="W955" s="5"/>
      <c r="X955" s="5"/>
      <c r="Y955" s="5"/>
      <c r="Z955" s="5"/>
      <c r="AA955" s="5"/>
      <c r="AB955" s="5"/>
      <c r="AC955" s="5"/>
      <c r="AD955" s="46"/>
      <c r="AE955" s="1743"/>
      <c r="AF955" s="1522"/>
      <c r="AG955" s="1522"/>
      <c r="AH955" s="1522"/>
      <c r="AI955" s="1522"/>
      <c r="AJ955" s="1522"/>
      <c r="AK955" s="174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92" t="s">
        <v>2742</v>
      </c>
      <c r="K956" s="1693"/>
      <c r="L956" s="1693"/>
      <c r="M956" s="1693"/>
      <c r="N956" s="1693"/>
      <c r="O956" s="1693"/>
      <c r="P956" s="1693"/>
      <c r="Q956" s="1693"/>
      <c r="R956" s="1693"/>
      <c r="S956" s="1694"/>
      <c r="U956" s="66" t="s">
        <v>891</v>
      </c>
      <c r="V956" s="5"/>
      <c r="W956" s="5"/>
      <c r="AB956" s="1692" t="s">
        <v>308</v>
      </c>
      <c r="AC956" s="1693"/>
      <c r="AD956" s="1693"/>
      <c r="AE956" s="1693"/>
      <c r="AF956" s="1693"/>
      <c r="AG956" s="1693"/>
      <c r="AH956" s="1693"/>
      <c r="AI956" s="1693"/>
      <c r="AJ956" s="1693"/>
      <c r="AK956" s="169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1">
        <v>1</v>
      </c>
      <c r="N957" s="1767"/>
      <c r="O957" s="1767"/>
      <c r="P957" s="1767"/>
      <c r="Q957" s="1767"/>
      <c r="R957" s="1767"/>
      <c r="S957" s="1768"/>
      <c r="U957" s="66" t="s">
        <v>13</v>
      </c>
      <c r="V957" s="5"/>
      <c r="W957" s="5"/>
      <c r="X957" s="5"/>
      <c r="Y957" s="5"/>
      <c r="Z957" s="5"/>
      <c r="AA957" s="5"/>
      <c r="AB957" s="5"/>
      <c r="AC957" s="5"/>
      <c r="AD957" s="46"/>
      <c r="AE957" s="1766"/>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7">
        <v>70</v>
      </c>
      <c r="N958" s="1601"/>
      <c r="O958" s="1601"/>
      <c r="P958" s="1601"/>
      <c r="Q958" s="1601"/>
      <c r="R958" s="1601"/>
      <c r="S958" s="1602"/>
      <c r="U958" s="66" t="s">
        <v>14</v>
      </c>
      <c r="V958" s="5"/>
      <c r="W958" s="5"/>
      <c r="X958" s="5"/>
      <c r="Y958" s="5"/>
      <c r="Z958" s="5"/>
      <c r="AA958" s="5"/>
      <c r="AB958" s="5"/>
      <c r="AC958" s="5"/>
      <c r="AD958" s="46"/>
      <c r="AE958" s="1757"/>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f>++'Subsidy Contract Calculation'!G40</f>
        <v>2101620</v>
      </c>
      <c r="N959" s="1529"/>
      <c r="O959" s="1529"/>
      <c r="P959" s="1529"/>
      <c r="Q959" s="1529"/>
      <c r="R959" s="1529"/>
      <c r="S959" s="1630"/>
      <c r="U959" s="66" t="s">
        <v>15</v>
      </c>
      <c r="V959" s="5"/>
      <c r="W959" s="5"/>
      <c r="X959" s="5"/>
      <c r="Y959" s="5"/>
      <c r="Z959" s="5"/>
      <c r="AA959" s="5"/>
      <c r="AB959" s="5"/>
      <c r="AC959" s="5"/>
      <c r="AD959" s="46"/>
      <c r="AE959" s="1629"/>
      <c r="AF959" s="1529"/>
      <c r="AG959" s="1529"/>
      <c r="AH959" s="1529"/>
      <c r="AI959" s="1529"/>
      <c r="AJ959" s="1529"/>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f>++M959*20</f>
        <v>42032400</v>
      </c>
      <c r="N960" s="1529"/>
      <c r="O960" s="1529"/>
      <c r="P960" s="1529"/>
      <c r="Q960" s="1529"/>
      <c r="R960" s="1529"/>
      <c r="S960" s="1630"/>
      <c r="U960" s="66" t="s">
        <v>16</v>
      </c>
      <c r="V960" s="5"/>
      <c r="W960" s="5"/>
      <c r="X960" s="5"/>
      <c r="Y960" s="5"/>
      <c r="Z960" s="5"/>
      <c r="AA960" s="5"/>
      <c r="AB960" s="5"/>
      <c r="AC960" s="5"/>
      <c r="AD960" s="46"/>
      <c r="AE960" s="1629"/>
      <c r="AF960" s="1529"/>
      <c r="AG960" s="1529"/>
      <c r="AH960" s="1529"/>
      <c r="AI960" s="1529"/>
      <c r="AJ960" s="1529"/>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1771</v>
      </c>
      <c r="D961" s="5"/>
      <c r="E961" s="5"/>
      <c r="F961" s="5"/>
      <c r="G961" s="5"/>
      <c r="H961" s="5"/>
      <c r="I961" s="5"/>
      <c r="J961" s="5"/>
      <c r="K961" s="5"/>
      <c r="L961" s="46"/>
      <c r="M961" s="1763">
        <v>20</v>
      </c>
      <c r="N961" s="1764"/>
      <c r="O961" s="1764"/>
      <c r="P961" s="1764"/>
      <c r="Q961" s="1764"/>
      <c r="R961" s="1764"/>
      <c r="S961" s="1765"/>
      <c r="U961" s="121" t="s">
        <v>1771</v>
      </c>
      <c r="V961" s="5"/>
      <c r="W961" s="5"/>
      <c r="X961" s="5"/>
      <c r="Y961" s="5"/>
      <c r="Z961" s="5"/>
      <c r="AA961" s="5"/>
      <c r="AB961" s="5"/>
      <c r="AC961" s="5"/>
      <c r="AD961" s="46"/>
      <c r="AE961" s="1763"/>
      <c r="AF961" s="1764"/>
      <c r="AG961" s="1764"/>
      <c r="AH961" s="1764"/>
      <c r="AI961" s="1764"/>
      <c r="AJ961" s="1764"/>
      <c r="AK961" s="17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6"/>
      <c r="N966" s="1647"/>
      <c r="O966" s="1647"/>
      <c r="P966" s="1647"/>
      <c r="Q966" s="1647"/>
      <c r="R966" s="1647"/>
      <c r="S966" s="1648"/>
      <c r="T966" s="66" t="s">
        <v>798</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6"/>
      <c r="N967" s="1647"/>
      <c r="O967" s="1647"/>
      <c r="P967" s="1647"/>
      <c r="Q967" s="1647"/>
      <c r="R967" s="1647"/>
      <c r="S967" s="1648"/>
      <c r="T967" s="66" t="s">
        <v>797</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88" t="s">
        <v>599</v>
      </c>
      <c r="N968" s="1689"/>
      <c r="O968" s="1689"/>
      <c r="P968" s="1689"/>
      <c r="Q968" s="1689"/>
      <c r="R968" s="1689"/>
      <c r="S968" s="1690"/>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6" t="s">
        <v>2778</v>
      </c>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92" t="s">
        <v>2742</v>
      </c>
      <c r="N971" s="1693"/>
      <c r="O971" s="1693"/>
      <c r="P971" s="1693"/>
      <c r="Q971" s="1693"/>
      <c r="R971" s="1693"/>
      <c r="S971" s="1694"/>
      <c r="T971" s="1740"/>
      <c r="U971" s="1741"/>
      <c r="V971" s="1741"/>
      <c r="W971" s="1741"/>
      <c r="X971" s="1741"/>
      <c r="Y971" s="1741"/>
      <c r="Z971" s="1742"/>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6"/>
      <c r="N972" s="1647"/>
      <c r="O972" s="1647"/>
      <c r="P972" s="1647"/>
      <c r="Q972" s="1647"/>
      <c r="R972" s="1647"/>
      <c r="S972" s="1648"/>
      <c r="T972" s="1740"/>
      <c r="U972" s="1741"/>
      <c r="V972" s="1741"/>
      <c r="W972" s="1741"/>
      <c r="X972" s="1741"/>
      <c r="Y972" s="1741"/>
      <c r="Z972" s="1742"/>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8" t="s">
        <v>553</v>
      </c>
      <c r="P973" s="1449"/>
      <c r="Q973" s="92"/>
      <c r="R973" s="92"/>
      <c r="S973" s="93"/>
      <c r="T973" s="41" t="s">
        <v>170</v>
      </c>
      <c r="U973" s="42"/>
      <c r="V973" s="42"/>
      <c r="W973" s="1758" t="s">
        <v>335</v>
      </c>
      <c r="X973" s="1759"/>
      <c r="Y973" s="1759"/>
      <c r="Z973" s="1759"/>
      <c r="AA973" s="1759"/>
      <c r="AB973" s="1759"/>
      <c r="AC973" s="1759"/>
      <c r="AD973" s="1759"/>
      <c r="AE973" s="1759"/>
      <c r="AF973" s="1759"/>
      <c r="AG973" s="17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11"/>
      <c r="H974" s="1511"/>
      <c r="I974" s="1511"/>
      <c r="J974" s="1511"/>
      <c r="K974" s="1511"/>
      <c r="L974" s="1511"/>
      <c r="M974" s="1646">
        <f>++M959</f>
        <v>2101620</v>
      </c>
      <c r="N974" s="1647"/>
      <c r="O974" s="1647"/>
      <c r="P974" s="1647"/>
      <c r="Q974" s="1647"/>
      <c r="R974" s="1647"/>
      <c r="S974" s="1648"/>
      <c r="T974" s="47"/>
      <c r="U974" s="48"/>
      <c r="V974" s="48"/>
      <c r="W974" s="48"/>
      <c r="X974" s="48"/>
      <c r="Y974" s="48"/>
      <c r="Z974" s="124" t="s">
        <v>134</v>
      </c>
      <c r="AA974" s="1751"/>
      <c r="AB974" s="1752"/>
      <c r="AC974" s="1752"/>
      <c r="AD974" s="1752"/>
      <c r="AE974" s="1752"/>
      <c r="AF974" s="1752"/>
      <c r="AG974" s="175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3" t="s">
        <v>556</v>
      </c>
      <c r="B978" s="1543"/>
      <c r="C978" s="1543"/>
      <c r="D978" s="1543"/>
      <c r="E978" s="1543"/>
      <c r="F978" s="1543"/>
      <c r="G978" s="1543"/>
      <c r="H978" s="1543"/>
      <c r="I978" s="1543"/>
      <c r="J978" s="1543"/>
      <c r="K978" s="1543"/>
      <c r="L978" s="1543"/>
      <c r="M978" s="1543"/>
      <c r="N978" s="1543"/>
      <c r="O978" s="1543"/>
      <c r="P978" s="1543"/>
      <c r="Q978" s="1543"/>
      <c r="R978" s="1543"/>
      <c r="S978" s="1543"/>
      <c r="T978" s="1543"/>
      <c r="U978" s="1543"/>
      <c r="V978" s="1543"/>
      <c r="W978" s="1543"/>
      <c r="X978" s="1543"/>
      <c r="Y978" s="1543"/>
      <c r="Z978" s="1543"/>
      <c r="AA978" s="1543"/>
      <c r="AB978" s="1543"/>
      <c r="AC978" s="1543"/>
      <c r="AD978" s="1543"/>
      <c r="AE978" s="1543"/>
      <c r="AF978" s="1543"/>
      <c r="AG978" s="1543"/>
      <c r="AH978" s="1543"/>
      <c r="AI978" s="1543"/>
      <c r="AJ978" s="1543"/>
      <c r="AK978" s="1543"/>
      <c r="AL978" s="1543"/>
      <c r="AM978" s="1543"/>
      <c r="AN978" s="1543"/>
      <c r="AO978" s="1543"/>
      <c r="AP978" s="1543"/>
      <c r="AQ978" s="1543"/>
      <c r="AR978" s="1543"/>
      <c r="AS978" s="1543"/>
      <c r="AT978" s="154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3"/>
      <c r="B979" s="1543"/>
      <c r="C979" s="1543"/>
      <c r="D979" s="1543"/>
      <c r="E979" s="1543"/>
      <c r="F979" s="1543"/>
      <c r="G979" s="1543"/>
      <c r="H979" s="1543"/>
      <c r="I979" s="1543"/>
      <c r="J979" s="1543"/>
      <c r="K979" s="1543"/>
      <c r="L979" s="1543"/>
      <c r="M979" s="1543"/>
      <c r="N979" s="1543"/>
      <c r="O979" s="1543"/>
      <c r="P979" s="1543"/>
      <c r="Q979" s="1543"/>
      <c r="R979" s="1543"/>
      <c r="S979" s="1543"/>
      <c r="T979" s="1543"/>
      <c r="U979" s="1543"/>
      <c r="V979" s="1543"/>
      <c r="W979" s="1543"/>
      <c r="X979" s="1543"/>
      <c r="Y979" s="1543"/>
      <c r="Z979" s="1543"/>
      <c r="AA979" s="1543"/>
      <c r="AB979" s="1543"/>
      <c r="AC979" s="1543"/>
      <c r="AD979" s="1543"/>
      <c r="AE979" s="1543"/>
      <c r="AF979" s="1543"/>
      <c r="AG979" s="1543"/>
      <c r="AH979" s="1543"/>
      <c r="AI979" s="1543"/>
      <c r="AJ979" s="1543"/>
      <c r="AK979" s="1543"/>
      <c r="AL979" s="1543"/>
      <c r="AM979" s="1543"/>
      <c r="AN979" s="1543"/>
      <c r="AO979" s="1543"/>
      <c r="AP979" s="1543"/>
      <c r="AQ979" s="1543"/>
      <c r="AR979" s="1543"/>
      <c r="AS979" s="1543"/>
      <c r="AT979" s="15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3"/>
      <c r="B980" s="1543"/>
      <c r="C980" s="1543"/>
      <c r="D980" s="1543"/>
      <c r="E980" s="1543"/>
      <c r="F980" s="1543"/>
      <c r="G980" s="1543"/>
      <c r="H980" s="1543"/>
      <c r="I980" s="1543"/>
      <c r="J980" s="1543"/>
      <c r="K980" s="1543"/>
      <c r="L980" s="1543"/>
      <c r="M980" s="1543"/>
      <c r="N980" s="1543"/>
      <c r="O980" s="1543"/>
      <c r="P980" s="1543"/>
      <c r="Q980" s="1543"/>
      <c r="R980" s="1543"/>
      <c r="S980" s="1543"/>
      <c r="T980" s="1543"/>
      <c r="U980" s="1543"/>
      <c r="V980" s="1543"/>
      <c r="W980" s="1543"/>
      <c r="X980" s="1543"/>
      <c r="Y980" s="1543"/>
      <c r="Z980" s="1543"/>
      <c r="AA980" s="1543"/>
      <c r="AB980" s="1543"/>
      <c r="AC980" s="1543"/>
      <c r="AD980" s="1543"/>
      <c r="AE980" s="1543"/>
      <c r="AF980" s="1543"/>
      <c r="AG980" s="1543"/>
      <c r="AH980" s="1543"/>
      <c r="AI980" s="1543"/>
      <c r="AJ980" s="1543"/>
      <c r="AK980" s="1543"/>
      <c r="AL980" s="1543"/>
      <c r="AM980" s="1543"/>
      <c r="AN980" s="1543"/>
      <c r="AO980" s="1543"/>
      <c r="AP980" s="1543"/>
      <c r="AQ980" s="1543"/>
      <c r="AR980" s="1543"/>
      <c r="AS980" s="1543"/>
      <c r="AT980" s="15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2" t="s">
        <v>645</v>
      </c>
      <c r="E984" s="1663"/>
      <c r="F984" s="1663"/>
      <c r="G984" s="1663"/>
      <c r="H984" s="1663"/>
      <c r="I984" s="1663"/>
      <c r="J984" s="1663"/>
      <c r="K984" s="1663"/>
      <c r="L984" s="1663"/>
      <c r="M984" s="1663"/>
      <c r="N984" s="1663"/>
      <c r="O984" s="1663"/>
      <c r="P984" s="1663"/>
      <c r="Q984" s="1664"/>
      <c r="R984" s="1662" t="s">
        <v>646</v>
      </c>
      <c r="S984" s="1663"/>
      <c r="T984" s="1663"/>
      <c r="U984" s="1663"/>
      <c r="V984" s="1663"/>
      <c r="W984" s="1663"/>
      <c r="X984" s="1663"/>
      <c r="Y984" s="1663"/>
      <c r="Z984" s="1663"/>
      <c r="AA984" s="1664"/>
      <c r="AB984" s="1662" t="s">
        <v>647</v>
      </c>
      <c r="AC984" s="1663"/>
      <c r="AD984" s="1663"/>
      <c r="AE984" s="1663"/>
      <c r="AF984" s="1663"/>
      <c r="AG984" s="1663"/>
      <c r="AH984" s="1663"/>
      <c r="AI984" s="1664"/>
      <c r="AJ984" s="1662" t="s">
        <v>648</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640</v>
      </c>
      <c r="E985" s="1519"/>
      <c r="F985" s="1519"/>
      <c r="G985" s="1519"/>
      <c r="H985" s="1519"/>
      <c r="I985" s="1519"/>
      <c r="J985" s="1519"/>
      <c r="K985" s="1519"/>
      <c r="L985" s="1519"/>
      <c r="M985" s="1519"/>
      <c r="N985" s="1519"/>
      <c r="O985" s="1519"/>
      <c r="P985" s="1519"/>
      <c r="Q985" s="1520"/>
      <c r="R985" s="1756">
        <f>IF(ISNA(IF($BN$796="4%",(INDEX($BP$806:$BT$863,MATCH($CB$796,$BO$806:$BO$863,0),MATCH(D985,$BP$805:$BT$805,0))),(INDEX($BW$806:$CA$863,MATCH($CB$796,$BV$806:$BV$863,0),MATCH(D985,$BW$805:$CA$805,0))))),0,IF($BN$796="4%",(INDEX($BP$806:$BT$863,MATCH($CB$796,$BO$806:$BO$863,0),MATCH(D985,$BP$805:$BT$805,0))),(INDEX($BW$806:$CA$863,MATCH($CB$796,$BV$806:$BV$863,0),MATCH(D985,$BW$805:$CA$805,0)))))</f>
        <v>353173</v>
      </c>
      <c r="S985" s="1756"/>
      <c r="T985" s="1756"/>
      <c r="U985" s="1756"/>
      <c r="V985" s="1756"/>
      <c r="W985" s="1756"/>
      <c r="X985" s="1756"/>
      <c r="Y985" s="1756"/>
      <c r="Z985" s="1756"/>
      <c r="AA985" s="1756"/>
      <c r="AB985" s="1665">
        <f>BN660</f>
        <v>0</v>
      </c>
      <c r="AC985" s="1666"/>
      <c r="AD985" s="1666"/>
      <c r="AE985" s="1666"/>
      <c r="AF985" s="1666"/>
      <c r="AG985" s="1666"/>
      <c r="AH985" s="1666"/>
      <c r="AI985" s="1667"/>
      <c r="AJ985" s="1772">
        <f>IF(ISERROR((R985*AB985)),0,(R985*AB985))</f>
        <v>0</v>
      </c>
      <c r="AK985" s="1773"/>
      <c r="AL985" s="1773"/>
      <c r="AM985" s="1773"/>
      <c r="AN985" s="1773"/>
      <c r="AO985" s="1773"/>
      <c r="AP985" s="1773"/>
      <c r="AQ985" s="177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326</v>
      </c>
      <c r="E986" s="1519"/>
      <c r="F986" s="1519"/>
      <c r="G986" s="1519"/>
      <c r="H986" s="1519"/>
      <c r="I986" s="1519"/>
      <c r="J986" s="1519"/>
      <c r="K986" s="1519"/>
      <c r="L986" s="1519"/>
      <c r="M986" s="1519"/>
      <c r="N986" s="1519"/>
      <c r="O986" s="1519"/>
      <c r="P986" s="1519"/>
      <c r="Q986" s="1520"/>
      <c r="R986" s="1756">
        <f>IF(ISNA(IF($BN$796="4%",(INDEX($BP$806:$BT$863,MATCH($CB$796,$BO$806:$BO$863,0),MATCH(D986,$BP$805:$BT$805,0))),(INDEX($BW$806:$CA$863,MATCH($CB$796,$BV$806:$BV$863,0),MATCH(D986,$BW$805:$CA$805,0))))),0,IF($BN$796="4%",(INDEX($BP$806:$BT$863,MATCH($CB$796,$BO$806:$BO$863,0),MATCH(D986,$BP$805:$BT$805,0))),(INDEX($BW$806:$CA$863,MATCH($CB$796,$BV$806:$BV$863,0),MATCH(D986,$BW$805:$CA$805,0)))))</f>
        <v>407205</v>
      </c>
      <c r="S986" s="1756"/>
      <c r="T986" s="1756"/>
      <c r="U986" s="1756"/>
      <c r="V986" s="1756"/>
      <c r="W986" s="1756"/>
      <c r="X986" s="1756"/>
      <c r="Y986" s="1756"/>
      <c r="Z986" s="1756"/>
      <c r="AA986" s="1756"/>
      <c r="AB986" s="1665">
        <f>BS660</f>
        <v>16</v>
      </c>
      <c r="AC986" s="1666"/>
      <c r="AD986" s="1666"/>
      <c r="AE986" s="1666"/>
      <c r="AF986" s="1666"/>
      <c r="AG986" s="1666"/>
      <c r="AH986" s="1666"/>
      <c r="AI986" s="1667"/>
      <c r="AJ986" s="1772">
        <f>IF(ISERROR((R986*AB986)),0,(R986*AB986))</f>
        <v>6515280</v>
      </c>
      <c r="AK986" s="1773"/>
      <c r="AL986" s="1773"/>
      <c r="AM986" s="1773"/>
      <c r="AN986" s="1773"/>
      <c r="AO986" s="1773"/>
      <c r="AP986" s="1773"/>
      <c r="AQ986" s="177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56">
        <f>IF(ISNA(IF($BN$796="4%",(INDEX($BP$806:$BT$863,MATCH($CB$796,$BO$806:$BO$863,0),MATCH(D987,$BP$805:$BT$805,0))),(INDEX($BW$806:$CA$863,MATCH($CB$796,$BV$806:$BV$863,0),MATCH(D987,$BW$805:$CA$805,0))))),0,IF($BN$796="4%",(INDEX($BP$806:$BT$863,MATCH($CB$796,$BO$806:$BO$863,0),MATCH(D987,$BP$805:$BT$805,0))),(INDEX($BW$806:$CA$863,MATCH($CB$796,$BV$806:$BV$863,0),MATCH(D987,$BW$805:$CA$805,0)))))</f>
        <v>491200</v>
      </c>
      <c r="S987" s="1756"/>
      <c r="T987" s="1756"/>
      <c r="U987" s="1756"/>
      <c r="V987" s="1756"/>
      <c r="W987" s="1756"/>
      <c r="X987" s="1756"/>
      <c r="Y987" s="1756"/>
      <c r="Z987" s="1756"/>
      <c r="AA987" s="1756"/>
      <c r="AB987" s="1665">
        <f>BX660</f>
        <v>24</v>
      </c>
      <c r="AC987" s="1666"/>
      <c r="AD987" s="1666"/>
      <c r="AE987" s="1666"/>
      <c r="AF987" s="1666"/>
      <c r="AG987" s="1666"/>
      <c r="AH987" s="1666"/>
      <c r="AI987" s="1667"/>
      <c r="AJ987" s="1772">
        <f>IF(ISERROR((R987*AB987)),0,(R987*AB987))</f>
        <v>11788800</v>
      </c>
      <c r="AK987" s="1773"/>
      <c r="AL987" s="1773"/>
      <c r="AM987" s="1773"/>
      <c r="AN987" s="1773"/>
      <c r="AO987" s="1773"/>
      <c r="AP987" s="1773"/>
      <c r="AQ987" s="177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56">
        <f>IF(ISNA(IF($BN$796="4%",(INDEX($BP$806:$BT$863,MATCH($CB$796,$BO$806:$BO$863,0),MATCH(D988,$BP$805:$BT$805,0))),(INDEX($BW$806:$CA$863,MATCH($CB$796,$BV$806:$BV$863,0),MATCH(D988,$BW$805:$CA$805,0))))),0,IF($BN$796="4%",(INDEX($BP$806:$BT$863,MATCH($CB$796,$BO$806:$BO$863,0),MATCH(D988,$BP$805:$BT$805,0))),(INDEX($BW$806:$CA$863,MATCH($CB$796,$BV$806:$BV$863,0),MATCH(D988,$BW$805:$CA$805,0)))))</f>
        <v>628736</v>
      </c>
      <c r="S988" s="1756"/>
      <c r="T988" s="1756"/>
      <c r="U988" s="1756"/>
      <c r="V988" s="1756"/>
      <c r="W988" s="1756"/>
      <c r="X988" s="1756"/>
      <c r="Y988" s="1756"/>
      <c r="Z988" s="1756"/>
      <c r="AA988" s="1756"/>
      <c r="AB988" s="1665">
        <f>CC660</f>
        <v>22</v>
      </c>
      <c r="AC988" s="1666"/>
      <c r="AD988" s="1666"/>
      <c r="AE988" s="1666"/>
      <c r="AF988" s="1666"/>
      <c r="AG988" s="1666"/>
      <c r="AH988" s="1666"/>
      <c r="AI988" s="1667"/>
      <c r="AJ988" s="1772">
        <f>IF(ISERROR((R988*AB988)),0,(R988*AB988))</f>
        <v>13832192</v>
      </c>
      <c r="AK988" s="1773"/>
      <c r="AL988" s="1773"/>
      <c r="AM988" s="1773"/>
      <c r="AN988" s="1773"/>
      <c r="AO988" s="1773"/>
      <c r="AP988" s="1773"/>
      <c r="AQ988" s="177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468</v>
      </c>
      <c r="E989" s="1519"/>
      <c r="F989" s="1519"/>
      <c r="G989" s="1519"/>
      <c r="H989" s="1519"/>
      <c r="I989" s="1519"/>
      <c r="J989" s="1519"/>
      <c r="K989" s="1519"/>
      <c r="L989" s="1519"/>
      <c r="M989" s="1519"/>
      <c r="N989" s="1519"/>
      <c r="O989" s="1519"/>
      <c r="P989" s="1519"/>
      <c r="Q989" s="1520"/>
      <c r="R989" s="1756">
        <f>IF(ISNA(IF($BN$796="4%",(INDEX($BP$806:$BT$863,MATCH($CB$796,$BO$806:$BO$863,0),MATCH(D989,$BP$805:$BT$805,0))),(INDEX($BW$806:$CA$863,MATCH($CB$796,$BV$806:$BV$863,0),MATCH(D989,$BW$805:$CA$805,0))))),0,IF($BN$796="4%",(INDEX($BP$806:$BT$863,MATCH($CB$796,$BO$806:$BO$863,0),MATCH(D989,$BP$805:$BT$805,0))),(INDEX($BW$806:$CA$863,MATCH($CB$796,$BV$806:$BV$863,0),MATCH(D989,$BW$805:$CA$805,0)))))</f>
        <v>700451</v>
      </c>
      <c r="S989" s="1756"/>
      <c r="T989" s="1756"/>
      <c r="U989" s="1756"/>
      <c r="V989" s="1756"/>
      <c r="W989" s="1756"/>
      <c r="X989" s="1756"/>
      <c r="Y989" s="1756"/>
      <c r="Z989" s="1756"/>
      <c r="AA989" s="1756"/>
      <c r="AB989" s="1665">
        <f>CM660+CH660</f>
        <v>8</v>
      </c>
      <c r="AC989" s="1666"/>
      <c r="AD989" s="1666"/>
      <c r="AE989" s="1666"/>
      <c r="AF989" s="1666"/>
      <c r="AG989" s="1666"/>
      <c r="AH989" s="1666"/>
      <c r="AI989" s="1667"/>
      <c r="AJ989" s="1772">
        <f>IF(ISERROR((R989*AB989)),0,(R989*AB989))</f>
        <v>5603608</v>
      </c>
      <c r="AK989" s="1773"/>
      <c r="AL989" s="1773"/>
      <c r="AM989" s="1773"/>
      <c r="AN989" s="1773"/>
      <c r="AO989" s="1773"/>
      <c r="AP989" s="1773"/>
      <c r="AQ989" s="177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1" t="s">
        <v>799</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665">
        <f>SUM(AB985:AI989)</f>
        <v>70</v>
      </c>
      <c r="AC990" s="1666"/>
      <c r="AD990" s="1666"/>
      <c r="AE990" s="1666"/>
      <c r="AF990" s="1666"/>
      <c r="AG990" s="1666"/>
      <c r="AH990" s="1666"/>
      <c r="AI990" s="1667"/>
      <c r="AJ990" s="1772"/>
      <c r="AK990" s="1773"/>
      <c r="AL990" s="1773"/>
      <c r="AM990" s="1773"/>
      <c r="AN990" s="1773"/>
      <c r="AO990" s="1773"/>
      <c r="AP990" s="1773"/>
      <c r="AQ990" s="177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6" t="s">
        <v>520</v>
      </c>
      <c r="C991" s="1817"/>
      <c r="D991" s="1817"/>
      <c r="E991" s="1817"/>
      <c r="F991" s="1817"/>
      <c r="G991" s="1817"/>
      <c r="H991" s="1817"/>
      <c r="I991" s="1817"/>
      <c r="J991" s="1817"/>
      <c r="K991" s="1817"/>
      <c r="L991" s="1817"/>
      <c r="M991" s="1817"/>
      <c r="N991" s="1817"/>
      <c r="O991" s="1817"/>
      <c r="P991" s="1817"/>
      <c r="Q991" s="1817"/>
      <c r="R991" s="1817"/>
      <c r="S991" s="1817"/>
      <c r="T991" s="1817"/>
      <c r="U991" s="1817"/>
      <c r="V991" s="1817"/>
      <c r="W991" s="1817"/>
      <c r="X991" s="1817"/>
      <c r="Y991" s="1817"/>
      <c r="Z991" s="1817"/>
      <c r="AA991" s="1817"/>
      <c r="AB991" s="1817"/>
      <c r="AC991" s="1817"/>
      <c r="AD991" s="1817"/>
      <c r="AE991" s="1817"/>
      <c r="AF991" s="1817"/>
      <c r="AG991" s="1817"/>
      <c r="AH991" s="1817"/>
      <c r="AI991" s="1818"/>
      <c r="AJ991" s="1772">
        <f>SUM(AJ985:AQ989)</f>
        <v>37739880</v>
      </c>
      <c r="AK991" s="1773"/>
      <c r="AL991" s="1773"/>
      <c r="AM991" s="1773"/>
      <c r="AN991" s="1773"/>
      <c r="AO991" s="1773"/>
      <c r="AP991" s="1773"/>
      <c r="AQ991" s="177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4"/>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c r="AB992" s="1805"/>
      <c r="AC992" s="1805"/>
      <c r="AD992" s="1805"/>
      <c r="AE992" s="1806"/>
      <c r="AF992" s="1822" t="s">
        <v>673</v>
      </c>
      <c r="AG992" s="1823"/>
      <c r="AH992" s="1823"/>
      <c r="AI992" s="1824"/>
      <c r="AJ992" s="1804"/>
      <c r="AK992" s="1805"/>
      <c r="AL992" s="1805"/>
      <c r="AM992" s="1805"/>
      <c r="AN992" s="1805"/>
      <c r="AO992" s="1805"/>
      <c r="AP992" s="1805"/>
      <c r="AQ992" s="180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84" t="s">
        <v>1324</v>
      </c>
      <c r="E993" s="1785"/>
      <c r="F993" s="1785"/>
      <c r="G993" s="1785"/>
      <c r="H993" s="1785"/>
      <c r="I993" s="1785"/>
      <c r="J993" s="1785"/>
      <c r="K993" s="1785"/>
      <c r="L993" s="1785"/>
      <c r="M993" s="1785"/>
      <c r="N993" s="1785"/>
      <c r="O993" s="1785"/>
      <c r="P993" s="1785"/>
      <c r="Q993" s="1785"/>
      <c r="R993" s="1785"/>
      <c r="S993" s="1785"/>
      <c r="T993" s="1785"/>
      <c r="U993" s="1785"/>
      <c r="V993" s="1785"/>
      <c r="W993" s="1785"/>
      <c r="X993" s="1785"/>
      <c r="Y993" s="1785"/>
      <c r="Z993" s="1785"/>
      <c r="AA993" s="1785"/>
      <c r="AB993" s="1785"/>
      <c r="AC993" s="1785"/>
      <c r="AD993" s="1785"/>
      <c r="AE993" s="1786"/>
      <c r="AF993" s="79"/>
      <c r="AG993" s="1825" t="s">
        <v>676</v>
      </c>
      <c r="AH993" s="1826"/>
      <c r="AI993" s="87"/>
      <c r="AJ993" s="1787">
        <f>ROUND(IF(AND(AG993="yes",D999&gt;0),AJ991*0.2,0),0)</f>
        <v>0</v>
      </c>
      <c r="AK993" s="1788"/>
      <c r="AL993" s="1788"/>
      <c r="AM993" s="1788"/>
      <c r="AN993" s="1788"/>
      <c r="AO993" s="1788"/>
      <c r="AP993" s="1788"/>
      <c r="AQ993" s="178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2" t="s">
        <v>2564</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90"/>
      <c r="AK994" s="1791"/>
      <c r="AL994" s="1791"/>
      <c r="AM994" s="1791"/>
      <c r="AN994" s="1791"/>
      <c r="AO994" s="1791"/>
      <c r="AP994" s="1791"/>
      <c r="AQ994" s="179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90"/>
      <c r="AK995" s="1791"/>
      <c r="AL995" s="1791"/>
      <c r="AM995" s="1791"/>
      <c r="AN995" s="1791"/>
      <c r="AO995" s="1791"/>
      <c r="AP995" s="1791"/>
      <c r="AQ995" s="179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90"/>
      <c r="AK996" s="1791"/>
      <c r="AL996" s="1791"/>
      <c r="AM996" s="1791"/>
      <c r="AN996" s="1791"/>
      <c r="AO996" s="1791"/>
      <c r="AP996" s="1791"/>
      <c r="AQ996" s="179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90"/>
      <c r="AK997" s="1791"/>
      <c r="AL997" s="1791"/>
      <c r="AM997" s="1791"/>
      <c r="AN997" s="1791"/>
      <c r="AO997" s="1791"/>
      <c r="AP997" s="1791"/>
      <c r="AQ997" s="179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5" t="s">
        <v>2565</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90"/>
      <c r="AK998" s="1791"/>
      <c r="AL998" s="1791"/>
      <c r="AM998" s="1791"/>
      <c r="AN998" s="1791"/>
      <c r="AO998" s="1791"/>
      <c r="AP998" s="1791"/>
      <c r="AQ998" s="179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8"/>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77"/>
      <c r="AG999" s="7"/>
      <c r="AH999" s="7"/>
      <c r="AI999" s="78"/>
      <c r="AJ999" s="1793"/>
      <c r="AK999" s="1794"/>
      <c r="AL999" s="1794"/>
      <c r="AM999" s="1794"/>
      <c r="AN999" s="1794"/>
      <c r="AO999" s="1794"/>
      <c r="AP999" s="1794"/>
      <c r="AQ999" s="179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9" t="s">
        <v>1392</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82" t="s">
        <v>676</v>
      </c>
      <c r="AH1000" s="1683"/>
      <c r="AI1000" s="87"/>
      <c r="AJ1000" s="1787">
        <f>ROUND(IF(AG1000="yes",AJ991*0.05,0),0)</f>
        <v>0</v>
      </c>
      <c r="AK1000" s="1788"/>
      <c r="AL1000" s="1788"/>
      <c r="AM1000" s="1788"/>
      <c r="AN1000" s="1788"/>
      <c r="AO1000" s="1788"/>
      <c r="AP1000" s="1788"/>
      <c r="AQ1000" s="178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2" t="s">
        <v>1390</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90"/>
      <c r="AK1001" s="1791"/>
      <c r="AL1001" s="1791"/>
      <c r="AM1001" s="1791"/>
      <c r="AN1001" s="1791"/>
      <c r="AO1001" s="1791"/>
      <c r="AP1001" s="1791"/>
      <c r="AQ1001" s="179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90"/>
      <c r="AK1002" s="1791"/>
      <c r="AL1002" s="1791"/>
      <c r="AM1002" s="1791"/>
      <c r="AN1002" s="1791"/>
      <c r="AO1002" s="1791"/>
      <c r="AP1002" s="1791"/>
      <c r="AQ1002" s="1792"/>
      <c r="AR1002" s="68"/>
      <c r="AS1002" s="68"/>
      <c r="AT1002" s="68"/>
      <c r="AU1002" s="68"/>
      <c r="AV1002" s="68"/>
      <c r="AW1002" s="68"/>
      <c r="AX1002" s="68"/>
      <c r="AY1002" s="949">
        <f>G753+O797</f>
        <v>69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90"/>
      <c r="AK1003" s="1791"/>
      <c r="AL1003" s="1791"/>
      <c r="AM1003" s="1791"/>
      <c r="AN1003" s="1791"/>
      <c r="AO1003" s="1791"/>
      <c r="AP1003" s="1791"/>
      <c r="AQ1003" s="179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90"/>
      <c r="AK1004" s="1791"/>
      <c r="AL1004" s="1791"/>
      <c r="AM1004" s="1791"/>
      <c r="AN1004" s="1791"/>
      <c r="AO1004" s="1791"/>
      <c r="AP1004" s="1791"/>
      <c r="AQ1004" s="1792"/>
      <c r="AR1004" s="68"/>
      <c r="AS1004" s="68"/>
      <c r="AT1004" s="68"/>
      <c r="AU1004" s="68"/>
      <c r="AV1004" s="68"/>
      <c r="AW1004" s="68"/>
      <c r="AX1004" s="68"/>
      <c r="AY1004" s="948">
        <f>ROUNDDOWN(X1047/I1047,2)</f>
        <v>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93"/>
      <c r="AK1005" s="1794"/>
      <c r="AL1005" s="1794"/>
      <c r="AM1005" s="1794"/>
      <c r="AN1005" s="1794"/>
      <c r="AO1005" s="1794"/>
      <c r="AP1005" s="1794"/>
      <c r="AQ1005" s="179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49" t="s">
        <v>1869</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82" t="s">
        <v>676</v>
      </c>
      <c r="AH1006" s="1683"/>
      <c r="AI1006" s="87"/>
      <c r="AJ1006" s="1787">
        <f>ROUND(IF(AG1006="yes",AJ991*0.1,0),0)</f>
        <v>0</v>
      </c>
      <c r="AK1006" s="1788"/>
      <c r="AL1006" s="1788"/>
      <c r="AM1006" s="1788"/>
      <c r="AN1006" s="1788"/>
      <c r="AO1006" s="1788"/>
      <c r="AP1006" s="1788"/>
      <c r="AQ1006" s="1789"/>
      <c r="AR1006" s="68"/>
      <c r="AS1006" s="68"/>
      <c r="AT1006" s="68"/>
      <c r="AU1006" s="68"/>
      <c r="AV1006" s="68"/>
      <c r="AW1006" s="68"/>
      <c r="AX1006" s="68"/>
      <c r="BB1006" s="34"/>
      <c r="BD1006" s="34"/>
      <c r="BE1006" s="34"/>
      <c r="BF1006" s="34"/>
    </row>
    <row r="1007" spans="1:157" ht="12.95" customHeight="1">
      <c r="A1007" s="14"/>
      <c r="B1007" s="73"/>
      <c r="C1007" s="74"/>
      <c r="D1007" s="1673" t="s">
        <v>1391</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90"/>
      <c r="AK1007" s="1791"/>
      <c r="AL1007" s="1791"/>
      <c r="AM1007" s="1791"/>
      <c r="AN1007" s="1791"/>
      <c r="AO1007" s="1791"/>
      <c r="AP1007" s="1791"/>
      <c r="AQ1007" s="1792"/>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90"/>
      <c r="AK1008" s="1791"/>
      <c r="AL1008" s="1791"/>
      <c r="AM1008" s="1791"/>
      <c r="AN1008" s="1791"/>
      <c r="AO1008" s="1791"/>
      <c r="AP1008" s="1791"/>
      <c r="AQ1008" s="1792"/>
      <c r="AR1008" s="68"/>
      <c r="AS1008" s="68"/>
      <c r="AT1008" s="68"/>
      <c r="AU1008" s="68"/>
      <c r="AV1008" s="68"/>
      <c r="AW1008" s="68"/>
      <c r="AX1008" s="68"/>
    </row>
    <row r="1009" spans="1:51" ht="12.95"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93"/>
      <c r="AK1009" s="1794"/>
      <c r="AL1009" s="1794"/>
      <c r="AM1009" s="1794"/>
      <c r="AN1009" s="1794"/>
      <c r="AO1009" s="1794"/>
      <c r="AP1009" s="1794"/>
      <c r="AQ1009" s="1795"/>
      <c r="AR1009" s="68"/>
      <c r="AS1009" s="68"/>
      <c r="AT1009" s="68"/>
      <c r="AU1009" s="68"/>
      <c r="AV1009" s="68"/>
      <c r="AW1009" s="68"/>
      <c r="AX1009" s="68"/>
    </row>
    <row r="1010" spans="1:51" ht="12.95" customHeight="1">
      <c r="A1010" s="14"/>
      <c r="B1010" s="79"/>
      <c r="C1010" s="80" t="s">
        <v>213</v>
      </c>
      <c r="D1010" s="1649" t="s">
        <v>1393</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82" t="s">
        <v>676</v>
      </c>
      <c r="AH1010" s="1683"/>
      <c r="AI1010" s="87"/>
      <c r="AJ1010" s="1787">
        <f>ROUND(IF(AG1010="yes",AJ991*0.02,0),0)</f>
        <v>0</v>
      </c>
      <c r="AK1010" s="1788"/>
      <c r="AL1010" s="1788"/>
      <c r="AM1010" s="1788"/>
      <c r="AN1010" s="1788"/>
      <c r="AO1010" s="1788"/>
      <c r="AP1010" s="1788"/>
      <c r="AQ1010" s="1789"/>
      <c r="AR1010" s="68"/>
      <c r="AS1010" s="68"/>
      <c r="AT1010" s="68"/>
      <c r="AU1010" s="68"/>
      <c r="AV1010" s="68"/>
      <c r="AW1010" s="68"/>
      <c r="AX1010" s="68"/>
      <c r="AY1010" s="215">
        <f>IF(SUM(AY1012:AY1020)&lt;=0.1,SUM(AY1012:AY1020),0.1)</f>
        <v>0</v>
      </c>
    </row>
    <row r="1011" spans="1:51" ht="14.25" customHeight="1">
      <c r="A1011" s="14"/>
      <c r="B1011" s="73"/>
      <c r="C1011" s="74"/>
      <c r="D1011" s="1658" t="s">
        <v>1394</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93"/>
      <c r="AK1011" s="1794"/>
      <c r="AL1011" s="1794"/>
      <c r="AM1011" s="1794"/>
      <c r="AN1011" s="1794"/>
      <c r="AO1011" s="1794"/>
      <c r="AP1011" s="1794"/>
      <c r="AQ1011" s="1795"/>
      <c r="AR1011" s="68"/>
      <c r="AS1011" s="68"/>
      <c r="AT1011" s="68"/>
      <c r="AU1011" s="68"/>
      <c r="AV1011" s="68"/>
      <c r="AW1011" s="68"/>
      <c r="AX1011" s="68"/>
    </row>
    <row r="1012" spans="1:51" ht="12.95" customHeight="1">
      <c r="A1012" s="14"/>
      <c r="B1012" s="79"/>
      <c r="C1012" s="80" t="s">
        <v>216</v>
      </c>
      <c r="D1012" s="1649" t="s">
        <v>1395</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82" t="s">
        <v>676</v>
      </c>
      <c r="AH1012" s="1683"/>
      <c r="AI1012" s="79"/>
      <c r="AJ1012" s="1787">
        <f>ROUND(IF(AG1012="yes",AJ991*0.02,0),0)</f>
        <v>0</v>
      </c>
      <c r="AK1012" s="1788"/>
      <c r="AL1012" s="1788"/>
      <c r="AM1012" s="1788"/>
      <c r="AN1012" s="1788"/>
      <c r="AO1012" s="1788"/>
      <c r="AP1012" s="1788"/>
      <c r="AQ1012" s="1789"/>
      <c r="AR1012" s="68"/>
      <c r="AS1012" s="68"/>
      <c r="AT1012" s="68"/>
      <c r="AU1012" s="68"/>
      <c r="AV1012" s="68"/>
      <c r="AW1012" s="68"/>
      <c r="AX1012" s="68"/>
      <c r="AY1012" s="213">
        <f>IF(A1064="Yes",0.05,0)</f>
        <v>0</v>
      </c>
    </row>
    <row r="1013" spans="1:51" ht="12.95" customHeight="1">
      <c r="A1013" s="14"/>
      <c r="B1013" s="73"/>
      <c r="C1013" s="74"/>
      <c r="D1013" s="1673" t="s">
        <v>1396</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9" t="str">
        <f>IF(AND(AG1012="yes",AB212&lt;&gt;1),"The project may not be eligible for this boost","")</f>
        <v/>
      </c>
      <c r="AG1013" s="1860"/>
      <c r="AH1013" s="1860"/>
      <c r="AI1013" s="1861"/>
      <c r="AJ1013" s="1790"/>
      <c r="AK1013" s="1791"/>
      <c r="AL1013" s="1791"/>
      <c r="AM1013" s="1791"/>
      <c r="AN1013" s="1791"/>
      <c r="AO1013" s="1791"/>
      <c r="AP1013" s="1791"/>
      <c r="AQ1013" s="1792"/>
      <c r="AR1013" s="68"/>
      <c r="AS1013" s="68"/>
      <c r="AT1013" s="68"/>
      <c r="AU1013" s="68"/>
      <c r="AV1013" s="68"/>
      <c r="AW1013" s="68"/>
      <c r="AX1013" s="68"/>
      <c r="AY1013" s="213">
        <f>IF(A1070="Yes",0.02,0)</f>
        <v>0</v>
      </c>
    </row>
    <row r="1014" spans="1:51" ht="12.95"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2"/>
      <c r="AG1014" s="1863"/>
      <c r="AH1014" s="1863"/>
      <c r="AI1014" s="1864"/>
      <c r="AJ1014" s="1793"/>
      <c r="AK1014" s="1794"/>
      <c r="AL1014" s="1794"/>
      <c r="AM1014" s="1794"/>
      <c r="AN1014" s="1794"/>
      <c r="AO1014" s="1794"/>
      <c r="AP1014" s="1794"/>
      <c r="AQ1014" s="1795"/>
      <c r="AR1014" s="68"/>
      <c r="AS1014" s="68"/>
      <c r="AT1014" s="68"/>
      <c r="AU1014" s="68"/>
      <c r="AV1014" s="68"/>
      <c r="AW1014" s="68"/>
      <c r="AX1014" s="68"/>
      <c r="AY1014" s="213">
        <f>IF(A1076="Yes",0.04,0)</f>
        <v>0</v>
      </c>
    </row>
    <row r="1015" spans="1:51" ht="12.95" customHeight="1">
      <c r="A1015" s="14"/>
      <c r="B1015" s="79"/>
      <c r="C1015" s="80" t="s">
        <v>219</v>
      </c>
      <c r="D1015" s="1784" t="s">
        <v>1397</v>
      </c>
      <c r="E1015" s="1785"/>
      <c r="F1015" s="1785"/>
      <c r="G1015" s="1785"/>
      <c r="H1015" s="1785"/>
      <c r="I1015" s="1785"/>
      <c r="J1015" s="1785"/>
      <c r="K1015" s="1785"/>
      <c r="L1015" s="1785"/>
      <c r="M1015" s="1785"/>
      <c r="N1015" s="1785"/>
      <c r="O1015" s="1785"/>
      <c r="P1015" s="1785"/>
      <c r="Q1015" s="1785"/>
      <c r="R1015" s="1785"/>
      <c r="S1015" s="1785"/>
      <c r="T1015" s="1785"/>
      <c r="U1015" s="1785"/>
      <c r="V1015" s="1785"/>
      <c r="W1015" s="1785"/>
      <c r="X1015" s="1785"/>
      <c r="Y1015" s="1785"/>
      <c r="Z1015" s="1785"/>
      <c r="AA1015" s="1785"/>
      <c r="AB1015" s="1785"/>
      <c r="AC1015" s="1785"/>
      <c r="AD1015" s="1785"/>
      <c r="AE1015" s="1786"/>
      <c r="AF1015" s="79"/>
      <c r="AG1015" s="1682" t="s">
        <v>676</v>
      </c>
      <c r="AH1015" s="1683"/>
      <c r="AI1015" s="87"/>
      <c r="AJ1015" s="1787">
        <f>IF(AG1015="yes",AJ991*AY1010,0)</f>
        <v>0</v>
      </c>
      <c r="AK1015" s="1788"/>
      <c r="AL1015" s="1788"/>
      <c r="AM1015" s="1788"/>
      <c r="AN1015" s="1788"/>
      <c r="AO1015" s="1788"/>
      <c r="AP1015" s="1788"/>
      <c r="AQ1015" s="1789"/>
      <c r="AR1015" s="68"/>
      <c r="AS1015" s="68"/>
      <c r="AT1015" s="68"/>
      <c r="AU1015" s="68"/>
      <c r="AV1015" s="68"/>
      <c r="AW1015" s="68"/>
      <c r="AX1015" s="68"/>
      <c r="AY1015" s="213">
        <f>IF(A1083="Yes",0.04,0)</f>
        <v>0</v>
      </c>
    </row>
    <row r="1016" spans="1:51" ht="12.95" customHeight="1">
      <c r="A1016" s="14"/>
      <c r="B1016" s="73"/>
      <c r="C1016" s="74"/>
      <c r="D1016" s="1673" t="s">
        <v>1398</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3" t="str">
        <f>IF(AND(AG1015="Yes",AY1010=0),AY1022,"")</f>
        <v/>
      </c>
      <c r="AG1016" s="1854"/>
      <c r="AH1016" s="1854"/>
      <c r="AI1016" s="1855"/>
      <c r="AJ1016" s="1790"/>
      <c r="AK1016" s="1791"/>
      <c r="AL1016" s="1791"/>
      <c r="AM1016" s="1791"/>
      <c r="AN1016" s="1791"/>
      <c r="AO1016" s="1791"/>
      <c r="AP1016" s="1791"/>
      <c r="AQ1016" s="1792"/>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3"/>
      <c r="AG1017" s="1854"/>
      <c r="AH1017" s="1854"/>
      <c r="AI1017" s="1855"/>
      <c r="AJ1017" s="1790"/>
      <c r="AK1017" s="1791"/>
      <c r="AL1017" s="1791"/>
      <c r="AM1017" s="1791"/>
      <c r="AN1017" s="1791"/>
      <c r="AO1017" s="1791"/>
      <c r="AP1017" s="1791"/>
      <c r="AQ1017" s="1792"/>
      <c r="AR1017" s="68"/>
      <c r="AS1017" s="68"/>
      <c r="AT1017" s="68"/>
      <c r="AU1017" s="68"/>
      <c r="AV1017" s="68"/>
      <c r="AW1017" s="68"/>
      <c r="AX1017" s="68"/>
      <c r="AY1017" s="213">
        <f>IF(A1091="Yes",0.01,0)</f>
        <v>0</v>
      </c>
    </row>
    <row r="1018" spans="1:51" ht="12.95"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6"/>
      <c r="AG1018" s="1857"/>
      <c r="AH1018" s="1857"/>
      <c r="AI1018" s="1858"/>
      <c r="AJ1018" s="1793"/>
      <c r="AK1018" s="1794"/>
      <c r="AL1018" s="1794"/>
      <c r="AM1018" s="1794"/>
      <c r="AN1018" s="1794"/>
      <c r="AO1018" s="1794"/>
      <c r="AP1018" s="1794"/>
      <c r="AQ1018" s="1795"/>
      <c r="AR1018" s="68"/>
      <c r="AS1018" s="68"/>
      <c r="AT1018" s="68"/>
      <c r="AU1018" s="68"/>
      <c r="AV1018" s="68"/>
      <c r="AW1018" s="68"/>
      <c r="AX1018" s="68"/>
      <c r="AY1018" s="213">
        <f>IF(A1094="Yes",0.01,0)</f>
        <v>0</v>
      </c>
    </row>
    <row r="1019" spans="1:51" ht="12.95" customHeight="1">
      <c r="A1019" s="14"/>
      <c r="B1019" s="79"/>
      <c r="C1019" s="80" t="s">
        <v>224</v>
      </c>
      <c r="D1019" s="1807" t="s">
        <v>1399</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82" t="s">
        <v>676</v>
      </c>
      <c r="AH1019" s="1683"/>
      <c r="AI1019" s="87"/>
      <c r="AJ1019" s="1787">
        <f>ROUND(IF(AND(AG1019="Yes",J1023&lt;&gt;"N/A",AF1022&lt;&gt;""),MIN(AF1022,(0.15*AJ991)),0),0)</f>
        <v>0</v>
      </c>
      <c r="AK1019" s="1788"/>
      <c r="AL1019" s="1788"/>
      <c r="AM1019" s="1788"/>
      <c r="AN1019" s="1788"/>
      <c r="AO1019" s="1788"/>
      <c r="AP1019" s="1788"/>
      <c r="AQ1019" s="1789"/>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27" t="str">
        <f>IF(AG1019="yes","Please Select Type and Enter Amount:","")</f>
        <v/>
      </c>
      <c r="AG1020" s="1828"/>
      <c r="AH1020" s="1828"/>
      <c r="AI1020" s="1829"/>
      <c r="AJ1020" s="1790"/>
      <c r="AK1020" s="1791"/>
      <c r="AL1020" s="1791"/>
      <c r="AM1020" s="1791"/>
      <c r="AN1020" s="1791"/>
      <c r="AO1020" s="1791"/>
      <c r="AP1020" s="1791"/>
      <c r="AQ1020" s="1792"/>
      <c r="AR1020" s="68"/>
      <c r="AS1020" s="68"/>
      <c r="AT1020" s="68"/>
      <c r="AU1020" s="68"/>
      <c r="AV1020" s="68"/>
      <c r="AW1020" s="68"/>
      <c r="AX1020" s="68"/>
      <c r="AY1020" s="214">
        <f>IF(A1103="Yes",0.02,0)</f>
        <v>0</v>
      </c>
    </row>
    <row r="1021" spans="1:51" ht="12.95" customHeight="1">
      <c r="A1021" s="14"/>
      <c r="B1021" s="81"/>
      <c r="C1021" s="84"/>
      <c r="D1021" s="1673" t="s">
        <v>1400</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7"/>
      <c r="AG1021" s="1828"/>
      <c r="AH1021" s="1828"/>
      <c r="AI1021" s="1829"/>
      <c r="AJ1021" s="1790"/>
      <c r="AK1021" s="1791"/>
      <c r="AL1021" s="1791"/>
      <c r="AM1021" s="1791"/>
      <c r="AN1021" s="1791"/>
      <c r="AO1021" s="1791"/>
      <c r="AP1021" s="1791"/>
      <c r="AQ1021" s="1792"/>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61"/>
      <c r="AG1022" s="1661"/>
      <c r="AH1022" s="1661"/>
      <c r="AI1022" s="1661"/>
      <c r="AJ1022" s="1790"/>
      <c r="AK1022" s="1791"/>
      <c r="AL1022" s="1791"/>
      <c r="AM1022" s="1791"/>
      <c r="AN1022" s="1791"/>
      <c r="AO1022" s="1791"/>
      <c r="AP1022" s="1791"/>
      <c r="AQ1022" s="179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9" t="s">
        <v>599</v>
      </c>
      <c r="K1023" s="1820"/>
      <c r="L1023" s="1820"/>
      <c r="M1023" s="1820"/>
      <c r="N1023" s="1820"/>
      <c r="O1023" s="1820"/>
      <c r="P1023" s="1820"/>
      <c r="Q1023" s="1820"/>
      <c r="R1023" s="1820"/>
      <c r="S1023" s="1820"/>
      <c r="T1023" s="1820"/>
      <c r="U1023" s="1820"/>
      <c r="V1023" s="1820"/>
      <c r="W1023" s="1820"/>
      <c r="X1023" s="1820"/>
      <c r="Y1023" s="1820"/>
      <c r="Z1023" s="1820"/>
      <c r="AA1023" s="1820"/>
      <c r="AB1023" s="1820"/>
      <c r="AC1023" s="1820"/>
      <c r="AD1023" s="1820"/>
      <c r="AE1023" s="1821"/>
      <c r="AF1023" s="1661"/>
      <c r="AG1023" s="1661"/>
      <c r="AH1023" s="1661"/>
      <c r="AI1023" s="1661"/>
      <c r="AJ1023" s="1793"/>
      <c r="AK1023" s="1794"/>
      <c r="AL1023" s="1794"/>
      <c r="AM1023" s="1794"/>
      <c r="AN1023" s="1794"/>
      <c r="AO1023" s="1794"/>
      <c r="AP1023" s="1794"/>
      <c r="AQ1023" s="1795"/>
      <c r="AR1023" s="68"/>
      <c r="AS1023" s="68"/>
      <c r="AT1023" s="68"/>
      <c r="AU1023" s="68"/>
      <c r="AV1023" s="68"/>
      <c r="AW1023" s="68"/>
      <c r="AX1023" s="68"/>
      <c r="AY1023" s="68"/>
    </row>
    <row r="1024" spans="1:51" ht="12.95" customHeight="1">
      <c r="A1024" s="14"/>
      <c r="B1024" s="79"/>
      <c r="C1024" s="80" t="s">
        <v>230</v>
      </c>
      <c r="D1024" s="1649" t="s">
        <v>1401</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82" t="s">
        <v>676</v>
      </c>
      <c r="AH1024" s="1683"/>
      <c r="AI1024" s="87"/>
      <c r="AJ1024" s="1787">
        <f>ROUND(IF(AG1024="Yes",AF1026,0),0)</f>
        <v>0</v>
      </c>
      <c r="AK1024" s="1788"/>
      <c r="AL1024" s="1788"/>
      <c r="AM1024" s="1788"/>
      <c r="AN1024" s="1788"/>
      <c r="AO1024" s="1788"/>
      <c r="AP1024" s="1788"/>
      <c r="AQ1024" s="1789"/>
      <c r="AR1024" s="68"/>
      <c r="AS1024" s="68"/>
      <c r="AT1024" s="68"/>
      <c r="AU1024" s="68"/>
      <c r="AV1024" s="68"/>
      <c r="AW1024" s="68"/>
      <c r="AX1024" s="68"/>
      <c r="AY1024" s="68"/>
    </row>
    <row r="1025" spans="1:51" ht="12.95" customHeight="1">
      <c r="A1025" s="14"/>
      <c r="B1025" s="73"/>
      <c r="C1025" s="74"/>
      <c r="D1025" s="1673" t="s">
        <v>1876</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13" t="str">
        <f>IF(AG1024="yes","Enter Amount:","")</f>
        <v/>
      </c>
      <c r="AG1025" s="1814"/>
      <c r="AH1025" s="1814"/>
      <c r="AI1025" s="1815"/>
      <c r="AJ1025" s="1790"/>
      <c r="AK1025" s="1791"/>
      <c r="AL1025" s="1791"/>
      <c r="AM1025" s="1791"/>
      <c r="AN1025" s="1791"/>
      <c r="AO1025" s="1791"/>
      <c r="AP1025" s="1791"/>
      <c r="AQ1025" s="1792"/>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61"/>
      <c r="AG1026" s="1661"/>
      <c r="AH1026" s="1661"/>
      <c r="AI1026" s="1661"/>
      <c r="AJ1026" s="1790"/>
      <c r="AK1026" s="1791"/>
      <c r="AL1026" s="1791"/>
      <c r="AM1026" s="1791"/>
      <c r="AN1026" s="1791"/>
      <c r="AO1026" s="1791"/>
      <c r="AP1026" s="1791"/>
      <c r="AQ1026" s="1792"/>
      <c r="AR1026" s="68"/>
      <c r="AS1026" s="68"/>
      <c r="AT1026" s="68"/>
      <c r="AU1026" s="68"/>
      <c r="AV1026" s="68"/>
      <c r="AW1026" s="68"/>
      <c r="AX1026" s="68"/>
      <c r="AY1026" s="68"/>
    </row>
    <row r="1027" spans="1:51" ht="12.95"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93"/>
      <c r="AK1027" s="1794"/>
      <c r="AL1027" s="1794"/>
      <c r="AM1027" s="1794"/>
      <c r="AN1027" s="1794"/>
      <c r="AO1027" s="1794"/>
      <c r="AP1027" s="1794"/>
      <c r="AQ1027" s="1795"/>
      <c r="AR1027" s="68"/>
      <c r="AS1027" s="68"/>
      <c r="AT1027" s="68"/>
      <c r="AU1027" s="68"/>
      <c r="AV1027" s="68"/>
      <c r="AW1027" s="68"/>
      <c r="AX1027" s="68"/>
      <c r="AY1027" s="68"/>
    </row>
    <row r="1028" spans="1:51" ht="12.95" customHeight="1">
      <c r="A1028" s="14"/>
      <c r="B1028" s="79"/>
      <c r="C1028" s="80" t="s">
        <v>235</v>
      </c>
      <c r="D1028" s="1784" t="s">
        <v>1402</v>
      </c>
      <c r="E1028" s="1785"/>
      <c r="F1028" s="1785"/>
      <c r="G1028" s="1785"/>
      <c r="H1028" s="1785"/>
      <c r="I1028" s="1785"/>
      <c r="J1028" s="1785"/>
      <c r="K1028" s="1785"/>
      <c r="L1028" s="1785"/>
      <c r="M1028" s="1785"/>
      <c r="N1028" s="1785"/>
      <c r="O1028" s="1785"/>
      <c r="P1028" s="1785"/>
      <c r="Q1028" s="1785"/>
      <c r="R1028" s="1785"/>
      <c r="S1028" s="1785"/>
      <c r="T1028" s="1785"/>
      <c r="U1028" s="1785"/>
      <c r="V1028" s="1785"/>
      <c r="W1028" s="1785"/>
      <c r="X1028" s="1785"/>
      <c r="Y1028" s="1785"/>
      <c r="Z1028" s="1785"/>
      <c r="AA1028" s="1785"/>
      <c r="AB1028" s="1785"/>
      <c r="AC1028" s="1785"/>
      <c r="AD1028" s="1785"/>
      <c r="AE1028" s="1786"/>
      <c r="AF1028" s="79"/>
      <c r="AG1028" s="1682" t="s">
        <v>676</v>
      </c>
      <c r="AH1028" s="1683"/>
      <c r="AI1028" s="87"/>
      <c r="AJ1028" s="1787">
        <f>ROUND(IF(AG1028="yes",(AJ991*0.1),0),0)</f>
        <v>0</v>
      </c>
      <c r="AK1028" s="1788"/>
      <c r="AL1028" s="1788"/>
      <c r="AM1028" s="1788"/>
      <c r="AN1028" s="1788"/>
      <c r="AO1028" s="1788"/>
      <c r="AP1028" s="1788"/>
      <c r="AQ1028" s="1789"/>
      <c r="AR1028" s="68"/>
      <c r="AS1028" s="68"/>
      <c r="AT1028" s="68"/>
      <c r="AU1028" s="68"/>
      <c r="AV1028" s="68"/>
      <c r="AW1028" s="68"/>
      <c r="AX1028" s="68"/>
      <c r="AY1028" s="68"/>
    </row>
    <row r="1029" spans="1:51" ht="12.95" customHeight="1">
      <c r="A1029" s="14"/>
      <c r="B1029" s="73"/>
      <c r="C1029" s="74"/>
      <c r="D1029" s="1673" t="s">
        <v>1403</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90"/>
      <c r="AK1029" s="1791"/>
      <c r="AL1029" s="1791"/>
      <c r="AM1029" s="1791"/>
      <c r="AN1029" s="1791"/>
      <c r="AO1029" s="1791"/>
      <c r="AP1029" s="1791"/>
      <c r="AQ1029" s="1792"/>
      <c r="AR1029" s="68"/>
      <c r="AS1029" s="68"/>
      <c r="AT1029" s="68"/>
      <c r="AU1029" s="68"/>
      <c r="AV1029" s="68"/>
      <c r="AW1029" s="68"/>
      <c r="AX1029" s="68"/>
      <c r="AY1029" s="68"/>
    </row>
    <row r="1030" spans="1:51" ht="12.95"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93"/>
      <c r="AK1030" s="1794"/>
      <c r="AL1030" s="1794"/>
      <c r="AM1030" s="1794"/>
      <c r="AN1030" s="1794"/>
      <c r="AO1030" s="1794"/>
      <c r="AP1030" s="1794"/>
      <c r="AQ1030" s="1795"/>
      <c r="AR1030" s="68"/>
      <c r="AS1030" s="68"/>
      <c r="AT1030" s="68"/>
      <c r="AU1030" s="68"/>
      <c r="AV1030" s="68"/>
      <c r="AW1030" s="68"/>
      <c r="AX1030" s="68"/>
      <c r="AY1030" s="68"/>
    </row>
    <row r="1031" spans="1:51" ht="12.95" customHeight="1">
      <c r="A1031" s="14"/>
      <c r="B1031" s="73"/>
      <c r="C1031" s="367" t="s">
        <v>695</v>
      </c>
      <c r="D1031" s="1649" t="s">
        <v>1872</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82" t="s">
        <v>676</v>
      </c>
      <c r="AH1031" s="1683"/>
      <c r="AI1031" s="87"/>
      <c r="AJ1031" s="1787">
        <f>ROUND(IF(AG1031="yes",(AJ991*0.15),0),0)</f>
        <v>0</v>
      </c>
      <c r="AK1031" s="1788"/>
      <c r="AL1031" s="1788"/>
      <c r="AM1031" s="1788"/>
      <c r="AN1031" s="1788"/>
      <c r="AO1031" s="1788"/>
      <c r="AP1031" s="1788"/>
      <c r="AQ1031" s="1789"/>
      <c r="AR1031" s="68"/>
      <c r="AS1031" s="68"/>
      <c r="AT1031" s="68"/>
      <c r="AU1031" s="68"/>
      <c r="AV1031" s="68"/>
      <c r="AW1031" s="68"/>
      <c r="AX1031" s="68"/>
      <c r="AY1031" s="68"/>
    </row>
    <row r="1032" spans="1:51" ht="12.95" customHeight="1">
      <c r="A1032" s="14"/>
      <c r="B1032" s="73"/>
      <c r="C1032" s="74"/>
      <c r="D1032" s="1799" t="s">
        <v>1873</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0"/>
      <c r="AF1032" s="950"/>
      <c r="AG1032" s="951"/>
      <c r="AH1032" s="951"/>
      <c r="AI1032" s="952"/>
      <c r="AJ1032" s="1790"/>
      <c r="AK1032" s="1791"/>
      <c r="AL1032" s="1791"/>
      <c r="AM1032" s="1791"/>
      <c r="AN1032" s="1791"/>
      <c r="AO1032" s="1791"/>
      <c r="AP1032" s="1791"/>
      <c r="AQ1032" s="1792"/>
      <c r="AR1032" s="68"/>
      <c r="AS1032" s="68"/>
      <c r="AT1032" s="68"/>
      <c r="AU1032" s="68"/>
      <c r="AV1032" s="68"/>
      <c r="AW1032" s="68"/>
      <c r="AX1032" s="68"/>
      <c r="AY1032" s="68"/>
    </row>
    <row r="1033" spans="1:51" ht="12.95" customHeight="1">
      <c r="A1033" s="14"/>
      <c r="B1033" s="73"/>
      <c r="C1033" s="74"/>
      <c r="D1033" s="179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0"/>
      <c r="AF1033" s="950"/>
      <c r="AG1033" s="951"/>
      <c r="AH1033" s="951"/>
      <c r="AI1033" s="952"/>
      <c r="AJ1033" s="1790"/>
      <c r="AK1033" s="1791"/>
      <c r="AL1033" s="1791"/>
      <c r="AM1033" s="1791"/>
      <c r="AN1033" s="1791"/>
      <c r="AO1033" s="1791"/>
      <c r="AP1033" s="1791"/>
      <c r="AQ1033" s="1792"/>
      <c r="AR1033" s="68"/>
      <c r="AS1033" s="68"/>
      <c r="AT1033" s="68"/>
      <c r="AU1033" s="68"/>
      <c r="AV1033" s="68"/>
      <c r="AW1033" s="68"/>
      <c r="AX1033" s="68"/>
      <c r="AY1033" s="68"/>
    </row>
    <row r="1034" spans="1:51" ht="12.95" customHeight="1">
      <c r="A1034" s="14"/>
      <c r="B1034" s="73"/>
      <c r="C1034" s="74"/>
      <c r="D1034" s="1801"/>
      <c r="E1034" s="1802"/>
      <c r="F1034" s="1802"/>
      <c r="G1034" s="1802"/>
      <c r="H1034" s="1802"/>
      <c r="I1034" s="1802"/>
      <c r="J1034" s="1802"/>
      <c r="K1034" s="1802"/>
      <c r="L1034" s="1802"/>
      <c r="M1034" s="1802"/>
      <c r="N1034" s="1802"/>
      <c r="O1034" s="1802"/>
      <c r="P1034" s="1802"/>
      <c r="Q1034" s="1802"/>
      <c r="R1034" s="1802"/>
      <c r="S1034" s="1802"/>
      <c r="T1034" s="1802"/>
      <c r="U1034" s="1802"/>
      <c r="V1034" s="1802"/>
      <c r="W1034" s="1802"/>
      <c r="X1034" s="1802"/>
      <c r="Y1034" s="1802"/>
      <c r="Z1034" s="1802"/>
      <c r="AA1034" s="1802"/>
      <c r="AB1034" s="1802"/>
      <c r="AC1034" s="1802"/>
      <c r="AD1034" s="1802"/>
      <c r="AE1034" s="1803"/>
      <c r="AF1034" s="953"/>
      <c r="AG1034" s="954"/>
      <c r="AH1034" s="954"/>
      <c r="AI1034" s="955"/>
      <c r="AJ1034" s="1793"/>
      <c r="AK1034" s="1794"/>
      <c r="AL1034" s="1794"/>
      <c r="AM1034" s="1794"/>
      <c r="AN1034" s="1794"/>
      <c r="AO1034" s="1794"/>
      <c r="AP1034" s="1794"/>
      <c r="AQ1034" s="1795"/>
      <c r="AR1034" s="68"/>
      <c r="AS1034" s="68"/>
      <c r="AT1034" s="68"/>
      <c r="AU1034" s="68"/>
      <c r="AV1034" s="68"/>
      <c r="AW1034" s="68"/>
      <c r="AX1034" s="68"/>
      <c r="AY1034" s="68"/>
    </row>
    <row r="1035" spans="1:51" ht="12.95" customHeight="1">
      <c r="A1035" s="14"/>
      <c r="B1035" s="73"/>
      <c r="C1035" s="367" t="s">
        <v>695</v>
      </c>
      <c r="D1035" s="1784" t="s">
        <v>1874</v>
      </c>
      <c r="E1035" s="1785"/>
      <c r="F1035" s="1785"/>
      <c r="G1035" s="1785"/>
      <c r="H1035" s="1785"/>
      <c r="I1035" s="1785"/>
      <c r="J1035" s="1785"/>
      <c r="K1035" s="1785"/>
      <c r="L1035" s="1785"/>
      <c r="M1035" s="1785"/>
      <c r="N1035" s="1785"/>
      <c r="O1035" s="1785"/>
      <c r="P1035" s="1785"/>
      <c r="Q1035" s="1785"/>
      <c r="R1035" s="1785"/>
      <c r="S1035" s="1785"/>
      <c r="T1035" s="1785"/>
      <c r="U1035" s="1785"/>
      <c r="V1035" s="1785"/>
      <c r="W1035" s="1785"/>
      <c r="X1035" s="1785"/>
      <c r="Y1035" s="1785"/>
      <c r="Z1035" s="1785"/>
      <c r="AA1035" s="1785"/>
      <c r="AB1035" s="1785"/>
      <c r="AC1035" s="1785"/>
      <c r="AD1035" s="1785"/>
      <c r="AE1035" s="1786"/>
      <c r="AF1035" s="73"/>
      <c r="AG1035" s="1684" t="s">
        <v>676</v>
      </c>
      <c r="AH1035" s="1685"/>
      <c r="AI1035" s="83"/>
      <c r="AJ1035" s="1787">
        <f>ROUND(IF(AND(AG1035="yes",AJ1031=0),(AJ991*0.1),0),0)</f>
        <v>0</v>
      </c>
      <c r="AK1035" s="1788"/>
      <c r="AL1035" s="1788"/>
      <c r="AM1035" s="1788"/>
      <c r="AN1035" s="1788"/>
      <c r="AO1035" s="1788"/>
      <c r="AP1035" s="1788"/>
      <c r="AQ1035" s="1789"/>
      <c r="AR1035" s="68"/>
      <c r="AS1035" s="68"/>
      <c r="AT1035" s="68"/>
      <c r="AU1035" s="68"/>
      <c r="AV1035" s="68"/>
      <c r="AW1035" s="68"/>
      <c r="AX1035" s="68"/>
      <c r="AY1035" s="68"/>
    </row>
    <row r="1036" spans="1:51" ht="12.95" customHeight="1">
      <c r="A1036" s="14"/>
      <c r="B1036" s="73"/>
      <c r="C1036" s="74"/>
      <c r="D1036" s="1799" t="s">
        <v>1875</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0"/>
      <c r="AF1036" s="73"/>
      <c r="AG1036" s="14"/>
      <c r="AH1036" s="14"/>
      <c r="AI1036" s="83"/>
      <c r="AJ1036" s="1790"/>
      <c r="AK1036" s="1791"/>
      <c r="AL1036" s="1791"/>
      <c r="AM1036" s="1791"/>
      <c r="AN1036" s="1791"/>
      <c r="AO1036" s="1791"/>
      <c r="AP1036" s="1791"/>
      <c r="AQ1036" s="1792"/>
      <c r="AR1036" s="68"/>
      <c r="AS1036" s="68"/>
      <c r="AT1036" s="68"/>
      <c r="AU1036" s="68"/>
      <c r="AV1036" s="68"/>
      <c r="AW1036" s="68"/>
      <c r="AX1036" s="68"/>
      <c r="AY1036" s="68"/>
    </row>
    <row r="1037" spans="1:51" ht="12.95" customHeight="1">
      <c r="A1037" s="14"/>
      <c r="B1037" s="73"/>
      <c r="C1037" s="74"/>
      <c r="D1037" s="179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0"/>
      <c r="AF1037" s="73"/>
      <c r="AG1037" s="14"/>
      <c r="AH1037" s="14"/>
      <c r="AI1037" s="83"/>
      <c r="AJ1037" s="1790"/>
      <c r="AK1037" s="1791"/>
      <c r="AL1037" s="1791"/>
      <c r="AM1037" s="1791"/>
      <c r="AN1037" s="1791"/>
      <c r="AO1037" s="1791"/>
      <c r="AP1037" s="1791"/>
      <c r="AQ1037" s="1792"/>
      <c r="AR1037" s="68"/>
      <c r="AS1037" s="68"/>
      <c r="AT1037" s="68"/>
      <c r="AU1037" s="68"/>
      <c r="AV1037" s="68"/>
      <c r="AW1037" s="68"/>
      <c r="AX1037" s="68"/>
      <c r="AY1037" s="68"/>
    </row>
    <row r="1038" spans="1:51" ht="12.95" customHeight="1">
      <c r="A1038" s="14"/>
      <c r="B1038" s="73"/>
      <c r="C1038" s="74"/>
      <c r="D1038" s="179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0"/>
      <c r="AF1038" s="73"/>
      <c r="AG1038" s="14"/>
      <c r="AH1038" s="14"/>
      <c r="AI1038" s="83"/>
      <c r="AJ1038" s="1790"/>
      <c r="AK1038" s="1791"/>
      <c r="AL1038" s="1791"/>
      <c r="AM1038" s="1791"/>
      <c r="AN1038" s="1791"/>
      <c r="AO1038" s="1791"/>
      <c r="AP1038" s="1791"/>
      <c r="AQ1038" s="1792"/>
      <c r="AR1038" s="68"/>
      <c r="AS1038" s="68"/>
      <c r="AT1038" s="68"/>
      <c r="AU1038" s="68"/>
      <c r="AV1038" s="68"/>
      <c r="AW1038" s="68"/>
      <c r="AX1038" s="68"/>
      <c r="AY1038" s="68"/>
    </row>
    <row r="1039" spans="1:51" ht="12.95" customHeight="1">
      <c r="A1039" s="14"/>
      <c r="B1039" s="73"/>
      <c r="C1039" s="74"/>
      <c r="D1039" s="1801"/>
      <c r="E1039" s="1802"/>
      <c r="F1039" s="1802"/>
      <c r="G1039" s="1802"/>
      <c r="H1039" s="1802"/>
      <c r="I1039" s="1802"/>
      <c r="J1039" s="1802"/>
      <c r="K1039" s="1802"/>
      <c r="L1039" s="1802"/>
      <c r="M1039" s="1802"/>
      <c r="N1039" s="1802"/>
      <c r="O1039" s="1802"/>
      <c r="P1039" s="1802"/>
      <c r="Q1039" s="1802"/>
      <c r="R1039" s="1802"/>
      <c r="S1039" s="1802"/>
      <c r="T1039" s="1802"/>
      <c r="U1039" s="1802"/>
      <c r="V1039" s="1802"/>
      <c r="W1039" s="1802"/>
      <c r="X1039" s="1802"/>
      <c r="Y1039" s="1802"/>
      <c r="Z1039" s="1802"/>
      <c r="AA1039" s="1802"/>
      <c r="AB1039" s="1802"/>
      <c r="AC1039" s="1802"/>
      <c r="AD1039" s="1802"/>
      <c r="AE1039" s="1803"/>
      <c r="AF1039" s="73"/>
      <c r="AG1039" s="14"/>
      <c r="AH1039" s="14"/>
      <c r="AI1039" s="83"/>
      <c r="AJ1039" s="1790"/>
      <c r="AK1039" s="1791"/>
      <c r="AL1039" s="1791"/>
      <c r="AM1039" s="1791"/>
      <c r="AN1039" s="1791"/>
      <c r="AO1039" s="1791"/>
      <c r="AP1039" s="1791"/>
      <c r="AQ1039" s="1792"/>
      <c r="AR1039" s="68"/>
      <c r="AS1039" s="68"/>
      <c r="AT1039" s="68"/>
      <c r="AU1039" s="68"/>
      <c r="AV1039" s="68"/>
      <c r="AW1039" s="68"/>
      <c r="AX1039" s="68"/>
      <c r="AY1039" s="68"/>
    </row>
    <row r="1040" spans="1:51" ht="12.95" customHeight="1">
      <c r="A1040" s="14"/>
      <c r="B1040" s="79"/>
      <c r="C1040" s="131" t="s">
        <v>1032</v>
      </c>
      <c r="D1040" s="1649" t="s">
        <v>1404</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82" t="s">
        <v>676</v>
      </c>
      <c r="AH1040" s="1683"/>
      <c r="AI1040" s="87"/>
      <c r="AJ1040" s="1787">
        <f>ROUND(IF(AG1040="yes",(AJ991*0.1),0),0)</f>
        <v>0</v>
      </c>
      <c r="AK1040" s="1788"/>
      <c r="AL1040" s="1788"/>
      <c r="AM1040" s="1788"/>
      <c r="AN1040" s="1788"/>
      <c r="AO1040" s="1788"/>
      <c r="AP1040" s="1788"/>
      <c r="AQ1040" s="1789"/>
      <c r="AR1040" s="68"/>
      <c r="AS1040" s="68"/>
      <c r="AT1040" s="68"/>
      <c r="AU1040" s="68"/>
      <c r="AV1040" s="68"/>
      <c r="AW1040" s="68"/>
      <c r="AX1040" s="68"/>
      <c r="AY1040" s="68"/>
    </row>
    <row r="1041" spans="1:51" ht="12.95" customHeight="1">
      <c r="A1041" s="14"/>
      <c r="B1041" s="73"/>
      <c r="C1041" s="74"/>
      <c r="D1041" s="1673" t="s">
        <v>2500</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90"/>
      <c r="AK1041" s="1791"/>
      <c r="AL1041" s="1791"/>
      <c r="AM1041" s="1791"/>
      <c r="AN1041" s="1791"/>
      <c r="AO1041" s="1791"/>
      <c r="AP1041" s="1791"/>
      <c r="AQ1041" s="1792"/>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90"/>
      <c r="AK1042" s="1791"/>
      <c r="AL1042" s="1791"/>
      <c r="AM1042" s="1791"/>
      <c r="AN1042" s="1791"/>
      <c r="AO1042" s="1791"/>
      <c r="AP1042" s="1791"/>
      <c r="AQ1042" s="1792"/>
      <c r="AR1042" s="68"/>
      <c r="AS1042" s="68"/>
      <c r="AT1042" s="68"/>
      <c r="AU1042" s="68"/>
      <c r="AV1042" s="68"/>
      <c r="AW1042" s="68"/>
      <c r="AX1042" s="68"/>
      <c r="AY1042" s="68"/>
    </row>
    <row r="1043" spans="1:51" ht="12.95"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93"/>
      <c r="AK1043" s="1794"/>
      <c r="AL1043" s="1794"/>
      <c r="AM1043" s="1794"/>
      <c r="AN1043" s="1794"/>
      <c r="AO1043" s="1794"/>
      <c r="AP1043" s="1794"/>
      <c r="AQ1043" s="1795"/>
      <c r="AR1043" s="68"/>
      <c r="AS1043" s="68"/>
      <c r="AT1043" s="68"/>
      <c r="AU1043" s="68"/>
      <c r="AV1043" s="68"/>
      <c r="AW1043" s="68"/>
      <c r="AX1043" s="68"/>
      <c r="AY1043" s="68"/>
    </row>
    <row r="1044" spans="1:51" ht="12.95" customHeight="1">
      <c r="A1044" s="14"/>
      <c r="B1044" s="79"/>
      <c r="C1044" s="131" t="s">
        <v>1870</v>
      </c>
      <c r="D1044" s="1784" t="s">
        <v>2052</v>
      </c>
      <c r="E1044" s="1785"/>
      <c r="F1044" s="1785"/>
      <c r="G1044" s="1785"/>
      <c r="H1044" s="1785"/>
      <c r="I1044" s="1785"/>
      <c r="J1044" s="1785"/>
      <c r="K1044" s="1785"/>
      <c r="L1044" s="1785"/>
      <c r="M1044" s="1785"/>
      <c r="N1044" s="1785"/>
      <c r="O1044" s="1785"/>
      <c r="P1044" s="1785"/>
      <c r="Q1044" s="1785"/>
      <c r="R1044" s="1785"/>
      <c r="S1044" s="1785"/>
      <c r="T1044" s="1785"/>
      <c r="U1044" s="1785"/>
      <c r="V1044" s="1785"/>
      <c r="W1044" s="1785"/>
      <c r="X1044" s="1785"/>
      <c r="Y1044" s="1785"/>
      <c r="Z1044" s="1785"/>
      <c r="AA1044" s="1785"/>
      <c r="AB1044" s="1785"/>
      <c r="AC1044" s="1785"/>
      <c r="AD1044" s="1785"/>
      <c r="AE1044" s="1786"/>
      <c r="AF1044" s="79"/>
      <c r="AG1044" s="1680" t="str">
        <f>IF(X1047&gt;0,"Yes","No")</f>
        <v>Yes</v>
      </c>
      <c r="AH1044" s="1681"/>
      <c r="AI1044" s="87"/>
      <c r="AJ1044" s="1787">
        <f>IF((X1047=0),0,AY1004*AJ991)</f>
        <v>11321964</v>
      </c>
      <c r="AK1044" s="1788"/>
      <c r="AL1044" s="1788"/>
      <c r="AM1044" s="1788"/>
      <c r="AN1044" s="1788"/>
      <c r="AO1044" s="1788"/>
      <c r="AP1044" s="1788"/>
      <c r="AQ1044" s="1789"/>
      <c r="AR1044" s="68"/>
      <c r="AS1044" s="68"/>
      <c r="AT1044" s="68"/>
      <c r="AU1044" s="68"/>
      <c r="AV1044" s="68"/>
      <c r="AW1044" s="68"/>
      <c r="AX1044" s="68"/>
      <c r="AY1044" s="68"/>
    </row>
    <row r="1045" spans="1:51" ht="12.95" customHeight="1">
      <c r="A1045" s="14"/>
      <c r="B1045" s="73"/>
      <c r="C1045" s="476"/>
      <c r="D1045" s="1673" t="s">
        <v>1406</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90"/>
      <c r="AK1045" s="1791"/>
      <c r="AL1045" s="1791"/>
      <c r="AM1045" s="1791"/>
      <c r="AN1045" s="1791"/>
      <c r="AO1045" s="1791"/>
      <c r="AP1045" s="1791"/>
      <c r="AQ1045" s="1792"/>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90"/>
      <c r="AK1046" s="1791"/>
      <c r="AL1046" s="1791"/>
      <c r="AM1046" s="1791"/>
      <c r="AN1046" s="1791"/>
      <c r="AO1046" s="1791"/>
      <c r="AP1046" s="1791"/>
      <c r="AQ1046" s="1792"/>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78">
        <f>AY1002</f>
        <v>69</v>
      </c>
      <c r="J1047" s="1679"/>
      <c r="K1047" s="7"/>
      <c r="L1047" s="133"/>
      <c r="M1047" s="133"/>
      <c r="N1047" s="133"/>
      <c r="O1047" s="133"/>
      <c r="P1047" s="133"/>
      <c r="Q1047" s="133"/>
      <c r="R1047" s="133"/>
      <c r="S1047" s="133"/>
      <c r="T1047" s="133"/>
      <c r="U1047" s="133"/>
      <c r="V1047" s="134" t="s">
        <v>990</v>
      </c>
      <c r="W1047" s="48"/>
      <c r="X1047" s="1676">
        <f>BG632</f>
        <v>21</v>
      </c>
      <c r="Y1047" s="1677"/>
      <c r="Z1047" s="48"/>
      <c r="AA1047" s="48"/>
      <c r="AB1047" s="48"/>
      <c r="AC1047" s="48"/>
      <c r="AD1047" s="48"/>
      <c r="AE1047" s="49"/>
      <c r="AF1047" s="959"/>
      <c r="AG1047" s="960"/>
      <c r="AH1047" s="960"/>
      <c r="AI1047" s="961"/>
      <c r="AJ1047" s="1793"/>
      <c r="AK1047" s="1794"/>
      <c r="AL1047" s="1794"/>
      <c r="AM1047" s="1794"/>
      <c r="AN1047" s="1794"/>
      <c r="AO1047" s="1794"/>
      <c r="AP1047" s="1794"/>
      <c r="AQ1047" s="1795"/>
      <c r="AR1047" s="68"/>
      <c r="AS1047" s="68"/>
      <c r="AT1047" s="68"/>
      <c r="AU1047" s="14"/>
      <c r="AV1047" s="68"/>
      <c r="AW1047" s="68"/>
      <c r="AX1047" s="68"/>
      <c r="AY1047" s="68"/>
    </row>
    <row r="1048" spans="1:51" ht="12.95" customHeight="1">
      <c r="A1048" s="14"/>
      <c r="B1048" s="79"/>
      <c r="C1048" s="131" t="s">
        <v>1871</v>
      </c>
      <c r="D1048" s="1649" t="s">
        <v>2529</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80" t="str">
        <f>IF(X1051&gt;0,"Yes","No")</f>
        <v>Yes</v>
      </c>
      <c r="AH1048" s="1681"/>
      <c r="AI1048" s="83"/>
      <c r="AJ1048" s="1787">
        <f>IF((X1051=0),0,(2*AY1005)*AJ991)</f>
        <v>7547976</v>
      </c>
      <c r="AK1048" s="1788"/>
      <c r="AL1048" s="1788"/>
      <c r="AM1048" s="1788"/>
      <c r="AN1048" s="1788"/>
      <c r="AO1048" s="1788"/>
      <c r="AP1048" s="1788"/>
      <c r="AQ1048" s="1789"/>
      <c r="AR1048" s="68"/>
      <c r="AS1048" s="68"/>
      <c r="AT1048" s="68"/>
      <c r="AU1048" s="14"/>
      <c r="AV1048" s="68"/>
      <c r="AW1048" s="68"/>
      <c r="AX1048" s="68"/>
      <c r="AY1048" s="68"/>
    </row>
    <row r="1049" spans="1:51" ht="12.95" customHeight="1">
      <c r="A1049" s="14"/>
      <c r="B1049" s="73"/>
      <c r="C1049" s="476"/>
      <c r="D1049" s="1673" t="s">
        <v>1405</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90"/>
      <c r="AK1049" s="1791"/>
      <c r="AL1049" s="1791"/>
      <c r="AM1049" s="1791"/>
      <c r="AN1049" s="1791"/>
      <c r="AO1049" s="1791"/>
      <c r="AP1049" s="1791"/>
      <c r="AQ1049" s="1792"/>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90"/>
      <c r="AK1050" s="1791"/>
      <c r="AL1050" s="1791"/>
      <c r="AM1050" s="1791"/>
      <c r="AN1050" s="1791"/>
      <c r="AO1050" s="1791"/>
      <c r="AP1050" s="1791"/>
      <c r="AQ1050" s="1792"/>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78">
        <f>AY1002</f>
        <v>69</v>
      </c>
      <c r="J1051" s="1679"/>
      <c r="K1051" s="14"/>
      <c r="L1051" s="133"/>
      <c r="M1051" s="133"/>
      <c r="N1051" s="133"/>
      <c r="O1051" s="133"/>
      <c r="P1051" s="133"/>
      <c r="Q1051" s="133"/>
      <c r="R1051" s="133"/>
      <c r="S1051" s="133"/>
      <c r="T1051" s="133"/>
      <c r="U1051" s="133"/>
      <c r="V1051" s="134" t="s">
        <v>991</v>
      </c>
      <c r="X1051" s="1676">
        <f>BK632</f>
        <v>7</v>
      </c>
      <c r="Y1051" s="1677"/>
      <c r="AF1051" s="959"/>
      <c r="AG1051" s="960"/>
      <c r="AH1051" s="960"/>
      <c r="AI1051" s="961"/>
      <c r="AJ1051" s="1793"/>
      <c r="AK1051" s="1794"/>
      <c r="AL1051" s="1794"/>
      <c r="AM1051" s="1794"/>
      <c r="AN1051" s="1794"/>
      <c r="AO1051" s="1794"/>
      <c r="AP1051" s="1794"/>
      <c r="AQ1051" s="1795"/>
      <c r="AR1051" s="68"/>
      <c r="AS1051" s="68"/>
      <c r="AT1051" s="68"/>
      <c r="AU1051" s="68"/>
      <c r="AV1051" s="68"/>
      <c r="AW1051" s="68"/>
      <c r="AX1051" s="68"/>
      <c r="AY1051" s="68"/>
    </row>
    <row r="1052" spans="1:51" ht="12.95" customHeight="1">
      <c r="A1052" s="14"/>
      <c r="B1052" s="102"/>
      <c r="C1052" s="103"/>
      <c r="D1052" s="1671" t="s">
        <v>521</v>
      </c>
      <c r="E1052" s="1671"/>
      <c r="F1052" s="1671"/>
      <c r="G1052" s="1671"/>
      <c r="H1052" s="1671"/>
      <c r="I1052" s="1671"/>
      <c r="J1052" s="1671"/>
      <c r="K1052" s="1671"/>
      <c r="L1052" s="1671"/>
      <c r="M1052" s="1671"/>
      <c r="N1052" s="1671"/>
      <c r="O1052" s="1671"/>
      <c r="P1052" s="1671"/>
      <c r="Q1052" s="1671"/>
      <c r="R1052" s="1671"/>
      <c r="S1052" s="1671"/>
      <c r="T1052" s="1671"/>
      <c r="U1052" s="1671"/>
      <c r="V1052" s="1671"/>
      <c r="W1052" s="1671"/>
      <c r="X1052" s="1671"/>
      <c r="Y1052" s="1671"/>
      <c r="Z1052" s="1671"/>
      <c r="AA1052" s="1671"/>
      <c r="AB1052" s="1671"/>
      <c r="AC1052" s="1671"/>
      <c r="AD1052" s="1671"/>
      <c r="AE1052" s="1671"/>
      <c r="AF1052" s="1671"/>
      <c r="AG1052" s="1671"/>
      <c r="AH1052" s="1671"/>
      <c r="AI1052" s="1672"/>
      <c r="AJ1052" s="1796">
        <f>SUM(AJ991:AQ1051)</f>
        <v>56609820</v>
      </c>
      <c r="AK1052" s="1797"/>
      <c r="AL1052" s="1797"/>
      <c r="AM1052" s="1797"/>
      <c r="AN1052" s="1797"/>
      <c r="AO1052" s="1797"/>
      <c r="AP1052" s="1797"/>
      <c r="AQ1052" s="179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599</v>
      </c>
      <c r="B1064" s="1418"/>
      <c r="C1064" s="8">
        <v>1</v>
      </c>
      <c r="D1064" s="1264" t="s">
        <v>1131</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599</v>
      </c>
      <c r="B1070" s="1418"/>
      <c r="C1070" s="8">
        <v>2</v>
      </c>
      <c r="D1070" s="1264" t="s">
        <v>1130</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599</v>
      </c>
      <c r="B1076" s="1418"/>
      <c r="C1076" s="8">
        <v>3</v>
      </c>
      <c r="D1076" s="1264" t="s">
        <v>2454</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599</v>
      </c>
      <c r="B1083" s="1418"/>
      <c r="C1083" s="8">
        <v>4</v>
      </c>
      <c r="D1083" s="1264" t="s">
        <v>1116</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599</v>
      </c>
      <c r="B1086" s="1418"/>
      <c r="C1086" s="8">
        <v>5</v>
      </c>
      <c r="D1086" s="1264" t="s">
        <v>2455</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599</v>
      </c>
      <c r="B1091" s="1418"/>
      <c r="C1091" s="8">
        <v>6</v>
      </c>
      <c r="D1091" s="1264" t="s">
        <v>1117</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599</v>
      </c>
      <c r="B1094" s="1418"/>
      <c r="C1094" s="212">
        <v>7</v>
      </c>
      <c r="D1094" s="1264" t="s">
        <v>1119</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599</v>
      </c>
      <c r="B1098" s="1418"/>
      <c r="C1098" s="212">
        <v>8</v>
      </c>
      <c r="D1098" s="1348" t="s">
        <v>1868</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599</v>
      </c>
      <c r="B1103" s="1418"/>
      <c r="C1103" s="212">
        <v>9</v>
      </c>
      <c r="D1103" s="1264" t="s">
        <v>1118</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workbookViewId="0">
      <selection activeCell="S26" sqref="S2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1)Lument - Tax-Exempt</v>
      </c>
      <c r="G2" s="139" t="str">
        <f>Application!B628&amp;Application!C628</f>
        <v>2)Lument - Taxable Tail</v>
      </c>
      <c r="H2" s="139" t="str">
        <f>Application!B629&amp;Application!C629</f>
        <v>3)Seller Note</v>
      </c>
      <c r="I2" s="139" t="str">
        <f>Application!B630&amp;Application!C630</f>
        <v>4)SP Tax Credit Developer II - DDF</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602</v>
      </c>
      <c r="B9" s="146">
        <f>SUM(C9+D9)</f>
        <v>17250000</v>
      </c>
      <c r="C9" s="147">
        <v>17250000</v>
      </c>
      <c r="D9" s="147"/>
      <c r="E9" s="147">
        <v>850000</v>
      </c>
      <c r="F9" s="147">
        <v>15250000</v>
      </c>
      <c r="G9" s="147"/>
      <c r="H9" s="147">
        <v>1150000</v>
      </c>
      <c r="I9" s="147"/>
      <c r="J9" s="147"/>
      <c r="K9" s="147"/>
      <c r="L9" s="147"/>
      <c r="M9" s="147"/>
      <c r="N9" s="147"/>
      <c r="O9" s="147"/>
      <c r="P9" s="147"/>
      <c r="Q9" s="147"/>
      <c r="R9" s="550">
        <f>SUM(E9:Q9)</f>
        <v>17250000</v>
      </c>
      <c r="S9" s="148"/>
      <c r="T9" s="147">
        <v>17250000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17250000</v>
      </c>
      <c r="C11" s="146">
        <f t="shared" ref="C11:Q11" si="1">SUM(C9:C10)</f>
        <v>17250000</v>
      </c>
      <c r="D11" s="146">
        <f t="shared" si="1"/>
        <v>0</v>
      </c>
      <c r="E11" s="146">
        <f t="shared" si="1"/>
        <v>850000</v>
      </c>
      <c r="F11" s="146">
        <f t="shared" si="1"/>
        <v>15250000</v>
      </c>
      <c r="G11" s="146">
        <f t="shared" si="1"/>
        <v>0</v>
      </c>
      <c r="H11" s="146">
        <f t="shared" si="1"/>
        <v>1150000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17250000</v>
      </c>
      <c r="S11" s="148"/>
      <c r="T11" s="150">
        <f>SUM(T9:T10)</f>
        <v>17250000</v>
      </c>
      <c r="U11" s="143"/>
    </row>
    <row r="12" spans="1:21" s="144" customFormat="1">
      <c r="A12" s="149" t="s">
        <v>84</v>
      </c>
      <c r="B12" s="146">
        <f t="shared" ref="B12:Q12" si="2">SUM(B8+B11)</f>
        <v>17250000</v>
      </c>
      <c r="C12" s="146">
        <f t="shared" si="2"/>
        <v>17250000</v>
      </c>
      <c r="D12" s="146">
        <f t="shared" si="2"/>
        <v>0</v>
      </c>
      <c r="E12" s="146">
        <f t="shared" si="2"/>
        <v>850000</v>
      </c>
      <c r="F12" s="146">
        <f t="shared" si="2"/>
        <v>15250000</v>
      </c>
      <c r="G12" s="146">
        <f t="shared" si="2"/>
        <v>0</v>
      </c>
      <c r="H12" s="146">
        <f t="shared" si="2"/>
        <v>1150000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17250000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1752</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5600000</v>
      </c>
      <c r="C18" s="147">
        <v>5600000</v>
      </c>
      <c r="D18" s="147"/>
      <c r="E18" s="147">
        <v>5100000</v>
      </c>
      <c r="F18" s="147"/>
      <c r="G18" s="147">
        <v>500000</v>
      </c>
      <c r="H18" s="147"/>
      <c r="I18" s="147"/>
      <c r="J18" s="147"/>
      <c r="K18" s="147"/>
      <c r="L18" s="147"/>
      <c r="M18" s="147"/>
      <c r="N18" s="147"/>
      <c r="O18" s="147"/>
      <c r="P18" s="147"/>
      <c r="Q18" s="147"/>
      <c r="R18" s="550">
        <f>SUM(E18:Q18)</f>
        <v>5600000</v>
      </c>
      <c r="S18" s="147">
        <v>5600000</v>
      </c>
      <c r="T18" s="147"/>
      <c r="U18" s="143"/>
    </row>
    <row r="19" spans="1:21" s="144" customFormat="1">
      <c r="A19" s="145" t="s">
        <v>608</v>
      </c>
      <c r="B19" s="146">
        <f t="shared" si="3"/>
        <v>336000</v>
      </c>
      <c r="C19" s="147">
        <v>336000</v>
      </c>
      <c r="D19" s="147"/>
      <c r="E19" s="147">
        <v>336000</v>
      </c>
      <c r="F19" s="147"/>
      <c r="G19" s="147"/>
      <c r="H19" s="147"/>
      <c r="I19" s="147"/>
      <c r="J19" s="147"/>
      <c r="K19" s="147"/>
      <c r="L19" s="147"/>
      <c r="M19" s="147"/>
      <c r="N19" s="147"/>
      <c r="O19" s="147"/>
      <c r="P19" s="147"/>
      <c r="Q19" s="147"/>
      <c r="R19" s="550">
        <f>SUM(E19:Q19)</f>
        <v>336000</v>
      </c>
      <c r="S19" s="147">
        <v>336000</v>
      </c>
      <c r="T19" s="147"/>
      <c r="U19" s="143"/>
    </row>
    <row r="20" spans="1:21" s="144" customFormat="1">
      <c r="A20" s="145" t="s">
        <v>137</v>
      </c>
      <c r="B20" s="146">
        <f t="shared" si="3"/>
        <v>112000</v>
      </c>
      <c r="C20" s="147">
        <v>112000</v>
      </c>
      <c r="D20" s="147"/>
      <c r="E20" s="147">
        <v>112000</v>
      </c>
      <c r="F20" s="147"/>
      <c r="G20" s="147"/>
      <c r="H20" s="147"/>
      <c r="I20" s="147"/>
      <c r="J20" s="147"/>
      <c r="K20" s="147"/>
      <c r="L20" s="147"/>
      <c r="M20" s="147"/>
      <c r="N20" s="147"/>
      <c r="O20" s="147"/>
      <c r="P20" s="147"/>
      <c r="Q20" s="147"/>
      <c r="R20" s="550">
        <f t="shared" ref="R20:R27" si="4">SUM(E20:Q20)</f>
        <v>112000</v>
      </c>
      <c r="S20" s="147">
        <v>112000</v>
      </c>
      <c r="T20" s="147"/>
      <c r="U20" s="143"/>
    </row>
    <row r="21" spans="1:21" s="144" customFormat="1">
      <c r="A21" s="145" t="s">
        <v>138</v>
      </c>
      <c r="B21" s="146">
        <f t="shared" si="3"/>
        <v>336000</v>
      </c>
      <c r="C21" s="147">
        <v>336000</v>
      </c>
      <c r="D21" s="147"/>
      <c r="E21" s="147">
        <v>336000</v>
      </c>
      <c r="F21" s="147"/>
      <c r="G21" s="147"/>
      <c r="H21" s="147"/>
      <c r="I21" s="147"/>
      <c r="J21" s="147"/>
      <c r="K21" s="147"/>
      <c r="L21" s="147"/>
      <c r="M21" s="147"/>
      <c r="N21" s="147"/>
      <c r="O21" s="147"/>
      <c r="P21" s="147"/>
      <c r="Q21" s="147"/>
      <c r="R21" s="550">
        <f t="shared" si="4"/>
        <v>336000</v>
      </c>
      <c r="S21" s="147">
        <v>336000</v>
      </c>
      <c r="T21" s="147"/>
      <c r="U21" s="143"/>
    </row>
    <row r="22" spans="1:21" s="144" customFormat="1">
      <c r="A22" s="145" t="s">
        <v>139</v>
      </c>
      <c r="B22" s="146">
        <f t="shared" si="3"/>
        <v>0</v>
      </c>
      <c r="C22" s="147">
        <v>0</v>
      </c>
      <c r="D22" s="147"/>
      <c r="E22" s="147">
        <v>0</v>
      </c>
      <c r="F22" s="147"/>
      <c r="G22" s="147"/>
      <c r="H22" s="147"/>
      <c r="I22" s="147"/>
      <c r="J22" s="147"/>
      <c r="K22" s="147"/>
      <c r="L22" s="147"/>
      <c r="M22" s="147"/>
      <c r="N22" s="147"/>
      <c r="O22" s="147"/>
      <c r="P22" s="147"/>
      <c r="Q22" s="147"/>
      <c r="R22" s="550">
        <f t="shared" si="4"/>
        <v>0</v>
      </c>
      <c r="S22" s="147">
        <v>0</v>
      </c>
      <c r="T22" s="147"/>
      <c r="U22" s="143"/>
    </row>
    <row r="23" spans="1:21" s="144" customFormat="1">
      <c r="A23" s="145" t="s">
        <v>140</v>
      </c>
      <c r="B23" s="146">
        <f t="shared" si="3"/>
        <v>64400</v>
      </c>
      <c r="C23" s="147">
        <v>64400</v>
      </c>
      <c r="D23" s="147"/>
      <c r="E23" s="147">
        <v>64400</v>
      </c>
      <c r="F23" s="147"/>
      <c r="G23" s="147"/>
      <c r="H23" s="147"/>
      <c r="I23" s="147"/>
      <c r="J23" s="147"/>
      <c r="K23" s="147"/>
      <c r="L23" s="147"/>
      <c r="M23" s="147"/>
      <c r="N23" s="147"/>
      <c r="O23" s="147"/>
      <c r="P23" s="147"/>
      <c r="Q23" s="147"/>
      <c r="R23" s="550">
        <f t="shared" si="4"/>
        <v>64400</v>
      </c>
      <c r="S23" s="147">
        <v>64400</v>
      </c>
      <c r="T23" s="147"/>
      <c r="U23" s="143"/>
    </row>
    <row r="24" spans="1:21" s="144" customFormat="1">
      <c r="A24" s="542" t="s">
        <v>1749</v>
      </c>
      <c r="B24" s="146">
        <f t="shared" si="3"/>
        <v>0</v>
      </c>
      <c r="C24" s="147">
        <v>0</v>
      </c>
      <c r="D24" s="147"/>
      <c r="E24" s="147">
        <v>0</v>
      </c>
      <c r="F24" s="147"/>
      <c r="G24" s="147"/>
      <c r="H24" s="147"/>
      <c r="I24" s="147"/>
      <c r="J24" s="147"/>
      <c r="K24" s="147"/>
      <c r="L24" s="147"/>
      <c r="M24" s="147"/>
      <c r="N24" s="147"/>
      <c r="O24" s="147"/>
      <c r="P24" s="147"/>
      <c r="Q24" s="147"/>
      <c r="R24" s="550">
        <f t="shared" si="4"/>
        <v>0</v>
      </c>
      <c r="S24" s="147">
        <v>0</v>
      </c>
      <c r="T24" s="147"/>
      <c r="U24" s="143"/>
    </row>
    <row r="25" spans="1:21" s="144" customFormat="1">
      <c r="A25" s="1193" t="s">
        <v>2754</v>
      </c>
      <c r="B25" s="146">
        <f t="shared" si="3"/>
        <v>75600</v>
      </c>
      <c r="C25" s="147">
        <v>75600</v>
      </c>
      <c r="D25" s="147"/>
      <c r="E25" s="147">
        <v>75600</v>
      </c>
      <c r="F25" s="147"/>
      <c r="G25" s="147"/>
      <c r="H25" s="147"/>
      <c r="I25" s="147"/>
      <c r="J25" s="147"/>
      <c r="K25" s="147"/>
      <c r="L25" s="147"/>
      <c r="M25" s="147"/>
      <c r="N25" s="147"/>
      <c r="O25" s="147"/>
      <c r="P25" s="147"/>
      <c r="Q25" s="147"/>
      <c r="R25" s="550">
        <f t="shared" si="4"/>
        <v>75600</v>
      </c>
      <c r="S25" s="147">
        <v>75600</v>
      </c>
      <c r="T25" s="147"/>
      <c r="U25" s="143"/>
    </row>
    <row r="26" spans="1:21" s="144" customFormat="1">
      <c r="A26" s="149" t="s">
        <v>133</v>
      </c>
      <c r="B26" s="146">
        <f t="shared" si="3"/>
        <v>6524000</v>
      </c>
      <c r="C26" s="146">
        <f>SUM(C17:C25)</f>
        <v>6524000</v>
      </c>
      <c r="D26" s="146">
        <f t="shared" ref="D26:Q26" si="5">SUM(D17:D25)</f>
        <v>0</v>
      </c>
      <c r="E26" s="146">
        <f t="shared" si="5"/>
        <v>6024000</v>
      </c>
      <c r="F26" s="146">
        <f t="shared" si="5"/>
        <v>0</v>
      </c>
      <c r="G26" s="146">
        <f t="shared" si="5"/>
        <v>500000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6524000</v>
      </c>
      <c r="S26" s="150">
        <f>SUM(S17:S25)</f>
        <v>6524000</v>
      </c>
      <c r="T26" s="150">
        <f>SUM(T17:T25)</f>
        <v>0</v>
      </c>
      <c r="U26" s="143"/>
    </row>
    <row r="27" spans="1:21" s="144" customFormat="1">
      <c r="A27" s="149" t="s">
        <v>141</v>
      </c>
      <c r="B27" s="146">
        <f>SUM(C27:D27)</f>
        <v>505000</v>
      </c>
      <c r="C27" s="147">
        <v>505000</v>
      </c>
      <c r="D27" s="147"/>
      <c r="E27" s="147">
        <v>505000</v>
      </c>
      <c r="F27" s="147"/>
      <c r="G27" s="147"/>
      <c r="H27" s="147"/>
      <c r="I27" s="147"/>
      <c r="J27" s="147"/>
      <c r="K27" s="147"/>
      <c r="L27" s="147"/>
      <c r="M27" s="147"/>
      <c r="N27" s="147"/>
      <c r="O27" s="147"/>
      <c r="P27" s="147"/>
      <c r="Q27" s="147"/>
      <c r="R27" s="550">
        <f t="shared" si="4"/>
        <v>505000</v>
      </c>
      <c r="S27" s="147">
        <v>405000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608</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1749</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v>250000</v>
      </c>
      <c r="F40" s="147"/>
      <c r="G40" s="147"/>
      <c r="H40" s="147"/>
      <c r="I40" s="147"/>
      <c r="J40" s="147"/>
      <c r="K40" s="147"/>
      <c r="L40" s="147"/>
      <c r="M40" s="147"/>
      <c r="N40" s="147"/>
      <c r="O40" s="147"/>
      <c r="P40" s="147"/>
      <c r="Q40" s="147"/>
      <c r="R40" s="550">
        <f>SUM(E40:Q40)</f>
        <v>250000</v>
      </c>
      <c r="S40" s="147">
        <v>250000</v>
      </c>
      <c r="T40" s="147"/>
      <c r="U40" s="143"/>
    </row>
    <row r="41" spans="1:21" s="144" customFormat="1">
      <c r="A41" s="145" t="s">
        <v>146</v>
      </c>
      <c r="B41" s="146">
        <f>SUM(C41+D41)</f>
        <v>50000</v>
      </c>
      <c r="C41" s="147">
        <v>50000</v>
      </c>
      <c r="D41" s="147"/>
      <c r="E41" s="147">
        <v>50000</v>
      </c>
      <c r="F41" s="147"/>
      <c r="G41" s="147"/>
      <c r="H41" s="147"/>
      <c r="I41" s="147"/>
      <c r="J41" s="147"/>
      <c r="K41" s="147"/>
      <c r="L41" s="147"/>
      <c r="M41" s="147"/>
      <c r="N41" s="147"/>
      <c r="O41" s="147"/>
      <c r="P41" s="147"/>
      <c r="Q41" s="147"/>
      <c r="R41" s="550">
        <f>SUM(E41:Q41)</f>
        <v>50000</v>
      </c>
      <c r="S41" s="147">
        <v>50000</v>
      </c>
      <c r="T41" s="147"/>
      <c r="U41" s="143"/>
    </row>
    <row r="42" spans="1:21" s="144" customFormat="1">
      <c r="A42" s="149" t="s">
        <v>147</v>
      </c>
      <c r="B42" s="146">
        <f>SUM(C42:D42)</f>
        <v>300000</v>
      </c>
      <c r="C42" s="146">
        <f>SUM(C39:C41)</f>
        <v>300000</v>
      </c>
      <c r="D42" s="146">
        <f>SUM(D39:D41)</f>
        <v>0</v>
      </c>
      <c r="E42" s="146">
        <f t="shared" ref="E42:T42" si="9">SUM(E40:E41)</f>
        <v>300000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300000</v>
      </c>
      <c r="S42" s="150">
        <f t="shared" si="9"/>
        <v>300000</v>
      </c>
      <c r="T42" s="150">
        <f t="shared" si="9"/>
        <v>0</v>
      </c>
      <c r="U42" s="143"/>
    </row>
    <row r="43" spans="1:21" s="144" customFormat="1">
      <c r="A43" s="149" t="s">
        <v>148</v>
      </c>
      <c r="B43" s="146">
        <f>SUM(C43:D43)</f>
        <v>50000</v>
      </c>
      <c r="C43" s="147">
        <v>50000</v>
      </c>
      <c r="D43" s="147"/>
      <c r="E43" s="147">
        <v>50000</v>
      </c>
      <c r="F43" s="147"/>
      <c r="G43" s="147"/>
      <c r="H43" s="147"/>
      <c r="I43" s="147"/>
      <c r="J43" s="147"/>
      <c r="K43" s="147"/>
      <c r="L43" s="147"/>
      <c r="M43" s="147"/>
      <c r="N43" s="147"/>
      <c r="O43" s="147"/>
      <c r="P43" s="147"/>
      <c r="Q43" s="147"/>
      <c r="R43" s="550">
        <f>SUM(E43:Q43)</f>
        <v>50000</v>
      </c>
      <c r="S43" s="147">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289822</v>
      </c>
      <c r="C45" s="147">
        <v>289822</v>
      </c>
      <c r="D45" s="147"/>
      <c r="E45" s="147"/>
      <c r="F45" s="147"/>
      <c r="G45" s="147">
        <v>289822</v>
      </c>
      <c r="H45" s="147"/>
      <c r="I45" s="147"/>
      <c r="J45" s="147"/>
      <c r="K45" s="147"/>
      <c r="L45" s="147"/>
      <c r="M45" s="147"/>
      <c r="N45" s="147"/>
      <c r="O45" s="147"/>
      <c r="P45" s="147"/>
      <c r="Q45" s="147"/>
      <c r="R45" s="550">
        <f t="shared" ref="R45:R53" si="11">SUM(E45:Q45)</f>
        <v>289822</v>
      </c>
      <c r="S45" s="147">
        <v>289822</v>
      </c>
      <c r="T45" s="147"/>
      <c r="U45" s="143"/>
    </row>
    <row r="46" spans="1:21" s="144" customFormat="1">
      <c r="A46" s="145" t="s">
        <v>151</v>
      </c>
      <c r="B46" s="146">
        <f t="shared" si="10"/>
        <v>177000</v>
      </c>
      <c r="C46" s="147">
        <v>177000</v>
      </c>
      <c r="D46" s="147"/>
      <c r="E46" s="147"/>
      <c r="F46" s="147"/>
      <c r="G46" s="147">
        <v>177000</v>
      </c>
      <c r="H46" s="147"/>
      <c r="I46" s="147"/>
      <c r="J46" s="147"/>
      <c r="K46" s="147"/>
      <c r="L46" s="147"/>
      <c r="M46" s="147"/>
      <c r="N46" s="147"/>
      <c r="O46" s="147"/>
      <c r="P46" s="147"/>
      <c r="Q46" s="147"/>
      <c r="R46" s="550">
        <f t="shared" si="11"/>
        <v>177000</v>
      </c>
      <c r="S46" s="147"/>
      <c r="T46" s="147"/>
      <c r="U46" s="143"/>
    </row>
    <row r="47" spans="1:21" s="144" customFormat="1">
      <c r="A47" s="198" t="s">
        <v>152</v>
      </c>
      <c r="B47" s="146">
        <f t="shared" si="10"/>
        <v>132750</v>
      </c>
      <c r="C47" s="147">
        <v>132750</v>
      </c>
      <c r="D47" s="147"/>
      <c r="E47" s="147"/>
      <c r="F47" s="147"/>
      <c r="G47" s="147">
        <v>132750</v>
      </c>
      <c r="H47" s="147"/>
      <c r="I47" s="147"/>
      <c r="J47" s="147"/>
      <c r="K47" s="147"/>
      <c r="L47" s="147"/>
      <c r="M47" s="147"/>
      <c r="N47" s="147"/>
      <c r="O47" s="147"/>
      <c r="P47" s="147"/>
      <c r="Q47" s="147"/>
      <c r="R47" s="550">
        <f t="shared" si="11"/>
        <v>132750</v>
      </c>
      <c r="S47" s="147"/>
      <c r="T47" s="147"/>
      <c r="U47" s="143"/>
    </row>
    <row r="48" spans="1:21" s="144" customFormat="1">
      <c r="A48" s="145" t="s">
        <v>153</v>
      </c>
      <c r="B48" s="146">
        <f t="shared" si="10"/>
        <v>0</v>
      </c>
      <c r="C48" s="147">
        <v>0</v>
      </c>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33188</v>
      </c>
      <c r="C49" s="147">
        <v>33188</v>
      </c>
      <c r="D49" s="147"/>
      <c r="E49" s="147">
        <v>33188</v>
      </c>
      <c r="F49" s="147"/>
      <c r="G49" s="147"/>
      <c r="H49" s="147"/>
      <c r="I49" s="147"/>
      <c r="J49" s="147"/>
      <c r="K49" s="147"/>
      <c r="L49" s="147"/>
      <c r="M49" s="147"/>
      <c r="N49" s="147"/>
      <c r="O49" s="147"/>
      <c r="P49" s="147"/>
      <c r="Q49" s="147"/>
      <c r="R49" s="550">
        <f t="shared" si="11"/>
        <v>33188</v>
      </c>
      <c r="S49" s="147"/>
      <c r="T49" s="147"/>
      <c r="U49" s="143"/>
    </row>
    <row r="50" spans="1:21" s="144" customFormat="1">
      <c r="A50" s="145" t="s">
        <v>156</v>
      </c>
      <c r="B50" s="146">
        <f t="shared" si="10"/>
        <v>0</v>
      </c>
      <c r="C50" s="147">
        <v>0</v>
      </c>
      <c r="D50" s="147"/>
      <c r="E50" s="147"/>
      <c r="F50" s="147"/>
      <c r="G50" s="147"/>
      <c r="H50" s="147"/>
      <c r="I50" s="147"/>
      <c r="J50" s="147"/>
      <c r="K50" s="147"/>
      <c r="L50" s="147"/>
      <c r="M50" s="147"/>
      <c r="N50" s="147"/>
      <c r="O50" s="147"/>
      <c r="P50" s="147"/>
      <c r="Q50" s="147"/>
      <c r="R50" s="550">
        <f t="shared" si="11"/>
        <v>0</v>
      </c>
      <c r="S50" s="147"/>
      <c r="T50" s="147"/>
      <c r="U50" s="143"/>
    </row>
    <row r="51" spans="1:21" s="144" customFormat="1">
      <c r="A51" s="304" t="s">
        <v>154</v>
      </c>
      <c r="B51" s="146">
        <f t="shared" si="10"/>
        <v>7500</v>
      </c>
      <c r="C51" s="147">
        <v>7500</v>
      </c>
      <c r="D51" s="147"/>
      <c r="E51" s="147"/>
      <c r="F51" s="147"/>
      <c r="G51" s="147">
        <v>7500</v>
      </c>
      <c r="H51" s="147"/>
      <c r="I51" s="147"/>
      <c r="J51" s="147"/>
      <c r="K51" s="147"/>
      <c r="L51" s="147"/>
      <c r="M51" s="147"/>
      <c r="N51" s="147"/>
      <c r="O51" s="147"/>
      <c r="P51" s="147"/>
      <c r="Q51" s="147"/>
      <c r="R51" s="550">
        <f t="shared" si="11"/>
        <v>7500</v>
      </c>
      <c r="S51" s="147">
        <v>2290</v>
      </c>
      <c r="T51" s="147"/>
      <c r="U51" s="143"/>
    </row>
    <row r="52" spans="1:21" s="144" customFormat="1">
      <c r="A52" s="145" t="s">
        <v>155</v>
      </c>
      <c r="B52" s="146">
        <f t="shared" si="10"/>
        <v>75366</v>
      </c>
      <c r="C52" s="147">
        <v>75366</v>
      </c>
      <c r="D52" s="147"/>
      <c r="E52" s="147"/>
      <c r="F52" s="147"/>
      <c r="G52" s="147">
        <v>75366</v>
      </c>
      <c r="H52" s="147"/>
      <c r="I52" s="147"/>
      <c r="J52" s="147"/>
      <c r="K52" s="147"/>
      <c r="L52" s="147"/>
      <c r="M52" s="147"/>
      <c r="N52" s="147"/>
      <c r="O52" s="147"/>
      <c r="P52" s="147"/>
      <c r="Q52" s="147"/>
      <c r="R52" s="550">
        <f t="shared" si="11"/>
        <v>75366</v>
      </c>
      <c r="S52" s="147">
        <v>23013</v>
      </c>
      <c r="T52" s="147"/>
      <c r="U52" s="143"/>
    </row>
    <row r="53" spans="1:21" s="144" customFormat="1">
      <c r="A53" s="1193" t="s">
        <v>2755</v>
      </c>
      <c r="B53" s="146">
        <f t="shared" si="10"/>
        <v>160000</v>
      </c>
      <c r="C53" s="147">
        <v>160000</v>
      </c>
      <c r="D53" s="147"/>
      <c r="E53" s="147">
        <v>160000</v>
      </c>
      <c r="F53" s="147"/>
      <c r="G53" s="147"/>
      <c r="H53" s="147"/>
      <c r="I53" s="147"/>
      <c r="J53" s="147"/>
      <c r="K53" s="147"/>
      <c r="L53" s="147"/>
      <c r="M53" s="147"/>
      <c r="N53" s="147"/>
      <c r="O53" s="147"/>
      <c r="P53" s="147"/>
      <c r="Q53" s="147"/>
      <c r="R53" s="550">
        <f t="shared" si="11"/>
        <v>160000</v>
      </c>
      <c r="S53" s="147"/>
      <c r="T53" s="147"/>
      <c r="U53" s="143"/>
    </row>
    <row r="54" spans="1:21" s="153" customFormat="1">
      <c r="A54" s="149" t="s">
        <v>157</v>
      </c>
      <c r="B54" s="150">
        <f>SUM(C54:D54)</f>
        <v>875626</v>
      </c>
      <c r="C54" s="150">
        <f t="shared" ref="C54:T54" si="12">SUM(C45:C53)</f>
        <v>875626</v>
      </c>
      <c r="D54" s="150">
        <f t="shared" si="12"/>
        <v>0</v>
      </c>
      <c r="E54" s="150">
        <f t="shared" si="12"/>
        <v>193188</v>
      </c>
      <c r="F54" s="150">
        <f t="shared" si="12"/>
        <v>0</v>
      </c>
      <c r="G54" s="150">
        <f t="shared" si="12"/>
        <v>682438</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875626</v>
      </c>
      <c r="S54" s="150">
        <f t="shared" si="12"/>
        <v>315125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0</v>
      </c>
      <c r="S62" s="148"/>
      <c r="T62" s="148"/>
      <c r="U62" s="143"/>
    </row>
    <row r="63" spans="1:21" s="144" customFormat="1">
      <c r="A63" s="154" t="s">
        <v>303</v>
      </c>
      <c r="B63" s="146">
        <f t="shared" ref="B63:R63" si="16">SUM(B8+B11+B13+B14+B15+B26+B27+B38+B42+B43+B54+B62)</f>
        <v>25504626</v>
      </c>
      <c r="C63" s="146">
        <f t="shared" si="16"/>
        <v>25504626</v>
      </c>
      <c r="D63" s="146">
        <f t="shared" si="16"/>
        <v>0</v>
      </c>
      <c r="E63" s="146">
        <f t="shared" si="16"/>
        <v>7922188</v>
      </c>
      <c r="F63" s="146">
        <f t="shared" si="16"/>
        <v>15250000</v>
      </c>
      <c r="G63" s="146">
        <f t="shared" si="16"/>
        <v>1182438</v>
      </c>
      <c r="H63" s="146">
        <f t="shared" si="16"/>
        <v>1150000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25504626</v>
      </c>
      <c r="S63" s="146">
        <f>SUM(S10+S13+S14+S15+S26+S27+S38+S42+S43+S54)</f>
        <v>7594125</v>
      </c>
      <c r="T63" s="146">
        <f>SUM(T11+T13+T14+T15+T26+T27+T38+T42+T43+T54)</f>
        <v>17250000</v>
      </c>
      <c r="U63" s="143"/>
    </row>
    <row r="64" spans="1:21" s="144" customFormat="1" ht="24">
      <c r="A64" s="141" t="s">
        <v>1753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187700</v>
      </c>
      <c r="C65" s="147">
        <v>187700</v>
      </c>
      <c r="D65" s="147"/>
      <c r="E65" s="147"/>
      <c r="F65" s="147"/>
      <c r="G65" s="147">
        <v>187700</v>
      </c>
      <c r="H65" s="147"/>
      <c r="I65" s="147"/>
      <c r="J65" s="147"/>
      <c r="K65" s="147"/>
      <c r="L65" s="147"/>
      <c r="M65" s="147"/>
      <c r="N65" s="147"/>
      <c r="O65" s="147"/>
      <c r="P65" s="147"/>
      <c r="Q65" s="147"/>
      <c r="R65" s="550">
        <f>SUM(E65:Q65)</f>
        <v>187700</v>
      </c>
      <c r="S65" s="147"/>
      <c r="T65" s="147"/>
      <c r="U65" s="143"/>
    </row>
    <row r="66" spans="1:21" s="144" customFormat="1" ht="24" customHeight="1">
      <c r="A66" s="304" t="s">
        <v>1750</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1751</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1757</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1754</v>
      </c>
      <c r="B70" s="146">
        <f>SUM(C70:D70)</f>
        <v>187700</v>
      </c>
      <c r="C70" s="146">
        <f>SUM(C65:C69)</f>
        <v>187700</v>
      </c>
      <c r="D70" s="146">
        <f>SUM(D65:D69)</f>
        <v>0</v>
      </c>
      <c r="E70" s="146">
        <f t="shared" ref="E70:T70" si="17">SUM(E65:E69)</f>
        <v>0</v>
      </c>
      <c r="F70" s="146">
        <f t="shared" si="17"/>
        <v>0</v>
      </c>
      <c r="G70" s="146">
        <f t="shared" si="17"/>
        <v>187700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187700</v>
      </c>
      <c r="S70" s="150">
        <f t="shared" si="17"/>
        <v>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463184</v>
      </c>
      <c r="C75" s="147">
        <v>463184</v>
      </c>
      <c r="D75" s="147"/>
      <c r="E75" s="147">
        <v>463184</v>
      </c>
      <c r="F75" s="147"/>
      <c r="G75" s="147"/>
      <c r="H75" s="147"/>
      <c r="I75" s="147"/>
      <c r="J75" s="147"/>
      <c r="K75" s="147"/>
      <c r="L75" s="147"/>
      <c r="M75" s="147"/>
      <c r="N75" s="147"/>
      <c r="O75" s="147"/>
      <c r="P75" s="147"/>
      <c r="Q75" s="147"/>
      <c r="R75" s="550">
        <f>SUM(E75:Q75)</f>
        <v>463184</v>
      </c>
      <c r="S75" s="148"/>
      <c r="T75" s="148"/>
      <c r="U75" s="143"/>
    </row>
    <row r="76" spans="1:21" s="144" customFormat="1">
      <c r="A76" s="1193" t="s">
        <v>2753</v>
      </c>
      <c r="B76" s="146">
        <f>SUM(C76+D76)</f>
        <v>50000</v>
      </c>
      <c r="C76" s="147">
        <v>50000</v>
      </c>
      <c r="D76" s="147"/>
      <c r="E76" s="147"/>
      <c r="F76" s="147"/>
      <c r="G76" s="147">
        <v>50000</v>
      </c>
      <c r="H76" s="147"/>
      <c r="I76" s="147"/>
      <c r="J76" s="147"/>
      <c r="K76" s="147"/>
      <c r="L76" s="147"/>
      <c r="M76" s="147"/>
      <c r="N76" s="147"/>
      <c r="O76" s="147"/>
      <c r="P76" s="147"/>
      <c r="Q76" s="147"/>
      <c r="R76" s="550">
        <f>SUM(E76:Q76)</f>
        <v>50000</v>
      </c>
      <c r="S76" s="148"/>
      <c r="T76" s="148"/>
      <c r="U76" s="143"/>
    </row>
    <row r="77" spans="1:21" s="144" customFormat="1">
      <c r="A77" s="149" t="s">
        <v>614</v>
      </c>
      <c r="B77" s="146">
        <f>SUM(C77:D77)</f>
        <v>513184</v>
      </c>
      <c r="C77" s="146">
        <f>SUM(C72:C76)</f>
        <v>513184</v>
      </c>
      <c r="D77" s="146">
        <f>SUM(D72:D76)</f>
        <v>0</v>
      </c>
      <c r="E77" s="146">
        <f t="shared" ref="E77:Q77" si="18">SUM(E72:E76)</f>
        <v>463184</v>
      </c>
      <c r="F77" s="146">
        <f t="shared" si="18"/>
        <v>0</v>
      </c>
      <c r="G77" s="146">
        <f t="shared" si="18"/>
        <v>50000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513184</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652400</v>
      </c>
      <c r="C79" s="147">
        <v>652400</v>
      </c>
      <c r="D79" s="147"/>
      <c r="E79" s="147"/>
      <c r="F79" s="147"/>
      <c r="G79" s="147">
        <v>652400</v>
      </c>
      <c r="H79" s="147"/>
      <c r="I79" s="147"/>
      <c r="J79" s="147"/>
      <c r="K79" s="147"/>
      <c r="L79" s="147"/>
      <c r="M79" s="147"/>
      <c r="N79" s="147"/>
      <c r="O79" s="147"/>
      <c r="P79" s="147"/>
      <c r="Q79" s="147"/>
      <c r="R79" s="550">
        <f>SUM(E79:Q79)</f>
        <v>652400</v>
      </c>
      <c r="S79" s="147">
        <v>652400</v>
      </c>
      <c r="T79" s="147"/>
      <c r="U79" s="143"/>
    </row>
    <row r="80" spans="1:21" s="144" customFormat="1">
      <c r="A80" s="304" t="s">
        <v>58</v>
      </c>
      <c r="B80" s="146">
        <f>SUM(C80:D80)</f>
        <v>35000</v>
      </c>
      <c r="C80" s="147">
        <v>35000</v>
      </c>
      <c r="D80" s="147"/>
      <c r="E80" s="147"/>
      <c r="F80" s="147"/>
      <c r="G80" s="147">
        <v>35000</v>
      </c>
      <c r="H80" s="147"/>
      <c r="I80" s="147"/>
      <c r="J80" s="147"/>
      <c r="K80" s="147"/>
      <c r="L80" s="147"/>
      <c r="M80" s="147"/>
      <c r="N80" s="147"/>
      <c r="O80" s="147"/>
      <c r="P80" s="147"/>
      <c r="Q80" s="147"/>
      <c r="R80" s="550">
        <f>SUM(E80:Q80)</f>
        <v>35000</v>
      </c>
      <c r="S80" s="147">
        <v>35000</v>
      </c>
      <c r="T80" s="147"/>
      <c r="U80" s="143"/>
    </row>
    <row r="81" spans="1:21" s="144" customFormat="1">
      <c r="A81" s="149" t="s">
        <v>1313</v>
      </c>
      <c r="B81" s="146">
        <f>SUM(C81:D81)</f>
        <v>687400</v>
      </c>
      <c r="C81" s="543">
        <f>SUM(C79:C80)</f>
        <v>687400</v>
      </c>
      <c r="D81" s="543">
        <f t="shared" ref="D81:T81" si="19">SUM(D79:D80)</f>
        <v>0</v>
      </c>
      <c r="E81" s="543">
        <f t="shared" si="19"/>
        <v>0</v>
      </c>
      <c r="F81" s="543">
        <f t="shared" si="19"/>
        <v>0</v>
      </c>
      <c r="G81" s="543">
        <f t="shared" si="19"/>
        <v>687400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687400</v>
      </c>
      <c r="S81" s="543">
        <f t="shared" si="19"/>
        <v>687400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2407</v>
      </c>
      <c r="B83" s="146">
        <f t="shared" ref="B83:B95" si="20">SUM(C83+D83)</f>
        <v>91206</v>
      </c>
      <c r="C83" s="147">
        <v>91206</v>
      </c>
      <c r="D83" s="147"/>
      <c r="E83" s="147">
        <v>91206</v>
      </c>
      <c r="F83" s="147"/>
      <c r="G83" s="147"/>
      <c r="H83" s="147"/>
      <c r="I83" s="147"/>
      <c r="J83" s="147"/>
      <c r="K83" s="147"/>
      <c r="L83" s="147"/>
      <c r="M83" s="147"/>
      <c r="N83" s="147"/>
      <c r="O83" s="147"/>
      <c r="P83" s="147"/>
      <c r="Q83" s="147"/>
      <c r="R83" s="550">
        <f t="shared" ref="R83:R95" si="21">SUM(E83:Q83)</f>
        <v>91206</v>
      </c>
      <c r="S83" s="148"/>
      <c r="T83" s="148"/>
      <c r="U83" s="143"/>
    </row>
    <row r="84" spans="1:21" s="144" customFormat="1">
      <c r="A84" s="145" t="s">
        <v>775</v>
      </c>
      <c r="B84" s="146">
        <f t="shared" si="20"/>
        <v>0</v>
      </c>
      <c r="C84" s="147">
        <v>0</v>
      </c>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v>0</v>
      </c>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25000</v>
      </c>
      <c r="C86" s="147">
        <v>25000</v>
      </c>
      <c r="D86" s="147"/>
      <c r="E86" s="147"/>
      <c r="F86" s="147"/>
      <c r="G86" s="147">
        <v>25000</v>
      </c>
      <c r="H86" s="147"/>
      <c r="I86" s="147"/>
      <c r="J86" s="147"/>
      <c r="K86" s="147"/>
      <c r="L86" s="147"/>
      <c r="M86" s="147"/>
      <c r="N86" s="147"/>
      <c r="O86" s="147"/>
      <c r="P86" s="147"/>
      <c r="Q86" s="147"/>
      <c r="R86" s="550">
        <f t="shared" si="21"/>
        <v>25000</v>
      </c>
      <c r="S86" s="147">
        <v>25000</v>
      </c>
      <c r="T86" s="147"/>
      <c r="U86" s="143"/>
    </row>
    <row r="87" spans="1:21" s="144" customFormat="1">
      <c r="A87" s="145" t="s">
        <v>778</v>
      </c>
      <c r="B87" s="146">
        <f t="shared" si="20"/>
        <v>0</v>
      </c>
      <c r="C87" s="147">
        <v>0</v>
      </c>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0</v>
      </c>
      <c r="C88" s="147">
        <v>0</v>
      </c>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780</v>
      </c>
      <c r="B89" s="146">
        <f t="shared" si="20"/>
        <v>50000</v>
      </c>
      <c r="C89" s="147">
        <v>50000</v>
      </c>
      <c r="D89" s="147"/>
      <c r="E89" s="147"/>
      <c r="F89" s="147"/>
      <c r="G89" s="147">
        <v>50000</v>
      </c>
      <c r="H89" s="147"/>
      <c r="I89" s="147"/>
      <c r="J89" s="147"/>
      <c r="K89" s="147"/>
      <c r="L89" s="147"/>
      <c r="M89" s="147"/>
      <c r="N89" s="147"/>
      <c r="O89" s="147"/>
      <c r="P89" s="147"/>
      <c r="Q89" s="147"/>
      <c r="R89" s="550">
        <f t="shared" si="21"/>
        <v>50000</v>
      </c>
      <c r="S89" s="147">
        <v>50000</v>
      </c>
      <c r="T89" s="147"/>
      <c r="U89" s="143"/>
    </row>
    <row r="90" spans="1:21" s="144" customFormat="1">
      <c r="A90" s="145" t="s">
        <v>781</v>
      </c>
      <c r="B90" s="146">
        <f t="shared" si="20"/>
        <v>0</v>
      </c>
      <c r="C90" s="147">
        <v>0</v>
      </c>
      <c r="D90" s="147"/>
      <c r="E90" s="147"/>
      <c r="F90" s="147"/>
      <c r="G90" s="147"/>
      <c r="H90" s="147"/>
      <c r="I90" s="147"/>
      <c r="J90" s="147"/>
      <c r="K90" s="147"/>
      <c r="L90" s="147"/>
      <c r="M90" s="147"/>
      <c r="N90" s="147"/>
      <c r="O90" s="147"/>
      <c r="P90" s="147"/>
      <c r="Q90" s="147"/>
      <c r="R90" s="550">
        <f t="shared" si="21"/>
        <v>0</v>
      </c>
      <c r="S90" s="147">
        <v>0</v>
      </c>
      <c r="T90" s="147"/>
      <c r="U90" s="143"/>
    </row>
    <row r="91" spans="1:21" s="144" customFormat="1">
      <c r="A91" s="145" t="s">
        <v>373</v>
      </c>
      <c r="B91" s="146">
        <f t="shared" si="20"/>
        <v>15000</v>
      </c>
      <c r="C91" s="147">
        <v>15000</v>
      </c>
      <c r="D91" s="147"/>
      <c r="E91" s="147"/>
      <c r="F91" s="147"/>
      <c r="G91" s="147">
        <v>15000</v>
      </c>
      <c r="H91" s="147"/>
      <c r="I91" s="147"/>
      <c r="J91" s="147"/>
      <c r="K91" s="147"/>
      <c r="L91" s="147"/>
      <c r="M91" s="147"/>
      <c r="N91" s="147"/>
      <c r="O91" s="147"/>
      <c r="P91" s="147"/>
      <c r="Q91" s="147"/>
      <c r="R91" s="550">
        <f t="shared" si="21"/>
        <v>15000</v>
      </c>
      <c r="S91" s="147">
        <v>15000</v>
      </c>
      <c r="T91" s="147"/>
      <c r="U91" s="143"/>
    </row>
    <row r="92" spans="1:21" s="144" customFormat="1">
      <c r="A92" s="304" t="s">
        <v>1315</v>
      </c>
      <c r="B92" s="146">
        <f t="shared" si="20"/>
        <v>0</v>
      </c>
      <c r="C92" s="147">
        <v>0</v>
      </c>
      <c r="D92" s="147"/>
      <c r="E92" s="147"/>
      <c r="F92" s="147"/>
      <c r="G92" s="147"/>
      <c r="H92" s="147"/>
      <c r="I92" s="147"/>
      <c r="J92" s="147"/>
      <c r="K92" s="147"/>
      <c r="L92" s="147"/>
      <c r="M92" s="147"/>
      <c r="N92" s="147"/>
      <c r="O92" s="147"/>
      <c r="P92" s="147"/>
      <c r="Q92" s="147"/>
      <c r="R92" s="550">
        <f t="shared" si="21"/>
        <v>0</v>
      </c>
      <c r="S92" s="147">
        <v>0</v>
      </c>
      <c r="T92" s="147"/>
      <c r="U92" s="143"/>
    </row>
    <row r="93" spans="1:21" s="144" customFormat="1">
      <c r="A93" s="1193" t="s">
        <v>2756</v>
      </c>
      <c r="B93" s="146">
        <f t="shared" si="20"/>
        <v>115000</v>
      </c>
      <c r="C93" s="147">
        <v>115000</v>
      </c>
      <c r="D93" s="147"/>
      <c r="E93" s="147">
        <v>115000</v>
      </c>
      <c r="F93" s="147"/>
      <c r="G93" s="147"/>
      <c r="H93" s="147"/>
      <c r="I93" s="147"/>
      <c r="J93" s="147"/>
      <c r="K93" s="147"/>
      <c r="L93" s="147"/>
      <c r="M93" s="147"/>
      <c r="N93" s="147"/>
      <c r="O93" s="147"/>
      <c r="P93" s="147"/>
      <c r="Q93" s="147"/>
      <c r="R93" s="550">
        <f t="shared" si="21"/>
        <v>115000</v>
      </c>
      <c r="S93" s="147">
        <v>115000</v>
      </c>
      <c r="T93" s="147"/>
      <c r="U93" s="143"/>
    </row>
    <row r="94" spans="1:21" s="144" customFormat="1">
      <c r="A94" s="1193" t="s">
        <v>34</v>
      </c>
      <c r="B94" s="146">
        <f t="shared" si="20"/>
        <v>0</v>
      </c>
      <c r="C94" s="147">
        <v>0</v>
      </c>
      <c r="D94" s="147"/>
      <c r="E94" s="147"/>
      <c r="F94" s="147"/>
      <c r="G94" s="147"/>
      <c r="H94" s="147"/>
      <c r="I94" s="147"/>
      <c r="J94" s="147"/>
      <c r="K94" s="147"/>
      <c r="L94" s="147"/>
      <c r="M94" s="147"/>
      <c r="N94" s="147"/>
      <c r="O94" s="147"/>
      <c r="P94" s="147"/>
      <c r="Q94" s="147"/>
      <c r="R94" s="550">
        <f t="shared" si="21"/>
        <v>0</v>
      </c>
      <c r="S94" s="147">
        <v>0</v>
      </c>
      <c r="T94" s="147"/>
      <c r="U94" s="143"/>
    </row>
    <row r="95" spans="1:21" s="144" customFormat="1">
      <c r="A95" s="1193" t="s">
        <v>2757</v>
      </c>
      <c r="B95" s="146">
        <f t="shared" si="20"/>
        <v>293125</v>
      </c>
      <c r="C95" s="147">
        <v>293125</v>
      </c>
      <c r="D95" s="147"/>
      <c r="E95" s="147">
        <v>40663</v>
      </c>
      <c r="F95" s="147"/>
      <c r="G95" s="147">
        <v>252462</v>
      </c>
      <c r="H95" s="147"/>
      <c r="I95" s="147"/>
      <c r="J95" s="147"/>
      <c r="K95" s="147"/>
      <c r="L95" s="147"/>
      <c r="M95" s="147"/>
      <c r="N95" s="147"/>
      <c r="O95" s="147"/>
      <c r="P95" s="147"/>
      <c r="Q95" s="147"/>
      <c r="R95" s="550">
        <f t="shared" si="21"/>
        <v>293125</v>
      </c>
      <c r="S95" s="147">
        <v>128000</v>
      </c>
      <c r="T95" s="147">
        <v>37125</v>
      </c>
      <c r="U95" s="143"/>
    </row>
    <row r="96" spans="1:21" s="144" customFormat="1">
      <c r="A96" s="149" t="s">
        <v>782</v>
      </c>
      <c r="B96" s="146">
        <f>SUM(C96:D96)</f>
        <v>589331</v>
      </c>
      <c r="C96" s="146">
        <f t="shared" ref="C96:R96" si="22">SUM(C83:C95)</f>
        <v>589331</v>
      </c>
      <c r="D96" s="146">
        <f t="shared" si="22"/>
        <v>0</v>
      </c>
      <c r="E96" s="146">
        <f t="shared" si="22"/>
        <v>246869</v>
      </c>
      <c r="F96" s="146">
        <f t="shared" si="22"/>
        <v>0</v>
      </c>
      <c r="G96" s="146">
        <f t="shared" si="22"/>
        <v>342462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589331</v>
      </c>
      <c r="S96" s="150">
        <f>SUM(S84:S87,S89:S95)</f>
        <v>333000</v>
      </c>
      <c r="T96" s="146">
        <f>SUM(T84:T87,T89:T95)</f>
        <v>37125</v>
      </c>
      <c r="U96" s="143"/>
    </row>
    <row r="97" spans="1:21" s="144" customFormat="1">
      <c r="A97" s="149" t="s">
        <v>783</v>
      </c>
      <c r="B97" s="146">
        <f>SUM(C97:D97)</f>
        <v>27482241</v>
      </c>
      <c r="C97" s="146">
        <f t="shared" ref="C97:R97" si="23">SUM(C63+C70+C77+C81+C96)</f>
        <v>27482241</v>
      </c>
      <c r="D97" s="146">
        <f t="shared" si="23"/>
        <v>0</v>
      </c>
      <c r="E97" s="146">
        <f t="shared" si="23"/>
        <v>8632241</v>
      </c>
      <c r="F97" s="146">
        <f t="shared" si="23"/>
        <v>15250000</v>
      </c>
      <c r="G97" s="146">
        <f t="shared" si="23"/>
        <v>2450000</v>
      </c>
      <c r="H97" s="146">
        <f t="shared" si="23"/>
        <v>1150000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27482241</v>
      </c>
      <c r="S97" s="146">
        <f>SUM(S63+S70+S81+S96)</f>
        <v>8614525</v>
      </c>
      <c r="T97" s="146">
        <f>SUM(T63+T70+T81+T96)</f>
        <v>17287125</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2156535</v>
      </c>
      <c r="C99" s="1014">
        <v>2156535</v>
      </c>
      <c r="D99" s="1014"/>
      <c r="E99" s="1014">
        <v>1244236</v>
      </c>
      <c r="F99" s="147"/>
      <c r="G99" s="147"/>
      <c r="H99" s="147"/>
      <c r="I99" s="147">
        <v>912299</v>
      </c>
      <c r="J99" s="147">
        <v>0</v>
      </c>
      <c r="K99" s="147"/>
      <c r="L99" s="147"/>
      <c r="M99" s="147"/>
      <c r="N99" s="147"/>
      <c r="O99" s="147"/>
      <c r="P99" s="147"/>
      <c r="Q99" s="147"/>
      <c r="R99" s="550">
        <f>SUM(E99:Q99)</f>
        <v>2156535</v>
      </c>
      <c r="S99" s="147">
        <v>1292179</v>
      </c>
      <c r="T99" s="147">
        <v>864356</v>
      </c>
      <c r="U99" s="143"/>
    </row>
    <row r="100" spans="1:21" s="144" customFormat="1">
      <c r="A100" s="304" t="s">
        <v>1755</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1756</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2156535</v>
      </c>
      <c r="C104" s="146">
        <f>SUM(C99:C103)</f>
        <v>2156535</v>
      </c>
      <c r="D104" s="146">
        <f t="shared" ref="D104:T104" si="24">SUM(D99:D103)</f>
        <v>0</v>
      </c>
      <c r="E104" s="146">
        <f t="shared" si="24"/>
        <v>1244236</v>
      </c>
      <c r="F104" s="146">
        <f t="shared" si="24"/>
        <v>0</v>
      </c>
      <c r="G104" s="146">
        <f t="shared" si="24"/>
        <v>0</v>
      </c>
      <c r="H104" s="146">
        <f t="shared" si="24"/>
        <v>0</v>
      </c>
      <c r="I104" s="146">
        <f t="shared" si="24"/>
        <v>912299</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2156535</v>
      </c>
      <c r="S104" s="150">
        <f t="shared" si="24"/>
        <v>1292179</v>
      </c>
      <c r="T104" s="150">
        <f t="shared" si="24"/>
        <v>864356</v>
      </c>
      <c r="U104" s="143"/>
    </row>
    <row r="105" spans="1:21" s="144" customFormat="1">
      <c r="A105" s="149" t="s">
        <v>788</v>
      </c>
      <c r="B105" s="150">
        <f>SUM(C105:D105)</f>
        <v>29638776</v>
      </c>
      <c r="C105" s="150">
        <f t="shared" ref="C105:R105" si="25">SUM(C97+C104)</f>
        <v>29638776</v>
      </c>
      <c r="D105" s="150">
        <f t="shared" si="25"/>
        <v>0</v>
      </c>
      <c r="E105" s="150">
        <f t="shared" si="25"/>
        <v>9876477</v>
      </c>
      <c r="F105" s="150">
        <f t="shared" si="25"/>
        <v>15250000</v>
      </c>
      <c r="G105" s="150">
        <f t="shared" si="25"/>
        <v>2450000</v>
      </c>
      <c r="H105" s="150">
        <f t="shared" si="25"/>
        <v>1150000</v>
      </c>
      <c r="I105" s="150">
        <f t="shared" si="25"/>
        <v>912299</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29638776</v>
      </c>
      <c r="S105" s="150">
        <f>S97+S104</f>
        <v>9906704</v>
      </c>
      <c r="T105" s="150">
        <f>T97+T104</f>
        <v>18151481</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9906704</v>
      </c>
      <c r="T107" s="150">
        <f>T105+T106</f>
        <v>18151481</v>
      </c>
    </row>
    <row r="108" spans="1:21" s="201" customFormat="1">
      <c r="A108" s="162" t="s">
        <v>890</v>
      </c>
      <c r="B108" s="157"/>
      <c r="C108" s="157"/>
      <c r="D108" s="157"/>
      <c r="E108" s="323">
        <f>Application!AO640</f>
        <v>9876477</v>
      </c>
      <c r="F108" s="323">
        <f>Application!AO627</f>
        <v>15250000</v>
      </c>
      <c r="G108" s="323">
        <f>Application!AO628</f>
        <v>2450000</v>
      </c>
      <c r="H108" s="323">
        <f>Application!AO629</f>
        <v>1150000</v>
      </c>
      <c r="I108" s="323">
        <f>Application!AO630</f>
        <v>912299</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1041</v>
      </c>
      <c r="B113" s="157"/>
      <c r="C113" s="157"/>
      <c r="D113" s="157"/>
    </row>
    <row r="114" spans="1:21">
      <c r="A114" s="156" t="s">
        <v>2408</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75">
      <c r="A121" s="366" t="s">
        <v>1027</v>
      </c>
      <c r="B121" s="157"/>
      <c r="C121" s="157"/>
      <c r="D121" s="157"/>
    </row>
    <row r="122" spans="1:21">
      <c r="A122" s="353" t="s">
        <v>1011</v>
      </c>
      <c r="B122" s="352"/>
      <c r="C122" s="352"/>
      <c r="D122" s="1878" t="s">
        <v>1012</v>
      </c>
      <c r="E122" s="1878"/>
      <c r="F122" s="1878"/>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0" t="s">
        <v>1329</v>
      </c>
      <c r="E123" s="1562"/>
      <c r="F123" s="1562"/>
      <c r="G123" s="1562"/>
      <c r="H123" s="1562"/>
      <c r="I123" s="1562"/>
      <c r="J123" s="1562"/>
      <c r="K123" s="1562"/>
      <c r="L123" s="1562"/>
      <c r="M123" s="1562"/>
      <c r="N123" s="1562"/>
      <c r="O123" s="1562"/>
      <c r="P123" s="1562"/>
      <c r="Q123" s="1562"/>
      <c r="R123" s="1562"/>
      <c r="S123" s="1562"/>
      <c r="T123" s="352"/>
      <c r="U123" s="354"/>
    </row>
    <row r="124" spans="1:21" ht="12.75">
      <c r="A124" s="117" t="s">
        <v>1014</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75">
      <c r="A125" s="117" t="s">
        <v>1015</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1019</v>
      </c>
      <c r="E129" s="1877"/>
      <c r="F129" s="1877"/>
      <c r="G129" s="1877"/>
      <c r="H129" s="1877"/>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1021</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71" t="s">
        <v>1022</v>
      </c>
      <c r="E132" s="1871"/>
      <c r="F132" s="1871"/>
      <c r="G132" s="1871"/>
      <c r="H132" s="1871"/>
      <c r="I132" s="117"/>
      <c r="J132" s="1871" t="s">
        <v>1023</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1026</v>
      </c>
      <c r="B139" s="1868"/>
      <c r="C139" s="1868"/>
      <c r="D139" s="356"/>
      <c r="E139" s="117" t="s">
        <v>1020</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8" workbookViewId="0">
      <selection activeCell="G107" sqref="G10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1332</v>
      </c>
      <c r="B1" s="1882"/>
      <c r="C1" s="1882"/>
      <c r="D1" s="1882"/>
      <c r="E1" s="1882"/>
      <c r="F1" s="1882"/>
      <c r="G1" s="1882"/>
      <c r="H1" s="1882"/>
      <c r="I1" s="1882"/>
      <c r="J1" s="1883"/>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0</v>
      </c>
      <c r="C8" s="392">
        <f>SUM(C4:C7)</f>
        <v>0</v>
      </c>
      <c r="D8" s="392">
        <f>SUM(D4:D7)</f>
        <v>0</v>
      </c>
      <c r="E8" s="394"/>
      <c r="F8" s="394"/>
      <c r="G8" s="394"/>
      <c r="H8" s="394"/>
      <c r="I8" s="394"/>
      <c r="J8" s="394"/>
      <c r="K8" s="390"/>
    </row>
    <row r="9" spans="1:11" s="391" customFormat="1">
      <c r="A9" s="395" t="s">
        <v>602</v>
      </c>
      <c r="B9" s="392">
        <f>'Sources and Uses Budget'!C9</f>
        <v>17250000</v>
      </c>
      <c r="C9" s="393"/>
      <c r="D9" s="393">
        <f>B9</f>
        <v>17250000</v>
      </c>
      <c r="E9" s="394"/>
      <c r="F9" s="394"/>
      <c r="G9" s="394"/>
      <c r="H9" s="392">
        <f>'Sources and Uses Budget'!T9</f>
        <v>17250000</v>
      </c>
      <c r="I9" s="393"/>
      <c r="J9" s="393">
        <f>H9</f>
        <v>17250000</v>
      </c>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17250000</v>
      </c>
      <c r="C11" s="392">
        <f>SUM(C9:C10)</f>
        <v>0</v>
      </c>
      <c r="D11" s="392">
        <f>SUM(D9:D10)</f>
        <v>17250000</v>
      </c>
      <c r="E11" s="394"/>
      <c r="F11" s="394"/>
      <c r="G11" s="394"/>
      <c r="H11" s="392">
        <f>'Sources and Uses Budget'!T11</f>
        <v>17250000</v>
      </c>
      <c r="I11" s="392">
        <f>SUM(I9:I10)</f>
        <v>0</v>
      </c>
      <c r="J11" s="392">
        <f>SUM(J9:J10)</f>
        <v>17250000</v>
      </c>
      <c r="K11" s="390"/>
    </row>
    <row r="12" spans="1:11" s="391" customFormat="1">
      <c r="A12" s="396" t="s">
        <v>84</v>
      </c>
      <c r="B12" s="392">
        <f>'Sources and Uses Budget'!C12</f>
        <v>17250000</v>
      </c>
      <c r="C12" s="392">
        <f>SUM(C8+C11)</f>
        <v>0</v>
      </c>
      <c r="D12" s="392">
        <f>SUM(D8+D11)</f>
        <v>17250000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5600000</v>
      </c>
      <c r="C18" s="393"/>
      <c r="D18" s="393">
        <f>B18</f>
        <v>5600000</v>
      </c>
      <c r="E18" s="392">
        <f>'Sources and Uses Budget'!S18</f>
        <v>5600000</v>
      </c>
      <c r="F18" s="393"/>
      <c r="G18" s="393">
        <f>E18</f>
        <v>5600000</v>
      </c>
      <c r="H18" s="392">
        <f>'Sources and Uses Budget'!T18</f>
        <v>0</v>
      </c>
      <c r="I18" s="393"/>
      <c r="J18" s="393"/>
      <c r="K18" s="390"/>
    </row>
    <row r="19" spans="1:11" s="391" customFormat="1">
      <c r="A19" s="395" t="s">
        <v>608</v>
      </c>
      <c r="B19" s="392">
        <f>'Sources and Uses Budget'!C19</f>
        <v>336000</v>
      </c>
      <c r="C19" s="393"/>
      <c r="D19" s="393">
        <f t="shared" ref="D19:D27" si="0">B19</f>
        <v>336000</v>
      </c>
      <c r="E19" s="392">
        <f>'Sources and Uses Budget'!S19</f>
        <v>336000</v>
      </c>
      <c r="F19" s="393"/>
      <c r="G19" s="393">
        <f t="shared" ref="G19:G27" si="1">E19</f>
        <v>336000</v>
      </c>
      <c r="H19" s="392">
        <f>'Sources and Uses Budget'!T19</f>
        <v>0</v>
      </c>
      <c r="I19" s="393"/>
      <c r="J19" s="393"/>
      <c r="K19" s="390"/>
    </row>
    <row r="20" spans="1:11" s="391" customFormat="1">
      <c r="A20" s="395" t="s">
        <v>137</v>
      </c>
      <c r="B20" s="392">
        <f>'Sources and Uses Budget'!C20</f>
        <v>112000</v>
      </c>
      <c r="C20" s="393"/>
      <c r="D20" s="393">
        <f t="shared" si="0"/>
        <v>112000</v>
      </c>
      <c r="E20" s="392">
        <f>'Sources and Uses Budget'!S20</f>
        <v>112000</v>
      </c>
      <c r="F20" s="393"/>
      <c r="G20" s="393">
        <f t="shared" si="1"/>
        <v>112000</v>
      </c>
      <c r="H20" s="392">
        <f>'Sources and Uses Budget'!T20</f>
        <v>0</v>
      </c>
      <c r="I20" s="393"/>
      <c r="J20" s="393"/>
      <c r="K20" s="390"/>
    </row>
    <row r="21" spans="1:11" s="391" customFormat="1">
      <c r="A21" s="395" t="s">
        <v>138</v>
      </c>
      <c r="B21" s="392">
        <f>'Sources and Uses Budget'!C21</f>
        <v>336000</v>
      </c>
      <c r="C21" s="393"/>
      <c r="D21" s="393">
        <f t="shared" si="0"/>
        <v>336000</v>
      </c>
      <c r="E21" s="392">
        <f>'Sources and Uses Budget'!S21</f>
        <v>336000</v>
      </c>
      <c r="F21" s="393"/>
      <c r="G21" s="393">
        <f t="shared" si="1"/>
        <v>336000</v>
      </c>
      <c r="H21" s="392">
        <f>'Sources and Uses Budget'!T21</f>
        <v>0</v>
      </c>
      <c r="I21" s="393"/>
      <c r="J21" s="393"/>
      <c r="K21" s="390"/>
    </row>
    <row r="22" spans="1:11" s="391" customFormat="1">
      <c r="A22" s="395" t="s">
        <v>139</v>
      </c>
      <c r="B22" s="392">
        <f>'Sources and Uses Budget'!C22</f>
        <v>0</v>
      </c>
      <c r="C22" s="393"/>
      <c r="D22" s="393">
        <f t="shared" si="0"/>
        <v>0</v>
      </c>
      <c r="E22" s="392">
        <f>'Sources and Uses Budget'!S22</f>
        <v>0</v>
      </c>
      <c r="F22" s="393"/>
      <c r="G22" s="393">
        <f t="shared" si="1"/>
        <v>0</v>
      </c>
      <c r="H22" s="392">
        <f>'Sources and Uses Budget'!T22</f>
        <v>0</v>
      </c>
      <c r="I22" s="393"/>
      <c r="J22" s="393"/>
      <c r="K22" s="390"/>
    </row>
    <row r="23" spans="1:11" s="391" customFormat="1">
      <c r="A23" s="395" t="s">
        <v>140</v>
      </c>
      <c r="B23" s="392">
        <f>'Sources and Uses Budget'!C23</f>
        <v>64400</v>
      </c>
      <c r="C23" s="393"/>
      <c r="D23" s="393">
        <f t="shared" si="0"/>
        <v>64400</v>
      </c>
      <c r="E23" s="392">
        <f>'Sources and Uses Budget'!S23</f>
        <v>64400</v>
      </c>
      <c r="F23" s="393"/>
      <c r="G23" s="393">
        <f t="shared" si="1"/>
        <v>64400</v>
      </c>
      <c r="H23" s="392">
        <f>'Sources and Uses Budget'!T23</f>
        <v>0</v>
      </c>
      <c r="I23" s="393"/>
      <c r="J23" s="393"/>
      <c r="K23" s="390"/>
    </row>
    <row r="24" spans="1:11" s="391" customFormat="1">
      <c r="A24" s="542" t="s">
        <v>1749</v>
      </c>
      <c r="B24" s="392">
        <f>'Sources and Uses Budget'!C24</f>
        <v>0</v>
      </c>
      <c r="C24" s="393"/>
      <c r="D24" s="393">
        <f t="shared" si="0"/>
        <v>0</v>
      </c>
      <c r="E24" s="392">
        <f>'Sources and Uses Budget'!S24</f>
        <v>0</v>
      </c>
      <c r="F24" s="393"/>
      <c r="G24" s="393">
        <f t="shared" si="1"/>
        <v>0</v>
      </c>
      <c r="H24" s="392">
        <f>'Sources and Uses Budget'!T24</f>
        <v>0</v>
      </c>
      <c r="I24" s="393"/>
      <c r="J24" s="393"/>
      <c r="K24" s="390"/>
    </row>
    <row r="25" spans="1:11" s="391" customFormat="1">
      <c r="A25" s="395" t="str">
        <f>'Sources and Uses Budget'!$A25</f>
        <v>P&amp;P Bonds</v>
      </c>
      <c r="B25" s="392">
        <f>'Sources and Uses Budget'!C25</f>
        <v>75600</v>
      </c>
      <c r="C25" s="393"/>
      <c r="D25" s="393">
        <f t="shared" si="0"/>
        <v>75600</v>
      </c>
      <c r="E25" s="392">
        <f>'Sources and Uses Budget'!S25</f>
        <v>75600</v>
      </c>
      <c r="F25" s="393"/>
      <c r="G25" s="393">
        <f t="shared" si="1"/>
        <v>75600</v>
      </c>
      <c r="H25" s="392">
        <f>'Sources and Uses Budget'!T25</f>
        <v>0</v>
      </c>
      <c r="I25" s="393"/>
      <c r="J25" s="393"/>
      <c r="K25" s="390"/>
    </row>
    <row r="26" spans="1:11" s="391" customFormat="1">
      <c r="A26" s="396" t="s">
        <v>133</v>
      </c>
      <c r="B26" s="392">
        <f>'Sources and Uses Budget'!C26</f>
        <v>6524000</v>
      </c>
      <c r="C26" s="392">
        <f>SUM(C17:C25)</f>
        <v>0</v>
      </c>
      <c r="D26" s="392">
        <f>SUM(D17:D25)</f>
        <v>6524000</v>
      </c>
      <c r="E26" s="392">
        <f>'Sources and Uses Budget'!S26</f>
        <v>6524000</v>
      </c>
      <c r="F26" s="398">
        <f>SUM(F17:F25)</f>
        <v>0</v>
      </c>
      <c r="G26" s="398">
        <f>SUM(G17:G25)</f>
        <v>6524000</v>
      </c>
      <c r="H26" s="392">
        <f>'Sources and Uses Budget'!T26</f>
        <v>0</v>
      </c>
      <c r="I26" s="398">
        <f>SUM(I17:I25)</f>
        <v>0</v>
      </c>
      <c r="J26" s="398">
        <f>SUM(J17:J25)</f>
        <v>0</v>
      </c>
      <c r="K26" s="390"/>
    </row>
    <row r="27" spans="1:11" s="391" customFormat="1">
      <c r="A27" s="396" t="s">
        <v>141</v>
      </c>
      <c r="B27" s="392">
        <f>'Sources and Uses Budget'!C27</f>
        <v>505000</v>
      </c>
      <c r="C27" s="393"/>
      <c r="D27" s="393">
        <f t="shared" si="0"/>
        <v>505000</v>
      </c>
      <c r="E27" s="392">
        <f>'Sources and Uses Budget'!S27</f>
        <v>405000</v>
      </c>
      <c r="F27" s="393"/>
      <c r="G27" s="393">
        <f t="shared" si="1"/>
        <v>405000</v>
      </c>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1749</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250000</v>
      </c>
      <c r="C40" s="393"/>
      <c r="D40" s="393">
        <f t="shared" ref="D40:D53" si="2">B40</f>
        <v>250000</v>
      </c>
      <c r="E40" s="392">
        <f>'Sources and Uses Budget'!S40</f>
        <v>250000</v>
      </c>
      <c r="F40" s="393"/>
      <c r="G40" s="393">
        <f>E40</f>
        <v>250000</v>
      </c>
      <c r="H40" s="392">
        <f>'Sources and Uses Budget'!T40</f>
        <v>0</v>
      </c>
      <c r="I40" s="393"/>
      <c r="J40" s="393"/>
      <c r="K40" s="390"/>
    </row>
    <row r="41" spans="1:11" s="391" customFormat="1">
      <c r="A41" s="395" t="s">
        <v>146</v>
      </c>
      <c r="B41" s="392">
        <f>'Sources and Uses Budget'!C41</f>
        <v>50000</v>
      </c>
      <c r="C41" s="393"/>
      <c r="D41" s="393">
        <f t="shared" si="2"/>
        <v>50000</v>
      </c>
      <c r="E41" s="392">
        <f>'Sources and Uses Budget'!S41</f>
        <v>50000</v>
      </c>
      <c r="F41" s="393"/>
      <c r="G41" s="393">
        <f>E41</f>
        <v>50000</v>
      </c>
      <c r="H41" s="392">
        <f>'Sources and Uses Budget'!T41</f>
        <v>0</v>
      </c>
      <c r="I41" s="393"/>
      <c r="J41" s="393"/>
      <c r="K41" s="390"/>
    </row>
    <row r="42" spans="1:11" s="391" customFormat="1">
      <c r="A42" s="396" t="s">
        <v>147</v>
      </c>
      <c r="B42" s="392">
        <f>'Sources and Uses Budget'!C42</f>
        <v>300000</v>
      </c>
      <c r="C42" s="392">
        <f>SUM(C39:C41)</f>
        <v>0</v>
      </c>
      <c r="D42" s="392">
        <f>SUM(D39:D41)</f>
        <v>300000</v>
      </c>
      <c r="E42" s="392">
        <f>'Sources and Uses Budget'!S42</f>
        <v>300000</v>
      </c>
      <c r="F42" s="398">
        <f>SUM(F40:F41)</f>
        <v>0</v>
      </c>
      <c r="G42" s="398">
        <f>SUM(G40:G41)</f>
        <v>300000</v>
      </c>
      <c r="H42" s="392">
        <f>'Sources and Uses Budget'!T42</f>
        <v>0</v>
      </c>
      <c r="I42" s="398">
        <f>SUM(I40:I41)</f>
        <v>0</v>
      </c>
      <c r="J42" s="398">
        <f>SUM(J40:J41)</f>
        <v>0</v>
      </c>
      <c r="K42" s="390"/>
    </row>
    <row r="43" spans="1:11" s="391" customFormat="1">
      <c r="A43" s="396" t="s">
        <v>148</v>
      </c>
      <c r="B43" s="392">
        <f>'Sources and Uses Budget'!C43</f>
        <v>50000</v>
      </c>
      <c r="C43" s="393"/>
      <c r="D43" s="393">
        <f t="shared" si="2"/>
        <v>50000</v>
      </c>
      <c r="E43" s="392">
        <f>'Sources and Uses Budget'!S43</f>
        <v>50000</v>
      </c>
      <c r="F43" s="393"/>
      <c r="G43" s="393">
        <f>E43</f>
        <v>50000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289822</v>
      </c>
      <c r="C45" s="393"/>
      <c r="D45" s="393">
        <f t="shared" si="2"/>
        <v>289822</v>
      </c>
      <c r="E45" s="392">
        <f>'Sources and Uses Budget'!S45</f>
        <v>289822</v>
      </c>
      <c r="F45" s="393"/>
      <c r="G45" s="393">
        <f>E45</f>
        <v>289822</v>
      </c>
      <c r="H45" s="392">
        <f>'Sources and Uses Budget'!T45</f>
        <v>0</v>
      </c>
      <c r="I45" s="393"/>
      <c r="J45" s="393"/>
      <c r="K45" s="390"/>
    </row>
    <row r="46" spans="1:11" s="391" customFormat="1">
      <c r="A46" s="395" t="s">
        <v>151</v>
      </c>
      <c r="B46" s="392">
        <f>'Sources and Uses Budget'!C46</f>
        <v>177000</v>
      </c>
      <c r="C46" s="393"/>
      <c r="D46" s="393">
        <f t="shared" si="2"/>
        <v>177000</v>
      </c>
      <c r="E46" s="392">
        <f>'Sources and Uses Budget'!S46</f>
        <v>0</v>
      </c>
      <c r="F46" s="393"/>
      <c r="G46" s="393"/>
      <c r="H46" s="392">
        <f>'Sources and Uses Budget'!T46</f>
        <v>0</v>
      </c>
      <c r="I46" s="393"/>
      <c r="J46" s="393"/>
      <c r="K46" s="390"/>
    </row>
    <row r="47" spans="1:11" s="391" customFormat="1" ht="12" customHeight="1">
      <c r="A47" s="395" t="s">
        <v>152</v>
      </c>
      <c r="B47" s="392">
        <f>'Sources and Uses Budget'!C47</f>
        <v>132750</v>
      </c>
      <c r="C47" s="393"/>
      <c r="D47" s="393">
        <f t="shared" si="2"/>
        <v>132750</v>
      </c>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f t="shared" si="2"/>
        <v>0</v>
      </c>
      <c r="E48" s="392">
        <f>'Sources and Uses Budget'!S48</f>
        <v>0</v>
      </c>
      <c r="F48" s="393"/>
      <c r="G48" s="393"/>
      <c r="H48" s="392">
        <f>'Sources and Uses Budget'!T48</f>
        <v>0</v>
      </c>
      <c r="I48" s="393"/>
      <c r="J48" s="393"/>
      <c r="K48" s="390"/>
    </row>
    <row r="49" spans="1:11" s="391" customFormat="1">
      <c r="A49" s="304" t="s">
        <v>57</v>
      </c>
      <c r="B49" s="392">
        <f>'Sources and Uses Budget'!C49</f>
        <v>33188</v>
      </c>
      <c r="C49" s="393"/>
      <c r="D49" s="393">
        <f t="shared" si="2"/>
        <v>33188</v>
      </c>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f t="shared" si="2"/>
        <v>0</v>
      </c>
      <c r="E50" s="392">
        <f>'Sources and Uses Budget'!S50</f>
        <v>0</v>
      </c>
      <c r="F50" s="393"/>
      <c r="G50" s="393"/>
      <c r="H50" s="392">
        <f>'Sources and Uses Budget'!T50</f>
        <v>0</v>
      </c>
      <c r="I50" s="393"/>
      <c r="J50" s="393"/>
      <c r="K50" s="390"/>
    </row>
    <row r="51" spans="1:11" s="391" customFormat="1">
      <c r="A51" s="395" t="s">
        <v>154</v>
      </c>
      <c r="B51" s="392">
        <f>'Sources and Uses Budget'!C51</f>
        <v>7500</v>
      </c>
      <c r="C51" s="393"/>
      <c r="D51" s="393">
        <f t="shared" si="2"/>
        <v>7500</v>
      </c>
      <c r="E51" s="392">
        <f>'Sources and Uses Budget'!S51</f>
        <v>2290</v>
      </c>
      <c r="F51" s="393"/>
      <c r="G51" s="393">
        <f>E51</f>
        <v>2290</v>
      </c>
      <c r="H51" s="392">
        <f>'Sources and Uses Budget'!T51</f>
        <v>0</v>
      </c>
      <c r="I51" s="393"/>
      <c r="J51" s="393"/>
      <c r="K51" s="390"/>
    </row>
    <row r="52" spans="1:11" s="391" customFormat="1">
      <c r="A52" s="395" t="s">
        <v>155</v>
      </c>
      <c r="B52" s="392">
        <f>'Sources and Uses Budget'!C52</f>
        <v>75366</v>
      </c>
      <c r="C52" s="393"/>
      <c r="D52" s="393">
        <f t="shared" si="2"/>
        <v>75366</v>
      </c>
      <c r="E52" s="392">
        <f>'Sources and Uses Budget'!S52</f>
        <v>23013</v>
      </c>
      <c r="F52" s="393"/>
      <c r="G52" s="393">
        <f>E52</f>
        <v>23013</v>
      </c>
      <c r="H52" s="392">
        <f>'Sources and Uses Budget'!T52</f>
        <v>0</v>
      </c>
      <c r="I52" s="393"/>
      <c r="J52" s="393"/>
      <c r="K52" s="390"/>
    </row>
    <row r="53" spans="1:11" s="391" customFormat="1">
      <c r="A53" s="395" t="str">
        <f>'Sources and Uses Budget'!$A53</f>
        <v>Legal and Due Diligence</v>
      </c>
      <c r="B53" s="392">
        <f>'Sources and Uses Budget'!C53</f>
        <v>160000</v>
      </c>
      <c r="C53" s="393"/>
      <c r="D53" s="393">
        <f t="shared" si="2"/>
        <v>160000</v>
      </c>
      <c r="E53" s="392">
        <f>'Sources and Uses Budget'!S53</f>
        <v>0</v>
      </c>
      <c r="F53" s="393"/>
      <c r="G53" s="393"/>
      <c r="H53" s="392">
        <f>'Sources and Uses Budget'!T53</f>
        <v>0</v>
      </c>
      <c r="I53" s="393"/>
      <c r="J53" s="393"/>
      <c r="K53" s="390"/>
    </row>
    <row r="54" spans="1:11" s="400" customFormat="1">
      <c r="A54" s="396" t="s">
        <v>157</v>
      </c>
      <c r="B54" s="392">
        <f>'Sources and Uses Budget'!C54</f>
        <v>875626</v>
      </c>
      <c r="C54" s="398">
        <f>SUM(C45:C53)</f>
        <v>0</v>
      </c>
      <c r="D54" s="398">
        <f>SUM(D45:D53)</f>
        <v>875626</v>
      </c>
      <c r="E54" s="392">
        <f>'Sources and Uses Budget'!S54</f>
        <v>315125</v>
      </c>
      <c r="F54" s="398">
        <f>SUM(F45:F53)</f>
        <v>0</v>
      </c>
      <c r="G54" s="398">
        <f>SUM(G45:G53)</f>
        <v>315125</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25504626</v>
      </c>
      <c r="C63" s="392">
        <f>SUM(C8+C11+C13+C14+C15+C26+C27+C38+C42+C43+C54+C62)</f>
        <v>0</v>
      </c>
      <c r="D63" s="392">
        <f>SUM(D8+D11+D13+D14+D15+D26+D27+D38+D42+D43+D54+D62)</f>
        <v>25504626</v>
      </c>
      <c r="E63" s="392">
        <f>'Sources and Uses Budget'!S63</f>
        <v>7594125</v>
      </c>
      <c r="F63" s="392">
        <f>SUM(F10+F13+F14+F15+F26+F27+F38+F42+F43+F54)</f>
        <v>0</v>
      </c>
      <c r="G63" s="392">
        <f>SUM(G10+G13+G14+G15+G26+G27+G38+G42+G43+G54)</f>
        <v>7594125</v>
      </c>
      <c r="H63" s="392">
        <f>'Sources and Uses Budget'!T63</f>
        <v>17250000</v>
      </c>
      <c r="I63" s="392">
        <f>SUM(I11+I13+I14+I15+I26+I27+I38+I42+I43+I54)</f>
        <v>0</v>
      </c>
      <c r="J63" s="392">
        <f>SUM(J11+J13+J14+J15+J26+J27+J38+J42+J43+J54)</f>
        <v>17250000</v>
      </c>
      <c r="K63" s="390"/>
    </row>
    <row r="64" spans="1:11" s="391" customFormat="1" ht="24">
      <c r="A64" s="141" t="s">
        <v>1753</v>
      </c>
      <c r="B64" s="389"/>
      <c r="C64" s="389"/>
      <c r="D64" s="389"/>
      <c r="E64" s="389"/>
      <c r="F64" s="389"/>
      <c r="G64" s="389"/>
      <c r="H64" s="389"/>
      <c r="I64" s="389"/>
      <c r="J64" s="389"/>
      <c r="K64" s="390"/>
    </row>
    <row r="65" spans="1:11" s="391" customFormat="1">
      <c r="A65" s="145" t="s">
        <v>171</v>
      </c>
      <c r="B65" s="392">
        <f>'Sources and Uses Budget'!C65</f>
        <v>187700</v>
      </c>
      <c r="C65" s="393"/>
      <c r="D65" s="393">
        <f t="shared" ref="D65" si="3">B65</f>
        <v>187700</v>
      </c>
      <c r="E65" s="392">
        <f>'Sources and Uses Budget'!S65</f>
        <v>0</v>
      </c>
      <c r="F65" s="393"/>
      <c r="G65" s="393"/>
      <c r="H65" s="392">
        <f>'Sources and Uses Budget'!T65</f>
        <v>0</v>
      </c>
      <c r="I65" s="393"/>
      <c r="J65" s="393"/>
      <c r="K65" s="390"/>
    </row>
    <row r="66" spans="1:11" s="391" customFormat="1" ht="24">
      <c r="A66" s="304" t="s">
        <v>1750</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1751</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1757</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187700</v>
      </c>
      <c r="C70" s="392">
        <f>SUM(C64:C69)</f>
        <v>0</v>
      </c>
      <c r="D70" s="392">
        <f>SUM(D64:D69)</f>
        <v>187700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613</v>
      </c>
      <c r="B75" s="392">
        <f>'Sources and Uses Budget'!C75</f>
        <v>463184</v>
      </c>
      <c r="C75" s="393"/>
      <c r="D75" s="393">
        <f t="shared" ref="D75:D76" si="4">B75</f>
        <v>463184</v>
      </c>
      <c r="E75" s="394"/>
      <c r="F75" s="394"/>
      <c r="G75" s="394"/>
      <c r="H75" s="394"/>
      <c r="I75" s="394"/>
      <c r="J75" s="394"/>
      <c r="K75" s="390"/>
    </row>
    <row r="76" spans="1:11" s="391" customFormat="1">
      <c r="A76" s="395" t="str">
        <f>'Sources and Uses Budget'!$A76</f>
        <v>Working Capital</v>
      </c>
      <c r="B76" s="392">
        <f>'Sources and Uses Budget'!C76</f>
        <v>50000</v>
      </c>
      <c r="C76" s="393"/>
      <c r="D76" s="393">
        <f t="shared" si="4"/>
        <v>50000</v>
      </c>
      <c r="E76" s="394"/>
      <c r="F76" s="394"/>
      <c r="G76" s="394"/>
      <c r="H76" s="394"/>
      <c r="I76" s="394"/>
      <c r="J76" s="394"/>
      <c r="K76" s="390"/>
    </row>
    <row r="77" spans="1:11" s="391" customFormat="1">
      <c r="A77" s="396" t="s">
        <v>614</v>
      </c>
      <c r="B77" s="392">
        <f>'Sources and Uses Budget'!C77</f>
        <v>513184</v>
      </c>
      <c r="C77" s="392">
        <f>SUM(C72:C76)</f>
        <v>0</v>
      </c>
      <c r="D77" s="392">
        <f>SUM(D72:D76)</f>
        <v>513184</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652400</v>
      </c>
      <c r="C79" s="393"/>
      <c r="D79" s="393">
        <f t="shared" ref="D79:D80" si="5">B79</f>
        <v>652400</v>
      </c>
      <c r="E79" s="392">
        <f>'Sources and Uses Budget'!S79</f>
        <v>652400</v>
      </c>
      <c r="F79" s="393"/>
      <c r="G79" s="393">
        <f>E79</f>
        <v>652400</v>
      </c>
      <c r="H79" s="392">
        <f>'Sources and Uses Budget'!T79</f>
        <v>0</v>
      </c>
      <c r="I79" s="393"/>
      <c r="J79" s="393"/>
      <c r="K79" s="390"/>
    </row>
    <row r="80" spans="1:11" s="391" customFormat="1">
      <c r="A80" s="395" t="s">
        <v>58</v>
      </c>
      <c r="B80" s="392">
        <f>'Sources and Uses Budget'!C80</f>
        <v>35000</v>
      </c>
      <c r="C80" s="393"/>
      <c r="D80" s="393">
        <f t="shared" si="5"/>
        <v>35000</v>
      </c>
      <c r="E80" s="392">
        <f>'Sources and Uses Budget'!S80</f>
        <v>35000</v>
      </c>
      <c r="F80" s="393"/>
      <c r="G80" s="393">
        <f>E80</f>
        <v>35000</v>
      </c>
      <c r="H80" s="392">
        <f>'Sources and Uses Budget'!T80</f>
        <v>0</v>
      </c>
      <c r="I80" s="393"/>
      <c r="J80" s="393"/>
      <c r="K80" s="390"/>
    </row>
    <row r="81" spans="1:11" s="391" customFormat="1">
      <c r="A81" s="396" t="s">
        <v>1313</v>
      </c>
      <c r="B81" s="392">
        <f>'Sources and Uses Budget'!C81</f>
        <v>687400</v>
      </c>
      <c r="C81" s="392">
        <f>SUM(C79:C80)</f>
        <v>0</v>
      </c>
      <c r="D81" s="392">
        <f>SUM(D79:D80)</f>
        <v>687400</v>
      </c>
      <c r="E81" s="392">
        <f>'Sources and Uses Budget'!S81</f>
        <v>687400</v>
      </c>
      <c r="F81" s="392">
        <f>SUM(F79:F80)</f>
        <v>0</v>
      </c>
      <c r="G81" s="392">
        <f>SUM(G79:G80)</f>
        <v>687400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2407</v>
      </c>
      <c r="B83" s="392">
        <f>'Sources and Uses Budget'!C83</f>
        <v>91206</v>
      </c>
      <c r="C83" s="393"/>
      <c r="D83" s="393">
        <f t="shared" ref="D83" si="6">B83</f>
        <v>91206</v>
      </c>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25000</v>
      </c>
      <c r="C86" s="393"/>
      <c r="D86" s="393">
        <f t="shared" ref="D86" si="7">B86</f>
        <v>25000</v>
      </c>
      <c r="E86" s="392">
        <f>'Sources and Uses Budget'!S86</f>
        <v>25000</v>
      </c>
      <c r="F86" s="393"/>
      <c r="G86" s="393">
        <f>E86</f>
        <v>25000</v>
      </c>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50000</v>
      </c>
      <c r="C89" s="393"/>
      <c r="D89" s="393">
        <f t="shared" ref="D89" si="8">B89</f>
        <v>50000</v>
      </c>
      <c r="E89" s="392">
        <f>'Sources and Uses Budget'!S89</f>
        <v>50000</v>
      </c>
      <c r="F89" s="393"/>
      <c r="G89" s="393">
        <f>E89</f>
        <v>50000</v>
      </c>
      <c r="H89" s="392">
        <f>'Sources and Uses Budget'!T89</f>
        <v>0</v>
      </c>
      <c r="I89" s="393"/>
      <c r="J89" s="393"/>
      <c r="K89" s="390"/>
    </row>
    <row r="90" spans="1:11" s="391" customFormat="1">
      <c r="A90" s="145" t="s">
        <v>781</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15000</v>
      </c>
      <c r="C91" s="393"/>
      <c r="D91" s="393">
        <f t="shared" ref="D91" si="9">B91</f>
        <v>15000</v>
      </c>
      <c r="E91" s="392">
        <f>'Sources and Uses Budget'!S91</f>
        <v>15000</v>
      </c>
      <c r="F91" s="393"/>
      <c r="G91" s="393">
        <f>E91</f>
        <v>15000</v>
      </c>
      <c r="H91" s="392">
        <f>'Sources and Uses Budget'!T91</f>
        <v>0</v>
      </c>
      <c r="I91" s="393"/>
      <c r="J91" s="393"/>
      <c r="K91" s="390"/>
    </row>
    <row r="92" spans="1:11" s="391" customFormat="1">
      <c r="A92" s="542" t="s">
        <v>1315</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Third Party Reports &amp; Misc. DD</v>
      </c>
      <c r="B93" s="392">
        <f>'Sources and Uses Budget'!C93</f>
        <v>115000</v>
      </c>
      <c r="C93" s="393"/>
      <c r="D93" s="393">
        <f t="shared" ref="D93" si="10">B93</f>
        <v>115000</v>
      </c>
      <c r="E93" s="392">
        <f>'Sources and Uses Budget'!S93</f>
        <v>115000</v>
      </c>
      <c r="F93" s="393"/>
      <c r="G93" s="393">
        <v>115000</v>
      </c>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Legal</v>
      </c>
      <c r="B95" s="392">
        <f>'Sources and Uses Budget'!C95</f>
        <v>293125</v>
      </c>
      <c r="C95" s="393"/>
      <c r="D95" s="393">
        <f t="shared" ref="D95" si="11">B95</f>
        <v>293125</v>
      </c>
      <c r="E95" s="392">
        <f>'Sources and Uses Budget'!S95</f>
        <v>128000</v>
      </c>
      <c r="F95" s="393"/>
      <c r="G95" s="393">
        <v>128000</v>
      </c>
      <c r="H95" s="392">
        <f>'Sources and Uses Budget'!T95</f>
        <v>37125</v>
      </c>
      <c r="I95" s="393"/>
      <c r="J95" s="393">
        <v>37125</v>
      </c>
      <c r="K95" s="390"/>
    </row>
    <row r="96" spans="1:11" s="391" customFormat="1">
      <c r="A96" s="396" t="s">
        <v>782</v>
      </c>
      <c r="B96" s="392">
        <f>'Sources and Uses Budget'!C96</f>
        <v>589331</v>
      </c>
      <c r="C96" s="392">
        <f>SUM(C83:C95)</f>
        <v>0</v>
      </c>
      <c r="D96" s="392">
        <f>SUM(D83:D95)</f>
        <v>589331</v>
      </c>
      <c r="E96" s="392">
        <f>'Sources and Uses Budget'!S96</f>
        <v>333000</v>
      </c>
      <c r="F96" s="398">
        <f>SUM(F84:F87,F89:F95)</f>
        <v>0</v>
      </c>
      <c r="G96" s="398">
        <f>SUM(G84:G87,G89:G95)</f>
        <v>333000</v>
      </c>
      <c r="H96" s="392">
        <f>'Sources and Uses Budget'!T96</f>
        <v>37125</v>
      </c>
      <c r="I96" s="392">
        <f>SUM(I84:I87,I89:I95)</f>
        <v>0</v>
      </c>
      <c r="J96" s="392">
        <f>SUM(J84:J87,J89:J95)</f>
        <v>37125</v>
      </c>
      <c r="K96" s="390"/>
    </row>
    <row r="97" spans="1:11" s="391" customFormat="1">
      <c r="A97" s="396" t="s">
        <v>1051</v>
      </c>
      <c r="B97" s="392">
        <f>'Sources and Uses Budget'!C97</f>
        <v>27482241</v>
      </c>
      <c r="C97" s="392">
        <f>SUM(C63+C70+C77+C81+C96)</f>
        <v>0</v>
      </c>
      <c r="D97" s="392">
        <f>SUM(D63+D70+D77+D81+D96)</f>
        <v>27482241</v>
      </c>
      <c r="E97" s="392">
        <f>'Sources and Uses Budget'!S97</f>
        <v>8614525</v>
      </c>
      <c r="F97" s="398">
        <f>SUM(+F63+F70+F81+F96)</f>
        <v>0</v>
      </c>
      <c r="G97" s="398">
        <f>SUM(+G63+G70+G81+G96)</f>
        <v>8614525</v>
      </c>
      <c r="H97" s="392">
        <f>'Sources and Uses Budget'!T97</f>
        <v>17287125</v>
      </c>
      <c r="I97" s="398">
        <f>SUM(I63+I70+I81+I96)</f>
        <v>0</v>
      </c>
      <c r="J97" s="398">
        <f>SUM(J63+J70+J81+J96)</f>
        <v>17287125</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2156535</v>
      </c>
      <c r="C99" s="393"/>
      <c r="D99" s="393">
        <f t="shared" ref="D99" si="12">B99</f>
        <v>2156535</v>
      </c>
      <c r="E99" s="392">
        <f>'Sources and Uses Budget'!S99</f>
        <v>1292179</v>
      </c>
      <c r="F99" s="393"/>
      <c r="G99" s="393">
        <v>1292179</v>
      </c>
      <c r="H99" s="392">
        <f>'Sources and Uses Budget'!T99</f>
        <v>864356</v>
      </c>
      <c r="I99" s="393"/>
      <c r="J99" s="393">
        <v>864356</v>
      </c>
      <c r="K99" s="390"/>
    </row>
    <row r="100" spans="1:11" s="391" customFormat="1">
      <c r="A100" s="304" t="s">
        <v>1755</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1756</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2156535</v>
      </c>
      <c r="C104" s="392">
        <f>SUM(C99:C103)</f>
        <v>0</v>
      </c>
      <c r="D104" s="392">
        <f>SUM(D99:D103)</f>
        <v>2156535</v>
      </c>
      <c r="E104" s="392">
        <f>'Sources and Uses Budget'!S104</f>
        <v>1292179</v>
      </c>
      <c r="F104" s="398">
        <f>SUM(F99:F103)</f>
        <v>0</v>
      </c>
      <c r="G104" s="398">
        <f>SUM(G99:G103)</f>
        <v>1292179</v>
      </c>
      <c r="H104" s="392">
        <f>'Sources and Uses Budget'!T104</f>
        <v>864356</v>
      </c>
      <c r="I104" s="398">
        <f>SUM(I99:I103)</f>
        <v>0</v>
      </c>
      <c r="J104" s="398">
        <f>SUM(J99:J103)</f>
        <v>864356</v>
      </c>
      <c r="K104" s="390"/>
    </row>
    <row r="105" spans="1:11" s="391" customFormat="1">
      <c r="A105" s="396" t="s">
        <v>1052</v>
      </c>
      <c r="B105" s="392">
        <f>'Sources and Uses Budget'!C105</f>
        <v>29638776</v>
      </c>
      <c r="C105" s="398">
        <f>SUM(C97+C104)</f>
        <v>0</v>
      </c>
      <c r="D105" s="398">
        <f>SUM(D97+D104)</f>
        <v>29638776</v>
      </c>
      <c r="E105" s="392">
        <f>'Sources and Uses Budget'!S105</f>
        <v>9906704</v>
      </c>
      <c r="F105" s="398">
        <f>F97+F104</f>
        <v>0</v>
      </c>
      <c r="G105" s="398">
        <f>G97+G104</f>
        <v>9906704</v>
      </c>
      <c r="H105" s="392">
        <f>'Sources and Uses Budget'!T105</f>
        <v>18151481</v>
      </c>
      <c r="I105" s="398">
        <f>I97+I104</f>
        <v>0</v>
      </c>
      <c r="J105" s="398">
        <f>J97+J104</f>
        <v>18151481</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9906704</v>
      </c>
      <c r="F107" s="398">
        <f>F105+F106</f>
        <v>0</v>
      </c>
      <c r="G107" s="398">
        <f>G105+G106</f>
        <v>9906704</v>
      </c>
      <c r="H107" s="392">
        <f>'Sources and Uses Budget'!T107</f>
        <v>18151481</v>
      </c>
      <c r="I107" s="398">
        <f>I105+I106</f>
        <v>0</v>
      </c>
      <c r="J107" s="398">
        <f>J105+J106</f>
        <v>18151481</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02" zoomScale="130" zoomScaleNormal="130" workbookViewId="0">
      <selection activeCell="B183" sqref="B18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3" t="s">
        <v>1407</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1408</v>
      </c>
      <c r="B4" s="573" t="s">
        <v>1409</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1410</v>
      </c>
      <c r="B7" s="573" t="s">
        <v>1411</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1412</v>
      </c>
      <c r="AF7" s="1924"/>
      <c r="AG7" s="1924"/>
      <c r="AH7" s="1924"/>
      <c r="AI7" s="1924"/>
      <c r="AJ7" s="1924"/>
      <c r="AK7" s="1924"/>
      <c r="AL7" s="574"/>
      <c r="AM7" s="574"/>
      <c r="AN7" s="569"/>
    </row>
    <row r="8" spans="1:42" s="570" customFormat="1" ht="12.75" customHeight="1">
      <c r="A8" s="572"/>
      <c r="B8" s="573" t="s">
        <v>1915</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599</v>
      </c>
      <c r="C13" s="2107"/>
      <c r="D13" s="581"/>
      <c r="E13" s="582" t="s">
        <v>1413</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599</v>
      </c>
      <c r="C16" s="2107"/>
      <c r="D16" s="581"/>
      <c r="E16" s="2099" t="s">
        <v>1414</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1415</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1416</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599</v>
      </c>
      <c r="C22" s="2107"/>
      <c r="D22" s="581"/>
      <c r="E22" s="2117" t="s">
        <v>1417</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1415</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599</v>
      </c>
      <c r="C25" s="2107"/>
      <c r="D25" s="581"/>
      <c r="E25" s="2034" t="s">
        <v>2344</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1415</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1415</v>
      </c>
    </row>
    <row r="30" spans="1:42" s="570" customFormat="1" ht="12.75" customHeight="1">
      <c r="A30" s="574"/>
      <c r="B30" s="2107" t="s">
        <v>599</v>
      </c>
      <c r="C30" s="2107"/>
      <c r="D30" s="581"/>
      <c r="E30" s="2117" t="s">
        <v>2316</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599</v>
      </c>
      <c r="C33" s="2107"/>
      <c r="D33" s="581"/>
      <c r="E33" s="2034" t="s">
        <v>2317</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599</v>
      </c>
      <c r="C39" s="2107"/>
      <c r="D39" s="1186"/>
      <c r="E39" s="2034" t="s">
        <v>2318</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553</v>
      </c>
      <c r="C46" s="2107"/>
      <c r="D46" s="574"/>
      <c r="E46" s="2034" t="s">
        <v>2323</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553</v>
      </c>
      <c r="C50" s="2107"/>
      <c r="D50" s="574"/>
      <c r="E50" s="2133" t="s">
        <v>2324</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553</v>
      </c>
      <c r="C52" s="2107"/>
      <c r="D52" s="574"/>
      <c r="E52" s="2034" t="s">
        <v>2325</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1418</v>
      </c>
      <c r="AK56" s="2080">
        <f>AO36</f>
        <v>20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1419</v>
      </c>
      <c r="B59" s="573" t="s">
        <v>1420</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1421</v>
      </c>
      <c r="AF59" s="1924"/>
      <c r="AG59" s="1924"/>
      <c r="AH59" s="1924"/>
      <c r="AI59" s="1924"/>
      <c r="AJ59" s="1924"/>
      <c r="AK59" s="1924"/>
      <c r="AL59" s="574"/>
      <c r="AM59" s="574"/>
      <c r="AN59" s="569"/>
    </row>
    <row r="60" spans="1:50" s="570" customFormat="1" ht="12.75" customHeight="1">
      <c r="A60" s="572"/>
      <c r="B60" s="573" t="s">
        <v>1914</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599</v>
      </c>
      <c r="C62" s="2107"/>
      <c r="D62" s="581" t="s">
        <v>1422</v>
      </c>
      <c r="E62" s="2099" t="s">
        <v>2326</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0</v>
      </c>
      <c r="AP65" s="608" t="s">
        <v>1423</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599</v>
      </c>
      <c r="C68" s="2107"/>
      <c r="D68" s="581" t="s">
        <v>1424</v>
      </c>
      <c r="E68" s="1006" t="s">
        <v>1910</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599</v>
      </c>
      <c r="F69" s="2107"/>
      <c r="G69" s="609"/>
      <c r="H69" s="592" t="s">
        <v>1425</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599</v>
      </c>
      <c r="F70" s="2128"/>
      <c r="G70" s="609"/>
      <c r="H70" s="592" t="s">
        <v>1426</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599</v>
      </c>
      <c r="F71" s="2128"/>
      <c r="G71" s="609"/>
      <c r="H71" s="592" t="s">
        <v>1925</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599</v>
      </c>
      <c r="F73" s="2107"/>
      <c r="G73" s="941"/>
      <c r="H73" s="1011" t="s">
        <v>1924</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599</v>
      </c>
      <c r="C75" s="2107"/>
      <c r="D75" s="581" t="s">
        <v>1427</v>
      </c>
      <c r="E75" s="2034" t="s">
        <v>1926</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1428</v>
      </c>
      <c r="AK78" s="2080">
        <f>IF(AK56&gt;0,0,AO65)</f>
        <v>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1429</v>
      </c>
      <c r="B81" s="573" t="s">
        <v>1430</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1412</v>
      </c>
      <c r="AF81" s="1924"/>
      <c r="AG81" s="1924"/>
      <c r="AH81" s="1924"/>
      <c r="AI81" s="1924"/>
      <c r="AJ81" s="1924"/>
      <c r="AK81" s="1924"/>
      <c r="AL81" s="574"/>
      <c r="AM81" s="574"/>
      <c r="AN81" s="569"/>
    </row>
    <row r="82" spans="1:43" s="570" customFormat="1" ht="12.75" customHeight="1">
      <c r="A82" s="572"/>
      <c r="B82" s="573" t="s">
        <v>1431</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599</v>
      </c>
      <c r="C84" s="2107"/>
      <c r="D84" s="581" t="s">
        <v>1422</v>
      </c>
      <c r="E84" s="2099" t="s">
        <v>1432</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0.53913043478260858</v>
      </c>
      <c r="F87" s="2096"/>
      <c r="G87" s="2096"/>
      <c r="H87" s="2096"/>
      <c r="I87" s="611"/>
      <c r="J87" s="614" t="s">
        <v>1433</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5.9999999999999942E-2</v>
      </c>
      <c r="F88" s="1898"/>
      <c r="G88" s="1898"/>
      <c r="H88" s="1898"/>
      <c r="I88" s="611"/>
      <c r="J88" s="614" t="s">
        <v>1434</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11.999999999999989</v>
      </c>
      <c r="F89" s="2112"/>
      <c r="G89" s="2112"/>
      <c r="H89" s="2112"/>
      <c r="I89" s="611"/>
      <c r="J89" s="614" t="s">
        <v>1435</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1415</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553</v>
      </c>
      <c r="C92" s="2107"/>
      <c r="D92" s="581" t="s">
        <v>1424</v>
      </c>
      <c r="E92" s="2099" t="s">
        <v>1911</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0.53913043478260858</v>
      </c>
      <c r="F97" s="2096"/>
      <c r="G97" s="2096"/>
      <c r="H97" s="2096"/>
      <c r="I97" s="611"/>
      <c r="J97" s="614" t="s">
        <v>1433</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0.10144927536231885</v>
      </c>
      <c r="F98" s="2096"/>
      <c r="G98" s="2096"/>
      <c r="H98" s="2096"/>
      <c r="I98" s="611"/>
      <c r="J98" s="614" t="s">
        <v>1436</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0.30434782608695654</v>
      </c>
      <c r="F99" s="2096"/>
      <c r="G99" s="2096"/>
      <c r="H99" s="2096"/>
      <c r="I99" s="611"/>
      <c r="J99" s="614" t="s">
        <v>1437</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1435</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1415</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1438</v>
      </c>
      <c r="AK103" s="2080">
        <f ca="1">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1439</v>
      </c>
      <c r="B106" s="573" t="s">
        <v>1440</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1421</v>
      </c>
      <c r="AF106" s="1924"/>
      <c r="AG106" s="1924"/>
      <c r="AH106" s="1924"/>
      <c r="AI106" s="1924"/>
      <c r="AJ106" s="1924"/>
      <c r="AK106" s="1924"/>
      <c r="AL106" s="574"/>
      <c r="AM106" s="574"/>
      <c r="AN106" s="569"/>
      <c r="AO106" s="570" t="str">
        <f>Application!B718</f>
        <v>1 Bedroom</v>
      </c>
      <c r="AQ106" s="570">
        <f>Application!O718</f>
        <v>814</v>
      </c>
    </row>
    <row r="107" spans="1:49" s="570" customFormat="1" ht="12.75" customHeight="1">
      <c r="A107" s="574"/>
      <c r="B107" s="573" t="s">
        <v>1431</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1382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1666</v>
      </c>
    </row>
    <row r="109" spans="1:49" s="570" customFormat="1" ht="12.75" customHeight="1">
      <c r="A109" s="574"/>
      <c r="B109" s="2107" t="s">
        <v>553</v>
      </c>
      <c r="C109" s="2107"/>
      <c r="D109" s="581" t="s">
        <v>1422</v>
      </c>
      <c r="E109" s="2099" t="s">
        <v>2045</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t="str">
        <f>Application!B721</f>
        <v>1 Bedroom</v>
      </c>
      <c r="AQ109" s="570">
        <f>Application!O721</f>
        <v>1657</v>
      </c>
      <c r="AU109" s="570" t="s">
        <v>2027</v>
      </c>
      <c r="AV109" s="629" t="s">
        <v>2028</v>
      </c>
      <c r="AW109" s="570" t="s">
        <v>2029</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2 Bedrooms</v>
      </c>
      <c r="AQ110" s="570">
        <f>Application!O722</f>
        <v>976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2 Bedrooms</v>
      </c>
      <c r="AQ111" s="570">
        <f>Application!O723</f>
        <v>1658</v>
      </c>
      <c r="AU111" s="890" t="str">
        <f>J118</f>
        <v>1-bedroom</v>
      </c>
      <c r="AV111" s="570">
        <f t="array" ref="AV111">SUM(IF(Application!B718:F752="1 Bedroom",Application!G718:J752))</f>
        <v>16</v>
      </c>
      <c r="AW111" s="1046">
        <f>AV111/AV116</f>
        <v>0.2318840579710145</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2 Bedrooms</v>
      </c>
      <c r="AQ112" s="570">
        <f>Application!O724</f>
        <v>1999</v>
      </c>
      <c r="AU112" s="890" t="str">
        <f>O118</f>
        <v>2-bedroom</v>
      </c>
      <c r="AV112" s="570">
        <f t="array" ref="AV112">SUM(IF(Application!B718:F752="2 Bedrooms",Application!G718:J752))</f>
        <v>24</v>
      </c>
      <c r="AW112" s="1046">
        <f>AV112/AV116</f>
        <v>0.34782608695652173</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2 Bedrooms</v>
      </c>
      <c r="AQ113" s="570">
        <f>Application!O725</f>
        <v>1948</v>
      </c>
      <c r="AU113" s="890" t="str">
        <f>T118</f>
        <v>3-bedroom</v>
      </c>
      <c r="AV113" s="570">
        <f t="array" ref="AV113">SUM(IF(Application!B718:F752="3 Bedrooms",Application!G718:J752))</f>
        <v>21</v>
      </c>
      <c r="AW113" s="1046">
        <f>AV113/AV116</f>
        <v>0.30434782608695654</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t="str">
        <f>Application!B726</f>
        <v>3 Bedrooms</v>
      </c>
      <c r="AQ114" s="570">
        <f>Application!O726</f>
        <v>1072</v>
      </c>
      <c r="AU114" s="890" t="str">
        <f>Y118</f>
        <v>4-bedroom</v>
      </c>
      <c r="AV114" s="570">
        <f t="array" ref="AV114">SUM(IF(Application!B718:F752="4 Bedrooms",Application!G718:J752))</f>
        <v>8</v>
      </c>
      <c r="AW114" s="1046">
        <f>AV114/AV116</f>
        <v>0.11594202898550725</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t="str">
        <f>Application!B727</f>
        <v>3 Bedrooms</v>
      </c>
      <c r="AQ115" s="570">
        <f>Application!O727</f>
        <v>1860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3 Bedrooms</v>
      </c>
      <c r="AQ116" s="570">
        <f>Application!O728</f>
        <v>2282</v>
      </c>
      <c r="AV116" s="570">
        <f>SUM(AV110:AV115)</f>
        <v>69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2254</v>
      </c>
    </row>
    <row r="118" spans="1:52" s="570" customFormat="1" ht="12.75" customHeight="1">
      <c r="A118" s="574"/>
      <c r="B118" s="573"/>
      <c r="C118" s="574"/>
      <c r="D118" s="574"/>
      <c r="E118" s="2095" t="s">
        <v>1696</v>
      </c>
      <c r="F118" s="2096"/>
      <c r="G118" s="2096"/>
      <c r="H118" s="2096"/>
      <c r="I118" s="611"/>
      <c r="J118" s="2096" t="s">
        <v>1740</v>
      </c>
      <c r="K118" s="2096"/>
      <c r="L118" s="2096"/>
      <c r="M118" s="2096"/>
      <c r="N118" s="611"/>
      <c r="O118" s="2096" t="s">
        <v>1741</v>
      </c>
      <c r="P118" s="2096"/>
      <c r="Q118" s="2096"/>
      <c r="R118" s="2096"/>
      <c r="S118" s="611"/>
      <c r="T118" s="2096" t="s">
        <v>1441</v>
      </c>
      <c r="U118" s="2096"/>
      <c r="V118" s="2096"/>
      <c r="W118" s="2096"/>
      <c r="X118" s="611"/>
      <c r="Y118" s="2096" t="s">
        <v>1742</v>
      </c>
      <c r="Z118" s="2096"/>
      <c r="AA118" s="2096"/>
      <c r="AB118" s="2096"/>
      <c r="AC118" s="611"/>
      <c r="AD118" s="2096" t="s">
        <v>1743</v>
      </c>
      <c r="AE118" s="2096"/>
      <c r="AF118" s="2096"/>
      <c r="AG118" s="2096"/>
      <c r="AH118" s="611"/>
      <c r="AI118" s="611"/>
      <c r="AJ118" s="613"/>
      <c r="AK118" s="574"/>
      <c r="AL118" s="574"/>
      <c r="AM118" s="574"/>
      <c r="AN118" s="569"/>
      <c r="AO118" s="570" t="str">
        <f>Application!B730</f>
        <v>4 Bedrooms</v>
      </c>
      <c r="AQ118" s="570">
        <f>Application!O730</f>
        <v>1222</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4 Bedrooms</v>
      </c>
      <c r="AQ119" s="570">
        <f>Application!O731</f>
        <v>2101</v>
      </c>
    </row>
    <row r="120" spans="1:52" s="570" customFormat="1" ht="12.75" customHeight="1">
      <c r="A120" s="574"/>
      <c r="B120" s="573"/>
      <c r="C120" s="574"/>
      <c r="D120" s="574"/>
      <c r="E120" s="900" t="s">
        <v>1744</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4 Bedrooms</v>
      </c>
      <c r="AQ120" s="570">
        <f>Application!O732</f>
        <v>2567</v>
      </c>
    </row>
    <row r="121" spans="1:52" s="570" customFormat="1" ht="12.75" customHeight="1">
      <c r="A121" s="574"/>
      <c r="B121" s="573"/>
      <c r="C121" s="574"/>
      <c r="D121" s="574"/>
      <c r="E121" s="2097"/>
      <c r="F121" s="2098"/>
      <c r="G121" s="2098"/>
      <c r="H121" s="2098"/>
      <c r="I121" s="898"/>
      <c r="J121" s="2098">
        <v>1877</v>
      </c>
      <c r="K121" s="2098"/>
      <c r="L121" s="2098"/>
      <c r="M121" s="2098"/>
      <c r="N121" s="898"/>
      <c r="O121" s="2098">
        <v>2369</v>
      </c>
      <c r="P121" s="2098"/>
      <c r="Q121" s="2098"/>
      <c r="R121" s="2098"/>
      <c r="S121" s="898"/>
      <c r="T121" s="2098">
        <v>2894</v>
      </c>
      <c r="U121" s="2098"/>
      <c r="V121" s="2098"/>
      <c r="W121" s="2098"/>
      <c r="X121" s="898"/>
      <c r="Y121" s="2098">
        <v>3135</v>
      </c>
      <c r="Z121" s="2098"/>
      <c r="AA121" s="2098"/>
      <c r="AB121" s="2098"/>
      <c r="AC121" s="898"/>
      <c r="AD121" s="2098"/>
      <c r="AE121" s="2098"/>
      <c r="AF121" s="2098"/>
      <c r="AG121" s="2098"/>
      <c r="AH121" s="611"/>
      <c r="AI121" s="611"/>
      <c r="AJ121" s="613"/>
      <c r="AK121" s="574"/>
      <c r="AL121" s="574"/>
      <c r="AM121" s="574"/>
      <c r="AN121" s="569"/>
      <c r="AO121" s="570" t="str">
        <f>Application!B733</f>
        <v>4 Bedrooms</v>
      </c>
      <c r="AQ121" s="570">
        <f>Application!O733</f>
        <v>2541</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2031</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1452.4375</v>
      </c>
      <c r="K124" s="2106"/>
      <c r="L124" s="2106"/>
      <c r="M124" s="2106"/>
      <c r="N124" s="898"/>
      <c r="O124" s="2106">
        <f>Application!EH670</f>
        <v>1826.375</v>
      </c>
      <c r="P124" s="2106"/>
      <c r="Q124" s="2106"/>
      <c r="R124" s="2106"/>
      <c r="S124" s="902"/>
      <c r="T124" s="2106">
        <f>Application!EM670</f>
        <v>2030.1904761904761</v>
      </c>
      <c r="U124" s="2106"/>
      <c r="V124" s="2106"/>
      <c r="W124" s="2106"/>
      <c r="X124" s="902"/>
      <c r="Y124" s="2106">
        <f>Application!ER670</f>
        <v>2214.375</v>
      </c>
      <c r="Z124" s="2106"/>
      <c r="AA124" s="2106"/>
      <c r="AB124" s="2106"/>
      <c r="AC124" s="902"/>
      <c r="AD124" s="2106">
        <f>Application!EW670</f>
        <v>0</v>
      </c>
      <c r="AE124" s="2106"/>
      <c r="AF124" s="2106"/>
      <c r="AG124" s="210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2032</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t="e">
        <f>(E121-E124)/E121</f>
        <v>#DIV/0!</v>
      </c>
      <c r="F127" s="1898"/>
      <c r="G127" s="1898"/>
      <c r="H127" s="1899"/>
      <c r="I127" s="611"/>
      <c r="J127" s="1897">
        <f>(J121-J124)/J121</f>
        <v>0.22619206180074586</v>
      </c>
      <c r="K127" s="1898"/>
      <c r="L127" s="1898"/>
      <c r="M127" s="1899"/>
      <c r="N127" s="611"/>
      <c r="O127" s="1897">
        <f>(O121-O124)/O121</f>
        <v>0.2290523427606585</v>
      </c>
      <c r="P127" s="1898"/>
      <c r="Q127" s="1898"/>
      <c r="R127" s="1899"/>
      <c r="S127" s="611"/>
      <c r="T127" s="1897">
        <f>(T121-T124)/T121</f>
        <v>0.2984829038733669</v>
      </c>
      <c r="U127" s="1898"/>
      <c r="V127" s="1898"/>
      <c r="W127" s="1899"/>
      <c r="X127" s="611"/>
      <c r="Y127" s="1897">
        <f>(Y121-Y124)/Y121</f>
        <v>0.29366028708133973</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2033</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f>IF(((J127-0.1)*AW111)&gt;0,((J127-0.1)*AW111),0)</f>
        <v>2.9261927374085995E-2</v>
      </c>
      <c r="K130" s="2109"/>
      <c r="L130" s="2109"/>
      <c r="M130" s="2110"/>
      <c r="N130" s="611"/>
      <c r="O130" s="2108">
        <f>IF(((O127-0.1)*AW112)&gt;0,((O127-0.1)*AW112),0)</f>
        <v>4.4887771395011648E-2</v>
      </c>
      <c r="P130" s="2109"/>
      <c r="Q130" s="2109"/>
      <c r="R130" s="2110"/>
      <c r="S130" s="611"/>
      <c r="T130" s="2108">
        <f>IF(((T127-0.1)*AW113)&gt;0,((T127-0.1)*AW113),0)</f>
        <v>6.0407840309285581E-2</v>
      </c>
      <c r="U130" s="2109"/>
      <c r="V130" s="2109"/>
      <c r="W130" s="2110"/>
      <c r="X130" s="611"/>
      <c r="Y130" s="2108">
        <f>IF(((Y127-0.1)*AW114)&gt;0,((Y127-0.1)*AW114),0)</f>
        <v>2.2453366618126344E-2</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0.15</v>
      </c>
      <c r="F132" s="1898"/>
      <c r="G132" s="1898"/>
      <c r="H132" s="1899"/>
      <c r="I132" s="611"/>
      <c r="J132" s="614" t="s">
        <v>2034</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10</v>
      </c>
      <c r="F133" s="2081"/>
      <c r="G133" s="2081"/>
      <c r="H133" s="2082"/>
      <c r="I133" s="611"/>
      <c r="J133" s="614" t="s">
        <v>1435</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1442</v>
      </c>
      <c r="AK137" s="2080">
        <f>E133</f>
        <v>10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1443</v>
      </c>
      <c r="AE140" s="1924" t="s">
        <v>1421</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1444</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1445</v>
      </c>
      <c r="AG142" s="1991"/>
      <c r="AH142" s="1991"/>
      <c r="AI142" s="1991"/>
      <c r="AJ142" s="1991"/>
      <c r="AK142" s="1991"/>
      <c r="AL142" s="199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2658</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1446</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1447</v>
      </c>
      <c r="AP146" s="523">
        <v>5</v>
      </c>
    </row>
    <row r="147" spans="1:42" s="570" customFormat="1" ht="12.75" customHeight="1">
      <c r="A147" s="572"/>
      <c r="B147" s="2086" t="s">
        <v>1448</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1448</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1449</v>
      </c>
      <c r="AB149" s="2027" t="s">
        <v>599</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1450</v>
      </c>
      <c r="AP150" s="523"/>
    </row>
    <row r="151" spans="1:42" s="570" customFormat="1" ht="12.75" customHeight="1">
      <c r="A151" s="572"/>
      <c r="B151" s="572" t="s">
        <v>1451</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1452</v>
      </c>
      <c r="AP151" s="523">
        <v>5</v>
      </c>
    </row>
    <row r="152" spans="1:42" s="570" customFormat="1" ht="12.75" customHeight="1">
      <c r="A152" s="572"/>
      <c r="B152" s="2086" t="s">
        <v>1450</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1453</v>
      </c>
      <c r="AP152" s="523">
        <v>7</v>
      </c>
    </row>
    <row r="153" spans="1:42" s="570" customFormat="1" ht="12.75" customHeight="1">
      <c r="B153" s="573" t="s">
        <v>1454</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1456</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1458</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1459</v>
      </c>
      <c r="AG157" s="1991"/>
      <c r="AH157" s="1991"/>
      <c r="AI157" s="1991"/>
      <c r="AJ157" s="1991"/>
      <c r="AK157" s="1991"/>
      <c r="AL157" s="1991"/>
      <c r="AM157" s="637"/>
      <c r="AN157" s="632"/>
    </row>
    <row r="158" spans="1:42" s="584" customFormat="1" ht="12.75" customHeight="1">
      <c r="A158" s="570"/>
      <c r="B158" s="573" t="s">
        <v>1460</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1457</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1455</v>
      </c>
      <c r="AP160" s="633">
        <v>2</v>
      </c>
    </row>
    <row r="161" spans="1:73" s="584" customFormat="1" ht="12.75" customHeight="1">
      <c r="A161" s="570"/>
      <c r="B161" s="570"/>
      <c r="C161" s="573" t="s">
        <v>1462</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599</v>
      </c>
      <c r="AG161" s="2027"/>
      <c r="AH161" s="570"/>
      <c r="AI161" s="570"/>
      <c r="AJ161" s="570"/>
      <c r="AK161" s="570"/>
      <c r="AL161" s="570"/>
      <c r="AM161" s="637"/>
      <c r="AN161" s="631"/>
      <c r="AO161" s="510" t="s">
        <v>1457</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2527</v>
      </c>
      <c r="AP162" s="633">
        <v>3</v>
      </c>
    </row>
    <row r="163" spans="1:73" s="584" customFormat="1" ht="12.75" customHeight="1">
      <c r="A163" s="570"/>
      <c r="B163" s="570"/>
      <c r="C163" s="2086" t="s">
        <v>1450</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1454</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1464</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1450</v>
      </c>
      <c r="AP166" s="510"/>
    </row>
    <row r="167" spans="1:73" s="584" customFormat="1" ht="12.75" customHeight="1">
      <c r="A167" s="570"/>
      <c r="B167" s="570"/>
      <c r="C167" s="2087" t="str">
        <f>Application!AA335</f>
        <v>The John Stewart Company</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1461</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1463</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1465</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1466</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1467</v>
      </c>
      <c r="AQ174" s="646">
        <v>0</v>
      </c>
    </row>
    <row r="175" spans="1:73" s="584" customFormat="1" ht="12.75" customHeight="1">
      <c r="A175" s="572" t="s">
        <v>1468</v>
      </c>
      <c r="B175" s="572" t="s">
        <v>1913</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1421</v>
      </c>
      <c r="AF175" s="1924"/>
      <c r="AG175" s="1924"/>
      <c r="AH175" s="1924"/>
      <c r="AI175" s="1924"/>
      <c r="AJ175" s="1924"/>
      <c r="AK175" s="1924"/>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1469</v>
      </c>
      <c r="AQ176" s="584">
        <v>10</v>
      </c>
    </row>
    <row r="177" spans="1:45" s="584" customFormat="1" ht="12.75" customHeight="1">
      <c r="A177" s="570"/>
      <c r="B177" s="2083" t="s">
        <v>1467</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1470</v>
      </c>
      <c r="AG177" s="1991"/>
      <c r="AH177" s="1991"/>
      <c r="AI177" s="1991"/>
      <c r="AJ177" s="1991"/>
      <c r="AK177" s="1991"/>
      <c r="AL177" s="1991"/>
      <c r="AN177" s="631"/>
      <c r="AP177" s="584" t="s">
        <v>1065</v>
      </c>
      <c r="AQ177" s="584">
        <v>10</v>
      </c>
    </row>
    <row r="178" spans="1:45" s="584" customFormat="1" ht="12.75" customHeight="1">
      <c r="A178" s="570"/>
      <c r="B178" s="2084" t="s">
        <v>1912</v>
      </c>
      <c r="C178" s="2084"/>
      <c r="D178" s="2084"/>
      <c r="E178" s="2084"/>
      <c r="F178" s="2084"/>
      <c r="G178" s="2084"/>
      <c r="H178" s="2084"/>
      <c r="I178" s="2084"/>
      <c r="J178" s="2084"/>
      <c r="K178" s="2084"/>
      <c r="L178" s="2084"/>
      <c r="M178" s="2084"/>
      <c r="N178" s="2084"/>
      <c r="O178" s="2084"/>
      <c r="P178" s="2084"/>
      <c r="Q178" s="2084"/>
      <c r="R178" s="2084"/>
      <c r="S178" s="2084"/>
      <c r="T178" s="2085" t="s">
        <v>599</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1471</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1474</v>
      </c>
      <c r="AQ179" s="584">
        <v>10</v>
      </c>
      <c r="AS179" s="584" t="s">
        <v>1472</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1473</v>
      </c>
      <c r="AK180" s="1918">
        <f>IF(AK78&gt;0,VLOOKUP($B$177,AP174:AQ180,2,FALSE),0)</f>
        <v>0</v>
      </c>
      <c r="AL180" s="1919"/>
      <c r="AM180" s="1920"/>
      <c r="AN180" s="569"/>
      <c r="AP180" s="584" t="s">
        <v>1476</v>
      </c>
      <c r="AQ180" s="584">
        <v>10</v>
      </c>
      <c r="AS180" s="584" t="s">
        <v>1475</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1477</v>
      </c>
      <c r="B183" s="572" t="s">
        <v>1478</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1479</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1733</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1735</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10120260.887647815</v>
      </c>
      <c r="AE198" s="2065"/>
      <c r="AF198" s="2065"/>
      <c r="AG198" s="2065"/>
      <c r="AH198" s="2065"/>
      <c r="AI198" s="2065"/>
      <c r="AJ198" s="2065"/>
      <c r="AK198" s="644"/>
    </row>
    <row r="199" spans="1:37">
      <c r="A199" s="639"/>
      <c r="B199" s="1936" t="s">
        <v>1698</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1">
        <f>SUM(AD188:AJ198)-AD199</f>
        <v>10120260.887647815</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1703</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1734</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1705</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1706</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1707</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1708</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1745</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1715</v>
      </c>
      <c r="J211" s="2091"/>
      <c r="K211" s="2091"/>
      <c r="L211" s="570"/>
      <c r="M211" s="570"/>
      <c r="N211" s="570"/>
      <c r="O211" s="570"/>
      <c r="P211" s="570"/>
      <c r="Q211" s="570"/>
      <c r="R211" s="570"/>
      <c r="S211" s="570"/>
      <c r="T211" s="1902" t="s">
        <v>1709</v>
      </c>
      <c r="U211" s="1902"/>
      <c r="V211" s="1902"/>
      <c r="W211" s="1902"/>
      <c r="X211" s="1902"/>
      <c r="Y211" s="1902"/>
      <c r="Z211" s="883"/>
      <c r="AA211" s="523"/>
      <c r="AB211" s="2088" t="s">
        <v>1710</v>
      </c>
      <c r="AC211" s="2088"/>
      <c r="AD211" s="2088"/>
      <c r="AE211" s="2088"/>
      <c r="AF211" s="2088"/>
      <c r="AG211" s="2088"/>
      <c r="AH211" s="861"/>
      <c r="AI211" s="861"/>
      <c r="AJ211" s="861"/>
      <c r="AK211" s="644"/>
    </row>
    <row r="212" spans="1:37">
      <c r="A212" s="639"/>
      <c r="B212" s="2089" t="s">
        <v>1695</v>
      </c>
      <c r="C212" s="2089"/>
      <c r="D212" s="2089"/>
      <c r="E212" s="2089"/>
      <c r="F212" s="2089"/>
      <c r="G212" s="2089"/>
      <c r="I212" s="2090" t="s">
        <v>1716</v>
      </c>
      <c r="J212" s="2090"/>
      <c r="K212" s="2090"/>
      <c r="L212" s="1043"/>
      <c r="N212" s="1937" t="s">
        <v>1711</v>
      </c>
      <c r="O212" s="1937"/>
      <c r="P212" s="1937"/>
      <c r="Q212" s="1937"/>
      <c r="R212" s="1937"/>
      <c r="T212" s="1937" t="s">
        <v>1712</v>
      </c>
      <c r="U212" s="1937"/>
      <c r="V212" s="1937"/>
      <c r="W212" s="1937"/>
      <c r="X212" s="1937"/>
      <c r="Y212" s="1937"/>
      <c r="Z212" s="884"/>
      <c r="AA212" s="523"/>
      <c r="AB212" s="1940" t="s">
        <v>1713</v>
      </c>
      <c r="AC212" s="1940"/>
      <c r="AD212" s="1940"/>
      <c r="AE212" s="1940"/>
      <c r="AF212" s="1940"/>
      <c r="AG212" s="1940"/>
      <c r="AH212" s="861"/>
      <c r="AI212" s="861"/>
      <c r="AJ212" s="861"/>
      <c r="AK212" s="644"/>
    </row>
    <row r="213" spans="1:37">
      <c r="A213" s="639"/>
      <c r="B213" s="1939" t="s">
        <v>2761</v>
      </c>
      <c r="C213" s="1939"/>
      <c r="D213" s="1939"/>
      <c r="E213" s="1939"/>
      <c r="F213" s="1939"/>
      <c r="G213" s="1939"/>
      <c r="H213" s="886"/>
      <c r="I213" s="1907">
        <v>15</v>
      </c>
      <c r="J213" s="1907"/>
      <c r="K213" s="1907"/>
      <c r="L213" s="1043"/>
      <c r="N213" s="1904">
        <v>1136</v>
      </c>
      <c r="O213" s="1904"/>
      <c r="P213" s="1904"/>
      <c r="Q213" s="1904"/>
      <c r="R213" s="1904"/>
      <c r="T213" s="1903">
        <v>2080</v>
      </c>
      <c r="U213" s="1903"/>
      <c r="V213" s="1903"/>
      <c r="W213" s="1903"/>
      <c r="X213" s="1903"/>
      <c r="Y213" s="1903"/>
      <c r="Z213" s="885"/>
      <c r="AA213" s="885"/>
      <c r="AB213" s="1901">
        <f t="shared" ref="AB213:AB222" si="0">MAX(($T213-$N213)*$I213*12,0)</f>
        <v>169920</v>
      </c>
      <c r="AC213" s="1901"/>
      <c r="AD213" s="1901"/>
      <c r="AE213" s="1901"/>
      <c r="AF213" s="1901"/>
      <c r="AG213" s="1901"/>
      <c r="AH213" s="861"/>
      <c r="AI213" s="861"/>
      <c r="AJ213" s="861"/>
      <c r="AK213" s="644"/>
    </row>
    <row r="214" spans="1:37">
      <c r="A214" s="639"/>
      <c r="B214" s="1939" t="s">
        <v>2761</v>
      </c>
      <c r="C214" s="1939"/>
      <c r="D214" s="1939"/>
      <c r="E214" s="1939"/>
      <c r="F214" s="1939"/>
      <c r="G214" s="1939"/>
      <c r="I214" s="1907">
        <v>1</v>
      </c>
      <c r="J214" s="1907"/>
      <c r="K214" s="1907"/>
      <c r="L214" s="1043"/>
      <c r="N214" s="1904">
        <v>1136</v>
      </c>
      <c r="O214" s="1904"/>
      <c r="P214" s="1904"/>
      <c r="Q214" s="1904"/>
      <c r="R214" s="1904"/>
      <c r="T214" s="1903">
        <v>2100</v>
      </c>
      <c r="U214" s="1903"/>
      <c r="V214" s="1903"/>
      <c r="W214" s="1903"/>
      <c r="X214" s="1903"/>
      <c r="Y214" s="1903"/>
      <c r="Z214" s="885"/>
      <c r="AA214" s="885"/>
      <c r="AB214" s="1901">
        <f t="shared" si="0"/>
        <v>11568</v>
      </c>
      <c r="AC214" s="1901"/>
      <c r="AD214" s="1901"/>
      <c r="AE214" s="1901"/>
      <c r="AF214" s="1901"/>
      <c r="AG214" s="1901"/>
      <c r="AH214" s="861"/>
      <c r="AI214" s="861"/>
      <c r="AJ214" s="861"/>
      <c r="AK214" s="644"/>
    </row>
    <row r="215" spans="1:37">
      <c r="A215" s="639"/>
      <c r="B215" s="1939" t="s">
        <v>2762</v>
      </c>
      <c r="C215" s="1939"/>
      <c r="D215" s="1939"/>
      <c r="E215" s="1939"/>
      <c r="F215" s="1939"/>
      <c r="G215" s="1939"/>
      <c r="I215" s="1907">
        <v>23</v>
      </c>
      <c r="J215" s="1907"/>
      <c r="K215" s="1907"/>
      <c r="L215" s="1043"/>
      <c r="N215" s="1904">
        <v>1364</v>
      </c>
      <c r="O215" s="1904"/>
      <c r="P215" s="1904"/>
      <c r="Q215" s="1904"/>
      <c r="R215" s="1904"/>
      <c r="T215" s="1903">
        <v>2330</v>
      </c>
      <c r="U215" s="1903"/>
      <c r="V215" s="1903"/>
      <c r="W215" s="1903"/>
      <c r="X215" s="1903"/>
      <c r="Y215" s="1903"/>
      <c r="Z215" s="885"/>
      <c r="AA215" s="885"/>
      <c r="AB215" s="1901">
        <f t="shared" si="0"/>
        <v>266616</v>
      </c>
      <c r="AC215" s="1901"/>
      <c r="AD215" s="1901"/>
      <c r="AE215" s="1901"/>
      <c r="AF215" s="1901"/>
      <c r="AG215" s="1901"/>
      <c r="AH215" s="861"/>
      <c r="AI215" s="861"/>
      <c r="AJ215" s="861"/>
      <c r="AK215" s="644"/>
    </row>
    <row r="216" spans="1:37">
      <c r="A216" s="639"/>
      <c r="B216" s="1939" t="s">
        <v>2762</v>
      </c>
      <c r="C216" s="1939"/>
      <c r="D216" s="1939"/>
      <c r="E216" s="1939"/>
      <c r="F216" s="1939"/>
      <c r="G216" s="1939"/>
      <c r="I216" s="1907">
        <v>1</v>
      </c>
      <c r="J216" s="1907"/>
      <c r="K216" s="1907"/>
      <c r="L216" s="1043"/>
      <c r="N216" s="1904">
        <v>1364</v>
      </c>
      <c r="O216" s="1904"/>
      <c r="P216" s="1904"/>
      <c r="Q216" s="1904"/>
      <c r="R216" s="1904"/>
      <c r="T216" s="1903">
        <v>2350</v>
      </c>
      <c r="U216" s="1903"/>
      <c r="V216" s="1903"/>
      <c r="W216" s="1903"/>
      <c r="X216" s="1903"/>
      <c r="Y216" s="1903"/>
      <c r="Z216" s="885"/>
      <c r="AA216" s="885"/>
      <c r="AB216" s="1901">
        <f t="shared" si="0"/>
        <v>11832</v>
      </c>
      <c r="AC216" s="1901"/>
      <c r="AD216" s="1901"/>
      <c r="AE216" s="1901"/>
      <c r="AF216" s="1901"/>
      <c r="AG216" s="1901"/>
      <c r="AH216" s="861"/>
      <c r="AI216" s="861"/>
      <c r="AJ216" s="861"/>
      <c r="AK216" s="644"/>
    </row>
    <row r="217" spans="1:37">
      <c r="A217" s="639"/>
      <c r="B217" s="1939" t="s">
        <v>2763</v>
      </c>
      <c r="C217" s="1939"/>
      <c r="D217" s="1939"/>
      <c r="E217" s="1939"/>
      <c r="F217" s="1939"/>
      <c r="G217" s="1939"/>
      <c r="I217" s="1907">
        <v>1</v>
      </c>
      <c r="J217" s="1907"/>
      <c r="K217" s="1907"/>
      <c r="L217" s="1050"/>
      <c r="N217" s="1904">
        <v>1576</v>
      </c>
      <c r="O217" s="1904"/>
      <c r="P217" s="1904"/>
      <c r="Q217" s="1904"/>
      <c r="R217" s="1904"/>
      <c r="T217" s="1903">
        <v>2805</v>
      </c>
      <c r="U217" s="1903"/>
      <c r="V217" s="1903"/>
      <c r="W217" s="1903"/>
      <c r="X217" s="1903"/>
      <c r="Y217" s="1903"/>
      <c r="Z217" s="885"/>
      <c r="AA217" s="885"/>
      <c r="AB217" s="1901">
        <f t="shared" si="0"/>
        <v>14748</v>
      </c>
      <c r="AC217" s="1901"/>
      <c r="AD217" s="1901"/>
      <c r="AE217" s="1901"/>
      <c r="AF217" s="1901"/>
      <c r="AG217" s="1901"/>
      <c r="AH217" s="861"/>
      <c r="AI217" s="861"/>
      <c r="AJ217" s="861"/>
      <c r="AK217" s="644"/>
    </row>
    <row r="218" spans="1:37">
      <c r="A218" s="639"/>
      <c r="B218" s="1939" t="s">
        <v>2763</v>
      </c>
      <c r="C218" s="1939"/>
      <c r="D218" s="1939"/>
      <c r="E218" s="1939"/>
      <c r="F218" s="1939"/>
      <c r="G218" s="1939"/>
      <c r="I218" s="1907">
        <v>21</v>
      </c>
      <c r="J218" s="1907"/>
      <c r="K218" s="1907"/>
      <c r="L218" s="1050"/>
      <c r="N218" s="1904">
        <v>1576</v>
      </c>
      <c r="O218" s="1904"/>
      <c r="P218" s="1904"/>
      <c r="Q218" s="1904"/>
      <c r="R218" s="1904"/>
      <c r="T218" s="1903">
        <v>2825</v>
      </c>
      <c r="U218" s="1903"/>
      <c r="V218" s="1903"/>
      <c r="W218" s="1903"/>
      <c r="X218" s="1903"/>
      <c r="Y218" s="1903"/>
      <c r="Z218" s="885"/>
      <c r="AA218" s="885"/>
      <c r="AB218" s="1901">
        <f t="shared" si="0"/>
        <v>314748</v>
      </c>
      <c r="AC218" s="1901"/>
      <c r="AD218" s="1901"/>
      <c r="AE218" s="1901"/>
      <c r="AF218" s="1901"/>
      <c r="AG218" s="1901"/>
      <c r="AH218" s="861"/>
      <c r="AI218" s="861"/>
      <c r="AJ218" s="861"/>
      <c r="AK218" s="644"/>
    </row>
    <row r="219" spans="1:37">
      <c r="A219" s="639"/>
      <c r="B219" s="1939" t="s">
        <v>2764</v>
      </c>
      <c r="C219" s="1939"/>
      <c r="D219" s="1939"/>
      <c r="E219" s="1939"/>
      <c r="F219" s="1939"/>
      <c r="G219" s="1939"/>
      <c r="I219" s="1907">
        <v>1</v>
      </c>
      <c r="J219" s="1907"/>
      <c r="K219" s="1907"/>
      <c r="L219" s="1050"/>
      <c r="N219" s="1904">
        <v>1758</v>
      </c>
      <c r="O219" s="1904"/>
      <c r="P219" s="1904"/>
      <c r="Q219" s="1904"/>
      <c r="R219" s="1904"/>
      <c r="T219" s="1903">
        <v>3315</v>
      </c>
      <c r="U219" s="1903"/>
      <c r="V219" s="1903"/>
      <c r="W219" s="1903"/>
      <c r="X219" s="1903"/>
      <c r="Y219" s="1903"/>
      <c r="Z219" s="885"/>
      <c r="AA219" s="885"/>
      <c r="AB219" s="1901">
        <f t="shared" si="0"/>
        <v>18684</v>
      </c>
      <c r="AC219" s="1901"/>
      <c r="AD219" s="1901"/>
      <c r="AE219" s="1901"/>
      <c r="AF219" s="1901"/>
      <c r="AG219" s="1901"/>
      <c r="AH219" s="861"/>
      <c r="AI219" s="861"/>
      <c r="AJ219" s="861"/>
      <c r="AK219" s="644"/>
    </row>
    <row r="220" spans="1:37">
      <c r="A220" s="639"/>
      <c r="B220" s="1939" t="s">
        <v>2764</v>
      </c>
      <c r="C220" s="1939"/>
      <c r="D220" s="1939"/>
      <c r="E220" s="1939"/>
      <c r="F220" s="1939"/>
      <c r="G220" s="1939"/>
      <c r="I220" s="1907">
        <v>7</v>
      </c>
      <c r="J220" s="1907"/>
      <c r="K220" s="1907"/>
      <c r="L220" s="1050"/>
      <c r="N220" s="1904"/>
      <c r="O220" s="1904"/>
      <c r="P220" s="1904"/>
      <c r="Q220" s="1904"/>
      <c r="R220" s="1904"/>
      <c r="T220" s="1903">
        <v>3325</v>
      </c>
      <c r="U220" s="1903"/>
      <c r="V220" s="1903"/>
      <c r="W220" s="1903"/>
      <c r="X220" s="1903"/>
      <c r="Y220" s="1903"/>
      <c r="Z220" s="885"/>
      <c r="AA220" s="885"/>
      <c r="AB220" s="1901">
        <f t="shared" si="0"/>
        <v>279300</v>
      </c>
      <c r="AC220" s="1901"/>
      <c r="AD220" s="1901"/>
      <c r="AE220" s="1901"/>
      <c r="AF220" s="1901"/>
      <c r="AG220" s="1901"/>
      <c r="AH220" s="861"/>
      <c r="AI220" s="861"/>
      <c r="AJ220" s="861"/>
      <c r="AK220" s="644"/>
    </row>
    <row r="221" spans="1:37">
      <c r="A221" s="639"/>
      <c r="B221" s="1939" t="s">
        <v>1288</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1288</v>
      </c>
      <c r="C222" s="1939"/>
      <c r="D222" s="1939"/>
      <c r="E222" s="1939"/>
      <c r="F222" s="1939"/>
      <c r="G222" s="1939"/>
      <c r="I222" s="2092"/>
      <c r="J222" s="2092"/>
      <c r="K222" s="2092"/>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1714</v>
      </c>
      <c r="AA223" s="887"/>
      <c r="AB223" s="1901">
        <f>SUM(AB213:AB222)</f>
        <v>1087416</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1704</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1732</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1730</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1724</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1729</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1731</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1725</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1726</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1727</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1728</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1717</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1087416</v>
      </c>
      <c r="AC239" s="1901"/>
      <c r="AD239" s="1901"/>
      <c r="AE239" s="1901"/>
      <c r="AF239" s="1901"/>
      <c r="AG239" s="190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1718</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1033045.2</v>
      </c>
      <c r="AC241" s="2076"/>
      <c r="AD241" s="2076"/>
      <c r="AE241" s="2076"/>
      <c r="AF241" s="2076"/>
      <c r="AG241" s="2076"/>
      <c r="AH241" s="644"/>
      <c r="AI241" s="644"/>
      <c r="AJ241" s="644"/>
      <c r="AK241" s="644"/>
    </row>
    <row r="242" spans="1:37">
      <c r="A242" s="639"/>
      <c r="B242" s="510" t="s">
        <v>1719</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1720</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898300.17391304346</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1721</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1722</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1723</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10120260.887647815</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1699</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1702</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1701</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1700</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1480</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10120260.887647815</v>
      </c>
      <c r="AH257" s="1915"/>
      <c r="AI257" s="1915"/>
      <c r="AJ257" s="1915"/>
      <c r="AK257" s="1915"/>
    </row>
    <row r="258" spans="1:52">
      <c r="A258" s="656"/>
      <c r="B258" s="659" t="s">
        <v>1481</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29638776</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0.34</v>
      </c>
      <c r="AH259" s="2064"/>
      <c r="AI259" s="2064"/>
      <c r="AJ259" s="2064"/>
      <c r="AK259" s="2064"/>
    </row>
    <row r="260" spans="1:52">
      <c r="A260" s="656"/>
      <c r="B260" s="1013" t="s">
        <v>1927</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1482</v>
      </c>
      <c r="AK262" s="2053">
        <f>IFERROR(IF(AG259=0,0,IF((AG259*100)&gt;8,8,(AG259*100))),0)</f>
        <v>8</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1483</v>
      </c>
      <c r="B265" s="572" t="s">
        <v>1484</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1421</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553</v>
      </c>
      <c r="D267" s="1933"/>
      <c r="E267" s="581"/>
      <c r="F267" s="1884" t="s">
        <v>2335</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1470</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1486</v>
      </c>
      <c r="AK274" s="2053">
        <f>IF($C$267="yes",10,0)</f>
        <v>10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1487</v>
      </c>
      <c r="B277" s="572" t="s">
        <v>2041</v>
      </c>
      <c r="AH277" s="625" t="s">
        <v>1421</v>
      </c>
    </row>
    <row r="278" spans="1:49" ht="15" customHeight="1">
      <c r="B278" s="573"/>
    </row>
    <row r="279" spans="1:49" ht="15" customHeight="1">
      <c r="B279" s="573" t="s">
        <v>1914</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1489</v>
      </c>
      <c r="B281" s="1617"/>
      <c r="C281" s="2027" t="s">
        <v>599</v>
      </c>
      <c r="D281" s="1933"/>
      <c r="E281" s="581"/>
      <c r="F281" s="2055" t="s">
        <v>1490</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2328</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2336</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0</v>
      </c>
      <c r="AQ284" s="608" t="s">
        <v>1423</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1491</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1492</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1493</v>
      </c>
      <c r="B291" s="1617"/>
      <c r="C291" s="1933" t="s">
        <v>599</v>
      </c>
      <c r="D291" s="1933"/>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1495</v>
      </c>
      <c r="AH291" s="585"/>
      <c r="AI291" s="585"/>
      <c r="AJ291" s="584"/>
      <c r="AK291" s="584"/>
      <c r="AL291" s="584"/>
      <c r="AM291" s="584"/>
      <c r="AN291" s="681"/>
      <c r="AO291" s="14"/>
    </row>
    <row r="292" spans="1:49">
      <c r="A292" s="584"/>
      <c r="B292" s="585"/>
      <c r="C292" s="584"/>
      <c r="D292" s="585"/>
      <c r="E292" s="584"/>
      <c r="F292" s="2037" t="s">
        <v>2330</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1496</v>
      </c>
      <c r="B299" s="1617"/>
      <c r="C299" s="1933" t="s">
        <v>599</v>
      </c>
      <c r="D299" s="1933"/>
      <c r="E299" s="581"/>
      <c r="F299" s="678" t="s">
        <v>1494</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1495</v>
      </c>
      <c r="AH299" s="585"/>
      <c r="AI299" s="585"/>
      <c r="AJ299" s="584"/>
      <c r="AK299" s="584"/>
      <c r="AL299" s="584"/>
      <c r="AM299" s="584"/>
      <c r="AN299" s="73"/>
      <c r="AO299" s="14"/>
    </row>
    <row r="300" spans="1:49" hidden="1">
      <c r="A300" s="89"/>
      <c r="B300" s="89"/>
      <c r="C300" s="764"/>
      <c r="D300" s="764"/>
      <c r="E300" s="581"/>
      <c r="F300" s="1910" t="s">
        <v>2337</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1288</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1916</v>
      </c>
    </row>
    <row r="302" spans="1:49" hidden="1">
      <c r="A302" s="584"/>
      <c r="B302" s="585"/>
      <c r="C302" s="764"/>
      <c r="D302" s="764"/>
      <c r="E302" s="581"/>
      <c r="F302" s="686" t="s">
        <v>1497</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1918</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2043</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1288</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1917</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46" t="s">
        <v>1288</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1746</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1919</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1921</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1920</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6" t="s">
        <v>1288</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1498</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1747</v>
      </c>
    </row>
    <row r="322" spans="1:44" ht="12.75" hidden="1" customHeight="1">
      <c r="A322" s="1617" t="s">
        <v>1499</v>
      </c>
      <c r="B322" s="1617"/>
      <c r="C322" s="1933" t="s">
        <v>599</v>
      </c>
      <c r="D322" s="1933"/>
      <c r="E322" s="581"/>
      <c r="F322" s="2034" t="s">
        <v>2338</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1495</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1500</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1559</v>
      </c>
      <c r="AK327" s="1918">
        <f>IF(NOT(OR(Application!M355="Yes",Application!M356="Yes")),0,AP284)</f>
        <v>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1560</v>
      </c>
      <c r="B330" s="573" t="s">
        <v>855</v>
      </c>
      <c r="C330" s="570"/>
      <c r="AC330" s="573"/>
      <c r="AE330" s="1924" t="s">
        <v>1421</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1561</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2405</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2567</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1562</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0</v>
      </c>
      <c r="AS346" s="573" t="s">
        <v>1563</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10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7</v>
      </c>
      <c r="AS348" s="573" t="s">
        <v>1564</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0</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589</v>
      </c>
      <c r="AP350" s="730">
        <f>IF(C396="Yes",5,0)</f>
        <v>0</v>
      </c>
      <c r="AS350" s="573" t="s">
        <v>2066</v>
      </c>
    </row>
    <row r="351" spans="1:46" s="584" customFormat="1" ht="12.75" customHeight="1">
      <c r="A351" s="637"/>
      <c r="B351" s="645"/>
      <c r="C351" s="2022" t="s">
        <v>1565</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1893">
        <f>IF(AQ355=0,AQ364,AQ355)</f>
        <v>10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771</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592</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3</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10</v>
      </c>
      <c r="AQ355" s="1931">
        <f>IF(AP355&gt;0,AP355,0)</f>
        <v>10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8" t="s">
        <v>1566</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464</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469</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653</v>
      </c>
      <c r="AP360" s="735">
        <f>IF(C442="Yes",5,0)</f>
        <v>0</v>
      </c>
    </row>
    <row r="361" spans="1:81" s="584" customFormat="1" ht="12.4" customHeight="1">
      <c r="A361" s="637"/>
      <c r="B361" s="645"/>
      <c r="C361" s="584" t="s">
        <v>1567</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2570</v>
      </c>
      <c r="D362" s="737"/>
      <c r="E362" s="737"/>
      <c r="F362" s="737"/>
      <c r="G362" s="737"/>
      <c r="H362" s="737"/>
      <c r="I362" s="737"/>
      <c r="J362" s="737"/>
      <c r="K362" s="737"/>
      <c r="L362" s="737"/>
      <c r="M362" s="701"/>
      <c r="N362" s="701"/>
      <c r="O362" s="738"/>
      <c r="P362" s="737"/>
      <c r="Q362" s="737"/>
      <c r="R362" s="701"/>
      <c r="S362" s="701"/>
      <c r="T362" s="737"/>
      <c r="U362" s="1929">
        <f>Application!CS660-U363</f>
        <v>159</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2571</v>
      </c>
      <c r="D363" s="728"/>
      <c r="E363" s="728"/>
      <c r="F363" s="728"/>
      <c r="G363" s="728"/>
      <c r="H363" s="728"/>
      <c r="I363" s="728"/>
      <c r="J363" s="728"/>
      <c r="K363" s="728"/>
      <c r="L363" s="728"/>
      <c r="M363" s="728"/>
      <c r="N363" s="728"/>
      <c r="O363" s="728"/>
      <c r="P363" s="728"/>
      <c r="Q363" s="728"/>
      <c r="R363" s="728"/>
      <c r="S363" s="728"/>
      <c r="T363" s="728"/>
      <c r="U363" s="1930">
        <f>IF(Application!D211="SRO",Application!CS634,Application!AG756)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1">
        <f>IF(AP364&gt;0,AP364,0)</f>
        <v>0</v>
      </c>
      <c r="AR364" s="1931"/>
    </row>
    <row r="365" spans="1:81" s="584" customFormat="1" ht="12.75" customHeight="1">
      <c r="A365" s="637"/>
      <c r="B365" s="14"/>
      <c r="C365" s="746" t="s">
        <v>2568</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1422</v>
      </c>
      <c r="F366" s="1922" t="s">
        <v>1568</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599</v>
      </c>
      <c r="D370" s="1933"/>
      <c r="E370" s="753"/>
      <c r="F370" s="755" t="s">
        <v>1569</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1570</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1424</v>
      </c>
      <c r="F373" s="1922" t="s">
        <v>1571</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599</v>
      </c>
      <c r="D378" s="1933"/>
      <c r="E378" s="725"/>
      <c r="F378" s="755" t="s">
        <v>1572</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1570</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1427</v>
      </c>
      <c r="F381" s="1922" t="s">
        <v>1573</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553</v>
      </c>
      <c r="D386" s="1933"/>
      <c r="E386" s="725"/>
      <c r="F386" s="755" t="s">
        <v>1574</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1575</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599</v>
      </c>
      <c r="D388" s="1933"/>
      <c r="E388" s="725"/>
      <c r="F388" s="772" t="s">
        <v>1576</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1570</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1577</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1578</v>
      </c>
      <c r="F392" s="1922" t="s">
        <v>1579</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599</v>
      </c>
      <c r="D396" s="1933"/>
      <c r="E396" s="725"/>
      <c r="F396" s="755" t="s">
        <v>1580</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1570</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599</v>
      </c>
      <c r="D398" s="1933"/>
      <c r="E398" s="753"/>
      <c r="F398" s="755" t="s">
        <v>1581</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1582</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599</v>
      </c>
      <c r="D401" s="1933"/>
      <c r="E401" s="749" t="s">
        <v>1583</v>
      </c>
      <c r="F401" s="1922" t="s">
        <v>1584</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1570</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1585</v>
      </c>
      <c r="F406" s="1922" t="s">
        <v>1586</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599</v>
      </c>
      <c r="D410" s="1933"/>
      <c r="E410" s="725"/>
      <c r="F410" s="755" t="s">
        <v>1587</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1570</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553</v>
      </c>
      <c r="D412" s="1933"/>
      <c r="E412" s="753"/>
      <c r="F412" s="755" t="s">
        <v>1588</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1582</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2569</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1589</v>
      </c>
      <c r="F416" s="1922" t="s">
        <v>1590</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599</v>
      </c>
      <c r="D419" s="1933"/>
      <c r="E419" s="725"/>
      <c r="F419" s="755" t="s">
        <v>1591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1570</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1592</v>
      </c>
      <c r="F422" s="1922" t="s">
        <v>1593</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599</v>
      </c>
      <c r="D431" s="1933"/>
      <c r="E431" s="753"/>
      <c r="F431" s="630" t="s">
        <v>1594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1570</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1595</v>
      </c>
      <c r="F434" s="1922" t="s">
        <v>1596</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599</v>
      </c>
      <c r="D438" s="1933"/>
      <c r="E438" s="753"/>
      <c r="F438" s="755" t="s">
        <v>1600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1570</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1577</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599</v>
      </c>
      <c r="D442" s="2051"/>
      <c r="E442" s="749" t="s">
        <v>1605</v>
      </c>
      <c r="F442" s="1922" t="s">
        <v>1606</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1570</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599</v>
      </c>
      <c r="D446" s="1933"/>
      <c r="E446" s="749" t="s">
        <v>1611</v>
      </c>
      <c r="F446" s="1922" t="s">
        <v>1612</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1570</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1614</v>
      </c>
      <c r="F451" s="1922" t="s">
        <v>1615</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599</v>
      </c>
      <c r="D455" s="1933"/>
      <c r="E455" s="753"/>
      <c r="F455" s="755" t="s">
        <v>1587</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1570</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1617</v>
      </c>
      <c r="AK458" s="1918">
        <f>IF(Application!D214="N/A",AS347,AS349)</f>
        <v>10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1618</v>
      </c>
      <c r="C461" s="573"/>
      <c r="E461" s="630"/>
      <c r="AE461" s="1921" t="s">
        <v>1619</v>
      </c>
      <c r="AF461" s="1921"/>
      <c r="AG461" s="1921"/>
      <c r="AH461" s="1921"/>
      <c r="AI461" s="1921"/>
      <c r="AJ461" s="1921"/>
      <c r="AK461" s="1921"/>
      <c r="AL461" s="625"/>
      <c r="AN461" s="631"/>
      <c r="AO461" s="584" t="s">
        <v>1597</v>
      </c>
      <c r="AP461" s="584">
        <v>5</v>
      </c>
      <c r="AT461" s="584" t="s">
        <v>1597</v>
      </c>
      <c r="AU461" s="584">
        <v>5</v>
      </c>
      <c r="AV461" s="786"/>
    </row>
    <row r="462" spans="1:48" s="584" customFormat="1" ht="12.75" hidden="1" customHeight="1">
      <c r="A462" s="573"/>
      <c r="B462" s="570" t="s">
        <v>1620</v>
      </c>
      <c r="C462" s="573"/>
      <c r="E462" s="630"/>
      <c r="AE462" s="625"/>
      <c r="AF462" s="625"/>
      <c r="AG462" s="625"/>
      <c r="AH462" s="625"/>
      <c r="AI462" s="625"/>
      <c r="AJ462" s="625"/>
      <c r="AK462" s="625"/>
      <c r="AL462" s="625"/>
      <c r="AN462" s="631"/>
      <c r="AO462" s="584" t="s">
        <v>1621</v>
      </c>
      <c r="AP462" s="584">
        <v>5</v>
      </c>
      <c r="AT462" s="584" t="s">
        <v>1598</v>
      </c>
      <c r="AU462" s="584">
        <v>5</v>
      </c>
      <c r="AV462" s="786"/>
    </row>
    <row r="463" spans="1:48" s="584" customFormat="1" ht="12.75" hidden="1" customHeight="1">
      <c r="A463" s="573"/>
      <c r="B463" s="573" t="s">
        <v>1622</v>
      </c>
      <c r="C463" s="573"/>
      <c r="E463" s="630"/>
      <c r="AE463" s="625"/>
      <c r="AF463" s="625"/>
      <c r="AG463" s="625"/>
      <c r="AH463" s="625"/>
      <c r="AI463" s="625"/>
      <c r="AJ463" s="625"/>
      <c r="AK463" s="625"/>
      <c r="AL463" s="625"/>
      <c r="AN463" s="631"/>
      <c r="AO463" s="584" t="s">
        <v>1599</v>
      </c>
      <c r="AP463" s="584">
        <v>5</v>
      </c>
      <c r="AQ463" s="573"/>
      <c r="AR463" s="573"/>
      <c r="AS463" s="789"/>
      <c r="AT463" s="584" t="s">
        <v>1599</v>
      </c>
      <c r="AU463" s="584">
        <v>5</v>
      </c>
      <c r="AV463" s="570"/>
    </row>
    <row r="464" spans="1:48" s="584" customFormat="1" ht="12.75" hidden="1" customHeight="1">
      <c r="A464" s="573"/>
      <c r="B464" s="573" t="s">
        <v>1623</v>
      </c>
      <c r="C464" s="573"/>
      <c r="E464" s="630"/>
      <c r="AE464" s="625"/>
      <c r="AF464" s="625"/>
      <c r="AG464" s="625"/>
      <c r="AH464" s="625"/>
      <c r="AI464" s="625"/>
      <c r="AJ464" s="625"/>
      <c r="AK464" s="625"/>
      <c r="AL464" s="625"/>
      <c r="AN464" s="631"/>
      <c r="AO464" s="584" t="s">
        <v>1601</v>
      </c>
      <c r="AP464" s="584">
        <v>5</v>
      </c>
      <c r="AQ464" s="573"/>
      <c r="AR464" s="573"/>
      <c r="AT464" s="584" t="s">
        <v>1601</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1602</v>
      </c>
      <c r="AP465" s="584">
        <v>5</v>
      </c>
      <c r="AQ465" s="573"/>
      <c r="AR465" s="573"/>
      <c r="AT465" s="584" t="s">
        <v>1602</v>
      </c>
      <c r="AU465" s="584">
        <v>5</v>
      </c>
    </row>
    <row r="466" spans="1:59" s="584" customFormat="1" ht="12.75" hidden="1" customHeight="1">
      <c r="A466" s="573"/>
      <c r="C466" s="746" t="s">
        <v>1624</v>
      </c>
      <c r="D466" s="604"/>
      <c r="AE466" s="625"/>
      <c r="AF466" s="625"/>
      <c r="AG466" s="630"/>
      <c r="AH466" s="630"/>
      <c r="AI466" s="630"/>
      <c r="AJ466" s="630"/>
      <c r="AK466" s="630"/>
      <c r="AL466" s="630"/>
      <c r="AN466" s="631"/>
      <c r="AO466" s="584" t="s">
        <v>1603</v>
      </c>
      <c r="AP466" s="584">
        <v>5</v>
      </c>
      <c r="AT466" s="584" t="s">
        <v>1603</v>
      </c>
      <c r="AU466" s="584">
        <v>5</v>
      </c>
    </row>
    <row r="467" spans="1:59" s="584" customFormat="1" ht="12.75" hidden="1" customHeight="1">
      <c r="A467" s="573"/>
      <c r="C467" s="1998" t="s">
        <v>599</v>
      </c>
      <c r="D467" s="1999"/>
      <c r="E467" s="795" t="s">
        <v>515</v>
      </c>
      <c r="F467" s="2019" t="s">
        <v>1625</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1626</v>
      </c>
      <c r="AP467" s="584">
        <v>5</v>
      </c>
      <c r="AS467" s="792"/>
      <c r="AT467" s="584" t="s">
        <v>1604</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1607</v>
      </c>
      <c r="AP468" s="584">
        <v>1</v>
      </c>
      <c r="AT468" s="584" t="s">
        <v>1607</v>
      </c>
      <c r="AU468" s="584">
        <v>1</v>
      </c>
    </row>
    <row r="469" spans="1:59" s="584" customFormat="1" ht="12.75" hidden="1" customHeight="1">
      <c r="C469" s="798"/>
      <c r="D469" s="761"/>
      <c r="E469" s="799"/>
      <c r="F469" s="2014" t="s">
        <v>599</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1435</v>
      </c>
      <c r="AI469" s="801"/>
      <c r="AJ469" s="801"/>
      <c r="AK469" s="776"/>
      <c r="AN469" s="631"/>
      <c r="AS469" s="789"/>
      <c r="AX469" s="789"/>
      <c r="BB469" s="789" t="s">
        <v>1608</v>
      </c>
      <c r="BF469" s="789" t="s">
        <v>1609</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5" t="s">
        <v>553</v>
      </c>
      <c r="D471" s="2016"/>
      <c r="E471" s="795" t="s">
        <v>765</v>
      </c>
      <c r="F471" s="803" t="s">
        <v>1627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1610</v>
      </c>
      <c r="AX471" s="671">
        <v>3</v>
      </c>
      <c r="AY471" s="627"/>
      <c r="BB471" s="792">
        <v>0.4</v>
      </c>
      <c r="BC471" s="627">
        <v>3</v>
      </c>
      <c r="BF471" s="792">
        <v>0.4</v>
      </c>
      <c r="BG471" s="627">
        <v>4</v>
      </c>
    </row>
    <row r="472" spans="1:59" s="584" customFormat="1" ht="12.75" hidden="1" customHeight="1">
      <c r="C472" s="804" t="s">
        <v>1628</v>
      </c>
      <c r="F472" s="805" t="s">
        <v>1629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1613</v>
      </c>
      <c r="AX472" s="671">
        <v>5</v>
      </c>
      <c r="AY472" s="627"/>
      <c r="BB472" s="792">
        <v>0.6</v>
      </c>
      <c r="BC472" s="627">
        <v>4</v>
      </c>
      <c r="BF472" s="792">
        <v>0.6</v>
      </c>
      <c r="BG472" s="627">
        <v>5</v>
      </c>
    </row>
    <row r="473" spans="1:59" s="584" customFormat="1" ht="12.75" hidden="1" customHeight="1">
      <c r="C473" s="785"/>
      <c r="D473" s="764"/>
      <c r="E473" s="806"/>
      <c r="F473" s="805" t="s">
        <v>1630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1631</v>
      </c>
      <c r="G474" s="584"/>
      <c r="H474" s="584"/>
      <c r="I474" s="805"/>
      <c r="J474" s="805"/>
      <c r="K474" s="805"/>
      <c r="L474" s="805"/>
      <c r="M474" s="805"/>
      <c r="N474" s="805"/>
      <c r="O474" s="805"/>
      <c r="P474" s="805"/>
      <c r="Q474" s="805"/>
      <c r="R474" s="805"/>
      <c r="S474" s="805"/>
      <c r="T474" s="805"/>
      <c r="U474" s="805"/>
      <c r="V474" s="1927" t="s">
        <v>599</v>
      </c>
      <c r="W474" s="1927"/>
      <c r="X474" s="1927"/>
      <c r="Y474" s="805"/>
      <c r="Z474" s="805"/>
      <c r="AA474" s="805"/>
      <c r="AB474" s="805"/>
      <c r="AC474" s="805"/>
      <c r="AD474" s="643"/>
      <c r="AE474" s="643"/>
      <c r="AF474" s="643"/>
      <c r="AG474" s="647">
        <f>IF(AND($C$471="Yes",$V$476="N/A",$V$481="N/A",$V$485="N/A",$V$487="N/A"),(VLOOKUP(V474,$AW$470:$AX$472,2,FALSE)),0)</f>
        <v>0</v>
      </c>
      <c r="AH474" s="674" t="s">
        <v>1435</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1632</v>
      </c>
      <c r="G476" s="584"/>
      <c r="H476" s="584"/>
      <c r="I476" s="805"/>
      <c r="J476" s="805"/>
      <c r="K476" s="805"/>
      <c r="L476" s="805"/>
      <c r="M476" s="805"/>
      <c r="N476" s="805"/>
      <c r="O476" s="805"/>
      <c r="P476" s="805"/>
      <c r="Q476" s="805"/>
      <c r="R476" s="805"/>
      <c r="S476" s="805"/>
      <c r="T476" s="805"/>
      <c r="U476" s="805"/>
      <c r="V476" s="1927" t="s">
        <v>599</v>
      </c>
      <c r="W476" s="1927"/>
      <c r="X476" s="1927"/>
      <c r="Y476" s="805"/>
      <c r="Z476" s="805"/>
      <c r="AA476" s="805"/>
      <c r="AB476" s="805"/>
      <c r="AC476" s="805"/>
      <c r="AD476" s="643"/>
      <c r="AE476" s="643"/>
      <c r="AF476" s="643"/>
      <c r="AG476" s="647">
        <f>IF(AND($C$471="Yes",$V$474="N/A", $V$481="N/A",$V$485="N/A",$V$487="N/A"),(VLOOKUP(V476,$AT$470:$AU$472,2,FALSE)),0)</f>
        <v>0</v>
      </c>
      <c r="AH476" s="674" t="s">
        <v>1435</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1633</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1634</v>
      </c>
      <c r="AP478" s="671">
        <v>2</v>
      </c>
    </row>
    <row r="479" spans="1:59" s="584" customFormat="1" ht="12.75" hidden="1" customHeight="1">
      <c r="C479" s="796"/>
      <c r="F479" s="643" t="s">
        <v>1635</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1636</v>
      </c>
      <c r="AP479" s="584">
        <v>2</v>
      </c>
    </row>
    <row r="480" spans="1:59" s="630" customFormat="1" ht="12.75" hidden="1" customHeight="1">
      <c r="A480" s="584"/>
      <c r="B480" s="584"/>
      <c r="C480" s="773"/>
      <c r="D480" s="604"/>
      <c r="E480" s="604"/>
      <c r="F480" s="643" t="s">
        <v>1637</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1638</v>
      </c>
      <c r="AP480" s="584">
        <v>2</v>
      </c>
    </row>
    <row r="481" spans="1:81" s="584" customFormat="1" ht="12.75" hidden="1" customHeight="1">
      <c r="C481" s="811"/>
      <c r="F481" s="809" t="s">
        <v>1639</v>
      </c>
      <c r="M481" s="797"/>
      <c r="N481" s="797"/>
      <c r="O481" s="797"/>
      <c r="P481" s="797"/>
      <c r="Q481" s="585"/>
      <c r="R481" s="585"/>
      <c r="S481" s="585"/>
      <c r="T481" s="585"/>
      <c r="U481" s="585"/>
      <c r="V481" s="1927" t="s">
        <v>599</v>
      </c>
      <c r="W481" s="1927"/>
      <c r="X481" s="1927"/>
      <c r="Y481" s="585"/>
      <c r="Z481" s="585"/>
      <c r="AA481" s="585"/>
      <c r="AB481" s="585"/>
      <c r="AC481" s="585"/>
      <c r="AG481" s="647">
        <f>IF(AND($C$471="Yes",$V$474="N/A",$V$476="N/A", $V$485="N/A",$V$487="N/A"),(VLOOKUP($V$481,$AT$474:$AU$476,2,FALSE)),0)</f>
        <v>0</v>
      </c>
      <c r="AH481" s="674" t="s">
        <v>1435</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1640</v>
      </c>
      <c r="D483" s="748"/>
      <c r="E483" s="748"/>
      <c r="F483" s="814" t="s">
        <v>1641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1"/>
      <c r="E484" s="2001"/>
      <c r="F484" s="805" t="s">
        <v>1642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1643</v>
      </c>
      <c r="AP484" s="671">
        <v>5</v>
      </c>
      <c r="AQ484" s="573"/>
    </row>
    <row r="485" spans="1:81" s="604" customFormat="1" ht="12.75" hidden="1" customHeight="1">
      <c r="A485" s="713"/>
      <c r="B485" s="584"/>
      <c r="C485" s="796"/>
      <c r="D485" s="584"/>
      <c r="E485" s="584"/>
      <c r="F485" s="816" t="s">
        <v>1631</v>
      </c>
      <c r="G485" s="584"/>
      <c r="H485" s="584"/>
      <c r="I485" s="584"/>
      <c r="J485" s="584"/>
      <c r="K485" s="584"/>
      <c r="L485" s="584"/>
      <c r="M485" s="584"/>
      <c r="N485" s="584"/>
      <c r="O485" s="584"/>
      <c r="P485" s="584"/>
      <c r="Q485" s="584"/>
      <c r="R485" s="584"/>
      <c r="S485" s="584"/>
      <c r="T485" s="584"/>
      <c r="U485" s="584"/>
      <c r="V485" s="1927" t="s">
        <v>599</v>
      </c>
      <c r="W485" s="1927"/>
      <c r="X485" s="1927"/>
      <c r="Y485" s="584"/>
      <c r="Z485" s="584"/>
      <c r="AA485" s="584"/>
      <c r="AB485" s="584"/>
      <c r="AC485" s="584"/>
      <c r="AD485" s="584"/>
      <c r="AE485" s="584"/>
      <c r="AF485" s="584"/>
      <c r="AG485" s="647">
        <f>IF(AND($C$471="Yes",$V$474="N/A",V476="N/A",$V$481="N/A",$V$487="N/A"),(VLOOKUP($V$485,$BB$470:$BC$473,2,FALSE)),0)</f>
        <v>0</v>
      </c>
      <c r="AH485" s="674" t="s">
        <v>1435</v>
      </c>
      <c r="AI485" s="585"/>
      <c r="AJ485" s="584"/>
      <c r="AK485" s="766"/>
      <c r="AL485" s="584"/>
      <c r="AM485" s="584"/>
      <c r="AN485" s="718"/>
      <c r="AO485" s="584" t="s">
        <v>1644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1632</v>
      </c>
      <c r="G487" s="800"/>
      <c r="H487" s="800"/>
      <c r="I487" s="761"/>
      <c r="J487" s="761"/>
      <c r="K487" s="761"/>
      <c r="L487" s="761"/>
      <c r="M487" s="761"/>
      <c r="N487" s="761"/>
      <c r="O487" s="761"/>
      <c r="P487" s="761"/>
      <c r="Q487" s="761"/>
      <c r="R487" s="761"/>
      <c r="S487" s="761"/>
      <c r="T487" s="761"/>
      <c r="U487" s="761"/>
      <c r="V487" s="1927" t="s">
        <v>599</v>
      </c>
      <c r="W487" s="1927"/>
      <c r="X487" s="1927"/>
      <c r="Y487" s="761"/>
      <c r="Z487" s="761"/>
      <c r="AA487" s="761"/>
      <c r="AB487" s="761"/>
      <c r="AC487" s="761"/>
      <c r="AD487" s="761"/>
      <c r="AE487" s="761"/>
      <c r="AF487" s="761"/>
      <c r="AG487" s="817">
        <f>IF(AND($C$471="Yes",$V$474="N/A",$V$476="N/A",$V$481="N/A",$V$485="N/A"),(VLOOKUP($V$487,$BF$470:$BG$472,2,FALSE)),0)</f>
        <v>0</v>
      </c>
      <c r="AH487" s="802" t="s">
        <v>1435</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1646</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599</v>
      </c>
      <c r="D490" s="1999"/>
      <c r="E490" s="795" t="s">
        <v>515</v>
      </c>
      <c r="F490" s="2019" t="s">
        <v>1625</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599</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1435</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599</v>
      </c>
      <c r="D494" s="1999"/>
      <c r="E494" s="795" t="s">
        <v>765</v>
      </c>
      <c r="F494" s="2007" t="s">
        <v>1647</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599</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1435</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599</v>
      </c>
      <c r="D499" s="1999"/>
      <c r="E499" s="795" t="s">
        <v>1649</v>
      </c>
      <c r="F499" s="814" t="s">
        <v>1650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1435</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599</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599</v>
      </c>
      <c r="D504" s="2004"/>
      <c r="F504" s="585" t="s">
        <v>1652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1435</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599</v>
      </c>
      <c r="D508" s="2004"/>
      <c r="F508" s="829" t="s">
        <v>1655</v>
      </c>
      <c r="G508" s="1923" t="s">
        <v>1656</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1435</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1657</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599</v>
      </c>
      <c r="D512" s="2011"/>
      <c r="E512" s="836" t="s">
        <v>1658</v>
      </c>
      <c r="F512" s="805" t="s">
        <v>1659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1435</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599</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1665</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1666</v>
      </c>
      <c r="B527" s="573" t="s">
        <v>1667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1668</v>
      </c>
      <c r="AF527" s="1924"/>
      <c r="AG527" s="1924"/>
      <c r="AH527" s="1924"/>
      <c r="AI527" s="1924"/>
      <c r="AJ527" s="1924"/>
      <c r="AK527" s="1924"/>
      <c r="AL527" s="629"/>
      <c r="AM527" s="629"/>
      <c r="AN527" s="631"/>
    </row>
    <row r="528" spans="1:81" s="584" customFormat="1" ht="12.75" customHeight="1">
      <c r="A528" s="573"/>
      <c r="B528" s="573" t="s">
        <v>1431</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553</v>
      </c>
      <c r="D530" s="1933"/>
      <c r="E530" s="585"/>
      <c r="F530" s="1992" t="s">
        <v>1669</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599</v>
      </c>
      <c r="D533" s="1933"/>
      <c r="E533" s="840"/>
      <c r="F533" s="678" t="s">
        <v>1670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1671</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1672</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37739880</v>
      </c>
      <c r="AQ539" s="1905"/>
      <c r="AR539" s="1905"/>
      <c r="AS539" s="584" t="s">
        <v>2528</v>
      </c>
    </row>
    <row r="540" spans="1:49" s="584" customFormat="1" ht="12.75" customHeight="1">
      <c r="A540" s="532"/>
      <c r="B540" s="481" t="s">
        <v>1673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28058185</v>
      </c>
      <c r="AG540" s="1915"/>
      <c r="AH540" s="1915"/>
      <c r="AI540" s="1915"/>
      <c r="AJ540" s="1915"/>
      <c r="AK540" s="629"/>
      <c r="AL540" s="629"/>
      <c r="AM540" s="629"/>
      <c r="AN540" s="631"/>
    </row>
    <row r="541" spans="1:49" s="584" customFormat="1" ht="12.75" customHeight="1">
      <c r="A541" s="659"/>
      <c r="B541" s="659" t="s">
        <v>1674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56609820</v>
      </c>
      <c r="AG541" s="1916"/>
      <c r="AH541" s="1916"/>
      <c r="AI541" s="1916"/>
      <c r="AJ541" s="1916"/>
      <c r="AK541" s="629"/>
      <c r="AL541" s="629"/>
      <c r="AM541" s="629"/>
      <c r="AN541" s="631"/>
      <c r="AP541" s="1905">
        <f>Application!AJ1044</f>
        <v>11321964</v>
      </c>
      <c r="AQ541" s="1905"/>
      <c r="AR541" s="1905"/>
      <c r="AS541" s="584" t="s">
        <v>2052</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0.5</v>
      </c>
      <c r="AG542" s="1917"/>
      <c r="AH542" s="1917"/>
      <c r="AI542" s="1917"/>
      <c r="AJ542" s="1917"/>
      <c r="AK542" s="629"/>
      <c r="AL542" s="629"/>
      <c r="AM542" s="629"/>
      <c r="AN542" s="631"/>
      <c r="AP542" s="1906">
        <f>Application!AJ1048</f>
        <v>7547976</v>
      </c>
      <c r="AQ542" s="1906"/>
      <c r="AR542" s="1906"/>
      <c r="AS542" s="584" t="s">
        <v>2529</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f>IF(((AP541+AP542)/AP539)&gt;0.8,0.8,((AP541+AP542)/AP539))</f>
        <v>0.5</v>
      </c>
      <c r="AQ543" s="1925"/>
      <c r="AR543" s="1925"/>
      <c r="AS543" s="584" t="s">
        <v>2530</v>
      </c>
    </row>
    <row r="544" spans="1:49" s="584" customFormat="1" ht="12.75" customHeight="1">
      <c r="A544" s="658"/>
      <c r="B544" s="1971" t="s">
        <v>2342</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37739880</v>
      </c>
      <c r="AQ545" s="1926"/>
      <c r="AR545" s="1926"/>
      <c r="AS545" s="584" t="s">
        <v>2532</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56609820</v>
      </c>
      <c r="AQ546" s="1905"/>
      <c r="AR546" s="1905"/>
      <c r="AS546" s="584" t="s">
        <v>2531</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1675</v>
      </c>
      <c r="AK548" s="1980">
        <f>IFERROR(IF(AND(C530="N/A",C533="N/A"),0,IF(AF542=0,0,IF((AF542*100)&gt;12,12,(AF542*100)))),0)</f>
        <v>12</v>
      </c>
      <c r="AL548" s="1980"/>
      <c r="AM548" s="1981"/>
      <c r="AN548" s="631"/>
      <c r="AP548" s="1894">
        <f>AP545+(AP539*AP543)</f>
        <v>56609820</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1421</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2333</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1501</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1502</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1884</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1445</v>
      </c>
      <c r="AG567" s="1991"/>
      <c r="AH567" s="1991"/>
      <c r="AI567" s="1991"/>
      <c r="AJ567" s="1991"/>
      <c r="AK567" s="1991"/>
      <c r="AL567" s="1991"/>
      <c r="AN567" s="631"/>
    </row>
    <row r="568" spans="1:42" s="584" customFormat="1" ht="12.75" customHeight="1">
      <c r="B568" s="570"/>
      <c r="C568" s="650"/>
      <c r="D568" s="697"/>
      <c r="E568" s="872" t="s">
        <v>1885</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1886</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1887</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1888</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2533</v>
      </c>
      <c r="AP571" s="584" t="b">
        <f>IF(Application!AF418&gt;=25,TRUE,FALSE)</f>
        <v>0</v>
      </c>
    </row>
    <row r="572" spans="1:42" s="584" customFormat="1" ht="12.75" customHeight="1">
      <c r="B572" s="570"/>
      <c r="C572" s="650"/>
      <c r="D572" s="697"/>
      <c r="E572" s="872" t="s">
        <v>1889</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2534</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1890</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1503</v>
      </c>
      <c r="AG574" s="1991"/>
      <c r="AH574" s="1991"/>
      <c r="AI574" s="1991"/>
      <c r="AJ574" s="1991"/>
      <c r="AK574" s="1991"/>
      <c r="AL574" s="1991"/>
      <c r="AN574" s="631"/>
    </row>
    <row r="575" spans="1:42" s="584" customFormat="1" ht="12.75" customHeight="1">
      <c r="B575" s="570"/>
      <c r="C575" s="968"/>
      <c r="D575" s="697"/>
      <c r="E575" s="872" t="s">
        <v>1891</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1892</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1894</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1893</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1504</v>
      </c>
      <c r="AP579" s="584">
        <v>4</v>
      </c>
    </row>
    <row r="580" spans="1:53" s="584" customFormat="1" ht="12.75" customHeight="1">
      <c r="B580" s="570"/>
      <c r="C580" s="966"/>
      <c r="D580" s="697" t="s">
        <v>279</v>
      </c>
      <c r="E580" s="872" t="s">
        <v>1895</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1485</v>
      </c>
      <c r="AG580" s="1991"/>
      <c r="AH580" s="1991"/>
      <c r="AI580" s="1991"/>
      <c r="AJ580" s="1991"/>
      <c r="AK580" s="1991"/>
      <c r="AL580" s="1991"/>
      <c r="AN580" s="631"/>
      <c r="AO580" s="645" t="s">
        <v>1505</v>
      </c>
      <c r="AP580" s="584">
        <v>3</v>
      </c>
    </row>
    <row r="581" spans="1:53" s="584" customFormat="1" ht="12.75" customHeight="1">
      <c r="B581" s="570"/>
      <c r="C581" s="968"/>
      <c r="D581" s="697"/>
      <c r="E581" s="872" t="s">
        <v>1891</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1892</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2536</v>
      </c>
    </row>
    <row r="583" spans="1:53" s="584" customFormat="1" ht="12.75" customHeight="1">
      <c r="B583" s="570"/>
      <c r="C583" s="968"/>
      <c r="D583" s="697"/>
      <c r="E583" s="872" t="s">
        <v>1894</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2537</v>
      </c>
    </row>
    <row r="584" spans="1:53" s="584" customFormat="1" ht="12.75" customHeight="1">
      <c r="B584" s="570"/>
      <c r="C584" s="968"/>
      <c r="D584" s="697"/>
      <c r="E584" s="872" t="s">
        <v>1893</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2538</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1504</v>
      </c>
      <c r="E586" s="872" t="s">
        <v>1896</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1506</v>
      </c>
      <c r="AG586" s="1991"/>
      <c r="AH586" s="1991"/>
      <c r="AI586" s="1991"/>
      <c r="AJ586" s="1991"/>
      <c r="AK586" s="1991"/>
      <c r="AL586" s="1991"/>
      <c r="AN586" s="631"/>
      <c r="AO586" s="584" t="str">
        <f>X623</f>
        <v>N/A</v>
      </c>
    </row>
    <row r="587" spans="1:53" s="584" customFormat="1" ht="12.75" customHeight="1">
      <c r="B587" s="570"/>
      <c r="C587" s="968"/>
      <c r="D587" s="697"/>
      <c r="E587" s="872" t="s">
        <v>1897</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1898</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2539</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2540</v>
      </c>
    </row>
    <row r="590" spans="1:53" s="584" customFormat="1" ht="12.75" customHeight="1">
      <c r="B590" s="644"/>
      <c r="C590" s="966"/>
      <c r="D590" s="697"/>
      <c r="E590" s="570" t="s">
        <v>2053</v>
      </c>
      <c r="O590" s="2030" t="s">
        <v>1288</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1505</v>
      </c>
      <c r="E592" s="872" t="s">
        <v>1900</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1459</v>
      </c>
      <c r="AG592" s="1991"/>
      <c r="AH592" s="1991"/>
      <c r="AI592" s="1991"/>
      <c r="AJ592" s="1991"/>
      <c r="AK592" s="1991"/>
      <c r="AL592" s="1991"/>
      <c r="AN592" s="631"/>
    </row>
    <row r="593" spans="2:47" s="584" customFormat="1" ht="12.75" customHeight="1">
      <c r="B593" s="570"/>
      <c r="C593" s="966"/>
      <c r="D593" s="697"/>
      <c r="E593" s="872" t="s">
        <v>1899</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1507</v>
      </c>
      <c r="E595" s="971"/>
      <c r="F595" s="971"/>
      <c r="G595" s="971"/>
      <c r="H595" s="1935" t="s">
        <v>1505</v>
      </c>
      <c r="I595" s="1935"/>
      <c r="J595" s="971"/>
      <c r="K595" s="971"/>
      <c r="L595" s="971"/>
      <c r="N595" s="22"/>
      <c r="O595" s="22"/>
      <c r="P595" s="22"/>
      <c r="Q595" s="1195" t="s">
        <v>2535</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1901</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1902</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1903</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1904</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1507</v>
      </c>
      <c r="F603" s="971"/>
      <c r="G603" s="971"/>
      <c r="I603" s="2029" t="s">
        <v>599</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1508</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1509</v>
      </c>
      <c r="AP604" s="584">
        <v>2</v>
      </c>
    </row>
    <row r="605" spans="2:47" s="584" customFormat="1" ht="12.75" customHeight="1">
      <c r="B605" s="2027" t="s">
        <v>599</v>
      </c>
      <c r="C605" s="2027"/>
      <c r="D605" s="676"/>
      <c r="E605" s="1911" t="s">
        <v>1510</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1511</v>
      </c>
      <c r="AJ610" s="1918">
        <f>VLOOKUP($H$595,$AO$575:$AP$580,2,FALSE)+IF(R595=AO583,0,VLOOKUP($I$603,$AO$602:$AP$604,2,FALSE))</f>
        <v>3</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1512</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8" t="s">
        <v>1880</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1459</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1513</v>
      </c>
      <c r="F623" s="976"/>
      <c r="G623" s="976"/>
      <c r="H623" s="976"/>
      <c r="I623" s="976"/>
      <c r="J623" s="976"/>
      <c r="K623" s="976"/>
      <c r="L623" s="976"/>
      <c r="M623" s="976"/>
      <c r="N623" s="976"/>
      <c r="O623" s="976"/>
      <c r="P623" s="976"/>
      <c r="Q623" s="976"/>
      <c r="R623" s="976"/>
      <c r="U623" s="976"/>
      <c r="V623" s="976"/>
      <c r="W623" s="976"/>
      <c r="X623" s="2027" t="s">
        <v>599</v>
      </c>
      <c r="Y623" s="202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1514</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1515</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1504</v>
      </c>
      <c r="AP626" s="714">
        <v>4</v>
      </c>
    </row>
    <row r="627" spans="1:42" s="584" customFormat="1" ht="12.75" customHeight="1">
      <c r="B627" s="570"/>
      <c r="C627" s="966"/>
      <c r="D627" s="570" t="s">
        <v>1507</v>
      </c>
      <c r="E627" s="971"/>
      <c r="F627" s="971"/>
      <c r="G627" s="971"/>
      <c r="H627" s="1935" t="s">
        <v>599</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1505</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1516</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1517</v>
      </c>
      <c r="AJ629" s="1918">
        <f>VLOOKUP($H$627,$AO$594:$AP$596,2,FALSE)</f>
        <v>0</v>
      </c>
      <c r="AK629" s="1920"/>
      <c r="AL629" s="629"/>
      <c r="AN629" s="631"/>
      <c r="AO629" s="645" t="s">
        <v>1518</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1519</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1" t="s">
        <v>2412</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1459</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1520</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1515</v>
      </c>
      <c r="AG636" s="1991"/>
      <c r="AH636" s="1991"/>
      <c r="AI636" s="1991"/>
      <c r="AJ636" s="1991"/>
      <c r="AK636" s="1991"/>
      <c r="AL636" s="1991"/>
      <c r="AN636" s="631"/>
    </row>
    <row r="637" spans="1:42" s="584" customFormat="1" ht="12.75" customHeight="1">
      <c r="B637" s="570"/>
      <c r="C637" s="966"/>
      <c r="D637" s="697"/>
      <c r="E637" s="650" t="s">
        <v>1521</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1507</v>
      </c>
      <c r="E639" s="971"/>
      <c r="F639" s="971"/>
      <c r="G639" s="971"/>
      <c r="H639" s="1935" t="s">
        <v>695</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1522</v>
      </c>
      <c r="AJ641" s="1918">
        <f>VLOOKUP(H639,AT594:AU596,2,FALSE)</f>
        <v>3</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1523</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1524</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1" t="s">
        <v>1525</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1485</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1" t="s">
        <v>1526</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1506</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1" t="s">
        <v>1527</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1459</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599</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1504</v>
      </c>
      <c r="E658" s="1911" t="s">
        <v>1528</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1506</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1505</v>
      </c>
      <c r="E662" s="1911" t="s">
        <v>1529</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1459</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1516</v>
      </c>
      <c r="E666" s="1911" t="s">
        <v>1530</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1515</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1518</v>
      </c>
      <c r="E670" s="1911" t="s">
        <v>1531</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1532</v>
      </c>
      <c r="AG670" s="1991"/>
      <c r="AH670" s="1991"/>
      <c r="AI670" s="1991"/>
      <c r="AJ670" s="1991"/>
      <c r="AK670" s="1991"/>
      <c r="AL670" s="1991"/>
      <c r="AM670" s="630"/>
      <c r="AN670" s="631"/>
      <c r="AO670" s="645" t="s">
        <v>695</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1507</v>
      </c>
      <c r="E674" s="971"/>
      <c r="F674" s="971"/>
      <c r="G674" s="971"/>
      <c r="H674" s="1935" t="s">
        <v>695</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1533</v>
      </c>
      <c r="AJ676" s="1918">
        <f>VLOOKUP($H$674,$AO$622:$AP$629,2,FALSE)</f>
        <v>5</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2541</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2542</v>
      </c>
      <c r="AX679" s="1196">
        <f>Application!G753</f>
        <v>69</v>
      </c>
    </row>
    <row r="680" spans="1:51" s="584" customFormat="1" ht="12.75" customHeight="1">
      <c r="A680" s="713"/>
      <c r="B680" s="570"/>
      <c r="C680" s="983"/>
      <c r="D680" s="697" t="s">
        <v>695</v>
      </c>
      <c r="E680" s="2026" t="s">
        <v>2548</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1459</v>
      </c>
      <c r="AG680" s="1991"/>
      <c r="AH680" s="1991"/>
      <c r="AI680" s="1991"/>
      <c r="AJ680" s="1991"/>
      <c r="AK680" s="1991"/>
      <c r="AL680" s="1991"/>
      <c r="AN680" s="631"/>
      <c r="AW680" s="22" t="s">
        <v>2543</v>
      </c>
      <c r="AX680" s="584">
        <f>Application!CC632</f>
        <v>21</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2544</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2545</v>
      </c>
      <c r="AX682" s="584">
        <f>Application!CM632</f>
        <v>0</v>
      </c>
    </row>
    <row r="683" spans="1:51" s="584" customFormat="1" ht="12.75" customHeight="1">
      <c r="B683" s="570"/>
      <c r="C683" s="966"/>
      <c r="D683" s="697" t="s">
        <v>517</v>
      </c>
      <c r="E683" s="1911" t="s">
        <v>2449</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1459</v>
      </c>
      <c r="AG683" s="1991"/>
      <c r="AH683" s="1991"/>
      <c r="AI683" s="1991"/>
      <c r="AJ683" s="1991"/>
      <c r="AK683" s="1991"/>
      <c r="AL683" s="1991"/>
      <c r="AN683" s="631"/>
      <c r="AW683" s="22" t="s">
        <v>2546</v>
      </c>
      <c r="AX683" s="584">
        <f>AX680+AX681+AX682</f>
        <v>29</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1</v>
      </c>
      <c r="AP684" s="1926"/>
      <c r="AW684" s="22" t="s">
        <v>2547</v>
      </c>
      <c r="AX684" s="584">
        <f>IFERROR(AX683/AX679,0)</f>
        <v>0.42028985507246375</v>
      </c>
      <c r="AY684" s="584">
        <f>IFERROR(AX683/(AX679-AX678),0)</f>
        <v>0.42028985507246375</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11" t="s">
        <v>2450</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1515</v>
      </c>
      <c r="AG688" s="1991"/>
      <c r="AH688" s="1991"/>
      <c r="AI688" s="1991"/>
      <c r="AJ688" s="1991"/>
      <c r="AK688" s="1991"/>
      <c r="AL688" s="1991"/>
      <c r="AN688" s="631"/>
      <c r="AO688" s="645" t="s">
        <v>517</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1" t="s">
        <v>1879</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1507</v>
      </c>
      <c r="E698" s="971"/>
      <c r="F698" s="971"/>
      <c r="G698" s="971"/>
      <c r="H698" s="1935" t="s">
        <v>517</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1534</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1512</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18">
        <f>VLOOKUP($H$698,$AO$692:$AP$695,2,FALSE)</f>
        <v>3</v>
      </c>
      <c r="AK700" s="1920"/>
      <c r="AL700" s="629"/>
      <c r="AM700" s="584"/>
      <c r="AN700" s="718"/>
      <c r="AP700" s="604" t="s">
        <v>1519</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1535</v>
      </c>
    </row>
    <row r="702" spans="1:42" s="604" customFormat="1" ht="12.75" customHeight="1">
      <c r="A702" s="584"/>
      <c r="B702" s="570"/>
      <c r="C702" s="573" t="s">
        <v>1536</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1537</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1538</v>
      </c>
    </row>
    <row r="704" spans="1:42" s="604" customFormat="1" ht="12.75" customHeight="1">
      <c r="A704" s="671"/>
      <c r="B704" s="570"/>
      <c r="C704" s="966"/>
      <c r="D704" s="697" t="s">
        <v>695</v>
      </c>
      <c r="E704" s="2024" t="s">
        <v>1881</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1459</v>
      </c>
      <c r="AG704" s="1991"/>
      <c r="AH704" s="1991"/>
      <c r="AI704" s="1991"/>
      <c r="AJ704" s="1991"/>
      <c r="AK704" s="1991"/>
      <c r="AL704" s="1991"/>
      <c r="AM704" s="584"/>
      <c r="AN704" s="718"/>
      <c r="AP704" s="604" t="s">
        <v>1539</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1540</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1541</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1543</v>
      </c>
    </row>
    <row r="708" spans="1:52" s="604" customFormat="1" ht="13.9" customHeight="1">
      <c r="A708" s="584"/>
      <c r="B708" s="570"/>
      <c r="C708" s="966"/>
      <c r="D708" s="697" t="s">
        <v>517</v>
      </c>
      <c r="E708" s="2025" t="s">
        <v>1542</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1515</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1507</v>
      </c>
      <c r="E712" s="971"/>
      <c r="F712" s="971"/>
      <c r="G712" s="971"/>
      <c r="H712" s="1935" t="s">
        <v>599</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1544</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1545</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1" t="s">
        <v>1882</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1459</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1" t="s">
        <v>1546</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1515</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1507</v>
      </c>
      <c r="E724" s="971"/>
      <c r="F724" s="971"/>
      <c r="G724" s="971"/>
      <c r="H724" s="1935" t="s">
        <v>599</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1547</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1548</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1" t="s">
        <v>1549</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1459</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1" t="s">
        <v>1550</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1515</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1507</v>
      </c>
      <c r="E740" s="971"/>
      <c r="F740" s="971"/>
      <c r="G740" s="971"/>
      <c r="H740" s="1935" t="s">
        <v>599</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1551</v>
      </c>
      <c r="AJ742" s="1918">
        <f>VLOOKUP($H$740,$AO$669:$AP$671,2,FALSE)</f>
        <v>0</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1541</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1" t="s">
        <v>1552</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1515</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1" t="s">
        <v>1553</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1532</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1507</v>
      </c>
      <c r="E752" s="971"/>
      <c r="F752" s="971"/>
      <c r="G752" s="971"/>
      <c r="H752" s="1935" t="s">
        <v>695</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1554</v>
      </c>
      <c r="AJ754" s="1918">
        <f>VLOOKUP($H$752,$AO$686:$AP$688,2,FALSE)</f>
        <v>2</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1543</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1" t="s">
        <v>1878</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1515</v>
      </c>
      <c r="AG758" s="1991"/>
      <c r="AH758" s="1991"/>
      <c r="AI758" s="1991"/>
      <c r="AJ758" s="1991"/>
      <c r="AK758" s="1991"/>
      <c r="AL758" s="1991"/>
      <c r="AM758" s="647"/>
      <c r="AN758" s="718"/>
      <c r="AO758" s="584" t="s">
        <v>599</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3" t="s">
        <v>1883</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1459</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1507</v>
      </c>
      <c r="E768" s="971"/>
      <c r="F768" s="971"/>
      <c r="G768" s="971"/>
      <c r="H768" s="1935" t="s">
        <v>599</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1555</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1556</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1" t="s">
        <v>2343</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1459</v>
      </c>
      <c r="AG774" s="1991"/>
      <c r="AH774" s="1991"/>
      <c r="AI774" s="1991"/>
      <c r="AJ774" s="1991"/>
      <c r="AK774" s="1991"/>
      <c r="AL774" s="199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1507</v>
      </c>
      <c r="E779" s="971"/>
      <c r="F779" s="971"/>
      <c r="G779" s="971"/>
      <c r="H779" s="1935" t="s">
        <v>599</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1557</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1558</v>
      </c>
      <c r="AK783" s="1918">
        <f>IF(($AJ$610+$AJ$629+$AJ$641+$AJ$676+$AJ$700+$AJ$714+$AJ$726+$AJ$742+$AJ$754+$AJ$770+AJ781)&gt;10,10,($AJ$610+$AJ$629+$AJ$641+$AJ$676+$AJ$700+$AJ$714+$AJ$726+$AJ$742+$AJ$754+$AJ$770+AJ781))</f>
        <v>10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1676</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1677</v>
      </c>
      <c r="U791" s="1986"/>
      <c r="V791" s="1986"/>
      <c r="W791" s="1986"/>
      <c r="X791" s="1986"/>
      <c r="Y791" s="1987"/>
      <c r="Z791" s="1985" t="s">
        <v>1678</v>
      </c>
      <c r="AA791" s="1986"/>
      <c r="AB791" s="1986"/>
      <c r="AC791" s="1986"/>
      <c r="AD791" s="1986"/>
      <c r="AE791" s="1987"/>
      <c r="AF791" s="1985" t="s">
        <v>1679</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765</v>
      </c>
      <c r="B793" s="1942" t="s">
        <v>1411</v>
      </c>
      <c r="C793" s="1942"/>
      <c r="D793" s="1942"/>
      <c r="E793" s="1942"/>
      <c r="F793" s="1942"/>
      <c r="G793" s="1942"/>
      <c r="H793" s="1942"/>
      <c r="I793" s="1942"/>
      <c r="J793" s="1942"/>
      <c r="K793" s="1942"/>
      <c r="L793" s="1942"/>
      <c r="M793" s="1942"/>
      <c r="N793" s="1942"/>
      <c r="O793" s="1942"/>
      <c r="P793" s="1942"/>
      <c r="Q793" s="1942"/>
      <c r="R793" s="1942"/>
      <c r="S793" s="1943"/>
      <c r="T793" s="1970">
        <f>AK56</f>
        <v>20</v>
      </c>
      <c r="U793" s="1946"/>
      <c r="V793" s="1946"/>
      <c r="W793" s="1946"/>
      <c r="X793" s="1946"/>
      <c r="Y793" s="1947"/>
      <c r="Z793" s="1945">
        <v>20</v>
      </c>
      <c r="AA793" s="1946"/>
      <c r="AB793" s="1946"/>
      <c r="AC793" s="1946"/>
      <c r="AD793" s="1946"/>
      <c r="AE793" s="1947"/>
      <c r="AF793" s="1931">
        <f>IF(T793&gt;Z793,Z793,T793)</f>
        <v>20</v>
      </c>
      <c r="AG793" s="1931"/>
      <c r="AH793" s="1931"/>
      <c r="AI793" s="1931"/>
      <c r="AJ793" s="1931"/>
      <c r="AK793" s="1931"/>
      <c r="AL793" s="852"/>
      <c r="AM793" s="630"/>
      <c r="AO793" s="850"/>
      <c r="AP793" s="850"/>
      <c r="AQ793" s="850"/>
    </row>
    <row r="794" spans="1:43">
      <c r="A794" s="853" t="s">
        <v>1649</v>
      </c>
      <c r="B794" s="1942" t="s">
        <v>1420</v>
      </c>
      <c r="C794" s="1942"/>
      <c r="D794" s="1942"/>
      <c r="E794" s="1942"/>
      <c r="F794" s="1942"/>
      <c r="G794" s="1942"/>
      <c r="H794" s="1942"/>
      <c r="I794" s="1942"/>
      <c r="J794" s="1942"/>
      <c r="K794" s="1942"/>
      <c r="L794" s="1942"/>
      <c r="M794" s="1942"/>
      <c r="N794" s="1942"/>
      <c r="O794" s="1942"/>
      <c r="P794" s="1942"/>
      <c r="Q794" s="1942"/>
      <c r="R794" s="1942"/>
      <c r="S794" s="1943"/>
      <c r="T794" s="1970">
        <f>AK78</f>
        <v>0</v>
      </c>
      <c r="U794" s="1946"/>
      <c r="V794" s="1946"/>
      <c r="W794" s="1946"/>
      <c r="X794" s="1946"/>
      <c r="Y794" s="1947"/>
      <c r="Z794" s="1945">
        <v>10</v>
      </c>
      <c r="AA794" s="1946"/>
      <c r="AB794" s="1946"/>
      <c r="AC794" s="1946"/>
      <c r="AD794" s="1946"/>
      <c r="AE794" s="1947"/>
      <c r="AF794" s="1931">
        <f>IF(T794&gt;Z794,Z794,T794)</f>
        <v>0</v>
      </c>
      <c r="AG794" s="1931"/>
      <c r="AH794" s="1931"/>
      <c r="AI794" s="1931"/>
      <c r="AJ794" s="1931"/>
      <c r="AK794" s="1931"/>
      <c r="AL794" s="852"/>
      <c r="AM794" s="630"/>
      <c r="AO794" s="850"/>
      <c r="AP794" s="850"/>
      <c r="AQ794" s="850"/>
    </row>
    <row r="795" spans="1:43">
      <c r="A795" s="853" t="s">
        <v>1658</v>
      </c>
      <c r="B795" s="1942" t="s">
        <v>1430</v>
      </c>
      <c r="C795" s="1942"/>
      <c r="D795" s="1942"/>
      <c r="E795" s="1942"/>
      <c r="F795" s="1942"/>
      <c r="G795" s="1942"/>
      <c r="H795" s="1942"/>
      <c r="I795" s="1942"/>
      <c r="J795" s="1942"/>
      <c r="K795" s="1942"/>
      <c r="L795" s="1942"/>
      <c r="M795" s="1942"/>
      <c r="N795" s="1942"/>
      <c r="O795" s="1942"/>
      <c r="P795" s="1942"/>
      <c r="Q795" s="1942"/>
      <c r="R795" s="1942"/>
      <c r="S795" s="1943"/>
      <c r="T795" s="1970">
        <f ca="1">AK103</f>
        <v>20</v>
      </c>
      <c r="U795" s="1946"/>
      <c r="V795" s="1946"/>
      <c r="W795" s="1946"/>
      <c r="X795" s="1946"/>
      <c r="Y795" s="1947"/>
      <c r="Z795" s="1945">
        <v>20</v>
      </c>
      <c r="AA795" s="1946"/>
      <c r="AB795" s="1946"/>
      <c r="AC795" s="1946"/>
      <c r="AD795" s="1946"/>
      <c r="AE795" s="1947"/>
      <c r="AF795" s="1931">
        <f ca="1">IF(T795&gt;Z795,Z795,T795)</f>
        <v>20</v>
      </c>
      <c r="AG795" s="1931"/>
      <c r="AH795" s="1931"/>
      <c r="AI795" s="1931"/>
      <c r="AJ795" s="1931"/>
      <c r="AK795" s="1931"/>
      <c r="AL795" s="852"/>
      <c r="AM795" s="630"/>
      <c r="AO795" s="850"/>
      <c r="AP795" s="850"/>
      <c r="AQ795" s="850"/>
    </row>
    <row r="796" spans="1:43">
      <c r="A796" s="853" t="s">
        <v>1680</v>
      </c>
      <c r="B796" s="1942" t="s">
        <v>1440</v>
      </c>
      <c r="C796" s="1942"/>
      <c r="D796" s="1942"/>
      <c r="E796" s="1942"/>
      <c r="F796" s="1942"/>
      <c r="G796" s="1942"/>
      <c r="H796" s="1942"/>
      <c r="I796" s="1942"/>
      <c r="J796" s="1942"/>
      <c r="K796" s="1942"/>
      <c r="L796" s="1942"/>
      <c r="M796" s="1942"/>
      <c r="N796" s="1942"/>
      <c r="O796" s="1942"/>
      <c r="P796" s="1942"/>
      <c r="Q796" s="1942"/>
      <c r="R796" s="1942"/>
      <c r="S796" s="1943"/>
      <c r="T796" s="1970">
        <f>AK137</f>
        <v>10</v>
      </c>
      <c r="U796" s="1946"/>
      <c r="V796" s="1946"/>
      <c r="W796" s="1946"/>
      <c r="X796" s="1946"/>
      <c r="Y796" s="1947"/>
      <c r="Z796" s="1945">
        <v>10</v>
      </c>
      <c r="AA796" s="1946"/>
      <c r="AB796" s="1946"/>
      <c r="AC796" s="1946"/>
      <c r="AD796" s="1946"/>
      <c r="AE796" s="1947"/>
      <c r="AF796" s="1931">
        <f>IF(T796&gt;Z796,Z796,T796)</f>
        <v>10</v>
      </c>
      <c r="AG796" s="1931"/>
      <c r="AH796" s="1931"/>
      <c r="AI796" s="1931"/>
      <c r="AJ796" s="1931"/>
      <c r="AK796" s="1931"/>
      <c r="AL796" s="852"/>
      <c r="AM796" s="630"/>
      <c r="AO796" s="850"/>
      <c r="AP796" s="850"/>
      <c r="AQ796" s="850"/>
    </row>
    <row r="797" spans="1:43">
      <c r="A797" s="854" t="s">
        <v>1681</v>
      </c>
      <c r="B797" s="1942" t="s">
        <v>1682</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1">
        <v>10</v>
      </c>
      <c r="AA797" s="1931"/>
      <c r="AB797" s="1931"/>
      <c r="AC797" s="1931"/>
      <c r="AD797" s="1931"/>
      <c r="AE797" s="1931"/>
      <c r="AF797" s="1931">
        <f>IF(T797&gt;Z797,Z797,T797)</f>
        <v>10</v>
      </c>
      <c r="AG797" s="1931"/>
      <c r="AH797" s="1931"/>
      <c r="AI797" s="1931"/>
      <c r="AJ797" s="1931"/>
      <c r="AK797" s="1931"/>
      <c r="AL797" s="852"/>
      <c r="AM797" s="630"/>
    </row>
    <row r="798" spans="1:43">
      <c r="A798" s="569"/>
      <c r="B798" s="635"/>
      <c r="C798" s="1948" t="s">
        <v>1683</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1684</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1468</v>
      </c>
      <c r="B800" s="1942" t="s">
        <v>1685</v>
      </c>
      <c r="C800" s="1942"/>
      <c r="D800" s="1942"/>
      <c r="E800" s="1942"/>
      <c r="F800" s="1942"/>
      <c r="G800" s="1942"/>
      <c r="H800" s="1942"/>
      <c r="I800" s="1942"/>
      <c r="J800" s="1942"/>
      <c r="K800" s="1942"/>
      <c r="L800" s="1942"/>
      <c r="M800" s="1942"/>
      <c r="N800" s="1942"/>
      <c r="O800" s="1942"/>
      <c r="P800" s="1942"/>
      <c r="Q800" s="1942"/>
      <c r="R800" s="1942"/>
      <c r="S800" s="1943"/>
      <c r="T800" s="1944">
        <f>AK180</f>
        <v>0</v>
      </c>
      <c r="U800" s="1944"/>
      <c r="V800" s="1944"/>
      <c r="W800" s="1944"/>
      <c r="X800" s="1944"/>
      <c r="Y800" s="1944"/>
      <c r="Z800" s="1931">
        <v>10</v>
      </c>
      <c r="AA800" s="1931"/>
      <c r="AB800" s="1931"/>
      <c r="AC800" s="1931"/>
      <c r="AD800" s="1931"/>
      <c r="AE800" s="1931"/>
      <c r="AF800" s="1931">
        <f>IF(T800&gt;Z800,Z800,T800)</f>
        <v>0</v>
      </c>
      <c r="AG800" s="1931"/>
      <c r="AH800" s="1931"/>
      <c r="AI800" s="1931"/>
      <c r="AJ800" s="1931"/>
      <c r="AK800" s="1931"/>
      <c r="AL800" s="852"/>
      <c r="AM800" s="630"/>
    </row>
    <row r="801" spans="1:81">
      <c r="A801" s="853" t="s">
        <v>1477</v>
      </c>
      <c r="B801" s="1942" t="s">
        <v>1478</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1">
        <f>IF(T801&gt;Z801,Z801,T801)</f>
        <v>8</v>
      </c>
      <c r="AG801" s="1931"/>
      <c r="AH801" s="1931"/>
      <c r="AI801" s="1931"/>
      <c r="AJ801" s="1931"/>
      <c r="AK801" s="1931"/>
      <c r="AL801" s="852"/>
      <c r="AM801" s="630"/>
    </row>
    <row r="802" spans="1:81" s="568" customFormat="1" hidden="1">
      <c r="A802" s="854" t="s">
        <v>597</v>
      </c>
      <c r="B802" s="1942" t="s">
        <v>1686</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1483</v>
      </c>
      <c r="B803" s="1942" t="s">
        <v>1687</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1">
        <v>10</v>
      </c>
      <c r="AA803" s="1931"/>
      <c r="AB803" s="1931"/>
      <c r="AC803" s="1931"/>
      <c r="AD803" s="1931"/>
      <c r="AE803" s="1931"/>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1487</v>
      </c>
      <c r="B804" s="1942" t="s">
        <v>1488</v>
      </c>
      <c r="C804" s="1942"/>
      <c r="D804" s="1942"/>
      <c r="E804" s="1942"/>
      <c r="F804" s="1942"/>
      <c r="G804" s="1942"/>
      <c r="H804" s="1942"/>
      <c r="I804" s="1942"/>
      <c r="J804" s="1942"/>
      <c r="K804" s="1942"/>
      <c r="L804" s="1942"/>
      <c r="M804" s="1942"/>
      <c r="N804" s="1942"/>
      <c r="O804" s="1942"/>
      <c r="P804" s="1942"/>
      <c r="Q804" s="1942"/>
      <c r="R804" s="1942"/>
      <c r="S804" s="1943"/>
      <c r="T804" s="1944">
        <f>AK327</f>
        <v>0</v>
      </c>
      <c r="U804" s="1944"/>
      <c r="V804" s="1944"/>
      <c r="W804" s="1944"/>
      <c r="X804" s="1944"/>
      <c r="Y804" s="1944"/>
      <c r="Z804" s="1953">
        <v>10</v>
      </c>
      <c r="AA804" s="1954"/>
      <c r="AB804" s="1954"/>
      <c r="AC804" s="1954"/>
      <c r="AD804" s="1954"/>
      <c r="AE804" s="1955"/>
      <c r="AF804" s="1953">
        <f>IF(T804&gt;Z804,Z804,T804)</f>
        <v>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1688</v>
      </c>
      <c r="D805" s="857"/>
      <c r="E805" s="857"/>
      <c r="F805" s="857"/>
      <c r="G805" s="857"/>
      <c r="H805" s="857"/>
      <c r="I805" s="857"/>
      <c r="J805" s="857"/>
      <c r="K805" s="857"/>
      <c r="L805" s="857"/>
      <c r="M805" s="857"/>
      <c r="N805" s="857"/>
      <c r="O805" s="857"/>
      <c r="P805" s="857"/>
      <c r="Q805" s="857"/>
      <c r="R805" s="855"/>
      <c r="S805" s="858"/>
      <c r="T805" s="1950">
        <f>AK327</f>
        <v>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1560</v>
      </c>
      <c r="B806" s="1942" t="s">
        <v>855</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1">
        <f>IF(T806&gt;Z806,Z806,T806)</f>
        <v>10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1666</v>
      </c>
      <c r="B807" s="1942" t="s">
        <v>1667</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1">
        <f>IF(T807&gt;Z807,Z807,T807)</f>
        <v>12</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1942" t="s">
        <v>1689</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1">
        <f>IF(T808&gt;Z808,Z808,T808)</f>
        <v>10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1690</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1691</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1692</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 ca="1">SUM(AF793:AK808)-AF809</f>
        <v>110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6" workbookViewId="0">
      <selection activeCell="A2" sqref="A2:J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5" t="s">
        <v>1693</v>
      </c>
      <c r="B1" s="2145"/>
      <c r="C1" s="2145"/>
      <c r="D1" s="2145"/>
      <c r="E1" s="2145"/>
      <c r="F1" s="2145"/>
      <c r="G1" s="2145"/>
      <c r="H1" s="2145"/>
      <c r="I1" s="2145"/>
      <c r="J1" s="2145"/>
    </row>
    <row r="2" spans="1:13" ht="15" customHeight="1" thickBot="1">
      <c r="A2" s="1081"/>
      <c r="B2" s="1081"/>
      <c r="I2" s="1082"/>
      <c r="K2" s="1083"/>
    </row>
    <row r="3" spans="1:13" s="1086" customFormat="1" ht="20.100000000000001" customHeight="1">
      <c r="A3" s="1140"/>
      <c r="B3" s="1141"/>
      <c r="C3" s="1142"/>
      <c r="D3" s="1147"/>
      <c r="E3" s="1142"/>
      <c r="F3" s="1143" t="s">
        <v>2296</v>
      </c>
      <c r="G3" s="1142"/>
      <c r="H3" s="1144">
        <f>E16</f>
        <v>33767552</v>
      </c>
      <c r="I3" s="1145"/>
    </row>
    <row r="4" spans="1:13" s="1086" customFormat="1" ht="20.100000000000001" customHeight="1">
      <c r="B4" s="1134"/>
      <c r="D4" s="1148"/>
      <c r="F4" s="1132" t="s">
        <v>2298</v>
      </c>
      <c r="G4" s="1131" t="s">
        <v>2297</v>
      </c>
      <c r="H4" s="1133">
        <f>I16</f>
        <v>15237540.849673202</v>
      </c>
      <c r="I4" s="1135"/>
      <c r="K4" s="1090"/>
    </row>
    <row r="5" spans="1:13" s="1086" customFormat="1" ht="20.100000000000001" customHeight="1" thickBot="1">
      <c r="B5" s="1136"/>
      <c r="C5" s="1137"/>
      <c r="D5" s="1149"/>
      <c r="E5" s="1138"/>
      <c r="F5" s="1149" t="s">
        <v>2238</v>
      </c>
      <c r="G5" s="1150"/>
      <c r="H5" s="1146">
        <f>H3/H4</f>
        <v>2.2160762247094623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2236</v>
      </c>
      <c r="C8" s="2147"/>
      <c r="D8" s="2147"/>
      <c r="E8" s="2148"/>
      <c r="G8" s="2149" t="s">
        <v>2237</v>
      </c>
      <c r="H8" s="2150"/>
      <c r="I8" s="2151"/>
      <c r="K8" s="1092"/>
    </row>
    <row r="9" spans="1:13" ht="15" customHeight="1">
      <c r="A9" s="1081"/>
      <c r="B9" s="2140" t="s">
        <v>2275</v>
      </c>
      <c r="C9" s="2140"/>
      <c r="D9" s="2140"/>
      <c r="E9" s="1094">
        <f>G31</f>
        <v>4512500</v>
      </c>
      <c r="G9" s="2143" t="s">
        <v>2273</v>
      </c>
      <c r="H9" s="2143"/>
      <c r="I9" s="1095">
        <f>Application!AM554</f>
        <v>15250000</v>
      </c>
      <c r="K9" s="1096"/>
      <c r="M9" s="1097"/>
    </row>
    <row r="10" spans="1:13" ht="15" customHeight="1" thickBot="1">
      <c r="A10" s="1081"/>
      <c r="B10" s="2140" t="s">
        <v>2276</v>
      </c>
      <c r="C10" s="2140"/>
      <c r="D10" s="2140"/>
      <c r="E10" s="1095">
        <f>G40</f>
        <v>26588052</v>
      </c>
      <c r="G10" s="2143" t="s">
        <v>2239</v>
      </c>
      <c r="H10" s="2143"/>
      <c r="I10" s="1182">
        <f>'Basis &amp; Credits'!AB78</f>
        <v>0</v>
      </c>
      <c r="M10" s="1097"/>
    </row>
    <row r="11" spans="1:13" ht="15" customHeight="1">
      <c r="A11" s="1098"/>
      <c r="B11" s="2140" t="s">
        <v>2277</v>
      </c>
      <c r="C11" s="2140"/>
      <c r="D11" s="2140"/>
      <c r="E11" s="1095">
        <f>G49</f>
        <v>0</v>
      </c>
      <c r="G11" s="2143" t="s">
        <v>2288</v>
      </c>
      <c r="H11" s="2143"/>
      <c r="I11" s="1181">
        <f>I9+I10</f>
        <v>15250000</v>
      </c>
      <c r="M11" s="1097"/>
    </row>
    <row r="12" spans="1:13" ht="15" customHeight="1">
      <c r="A12" s="1084"/>
      <c r="B12" s="2140" t="s">
        <v>2278</v>
      </c>
      <c r="C12" s="2140"/>
      <c r="D12" s="2140"/>
      <c r="E12" s="1095">
        <f>G58</f>
        <v>140000</v>
      </c>
      <c r="G12" s="1183" t="s">
        <v>2313</v>
      </c>
      <c r="H12" s="1184"/>
      <c r="M12" s="1097"/>
    </row>
    <row r="13" spans="1:13" ht="15" customHeight="1">
      <c r="A13" s="1081"/>
      <c r="B13" s="2140" t="s">
        <v>2279</v>
      </c>
      <c r="C13" s="2140"/>
      <c r="D13" s="2140"/>
      <c r="E13" s="1100">
        <f>G83</f>
        <v>2527000</v>
      </c>
      <c r="G13" s="2144" t="s">
        <v>139</v>
      </c>
      <c r="H13" s="2144"/>
      <c r="I13" s="1099">
        <f>15%*(AND(G111="Yes",G113&lt;&gt;""))</f>
        <v>0</v>
      </c>
      <c r="M13" s="1097"/>
    </row>
    <row r="14" spans="1:13" ht="15" customHeight="1">
      <c r="A14" s="1081"/>
      <c r="B14" s="2140" t="s">
        <v>2280</v>
      </c>
      <c r="C14" s="2140"/>
      <c r="D14" s="2140"/>
      <c r="E14" s="1095">
        <f>IF(G96&gt;G106,G96,0)</f>
        <v>0</v>
      </c>
      <c r="G14" s="1179" t="s">
        <v>2289</v>
      </c>
      <c r="H14" s="1179"/>
      <c r="I14" s="1099">
        <f>IF(Application!AJ1031&gt;0,10%,IF(Application!AJ1035&gt;0,5%,0))</f>
        <v>0</v>
      </c>
      <c r="M14" s="1097"/>
    </row>
    <row r="15" spans="1:13" ht="15" customHeight="1" thickBot="1">
      <c r="A15" s="1081"/>
      <c r="B15" s="2141" t="s">
        <v>2299</v>
      </c>
      <c r="C15" s="2141"/>
      <c r="D15" s="2141"/>
      <c r="E15" s="1151">
        <f>IF(E14&gt;0,0,G106)</f>
        <v>0</v>
      </c>
      <c r="G15" s="2138" t="s">
        <v>2290</v>
      </c>
      <c r="H15" s="2139"/>
      <c r="I15" s="1153">
        <f>G123</f>
        <v>8.1699346405228761E-4</v>
      </c>
      <c r="M15" s="1097"/>
    </row>
    <row r="16" spans="1:13" ht="15" customHeight="1">
      <c r="A16" s="1081"/>
      <c r="B16" s="2142" t="s">
        <v>2235</v>
      </c>
      <c r="C16" s="2142"/>
      <c r="D16" s="2142"/>
      <c r="E16" s="1152">
        <f>SUM(E9:E15)</f>
        <v>33767552</v>
      </c>
      <c r="G16" s="1180" t="s">
        <v>2274</v>
      </c>
      <c r="H16" s="1180"/>
      <c r="I16" s="1154">
        <f>I11-((I11*I13)+(I11*I14)+(I11*I15))</f>
        <v>15237540.849673202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69</v>
      </c>
      <c r="O18" s="1124" t="s">
        <v>590</v>
      </c>
      <c r="P18" s="1079">
        <f>MATCH(Application!T189,Application!BV490:BV547,0)</f>
        <v>37</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36" t="s">
        <v>2292</v>
      </c>
      <c r="D20" s="2136" t="s">
        <v>2293</v>
      </c>
      <c r="E20" s="2136" t="s">
        <v>2294</v>
      </c>
      <c r="F20" s="2136" t="s">
        <v>2295</v>
      </c>
      <c r="G20" s="2136" t="s">
        <v>2291</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852</v>
      </c>
      <c r="Q20" s="1101" cm="1">
        <f t="array" ref="Q20">IF(Cdlac[[#This Row],[Quantity]]&gt;0,INDEX(HudFmrs,$P$18,Cdlac[[#This Row],[Bedrooms]]+1),"")</f>
        <v>2248</v>
      </c>
      <c r="R20" s="1101">
        <f>IF(Cdlac[[#This Row],[Quantity]]&gt;0,MAX(0,Cdlac[[#This Row],[Fair Market Rent]]-Cdlac[[#This Row],[Restricted Rent]]),"")</f>
        <v>1396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7"/>
      <c r="D21" s="2137"/>
      <c r="E21" s="2137"/>
      <c r="F21" s="2137"/>
      <c r="G21" s="2137"/>
      <c r="H21" s="1108"/>
      <c r="I21" s="1107"/>
      <c r="L21" s="1079">
        <f>IFERROR(MIN(4,MATCH(Application!B719,UnitSizes,0)-1),"")</f>
        <v>1</v>
      </c>
      <c r="M21" s="1101">
        <f>Application!G719</f>
        <v>6</v>
      </c>
      <c r="N21" s="1109">
        <f>Application!AC719</f>
        <v>0.5</v>
      </c>
      <c r="O21" s="1109">
        <f>IF(Cdlac[[#This Row],[Quantity]]&gt;0,IF(Cdlac[[#This Row],[Federal]],30%,IF($G$36,40%,Cdlac[[#This Row],[iAMI]])),"")</f>
        <v>0.3</v>
      </c>
      <c r="P21" s="1101" cm="1">
        <f t="array" ref="P21">IF(Cdlac[[#This Row],[Quantity]]&gt;0,INDEX(TcacRents,$P$18,Cdlac[[#This Row],[Bedrooms]]+1)*Cdlac[[#This Row],[AMI]],"")</f>
        <v>852</v>
      </c>
      <c r="Q21" s="1101" cm="1">
        <f t="array" ref="Q21">IF(Cdlac[[#This Row],[Quantity]]&gt;0,INDEX(HudFmrs,$P$18,Cdlac[[#This Row],[Bedrooms]]+1),"")</f>
        <v>2248</v>
      </c>
      <c r="R21" s="1101">
        <f>IF(Cdlac[[#This Row],[Quantity]]&gt;0,MAX(0,Cdlac[[#This Row],[Fair Market Rent]]-Cdlac[[#This Row],[Restricted Rent]]),"")</f>
        <v>1396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7</v>
      </c>
      <c r="N22" s="1109">
        <f>Application!AC720</f>
        <v>0.6</v>
      </c>
      <c r="O22" s="1109">
        <f>IF(Cdlac[[#This Row],[Quantity]]&gt;0,IF(Cdlac[[#This Row],[Federal]],30%,IF($G$36,40%,Cdlac[[#This Row],[iAMI]])),"")</f>
        <v>0.3</v>
      </c>
      <c r="P22" s="1101" cm="1">
        <f t="array" ref="P22">IF(Cdlac[[#This Row],[Quantity]]&gt;0,INDEX(TcacRents,$P$18,Cdlac[[#This Row],[Bedrooms]]+1)*Cdlac[[#This Row],[AMI]],"")</f>
        <v>852</v>
      </c>
      <c r="Q22" s="1101" cm="1">
        <f t="array" ref="Q22">IF(Cdlac[[#This Row],[Quantity]]&gt;0,INDEX(HudFmrs,$P$18,Cdlac[[#This Row],[Bedrooms]]+1),"")</f>
        <v>2248</v>
      </c>
      <c r="R22" s="1101">
        <f>IF(Cdlac[[#This Row],[Quantity]]&gt;0,MAX(0,Cdlac[[#This Row],[Fair Market Rent]]-Cdlac[[#This Row],[Restricted Rent]]),"")</f>
        <v>1396</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16</v>
      </c>
      <c r="F23" s="1110">
        <f>E23</f>
        <v>16</v>
      </c>
      <c r="G23" s="1110">
        <f>D23*F23</f>
        <v>16</v>
      </c>
      <c r="L23" s="1079">
        <f>IFERROR(MIN(4,MATCH(Application!B721,UnitSizes,0)-1),"")</f>
        <v>1</v>
      </c>
      <c r="M23" s="1101">
        <f>Application!G721</f>
        <v>1</v>
      </c>
      <c r="N23" s="1109">
        <f>Application!AC721</f>
        <v>0.6</v>
      </c>
      <c r="O23" s="1109">
        <f>IF(Cdlac[[#This Row],[Quantity]]&gt;0,IF(Cdlac[[#This Row],[Federal]],30%,IF($G$36,40%,Cdlac[[#This Row],[iAMI]])),"")</f>
        <v>0.3</v>
      </c>
      <c r="P23" s="1101" cm="1">
        <f t="array" ref="P23">IF(Cdlac[[#This Row],[Quantity]]&gt;0,INDEX(TcacRents,$P$18,Cdlac[[#This Row],[Bedrooms]]+1)*Cdlac[[#This Row],[AMI]],"")</f>
        <v>852</v>
      </c>
      <c r="Q23" s="1101" cm="1">
        <f t="array" ref="Q23">IF(Cdlac[[#This Row],[Quantity]]&gt;0,INDEX(HudFmrs,$P$18,Cdlac[[#This Row],[Bedrooms]]+1),"")</f>
        <v>2248</v>
      </c>
      <c r="R23" s="1101">
        <f>IF(Cdlac[[#This Row],[Quantity]]&gt;0,MAX(0,Cdlac[[#This Row],[Fair Market Rent]]-Cdlac[[#This Row],[Restricted Rent]]),"")</f>
        <v>1396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24</v>
      </c>
      <c r="F24" s="1113">
        <f>SUM(E24:E26)-SUM(F25:F26)</f>
        <v>27</v>
      </c>
      <c r="G24" s="1110">
        <f>D24*F24</f>
        <v>33.75</v>
      </c>
      <c r="H24" s="1112"/>
      <c r="I24" s="1112"/>
      <c r="L24" s="1079">
        <f>IFERROR(MIN(4,MATCH(Application!B722,UnitSizes,0)-1),"")</f>
        <v>2</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1023</v>
      </c>
      <c r="Q24" s="1101" cm="1">
        <f t="array" ref="Q24">IF(Cdlac[[#This Row],[Quantity]]&gt;0,INDEX(HudFmrs,$P$18,Cdlac[[#This Row],[Bedrooms]]+1),"")</f>
        <v>2833</v>
      </c>
      <c r="R24" s="1101">
        <f>IF(Cdlac[[#This Row],[Quantity]]&gt;0,MAX(0,Cdlac[[#This Row],[Fair Market Rent]]-Cdlac[[#This Row],[Restricted Rent]]),"")</f>
        <v>1810</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21</v>
      </c>
      <c r="F25" s="1113">
        <f>MIN(E25,ROUNDDOWN(E27*30%,0))</f>
        <v>20</v>
      </c>
      <c r="G25" s="1110">
        <f>D25*F25</f>
        <v>30</v>
      </c>
      <c r="H25" s="1112"/>
      <c r="I25" s="1112"/>
      <c r="L25" s="1079">
        <f>IFERROR(MIN(4,MATCH(Application!B723,UnitSizes,0)-1),"")</f>
        <v>2</v>
      </c>
      <c r="M25" s="1101">
        <f>Application!G723</f>
        <v>6</v>
      </c>
      <c r="N25" s="1109">
        <f>Application!AC723</f>
        <v>0.5</v>
      </c>
      <c r="O25" s="1109">
        <f>IF(Cdlac[[#This Row],[Quantity]]&gt;0,IF(Cdlac[[#This Row],[Federal]],30%,IF($G$36,40%,Cdlac[[#This Row],[iAMI]])),"")</f>
        <v>0.3</v>
      </c>
      <c r="P25" s="1101" cm="1">
        <f t="array" ref="P25">IF(Cdlac[[#This Row],[Quantity]]&gt;0,INDEX(TcacRents,$P$18,Cdlac[[#This Row],[Bedrooms]]+1)*Cdlac[[#This Row],[AMI]],"")</f>
        <v>1023</v>
      </c>
      <c r="Q25" s="1101" cm="1">
        <f t="array" ref="Q25">IF(Cdlac[[#This Row],[Quantity]]&gt;0,INDEX(HudFmrs,$P$18,Cdlac[[#This Row],[Bedrooms]]+1),"")</f>
        <v>2833</v>
      </c>
      <c r="R25" s="1101">
        <f>IF(Cdlac[[#This Row],[Quantity]]&gt;0,MAX(0,Cdlac[[#This Row],[Fair Market Rent]]-Cdlac[[#This Row],[Restricted Rent]]),"")</f>
        <v>1810</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8</v>
      </c>
      <c r="F26" s="1126">
        <f>MIN(E26,ROUNDDOWN(E27*10%,0))</f>
        <v>6</v>
      </c>
      <c r="G26" s="1128">
        <f>D26*F26</f>
        <v>10.5</v>
      </c>
      <c r="H26" s="1112"/>
      <c r="I26" s="1112"/>
      <c r="L26" s="1079">
        <f>IFERROR(MIN(4,MATCH(Application!B724,UnitSizes,0)-1),"")</f>
        <v>2</v>
      </c>
      <c r="M26" s="1101">
        <f>Application!G724</f>
        <v>15</v>
      </c>
      <c r="N26" s="1109">
        <f>Application!AC724</f>
        <v>0.6</v>
      </c>
      <c r="O26" s="1109">
        <f>IF(Cdlac[[#This Row],[Quantity]]&gt;0,IF(Cdlac[[#This Row],[Federal]],30%,IF($G$36,40%,Cdlac[[#This Row],[iAMI]])),"")</f>
        <v>0.3</v>
      </c>
      <c r="P26" s="1101" cm="1">
        <f t="array" ref="P26">IF(Cdlac[[#This Row],[Quantity]]&gt;0,INDEX(TcacRents,$P$18,Cdlac[[#This Row],[Bedrooms]]+1)*Cdlac[[#This Row],[AMI]],"")</f>
        <v>1023</v>
      </c>
      <c r="Q26" s="1101" cm="1">
        <f t="array" ref="Q26">IF(Cdlac[[#This Row],[Quantity]]&gt;0,INDEX(HudFmrs,$P$18,Cdlac[[#This Row],[Bedrooms]]+1),"")</f>
        <v>2833</v>
      </c>
      <c r="R26" s="1101">
        <f>IF(Cdlac[[#This Row],[Quantity]]&gt;0,MAX(0,Cdlac[[#This Row],[Fair Market Rent]]-Cdlac[[#This Row],[Restricted Rent]]),"")</f>
        <v>1810</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2" t="s">
        <v>1694</v>
      </c>
      <c r="D27" s="2153"/>
      <c r="E27" s="1129">
        <f>SUM(E22:E26)</f>
        <v>69</v>
      </c>
      <c r="F27" s="1129">
        <f>SUM(F22:F26)</f>
        <v>69</v>
      </c>
      <c r="G27" s="1130">
        <f>SUMPRODUCT(D22:D26,F22:F26)</f>
        <v>90.25</v>
      </c>
      <c r="H27" s="1112"/>
      <c r="I27" s="1112"/>
      <c r="L27" s="1079">
        <f>IFERROR(MIN(4,MATCH(Application!B725,UnitSizes,0)-1),"")</f>
        <v>2</v>
      </c>
      <c r="M27" s="1101">
        <f>Application!G725</f>
        <v>1</v>
      </c>
      <c r="N27" s="1109">
        <f>Application!AC725</f>
        <v>0.6</v>
      </c>
      <c r="O27" s="1109">
        <f>IF(Cdlac[[#This Row],[Quantity]]&gt;0,IF(Cdlac[[#This Row],[Federal]],30%,IF($G$36,40%,Cdlac[[#This Row],[iAMI]])),"")</f>
        <v>0.3</v>
      </c>
      <c r="P27" s="1101" cm="1">
        <f t="array" ref="P27">IF(Cdlac[[#This Row],[Quantity]]&gt;0,INDEX(TcacRents,$P$18,Cdlac[[#This Row],[Bedrooms]]+1)*Cdlac[[#This Row],[AMI]],"")</f>
        <v>1023</v>
      </c>
      <c r="Q27" s="1101" cm="1">
        <f t="array" ref="Q27">IF(Cdlac[[#This Row],[Quantity]]&gt;0,INDEX(HudFmrs,$P$18,Cdlac[[#This Row],[Bedrooms]]+1),"")</f>
        <v>2833</v>
      </c>
      <c r="R27" s="1101">
        <f>IF(Cdlac[[#This Row],[Quantity]]&gt;0,MAX(0,Cdlac[[#This Row],[Fair Market Rent]]-Cdlac[[#This Row],[Restricted Rent]]),"")</f>
        <v>1810</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1182</v>
      </c>
      <c r="Q28" s="1101" cm="1">
        <f t="array" ref="Q28">IF(Cdlac[[#This Row],[Quantity]]&gt;0,INDEX(HudFmrs,$P$18,Cdlac[[#This Row],[Bedrooms]]+1),"")</f>
        <v>3819</v>
      </c>
      <c r="R28" s="1101">
        <f>IF(Cdlac[[#This Row],[Quantity]]&gt;0,MAX(0,Cdlac[[#This Row],[Fair Market Rent]]-Cdlac[[#This Row],[Restricted Rent]]),"")</f>
        <v>2637</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2291</v>
      </c>
      <c r="G29" s="1156">
        <f>G27</f>
        <v>90.25</v>
      </c>
      <c r="H29" s="1112"/>
      <c r="I29" s="1112"/>
      <c r="L29" s="1079">
        <f>IFERROR(MIN(4,MATCH(Application!B727,UnitSizes,0)-1),"")</f>
        <v>3</v>
      </c>
      <c r="M29" s="1101">
        <f>Application!G727</f>
        <v>6</v>
      </c>
      <c r="N29" s="1109">
        <f>Application!AC727</f>
        <v>0.5</v>
      </c>
      <c r="O29" s="1109">
        <f>IF(Cdlac[[#This Row],[Quantity]]&gt;0,IF(Cdlac[[#This Row],[Federal]],30%,IF($G$36,40%,Cdlac[[#This Row],[iAMI]])),"")</f>
        <v>0.3</v>
      </c>
      <c r="P29" s="1101" cm="1">
        <f t="array" ref="P29">IF(Cdlac[[#This Row],[Quantity]]&gt;0,INDEX(TcacRents,$P$18,Cdlac[[#This Row],[Bedrooms]]+1)*Cdlac[[#This Row],[AMI]],"")</f>
        <v>1182</v>
      </c>
      <c r="Q29" s="1101" cm="1">
        <f t="array" ref="Q29">IF(Cdlac[[#This Row],[Quantity]]&gt;0,INDEX(HudFmrs,$P$18,Cdlac[[#This Row],[Bedrooms]]+1),"")</f>
        <v>3819</v>
      </c>
      <c r="R29" s="1101">
        <f>IF(Cdlac[[#This Row],[Quantity]]&gt;0,MAX(0,Cdlac[[#This Row],[Fair Market Rent]]-Cdlac[[#This Row],[Restricted Rent]]),"")</f>
        <v>2637</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2243</v>
      </c>
      <c r="F30" s="1155" t="s">
        <v>2300</v>
      </c>
      <c r="G30" s="1157">
        <v>50000</v>
      </c>
      <c r="H30" s="1112"/>
      <c r="I30" s="1112"/>
      <c r="L30" s="1079">
        <f>IFERROR(MIN(4,MATCH(Application!B728,UnitSizes,0)-1),"")</f>
        <v>3</v>
      </c>
      <c r="M30" s="1101">
        <f>Application!G728</f>
        <v>1</v>
      </c>
      <c r="N30" s="1109">
        <f>Application!AC728</f>
        <v>0.6</v>
      </c>
      <c r="O30" s="1109">
        <f>IF(Cdlac[[#This Row],[Quantity]]&gt;0,IF(Cdlac[[#This Row],[Federal]],30%,IF($G$36,40%,Cdlac[[#This Row],[iAMI]])),"")</f>
        <v>0.3</v>
      </c>
      <c r="P30" s="1101" cm="1">
        <f t="array" ref="P30">IF(Cdlac[[#This Row],[Quantity]]&gt;0,INDEX(TcacRents,$P$18,Cdlac[[#This Row],[Bedrooms]]+1)*Cdlac[[#This Row],[AMI]],"")</f>
        <v>1182</v>
      </c>
      <c r="Q30" s="1101" cm="1">
        <f t="array" ref="Q30">IF(Cdlac[[#This Row],[Quantity]]&gt;0,INDEX(HudFmrs,$P$18,Cdlac[[#This Row],[Bedrooms]]+1),"")</f>
        <v>3819</v>
      </c>
      <c r="R30" s="1101">
        <f>IF(Cdlac[[#This Row],[Quantity]]&gt;0,MAX(0,Cdlac[[#This Row],[Fair Market Rent]]-Cdlac[[#This Row],[Restricted Rent]]),"")</f>
        <v>2637</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2284</v>
      </c>
      <c r="F31" s="1081"/>
      <c r="G31" s="1161">
        <f>G30*G29</f>
        <v>4512500</v>
      </c>
      <c r="H31" s="1112"/>
      <c r="I31" s="1112"/>
      <c r="L31" s="1079">
        <f>IFERROR(MIN(4,MATCH(Application!B729,UnitSizes,0)-1),"")</f>
        <v>3</v>
      </c>
      <c r="M31" s="1101">
        <f>Application!G729</f>
        <v>12</v>
      </c>
      <c r="N31" s="1109">
        <f>Application!AC729</f>
        <v>0.6</v>
      </c>
      <c r="O31" s="1109">
        <f>IF(Cdlac[[#This Row],[Quantity]]&gt;0,IF(Cdlac[[#This Row],[Federal]],30%,IF($G$36,40%,Cdlac[[#This Row],[iAMI]])),"")</f>
        <v>0.3</v>
      </c>
      <c r="P31" s="1101" cm="1">
        <f t="array" ref="P31">IF(Cdlac[[#This Row],[Quantity]]&gt;0,INDEX(TcacRents,$P$18,Cdlac[[#This Row],[Bedrooms]]+1)*Cdlac[[#This Row],[AMI]],"")</f>
        <v>1182</v>
      </c>
      <c r="Q31" s="1101" cm="1">
        <f t="array" ref="Q31">IF(Cdlac[[#This Row],[Quantity]]&gt;0,INDEX(HudFmrs,$P$18,Cdlac[[#This Row],[Bedrooms]]+1),"")</f>
        <v>3819</v>
      </c>
      <c r="R31" s="1101">
        <f>IF(Cdlac[[#This Row],[Quantity]]&gt;0,MAX(0,Cdlac[[#This Row],[Fair Market Rent]]-Cdlac[[#This Row],[Restricted Rent]]),"")</f>
        <v>2637</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4</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1318.2</v>
      </c>
      <c r="Q32" s="1101" cm="1">
        <f t="array" ref="Q32">IF(Cdlac[[#This Row],[Quantity]]&gt;0,INDEX(HudFmrs,$P$18,Cdlac[[#This Row],[Bedrooms]]+1),"")</f>
        <v>4638</v>
      </c>
      <c r="R32" s="1101">
        <f>IF(Cdlac[[#This Row],[Quantity]]&gt;0,MAX(0,Cdlac[[#This Row],[Fair Market Rent]]-Cdlac[[#This Row],[Restricted Rent]]),"")</f>
        <v>3319.8</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4</v>
      </c>
      <c r="M33" s="1101">
        <f>Application!G731</f>
        <v>3</v>
      </c>
      <c r="N33" s="1109">
        <f>Application!AC731</f>
        <v>0.5</v>
      </c>
      <c r="O33" s="1109">
        <f>IF(Cdlac[[#This Row],[Quantity]]&gt;0,IF(Cdlac[[#This Row],[Federal]],30%,IF($G$36,40%,Cdlac[[#This Row],[iAMI]])),"")</f>
        <v>0.3</v>
      </c>
      <c r="P33" s="1101" cm="1">
        <f t="array" ref="P33">IF(Cdlac[[#This Row],[Quantity]]&gt;0,INDEX(TcacRents,$P$18,Cdlac[[#This Row],[Bedrooms]]+1)*Cdlac[[#This Row],[AMI]],"")</f>
        <v>1318.2</v>
      </c>
      <c r="Q33" s="1101" cm="1">
        <f t="array" ref="Q33">IF(Cdlac[[#This Row],[Quantity]]&gt;0,INDEX(HudFmrs,$P$18,Cdlac[[#This Row],[Bedrooms]]+1),"")</f>
        <v>4638</v>
      </c>
      <c r="R33" s="1101">
        <f>IF(Cdlac[[#This Row],[Quantity]]&gt;0,MAX(0,Cdlac[[#This Row],[Fair Market Rent]]-Cdlac[[#This Row],[Restricted Rent]]),"")</f>
        <v>3319.8</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4</v>
      </c>
      <c r="M34" s="1101">
        <f>Application!G732</f>
        <v>1</v>
      </c>
      <c r="N34" s="1109">
        <f>Application!AC732</f>
        <v>0.6</v>
      </c>
      <c r="O34" s="1109">
        <f>IF(Cdlac[[#This Row],[Quantity]]&gt;0,IF(Cdlac[[#This Row],[Federal]],30%,IF($G$36,40%,Cdlac[[#This Row],[iAMI]])),"")</f>
        <v>0.3</v>
      </c>
      <c r="P34" s="1101" cm="1">
        <f t="array" ref="P34">IF(Cdlac[[#This Row],[Quantity]]&gt;0,INDEX(TcacRents,$P$18,Cdlac[[#This Row],[Bedrooms]]+1)*Cdlac[[#This Row],[AMI]],"")</f>
        <v>1318.2</v>
      </c>
      <c r="Q34" s="1101" cm="1">
        <f t="array" ref="Q34">IF(Cdlac[[#This Row],[Quantity]]&gt;0,INDEX(HudFmrs,$P$18,Cdlac[[#This Row],[Bedrooms]]+1),"")</f>
        <v>4638</v>
      </c>
      <c r="R34" s="1101">
        <f>IF(Cdlac[[#This Row],[Quantity]]&gt;0,MAX(0,Cdlac[[#This Row],[Fair Market Rent]]-Cdlac[[#This Row],[Restricted Rent]]),"")</f>
        <v>3319.8</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2311</v>
      </c>
      <c r="G35" s="1162" t="e" cm="1">
        <f t="array" ref="G35">SUMPRODUCT(Cdlac[Quantity],Cdlac[iAMI],IF(Cdlac[Federal],0,1))/SUMIFS(Cdlac[Quantity],Cdlac[Federal],FALSE)</f>
        <v>#DIV/0!</v>
      </c>
      <c r="L35" s="1079">
        <f>IFERROR(MIN(4,MATCH(Application!B733,UnitSizes,0)-1),"")</f>
        <v>4</v>
      </c>
      <c r="M35" s="1101">
        <f>Application!G733</f>
        <v>3</v>
      </c>
      <c r="N35" s="1109">
        <f>Application!AC733</f>
        <v>0.6</v>
      </c>
      <c r="O35" s="1109">
        <f>IF(Cdlac[[#This Row],[Quantity]]&gt;0,IF(Cdlac[[#This Row],[Federal]],30%,IF($G$36,40%,Cdlac[[#This Row],[iAMI]])),"")</f>
        <v>0.3</v>
      </c>
      <c r="P35" s="1101" cm="1">
        <f t="array" ref="P35">IF(Cdlac[[#This Row],[Quantity]]&gt;0,INDEX(TcacRents,$P$18,Cdlac[[#This Row],[Bedrooms]]+1)*Cdlac[[#This Row],[AMI]],"")</f>
        <v>1318.2</v>
      </c>
      <c r="Q35" s="1101" cm="1">
        <f t="array" ref="Q35">IF(Cdlac[[#This Row],[Quantity]]&gt;0,INDEX(HudFmrs,$P$18,Cdlac[[#This Row],[Bedrooms]]+1),"")</f>
        <v>4638</v>
      </c>
      <c r="R35" s="1101">
        <f>IF(Cdlac[[#This Row],[Quantity]]&gt;0,MAX(0,Cdlac[[#This Row],[Fair Market Rent]]-Cdlac[[#This Row],[Restricted Rent]]),"")</f>
        <v>3319.8</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2306</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147711.4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26588052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34</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7</v>
      </c>
    </row>
    <row r="54" spans="2:14" ht="15" customHeight="1">
      <c r="E54" s="1159" t="s">
        <v>2302</v>
      </c>
      <c r="G54" s="1117">
        <f>ROUNDDOWN(E27*50%,0)</f>
        <v>34</v>
      </c>
    </row>
    <row r="55" spans="2:14" ht="15" customHeight="1">
      <c r="E55" s="1159"/>
      <c r="G55" s="1117"/>
    </row>
    <row r="56" spans="2:14" ht="15" customHeight="1">
      <c r="E56" s="1159" t="s">
        <v>2253</v>
      </c>
      <c r="G56" s="1156">
        <f>MIN(G53:G54)</f>
        <v>7</v>
      </c>
    </row>
    <row r="57" spans="2:14" ht="15" customHeight="1">
      <c r="E57" s="1159" t="s">
        <v>2243</v>
      </c>
      <c r="F57" s="1155" t="s">
        <v>2300</v>
      </c>
      <c r="G57" s="1166">
        <v>20000</v>
      </c>
    </row>
    <row r="58" spans="2:14" ht="15" customHeight="1">
      <c r="E58" s="1160" t="s">
        <v>2282</v>
      </c>
      <c r="F58" s="1081"/>
      <c r="G58" s="1165">
        <f>G56*G57</f>
        <v>140000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3</v>
      </c>
      <c r="L62" s="1169" t="str">
        <f>'Points System'!H627</f>
        <v>N/A</v>
      </c>
      <c r="M62" s="2154" t="s">
        <v>1512</v>
      </c>
      <c r="N62" s="2155"/>
    </row>
    <row r="63" spans="2:14" ht="15" customHeight="1">
      <c r="E63" s="1124" t="s">
        <v>2243</v>
      </c>
      <c r="F63" s="1155" t="s">
        <v>2300</v>
      </c>
      <c r="G63" s="1114">
        <v>4000</v>
      </c>
      <c r="L63" s="1170" t="str">
        <f>'Points System'!H639</f>
        <v>(i)</v>
      </c>
      <c r="M63" s="2156" t="s">
        <v>2257</v>
      </c>
      <c r="N63" s="2157"/>
    </row>
    <row r="64" spans="2:14" ht="15" customHeight="1">
      <c r="E64" s="1124" t="s">
        <v>2304</v>
      </c>
      <c r="F64" s="1155" t="s">
        <v>2300</v>
      </c>
      <c r="G64" s="1168">
        <f>G27</f>
        <v>90.25</v>
      </c>
      <c r="L64" s="1170" t="str">
        <f>'Points System'!H674</f>
        <v>(i)</v>
      </c>
      <c r="M64" s="2156" t="s">
        <v>2258</v>
      </c>
      <c r="N64" s="2157"/>
    </row>
    <row r="65" spans="2:14" ht="15" customHeight="1">
      <c r="E65" s="1160" t="s">
        <v>2262</v>
      </c>
      <c r="F65" s="1081"/>
      <c r="G65" s="1165">
        <f>G62*G63*G64</f>
        <v>1083000</v>
      </c>
      <c r="L65" s="1170" t="str">
        <f>IF(OR('Points System'!H698="(ii)",'Points System'!H698="(i)"),"(i)","N/A")</f>
        <v>(i)</v>
      </c>
      <c r="M65" s="2156" t="s">
        <v>2259</v>
      </c>
      <c r="N65" s="2157"/>
    </row>
    <row r="66" spans="2:14" ht="15" customHeight="1">
      <c r="C66" s="1115"/>
      <c r="G66" s="1156"/>
      <c r="L66" s="1171" t="str">
        <f>'Points System'!H712</f>
        <v>N/A</v>
      </c>
      <c r="M66" s="2156" t="s">
        <v>1538</v>
      </c>
      <c r="N66" s="2157"/>
    </row>
    <row r="67" spans="2:14" ht="15" customHeight="1">
      <c r="E67" s="1124" t="s">
        <v>2305</v>
      </c>
      <c r="G67" s="1168">
        <f>COUNTIFS(L62:L69,"(i)")</f>
        <v>4</v>
      </c>
      <c r="L67" s="1170" t="str">
        <f>'Points System'!H724</f>
        <v>N/A</v>
      </c>
      <c r="M67" s="2156" t="s">
        <v>2260</v>
      </c>
      <c r="N67" s="2157"/>
    </row>
    <row r="68" spans="2:14" ht="15" customHeight="1">
      <c r="E68" s="1124" t="s">
        <v>2243</v>
      </c>
      <c r="F68" s="1155" t="s">
        <v>2300</v>
      </c>
      <c r="G68" s="1166">
        <v>4000</v>
      </c>
      <c r="L68" s="1170" t="str">
        <f>'Points System'!H740</f>
        <v>N/A</v>
      </c>
      <c r="M68" s="2156" t="s">
        <v>2261</v>
      </c>
      <c r="N68" s="2157"/>
    </row>
    <row r="69" spans="2:14" ht="15" customHeight="1" thickBot="1">
      <c r="E69" s="1160" t="s">
        <v>2263</v>
      </c>
      <c r="F69" s="1081"/>
      <c r="G69" s="1165">
        <f>G64*G67*G68</f>
        <v>1444000</v>
      </c>
      <c r="L69" s="1172" t="str">
        <f>'Points System'!H752</f>
        <v>(i)</v>
      </c>
      <c r="M69" s="2165" t="s">
        <v>1541</v>
      </c>
      <c r="N69" s="2166"/>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2495</v>
      </c>
      <c r="G74" s="1078"/>
    </row>
    <row r="75" spans="2:14" ht="15" customHeight="1">
      <c r="C75" s="1115" t="s">
        <v>2496</v>
      </c>
      <c r="G75" s="1078"/>
    </row>
    <row r="76" spans="2:14" ht="15" customHeight="1"/>
    <row r="77" spans="2:14" ht="15" customHeight="1">
      <c r="B77" s="1116"/>
      <c r="C77" s="1115"/>
      <c r="E77" s="1124" t="s">
        <v>2307</v>
      </c>
      <c r="G77" s="1117" t="b">
        <f>COUNTIFS(G72:G75,"Yes")&gt;=1</f>
        <v>0</v>
      </c>
    </row>
    <row r="78" spans="2:14" ht="15" customHeight="1">
      <c r="E78" s="1115"/>
    </row>
    <row r="79" spans="2:14" ht="15" customHeight="1">
      <c r="E79" s="1124" t="s">
        <v>2304</v>
      </c>
      <c r="F79" s="1155" t="s">
        <v>2300</v>
      </c>
      <c r="G79" s="1156">
        <f>G27</f>
        <v>90.25</v>
      </c>
    </row>
    <row r="80" spans="2:14" ht="15" customHeight="1">
      <c r="E80" s="1124" t="s">
        <v>2243</v>
      </c>
      <c r="F80" s="1155" t="s">
        <v>2300</v>
      </c>
      <c r="G80" s="1166">
        <v>25000</v>
      </c>
    </row>
    <row r="81" spans="2:14" ht="15" customHeight="1">
      <c r="E81" s="1160" t="s">
        <v>2264</v>
      </c>
      <c r="F81" s="1081"/>
      <c r="G81" s="1165">
        <f>G77*G80*G64</f>
        <v>0</v>
      </c>
    </row>
    <row r="82" spans="2:14" ht="15" customHeight="1">
      <c r="C82" s="1115"/>
      <c r="E82" s="1115"/>
    </row>
    <row r="83" spans="2:14" ht="15" customHeight="1">
      <c r="E83" s="1160" t="s">
        <v>2241</v>
      </c>
      <c r="G83" s="1165">
        <f>G81+G69+G65</f>
        <v>2527000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c r="L87" s="2167" t="s">
        <v>2270</v>
      </c>
      <c r="M87" s="2168"/>
      <c r="N87" s="1173">
        <v>30000</v>
      </c>
    </row>
    <row r="88" spans="2:14" ht="15" customHeight="1">
      <c r="C88" s="1115" t="s">
        <v>2287</v>
      </c>
      <c r="G88" s="1119" t="str">
        <f>IF(Application!D211="Large Family","Yes","No")</f>
        <v>No</v>
      </c>
      <c r="L88" s="2161" t="s">
        <v>2234</v>
      </c>
      <c r="M88" s="2162"/>
      <c r="N88" s="1174">
        <v>20000</v>
      </c>
    </row>
    <row r="89" spans="2:14" ht="15" customHeight="1" thickBot="1">
      <c r="C89" s="1115" t="s">
        <v>2268</v>
      </c>
      <c r="G89" s="1078"/>
      <c r="L89" s="2163" t="s">
        <v>2271</v>
      </c>
      <c r="M89" s="2164"/>
      <c r="N89" s="1175">
        <v>10000</v>
      </c>
    </row>
    <row r="90" spans="2:14" ht="15" customHeight="1">
      <c r="C90" s="1115" t="s">
        <v>2269</v>
      </c>
      <c r="G90" s="1079" t="str">
        <f>Application!T193</f>
        <v>Moderate Resource</v>
      </c>
    </row>
    <row r="91" spans="2:14" ht="15" customHeight="1">
      <c r="C91" s="1115"/>
    </row>
    <row r="92" spans="2:14" ht="15" customHeight="1">
      <c r="E92" s="1124" t="s">
        <v>2307</v>
      </c>
      <c r="G92" s="1117" t="b">
        <f>AND(COUNTIFS(G88:G89,"Yes")&gt;=1,G87="Yes")</f>
        <v>0</v>
      </c>
    </row>
    <row r="93" spans="2:14" ht="15" customHeight="1">
      <c r="E93" s="1124"/>
      <c r="G93" s="1117"/>
    </row>
    <row r="94" spans="2:14" ht="15" customHeight="1">
      <c r="E94" s="1124" t="s">
        <v>2243</v>
      </c>
      <c r="G94" s="1116">
        <f>IFERROR(INDEX(N87:N89,MATCH(LEFT(G90,17),L87:L89,0)),0)</f>
        <v>10000</v>
      </c>
    </row>
    <row r="95" spans="2:14" ht="15" customHeight="1">
      <c r="E95" s="1124" t="str">
        <f>E64</f>
        <v>Bedroom-Adjusted Low-Income Units</v>
      </c>
      <c r="F95" s="1155" t="s">
        <v>2300</v>
      </c>
      <c r="G95" s="1156">
        <f>G27</f>
        <v>90.25</v>
      </c>
    </row>
    <row r="96" spans="2:14" ht="15" customHeight="1">
      <c r="D96" s="1081"/>
      <c r="E96" s="1160" t="s">
        <v>2242</v>
      </c>
      <c r="F96" s="1081"/>
      <c r="G96" s="1165">
        <f>G95*G94*G92</f>
        <v>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90.25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2635</v>
      </c>
      <c r="D110" s="2158"/>
      <c r="E110" s="2158"/>
      <c r="F110" s="2158"/>
    </row>
    <row r="111" spans="2:9" ht="15" customHeight="1">
      <c r="C111" s="2158"/>
      <c r="D111" s="2158"/>
      <c r="E111" s="2158"/>
      <c r="F111" s="2158"/>
      <c r="G111" s="1078"/>
    </row>
    <row r="112" spans="2:9" ht="15" customHeight="1"/>
    <row r="113" spans="2:9" ht="15" customHeight="1">
      <c r="C113" s="1079" t="s">
        <v>2638</v>
      </c>
      <c r="G113" s="2159"/>
      <c r="H113" s="2159"/>
    </row>
    <row r="114" spans="2:9" ht="15" customHeight="1">
      <c r="G114" s="2159"/>
      <c r="H114" s="2159"/>
    </row>
    <row r="115" spans="2:9" ht="15" customHeight="1">
      <c r="G115" s="2160"/>
      <c r="H115" s="2160"/>
    </row>
    <row r="116" spans="2:9" ht="15" customHeight="1">
      <c r="G116" s="1263"/>
      <c r="H116" s="1263"/>
    </row>
    <row r="117" spans="2:9" ht="15" customHeight="1">
      <c r="B117" s="1104" t="s">
        <v>2309</v>
      </c>
      <c r="C117" s="1105"/>
      <c r="D117" s="1105"/>
      <c r="E117" s="1105"/>
      <c r="F117" s="1105"/>
      <c r="G117" s="1105"/>
      <c r="H117" s="1105"/>
      <c r="I117" s="1106"/>
    </row>
    <row r="118" spans="2:9" ht="15" customHeight="1"/>
    <row r="119" spans="2:9" ht="15" customHeight="1">
      <c r="E119" s="1124" t="s">
        <v>590</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2308</v>
      </c>
      <c r="G122" s="1116">
        <f>MEDIAN((Application!BR806:BR863))</f>
        <v>489600</v>
      </c>
    </row>
    <row r="123" spans="2:9" ht="15" customHeight="1">
      <c r="D123" s="1081"/>
      <c r="E123" s="1160" t="s">
        <v>2310</v>
      </c>
      <c r="F123" s="1176"/>
      <c r="G123" s="1177">
        <f>((G121-G122)/G122)*0.25</f>
        <v>8.1699346405228761E-4</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15 Year Pro Forma</vt:lpstr>
      <vt:lpstr>Subsidy Contract Calculation</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Fulbright</cp:lastModifiedBy>
  <cp:lastPrinted>2024-08-21T23:20:58Z</cp:lastPrinted>
  <dcterms:created xsi:type="dcterms:W3CDTF">2007-12-27T18:26:28Z</dcterms:created>
  <dcterms:modified xsi:type="dcterms:W3CDTF">2024-08-23T23:38:00Z</dcterms:modified>
</cp:coreProperties>
</file>